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625"/>
  <workbookPr codeName="ThisWorkbook" defaultThemeVersion="124226"/>
  <mc:AlternateContent xmlns:mc="http://schemas.openxmlformats.org/markup-compatibility/2006">
    <mc:Choice Requires="x15">
      <x15ac:absPath xmlns:x15ac="http://schemas.microsoft.com/office/spreadsheetml/2010/11/ac" url="I:\FactBooks\6_RevsExpends\"/>
    </mc:Choice>
  </mc:AlternateContent>
  <bookViews>
    <workbookView xWindow="-15" yWindow="-15" windowWidth="14400" windowHeight="12840" tabRatio="604" activeTab="1" xr2:uid="{00000000-000D-0000-FFFF-FFFF00000000}"/>
  </bookViews>
  <sheets>
    <sheet name="TABLE 97 (98)" sheetId="18" r:id="rId1"/>
    <sheet name="TABLE 98 (99)" sheetId="19" r:id="rId2"/>
    <sheet name="T E&amp;G 4YR" sheetId="31" r:id="rId3"/>
    <sheet name="T E&amp;G 2YR" sheetId="11" r:id="rId4"/>
    <sheet name="Instruction-4YR" sheetId="20" r:id="rId5"/>
    <sheet name="INSTRUCTION-2YR" sheetId="1" r:id="rId6"/>
    <sheet name="RESEARCH 4yr" sheetId="21" r:id="rId7"/>
    <sheet name="RESEARCH 2yr" sheetId="2" r:id="rId8"/>
    <sheet name="PUBLIC SERVICE 4yr" sheetId="22" r:id="rId9"/>
    <sheet name="PUBLIC SERVICE 2yr" sheetId="3" r:id="rId10"/>
    <sheet name="ASptISptSSv 4yr" sheetId="23" r:id="rId11"/>
    <sheet name="ASptISptSSv 2yr" sheetId="4" r:id="rId12"/>
    <sheet name="ACADEMIC SUPP 4yr" sheetId="24" r:id="rId13"/>
    <sheet name="ACADEMIC SUPP 2yr" sheetId="5" r:id="rId14"/>
    <sheet name="STU SERVICES 4yr" sheetId="25" r:id="rId15"/>
    <sheet name="STU SERVICES 2yr" sheetId="6" r:id="rId16"/>
    <sheet name="INST SUPPORT 4yr" sheetId="26" r:id="rId17"/>
    <sheet name="INST SUPPORT 2yr" sheetId="7" r:id="rId18"/>
    <sheet name="SCHOLAR FELLOW 4yr" sheetId="28" r:id="rId19"/>
    <sheet name="SCHOLAR FELLOW 2yr" sheetId="9" r:id="rId20"/>
    <sheet name="All Other 4yr" sheetId="29" r:id="rId21"/>
    <sheet name="All Other 2yr" sheetId="10" r:id="rId22"/>
    <sheet name="PLANT OPER MAIN 4yr" sheetId="27" r:id="rId23"/>
    <sheet name="PLANT OPER MAIN 2yr" sheetId="8" r:id="rId24"/>
  </sheets>
  <definedNames>
    <definedName name="DATA">'INSTRUCTION-2YR'!$A$1</definedName>
    <definedName name="_xlnm.Print_Area" localSheetId="0">'TABLE 97 (98)'!$A$1:$N$71</definedName>
    <definedName name="_xlnm.Print_Area" localSheetId="1">'TABLE 98 (99)'!$A$1:$N$73</definedName>
    <definedName name="SOURCES">#REF!</definedName>
    <definedName name="T_77">#REF!</definedName>
    <definedName name="T_80">'TABLE 97 (98)'!$A$1:$N$72</definedName>
    <definedName name="T_81">'TABLE 98 (99)'!$A$1:$N$27</definedName>
    <definedName name="TABLE">#REF!</definedName>
  </definedNames>
  <calcPr calcId="171027"/>
</workbook>
</file>

<file path=xl/calcChain.xml><?xml version="1.0" encoding="utf-8"?>
<calcChain xmlns="http://schemas.openxmlformats.org/spreadsheetml/2006/main">
  <c r="H66" i="19" l="1"/>
  <c r="G66" i="19"/>
  <c r="F66" i="19"/>
  <c r="E66" i="19"/>
  <c r="D66" i="19"/>
  <c r="C66" i="19"/>
  <c r="H65" i="19"/>
  <c r="G65" i="19"/>
  <c r="F65" i="19"/>
  <c r="E65" i="19"/>
  <c r="D65" i="19"/>
  <c r="C65" i="19"/>
  <c r="H64" i="19"/>
  <c r="G64" i="19"/>
  <c r="F64" i="19"/>
  <c r="E64" i="19"/>
  <c r="D64" i="19"/>
  <c r="C64" i="19"/>
  <c r="H63" i="19"/>
  <c r="G63" i="19"/>
  <c r="F63" i="19"/>
  <c r="E63" i="19"/>
  <c r="D63" i="19"/>
  <c r="C63" i="19"/>
  <c r="H62" i="19"/>
  <c r="G62" i="19"/>
  <c r="F62" i="19"/>
  <c r="E62" i="19"/>
  <c r="D62" i="19"/>
  <c r="C62" i="19"/>
  <c r="H61" i="19"/>
  <c r="G61" i="19"/>
  <c r="F61" i="19"/>
  <c r="E61" i="19"/>
  <c r="D61" i="19"/>
  <c r="C61" i="19"/>
  <c r="H60" i="19"/>
  <c r="G60" i="19"/>
  <c r="F60" i="19"/>
  <c r="E60" i="19"/>
  <c r="D60" i="19"/>
  <c r="C60" i="19"/>
  <c r="H59" i="19"/>
  <c r="G59" i="19"/>
  <c r="F59" i="19"/>
  <c r="E59" i="19"/>
  <c r="D59" i="19"/>
  <c r="C59" i="19"/>
  <c r="H58" i="19"/>
  <c r="G58" i="19"/>
  <c r="F58" i="19"/>
  <c r="E58" i="19"/>
  <c r="D58" i="19"/>
  <c r="C58" i="19"/>
  <c r="H56" i="19"/>
  <c r="G56" i="19"/>
  <c r="F56" i="19"/>
  <c r="E56" i="19"/>
  <c r="D56" i="19"/>
  <c r="C56" i="19"/>
  <c r="H55" i="19"/>
  <c r="G55" i="19"/>
  <c r="F55" i="19"/>
  <c r="E55" i="19"/>
  <c r="D55" i="19"/>
  <c r="C55" i="19"/>
  <c r="H54" i="19"/>
  <c r="G54" i="19"/>
  <c r="F54" i="19"/>
  <c r="E54" i="19"/>
  <c r="D54" i="19"/>
  <c r="C54" i="19"/>
  <c r="H53" i="19"/>
  <c r="G53" i="19"/>
  <c r="F53" i="19"/>
  <c r="E53" i="19"/>
  <c r="D53" i="19"/>
  <c r="C53" i="19"/>
  <c r="H52" i="19"/>
  <c r="G52" i="19"/>
  <c r="F52" i="19"/>
  <c r="E52" i="19"/>
  <c r="D52" i="19"/>
  <c r="C52" i="19"/>
  <c r="H51" i="19"/>
  <c r="G51" i="19"/>
  <c r="F51" i="19"/>
  <c r="E51" i="19"/>
  <c r="D51" i="19"/>
  <c r="C51" i="19"/>
  <c r="H50" i="19"/>
  <c r="G50" i="19"/>
  <c r="F50" i="19"/>
  <c r="E50" i="19"/>
  <c r="D50" i="19"/>
  <c r="C50" i="19"/>
  <c r="H49" i="19"/>
  <c r="G49" i="19"/>
  <c r="F49" i="19"/>
  <c r="E49" i="19"/>
  <c r="D49" i="19"/>
  <c r="C49" i="19"/>
  <c r="H48" i="19"/>
  <c r="G48" i="19"/>
  <c r="F48" i="19"/>
  <c r="E48" i="19"/>
  <c r="D48" i="19"/>
  <c r="C48" i="19"/>
  <c r="H47" i="19"/>
  <c r="G47" i="19"/>
  <c r="F47" i="19"/>
  <c r="E47" i="19"/>
  <c r="D47" i="19"/>
  <c r="C47" i="19"/>
  <c r="H46" i="19"/>
  <c r="G46" i="19"/>
  <c r="F46" i="19"/>
  <c r="E46" i="19"/>
  <c r="D46" i="19"/>
  <c r="C46" i="19"/>
  <c r="H45" i="19"/>
  <c r="G45" i="19"/>
  <c r="F45" i="19"/>
  <c r="E45" i="19"/>
  <c r="D45" i="19"/>
  <c r="C45" i="19"/>
  <c r="H44" i="19"/>
  <c r="G44" i="19"/>
  <c r="F44" i="19"/>
  <c r="E44" i="19"/>
  <c r="D44" i="19"/>
  <c r="C44" i="19"/>
  <c r="H42" i="19"/>
  <c r="G42" i="19"/>
  <c r="F42" i="19"/>
  <c r="E42" i="19"/>
  <c r="D42" i="19"/>
  <c r="C42" i="19"/>
  <c r="H41" i="19"/>
  <c r="G41" i="19"/>
  <c r="F41" i="19"/>
  <c r="E41" i="19"/>
  <c r="D41" i="19"/>
  <c r="C41" i="19"/>
  <c r="H40" i="19"/>
  <c r="G40" i="19"/>
  <c r="F40" i="19"/>
  <c r="E40" i="19"/>
  <c r="D40" i="19"/>
  <c r="C40" i="19"/>
  <c r="H39" i="19"/>
  <c r="G39" i="19"/>
  <c r="F39" i="19"/>
  <c r="E39" i="19"/>
  <c r="D39" i="19"/>
  <c r="C39" i="19"/>
  <c r="H38" i="19"/>
  <c r="G38" i="19"/>
  <c r="F38" i="19"/>
  <c r="E38" i="19"/>
  <c r="D38" i="19"/>
  <c r="C38" i="19"/>
  <c r="H37" i="19"/>
  <c r="G37" i="19"/>
  <c r="F37" i="19"/>
  <c r="E37" i="19"/>
  <c r="D37" i="19"/>
  <c r="C37" i="19"/>
  <c r="H36" i="19"/>
  <c r="G36" i="19"/>
  <c r="F36" i="19"/>
  <c r="E36" i="19"/>
  <c r="D36" i="19"/>
  <c r="C36" i="19"/>
  <c r="H35" i="19"/>
  <c r="G35" i="19"/>
  <c r="F35" i="19"/>
  <c r="E35" i="19"/>
  <c r="D35" i="19"/>
  <c r="C35" i="19"/>
  <c r="H34" i="19"/>
  <c r="G34" i="19"/>
  <c r="F34" i="19"/>
  <c r="E34" i="19"/>
  <c r="D34" i="19"/>
  <c r="C34" i="19"/>
  <c r="H33" i="19"/>
  <c r="G33" i="19"/>
  <c r="F33" i="19"/>
  <c r="E33" i="19"/>
  <c r="D33" i="19"/>
  <c r="C33" i="19"/>
  <c r="H32" i="19"/>
  <c r="G32" i="19"/>
  <c r="F32" i="19"/>
  <c r="E32" i="19"/>
  <c r="D32" i="19"/>
  <c r="C32" i="19"/>
  <c r="H31" i="19"/>
  <c r="G31" i="19"/>
  <c r="F31" i="19"/>
  <c r="E31" i="19"/>
  <c r="D31" i="19"/>
  <c r="C31" i="19"/>
  <c r="H30" i="19"/>
  <c r="G30" i="19"/>
  <c r="F30" i="19"/>
  <c r="E30" i="19"/>
  <c r="D30" i="19"/>
  <c r="C30" i="19"/>
  <c r="H27" i="19"/>
  <c r="G27" i="19"/>
  <c r="F27" i="19"/>
  <c r="E27" i="19"/>
  <c r="D27" i="19"/>
  <c r="C27" i="19"/>
  <c r="H26" i="19"/>
  <c r="G26" i="19"/>
  <c r="F26" i="19"/>
  <c r="E26" i="19"/>
  <c r="D26" i="19"/>
  <c r="C26" i="19"/>
  <c r="H25" i="19"/>
  <c r="G25" i="19"/>
  <c r="F25" i="19"/>
  <c r="E25" i="19"/>
  <c r="D25" i="19"/>
  <c r="C25" i="19"/>
  <c r="H24" i="19"/>
  <c r="G24" i="19"/>
  <c r="F24" i="19"/>
  <c r="E24" i="19"/>
  <c r="D24" i="19"/>
  <c r="C24" i="19"/>
  <c r="H23" i="19"/>
  <c r="G23" i="19"/>
  <c r="F23" i="19"/>
  <c r="E23" i="19"/>
  <c r="D23" i="19"/>
  <c r="C23" i="19"/>
  <c r="H22" i="19"/>
  <c r="G22" i="19"/>
  <c r="F22" i="19"/>
  <c r="E22" i="19"/>
  <c r="D22" i="19"/>
  <c r="C22" i="19"/>
  <c r="H21" i="19"/>
  <c r="G21" i="19"/>
  <c r="F21" i="19"/>
  <c r="E21" i="19"/>
  <c r="D21" i="19"/>
  <c r="C21" i="19"/>
  <c r="H20" i="19"/>
  <c r="G20" i="19"/>
  <c r="F20" i="19"/>
  <c r="E20" i="19"/>
  <c r="D20" i="19"/>
  <c r="C20" i="19"/>
  <c r="H19" i="19"/>
  <c r="G19" i="19"/>
  <c r="F19" i="19"/>
  <c r="E19" i="19"/>
  <c r="D19" i="19"/>
  <c r="C19" i="19"/>
  <c r="H18" i="19"/>
  <c r="G18" i="19"/>
  <c r="F18" i="19"/>
  <c r="E18" i="19"/>
  <c r="D18" i="19"/>
  <c r="C18" i="19"/>
  <c r="H17" i="19"/>
  <c r="G17" i="19"/>
  <c r="F17" i="19"/>
  <c r="E17" i="19"/>
  <c r="D17" i="19"/>
  <c r="C17" i="19"/>
  <c r="H16" i="19"/>
  <c r="G16" i="19"/>
  <c r="F16" i="19"/>
  <c r="E16" i="19"/>
  <c r="D16" i="19"/>
  <c r="C16" i="19"/>
  <c r="H15" i="19"/>
  <c r="G15" i="19"/>
  <c r="F15" i="19"/>
  <c r="E15" i="19"/>
  <c r="D15" i="19"/>
  <c r="C15" i="19"/>
  <c r="H14" i="19"/>
  <c r="G14" i="19"/>
  <c r="F14" i="19"/>
  <c r="E14" i="19"/>
  <c r="D14" i="19"/>
  <c r="C14" i="19"/>
  <c r="H13" i="19"/>
  <c r="G13" i="19"/>
  <c r="F13" i="19"/>
  <c r="E13" i="19"/>
  <c r="D13" i="19"/>
  <c r="C13" i="19"/>
  <c r="H12" i="19"/>
  <c r="G12" i="19"/>
  <c r="F12" i="19"/>
  <c r="E12" i="19"/>
  <c r="D12" i="19"/>
  <c r="C12" i="19"/>
  <c r="H11" i="19"/>
  <c r="G11" i="19"/>
  <c r="F11" i="19"/>
  <c r="E11" i="19"/>
  <c r="D11" i="19"/>
  <c r="C11" i="19"/>
  <c r="H9" i="19"/>
  <c r="G9" i="19"/>
  <c r="F9" i="19"/>
  <c r="E9" i="19"/>
  <c r="D9" i="19"/>
  <c r="C9" i="19"/>
  <c r="H8" i="19"/>
  <c r="G8" i="19"/>
  <c r="F8" i="19"/>
  <c r="E8" i="19"/>
  <c r="D8" i="19"/>
  <c r="C8" i="19"/>
  <c r="V66" i="19"/>
  <c r="U66" i="19"/>
  <c r="T66" i="19"/>
  <c r="S66" i="19"/>
  <c r="R66" i="19"/>
  <c r="Q66" i="19"/>
  <c r="P66" i="19"/>
  <c r="V65" i="19"/>
  <c r="U65" i="19"/>
  <c r="T65" i="19"/>
  <c r="S65" i="19"/>
  <c r="R65" i="19"/>
  <c r="Q65" i="19"/>
  <c r="P65" i="19"/>
  <c r="V64" i="19"/>
  <c r="U64" i="19"/>
  <c r="T64" i="19"/>
  <c r="S64" i="19"/>
  <c r="R64" i="19"/>
  <c r="Q64" i="19"/>
  <c r="P64" i="19"/>
  <c r="V63" i="19"/>
  <c r="U63" i="19"/>
  <c r="T63" i="19"/>
  <c r="S63" i="19"/>
  <c r="R63" i="19"/>
  <c r="Q63" i="19"/>
  <c r="P63" i="19"/>
  <c r="V62" i="19"/>
  <c r="U62" i="19"/>
  <c r="T62" i="19"/>
  <c r="S62" i="19"/>
  <c r="R62" i="19"/>
  <c r="Q62" i="19"/>
  <c r="P62" i="19"/>
  <c r="V61" i="19"/>
  <c r="U61" i="19"/>
  <c r="T61" i="19"/>
  <c r="S61" i="19"/>
  <c r="R61" i="19"/>
  <c r="Q61" i="19"/>
  <c r="P61" i="19"/>
  <c r="V60" i="19"/>
  <c r="U60" i="19"/>
  <c r="T60" i="19"/>
  <c r="S60" i="19"/>
  <c r="R60" i="19"/>
  <c r="Q60" i="19"/>
  <c r="P60" i="19"/>
  <c r="V59" i="19"/>
  <c r="U59" i="19"/>
  <c r="T59" i="19"/>
  <c r="S59" i="19"/>
  <c r="R59" i="19"/>
  <c r="Q59" i="19"/>
  <c r="P59" i="19"/>
  <c r="V58" i="19"/>
  <c r="U58" i="19"/>
  <c r="T58" i="19"/>
  <c r="S58" i="19"/>
  <c r="R58" i="19"/>
  <c r="Q58" i="19"/>
  <c r="P58" i="19"/>
  <c r="V56" i="19"/>
  <c r="U56" i="19"/>
  <c r="T56" i="19"/>
  <c r="S56" i="19"/>
  <c r="R56" i="19"/>
  <c r="Q56" i="19"/>
  <c r="P56" i="19"/>
  <c r="V55" i="19"/>
  <c r="U55" i="19"/>
  <c r="T55" i="19"/>
  <c r="S55" i="19"/>
  <c r="R55" i="19"/>
  <c r="Q55" i="19"/>
  <c r="P55" i="19"/>
  <c r="V54" i="19"/>
  <c r="U54" i="19"/>
  <c r="T54" i="19"/>
  <c r="S54" i="19"/>
  <c r="R54" i="19"/>
  <c r="Q54" i="19"/>
  <c r="P54" i="19"/>
  <c r="V53" i="19"/>
  <c r="U53" i="19"/>
  <c r="T53" i="19"/>
  <c r="S53" i="19"/>
  <c r="R53" i="19"/>
  <c r="Q53" i="19"/>
  <c r="P53" i="19"/>
  <c r="V52" i="19"/>
  <c r="U52" i="19"/>
  <c r="T52" i="19"/>
  <c r="S52" i="19"/>
  <c r="R52" i="19"/>
  <c r="Q52" i="19"/>
  <c r="P52" i="19"/>
  <c r="V51" i="19"/>
  <c r="U51" i="19"/>
  <c r="T51" i="19"/>
  <c r="S51" i="19"/>
  <c r="R51" i="19"/>
  <c r="Q51" i="19"/>
  <c r="P51" i="19"/>
  <c r="V50" i="19"/>
  <c r="U50" i="19"/>
  <c r="T50" i="19"/>
  <c r="S50" i="19"/>
  <c r="R50" i="19"/>
  <c r="Q50" i="19"/>
  <c r="P50" i="19"/>
  <c r="V49" i="19"/>
  <c r="U49" i="19"/>
  <c r="T49" i="19"/>
  <c r="S49" i="19"/>
  <c r="R49" i="19"/>
  <c r="Q49" i="19"/>
  <c r="P49" i="19"/>
  <c r="V48" i="19"/>
  <c r="U48" i="19"/>
  <c r="T48" i="19"/>
  <c r="S48" i="19"/>
  <c r="R48" i="19"/>
  <c r="Q48" i="19"/>
  <c r="P48" i="19"/>
  <c r="V47" i="19"/>
  <c r="U47" i="19"/>
  <c r="T47" i="19"/>
  <c r="S47" i="19"/>
  <c r="R47" i="19"/>
  <c r="Q47" i="19"/>
  <c r="P47" i="19"/>
  <c r="V46" i="19"/>
  <c r="U46" i="19"/>
  <c r="T46" i="19"/>
  <c r="S46" i="19"/>
  <c r="R46" i="19"/>
  <c r="Q46" i="19"/>
  <c r="P46" i="19"/>
  <c r="V45" i="19"/>
  <c r="U45" i="19"/>
  <c r="T45" i="19"/>
  <c r="S45" i="19"/>
  <c r="R45" i="19"/>
  <c r="Q45" i="19"/>
  <c r="P45" i="19"/>
  <c r="V44" i="19"/>
  <c r="U44" i="19"/>
  <c r="T44" i="19"/>
  <c r="S44" i="19"/>
  <c r="R44" i="19"/>
  <c r="Q44" i="19"/>
  <c r="P44" i="19"/>
  <c r="V42" i="19"/>
  <c r="U42" i="19"/>
  <c r="T42" i="19"/>
  <c r="S42" i="19"/>
  <c r="R42" i="19"/>
  <c r="Q42" i="19"/>
  <c r="P42" i="19"/>
  <c r="V41" i="19"/>
  <c r="U41" i="19"/>
  <c r="T41" i="19"/>
  <c r="S41" i="19"/>
  <c r="R41" i="19"/>
  <c r="Q41" i="19"/>
  <c r="P41" i="19"/>
  <c r="V40" i="19"/>
  <c r="U40" i="19"/>
  <c r="T40" i="19"/>
  <c r="S40" i="19"/>
  <c r="R40" i="19"/>
  <c r="Q40" i="19"/>
  <c r="P40" i="19"/>
  <c r="V39" i="19"/>
  <c r="U39" i="19"/>
  <c r="T39" i="19"/>
  <c r="S39" i="19"/>
  <c r="R39" i="19"/>
  <c r="Q39" i="19"/>
  <c r="P39" i="19"/>
  <c r="V38" i="19"/>
  <c r="U38" i="19"/>
  <c r="T38" i="19"/>
  <c r="S38" i="19"/>
  <c r="R38" i="19"/>
  <c r="Q38" i="19"/>
  <c r="P38" i="19"/>
  <c r="V37" i="19"/>
  <c r="U37" i="19"/>
  <c r="T37" i="19"/>
  <c r="S37" i="19"/>
  <c r="R37" i="19"/>
  <c r="Q37" i="19"/>
  <c r="P37" i="19"/>
  <c r="V36" i="19"/>
  <c r="U36" i="19"/>
  <c r="T36" i="19"/>
  <c r="S36" i="19"/>
  <c r="R36" i="19"/>
  <c r="Q36" i="19"/>
  <c r="P36" i="19"/>
  <c r="V35" i="19"/>
  <c r="U35" i="19"/>
  <c r="T35" i="19"/>
  <c r="S35" i="19"/>
  <c r="R35" i="19"/>
  <c r="Q35" i="19"/>
  <c r="P35" i="19"/>
  <c r="V34" i="19"/>
  <c r="U34" i="19"/>
  <c r="T34" i="19"/>
  <c r="S34" i="19"/>
  <c r="R34" i="19"/>
  <c r="Q34" i="19"/>
  <c r="P34" i="19"/>
  <c r="V33" i="19"/>
  <c r="U33" i="19"/>
  <c r="T33" i="19"/>
  <c r="S33" i="19"/>
  <c r="R33" i="19"/>
  <c r="Q33" i="19"/>
  <c r="P33" i="19"/>
  <c r="V32" i="19"/>
  <c r="U32" i="19"/>
  <c r="T32" i="19"/>
  <c r="S32" i="19"/>
  <c r="R32" i="19"/>
  <c r="Q32" i="19"/>
  <c r="P32" i="19"/>
  <c r="V31" i="19"/>
  <c r="U31" i="19"/>
  <c r="T31" i="19"/>
  <c r="S31" i="19"/>
  <c r="R31" i="19"/>
  <c r="Q31" i="19"/>
  <c r="P31" i="19"/>
  <c r="V30" i="19"/>
  <c r="U30" i="19"/>
  <c r="T30" i="19"/>
  <c r="S30" i="19"/>
  <c r="R30" i="19"/>
  <c r="Q30" i="19"/>
  <c r="P30" i="19"/>
  <c r="V29" i="19"/>
  <c r="U29" i="19"/>
  <c r="T29" i="19"/>
  <c r="S29" i="19"/>
  <c r="R29" i="19"/>
  <c r="Q29" i="19"/>
  <c r="P29" i="19"/>
  <c r="V27" i="19"/>
  <c r="U27" i="19"/>
  <c r="T27" i="19"/>
  <c r="S27" i="19"/>
  <c r="R27" i="19"/>
  <c r="Q27" i="19"/>
  <c r="P27" i="19"/>
  <c r="V26" i="19"/>
  <c r="U26" i="19"/>
  <c r="T26" i="19"/>
  <c r="S26" i="19"/>
  <c r="R26" i="19"/>
  <c r="Q26" i="19"/>
  <c r="P26" i="19"/>
  <c r="V25" i="19"/>
  <c r="U25" i="19"/>
  <c r="T25" i="19"/>
  <c r="S25" i="19"/>
  <c r="R25" i="19"/>
  <c r="Q25" i="19"/>
  <c r="P25" i="19"/>
  <c r="V24" i="19"/>
  <c r="U24" i="19"/>
  <c r="T24" i="19"/>
  <c r="S24" i="19"/>
  <c r="R24" i="19"/>
  <c r="Q24" i="19"/>
  <c r="P24" i="19"/>
  <c r="V23" i="19"/>
  <c r="U23" i="19"/>
  <c r="T23" i="19"/>
  <c r="S23" i="19"/>
  <c r="R23" i="19"/>
  <c r="Q23" i="19"/>
  <c r="P23" i="19"/>
  <c r="V22" i="19"/>
  <c r="U22" i="19"/>
  <c r="T22" i="19"/>
  <c r="S22" i="19"/>
  <c r="R22" i="19"/>
  <c r="Q22" i="19"/>
  <c r="P22" i="19"/>
  <c r="V21" i="19"/>
  <c r="U21" i="19"/>
  <c r="T21" i="19"/>
  <c r="S21" i="19"/>
  <c r="R21" i="19"/>
  <c r="Q21" i="19"/>
  <c r="P21" i="19"/>
  <c r="V20" i="19"/>
  <c r="U20" i="19"/>
  <c r="T20" i="19"/>
  <c r="S20" i="19"/>
  <c r="R20" i="19"/>
  <c r="Q20" i="19"/>
  <c r="P20" i="19"/>
  <c r="V19" i="19"/>
  <c r="U19" i="19"/>
  <c r="T19" i="19"/>
  <c r="S19" i="19"/>
  <c r="R19" i="19"/>
  <c r="Q19" i="19"/>
  <c r="P19" i="19"/>
  <c r="V18" i="19"/>
  <c r="U18" i="19"/>
  <c r="T18" i="19"/>
  <c r="S18" i="19"/>
  <c r="R18" i="19"/>
  <c r="Q18" i="19"/>
  <c r="P18" i="19"/>
  <c r="V17" i="19"/>
  <c r="U17" i="19"/>
  <c r="T17" i="19"/>
  <c r="S17" i="19"/>
  <c r="R17" i="19"/>
  <c r="Q17" i="19"/>
  <c r="P17" i="19"/>
  <c r="V16" i="19"/>
  <c r="U16" i="19"/>
  <c r="T16" i="19"/>
  <c r="S16" i="19"/>
  <c r="R16" i="19"/>
  <c r="Q16" i="19"/>
  <c r="P16" i="19"/>
  <c r="V15" i="19"/>
  <c r="U15" i="19"/>
  <c r="T15" i="19"/>
  <c r="S15" i="19"/>
  <c r="R15" i="19"/>
  <c r="Q15" i="19"/>
  <c r="P15" i="19"/>
  <c r="V14" i="19"/>
  <c r="U14" i="19"/>
  <c r="T14" i="19"/>
  <c r="S14" i="19"/>
  <c r="R14" i="19"/>
  <c r="Q14" i="19"/>
  <c r="P14" i="19"/>
  <c r="V13" i="19"/>
  <c r="U13" i="19"/>
  <c r="T13" i="19"/>
  <c r="S13" i="19"/>
  <c r="R13" i="19"/>
  <c r="Q13" i="19"/>
  <c r="P13" i="19"/>
  <c r="V12" i="19"/>
  <c r="U12" i="19"/>
  <c r="T12" i="19"/>
  <c r="S12" i="19"/>
  <c r="R12" i="19"/>
  <c r="Q12" i="19"/>
  <c r="P12" i="19"/>
  <c r="V11" i="19"/>
  <c r="U11" i="19"/>
  <c r="T11" i="19"/>
  <c r="S11" i="19"/>
  <c r="R11" i="19"/>
  <c r="Q11" i="19"/>
  <c r="P11" i="19"/>
  <c r="V9" i="19"/>
  <c r="U9" i="19"/>
  <c r="T9" i="19"/>
  <c r="S9" i="19"/>
  <c r="R9" i="19"/>
  <c r="Q9" i="19"/>
  <c r="P9" i="19"/>
  <c r="V8" i="19"/>
  <c r="U8" i="19"/>
  <c r="T8" i="19"/>
  <c r="S8" i="19"/>
  <c r="R8" i="19"/>
  <c r="Q8" i="19"/>
  <c r="P8" i="19"/>
  <c r="AA25" i="31"/>
  <c r="V67" i="18"/>
  <c r="U67" i="18"/>
  <c r="T67" i="18"/>
  <c r="S67" i="18"/>
  <c r="R67" i="18"/>
  <c r="Q67" i="18"/>
  <c r="P67" i="18"/>
  <c r="V66" i="18"/>
  <c r="U66" i="18"/>
  <c r="T66" i="18"/>
  <c r="S66" i="18"/>
  <c r="R66" i="18"/>
  <c r="Q66" i="18"/>
  <c r="P66" i="18"/>
  <c r="V65" i="18"/>
  <c r="U65" i="18"/>
  <c r="T65" i="18"/>
  <c r="S65" i="18"/>
  <c r="R65" i="18"/>
  <c r="Q65" i="18"/>
  <c r="P65" i="18"/>
  <c r="V64" i="18"/>
  <c r="U64" i="18"/>
  <c r="T64" i="18"/>
  <c r="S64" i="18"/>
  <c r="R64" i="18"/>
  <c r="Q64" i="18"/>
  <c r="P64" i="18"/>
  <c r="V63" i="18"/>
  <c r="U63" i="18"/>
  <c r="T63" i="18"/>
  <c r="S63" i="18"/>
  <c r="R63" i="18"/>
  <c r="Q63" i="18"/>
  <c r="P63" i="18"/>
  <c r="V62" i="18"/>
  <c r="U62" i="18"/>
  <c r="T62" i="18"/>
  <c r="S62" i="18"/>
  <c r="R62" i="18"/>
  <c r="Q62" i="18"/>
  <c r="P62" i="18"/>
  <c r="V61" i="18"/>
  <c r="U61" i="18"/>
  <c r="T61" i="18"/>
  <c r="S61" i="18"/>
  <c r="R61" i="18"/>
  <c r="Q61" i="18"/>
  <c r="P61" i="18"/>
  <c r="V60" i="18"/>
  <c r="U60" i="18"/>
  <c r="T60" i="18"/>
  <c r="S60" i="18"/>
  <c r="R60" i="18"/>
  <c r="Q60" i="18"/>
  <c r="P60" i="18"/>
  <c r="V59" i="18"/>
  <c r="U59" i="18"/>
  <c r="T59" i="18"/>
  <c r="S59" i="18"/>
  <c r="R59" i="18"/>
  <c r="Q59" i="18"/>
  <c r="P59" i="18"/>
  <c r="V58" i="18"/>
  <c r="U58" i="18"/>
  <c r="T58" i="18"/>
  <c r="S58" i="18"/>
  <c r="R58" i="18"/>
  <c r="Q58" i="18"/>
  <c r="P58" i="18"/>
  <c r="V56" i="18"/>
  <c r="U56" i="18"/>
  <c r="T56" i="18"/>
  <c r="S56" i="18"/>
  <c r="R56" i="18"/>
  <c r="Q56" i="18"/>
  <c r="P56" i="18"/>
  <c r="V55" i="18"/>
  <c r="U55" i="18"/>
  <c r="T55" i="18"/>
  <c r="S55" i="18"/>
  <c r="R55" i="18"/>
  <c r="Q55" i="18"/>
  <c r="P55" i="18"/>
  <c r="V54" i="18"/>
  <c r="U54" i="18"/>
  <c r="T54" i="18"/>
  <c r="S54" i="18"/>
  <c r="R54" i="18"/>
  <c r="Q54" i="18"/>
  <c r="P54" i="18"/>
  <c r="V53" i="18"/>
  <c r="U53" i="18"/>
  <c r="T53" i="18"/>
  <c r="S53" i="18"/>
  <c r="R53" i="18"/>
  <c r="Q53" i="18"/>
  <c r="P53" i="18"/>
  <c r="V52" i="18"/>
  <c r="U52" i="18"/>
  <c r="T52" i="18"/>
  <c r="S52" i="18"/>
  <c r="R52" i="18"/>
  <c r="Q52" i="18"/>
  <c r="P52" i="18"/>
  <c r="V51" i="18"/>
  <c r="U51" i="18"/>
  <c r="T51" i="18"/>
  <c r="S51" i="18"/>
  <c r="R51" i="18"/>
  <c r="Q51" i="18"/>
  <c r="P51" i="18"/>
  <c r="V50" i="18"/>
  <c r="U50" i="18"/>
  <c r="T50" i="18"/>
  <c r="S50" i="18"/>
  <c r="R50" i="18"/>
  <c r="Q50" i="18"/>
  <c r="P50" i="18"/>
  <c r="V49" i="18"/>
  <c r="U49" i="18"/>
  <c r="T49" i="18"/>
  <c r="S49" i="18"/>
  <c r="R49" i="18"/>
  <c r="Q49" i="18"/>
  <c r="P49" i="18"/>
  <c r="V48" i="18"/>
  <c r="U48" i="18"/>
  <c r="T48" i="18"/>
  <c r="S48" i="18"/>
  <c r="R48" i="18"/>
  <c r="Q48" i="18"/>
  <c r="P48" i="18"/>
  <c r="V47" i="18"/>
  <c r="U47" i="18"/>
  <c r="T47" i="18"/>
  <c r="S47" i="18"/>
  <c r="R47" i="18"/>
  <c r="Q47" i="18"/>
  <c r="P47" i="18"/>
  <c r="V46" i="18"/>
  <c r="U46" i="18"/>
  <c r="T46" i="18"/>
  <c r="S46" i="18"/>
  <c r="R46" i="18"/>
  <c r="Q46" i="18"/>
  <c r="P46" i="18"/>
  <c r="V45" i="18"/>
  <c r="U45" i="18"/>
  <c r="T45" i="18"/>
  <c r="S45" i="18"/>
  <c r="R45" i="18"/>
  <c r="Q45" i="18"/>
  <c r="P45" i="18"/>
  <c r="V44" i="18"/>
  <c r="U44" i="18"/>
  <c r="T44" i="18"/>
  <c r="S44" i="18"/>
  <c r="R44" i="18"/>
  <c r="Q44" i="18"/>
  <c r="P44" i="18"/>
  <c r="V42" i="18"/>
  <c r="U42" i="18"/>
  <c r="T42" i="18"/>
  <c r="S42" i="18"/>
  <c r="R42" i="18"/>
  <c r="Q42" i="18"/>
  <c r="P42" i="18"/>
  <c r="V41" i="18"/>
  <c r="U41" i="18"/>
  <c r="T41" i="18"/>
  <c r="S41" i="18"/>
  <c r="R41" i="18"/>
  <c r="Q41" i="18"/>
  <c r="P41" i="18"/>
  <c r="V40" i="18"/>
  <c r="U40" i="18"/>
  <c r="T40" i="18"/>
  <c r="S40" i="18"/>
  <c r="R40" i="18"/>
  <c r="Q40" i="18"/>
  <c r="P40" i="18"/>
  <c r="V39" i="18"/>
  <c r="U39" i="18"/>
  <c r="T39" i="18"/>
  <c r="S39" i="18"/>
  <c r="R39" i="18"/>
  <c r="Q39" i="18"/>
  <c r="P39" i="18"/>
  <c r="V38" i="18"/>
  <c r="U38" i="18"/>
  <c r="T38" i="18"/>
  <c r="S38" i="18"/>
  <c r="R38" i="18"/>
  <c r="Q38" i="18"/>
  <c r="P38" i="18"/>
  <c r="V37" i="18"/>
  <c r="U37" i="18"/>
  <c r="T37" i="18"/>
  <c r="S37" i="18"/>
  <c r="R37" i="18"/>
  <c r="Q37" i="18"/>
  <c r="P37" i="18"/>
  <c r="V36" i="18"/>
  <c r="U36" i="18"/>
  <c r="T36" i="18"/>
  <c r="S36" i="18"/>
  <c r="R36" i="18"/>
  <c r="Q36" i="18"/>
  <c r="P36" i="18"/>
  <c r="V35" i="18"/>
  <c r="U35" i="18"/>
  <c r="T35" i="18"/>
  <c r="S35" i="18"/>
  <c r="R35" i="18"/>
  <c r="Q35" i="18"/>
  <c r="P35" i="18"/>
  <c r="V34" i="18"/>
  <c r="U34" i="18"/>
  <c r="T34" i="18"/>
  <c r="S34" i="18"/>
  <c r="R34" i="18"/>
  <c r="Q34" i="18"/>
  <c r="P34" i="18"/>
  <c r="V33" i="18"/>
  <c r="U33" i="18"/>
  <c r="T33" i="18"/>
  <c r="S33" i="18"/>
  <c r="R33" i="18"/>
  <c r="Q33" i="18"/>
  <c r="P33" i="18"/>
  <c r="V32" i="18"/>
  <c r="U32" i="18"/>
  <c r="T32" i="18"/>
  <c r="S32" i="18"/>
  <c r="R32" i="18"/>
  <c r="Q32" i="18"/>
  <c r="P32" i="18"/>
  <c r="V31" i="18"/>
  <c r="U31" i="18"/>
  <c r="T31" i="18"/>
  <c r="S31" i="18"/>
  <c r="R31" i="18"/>
  <c r="Q31" i="18"/>
  <c r="P31" i="18"/>
  <c r="V30" i="18"/>
  <c r="U30" i="18"/>
  <c r="T30" i="18"/>
  <c r="S30" i="18"/>
  <c r="R30" i="18"/>
  <c r="Q30" i="18"/>
  <c r="P30" i="18"/>
  <c r="V29" i="18"/>
  <c r="U29" i="18"/>
  <c r="T29" i="18"/>
  <c r="S29" i="18"/>
  <c r="R29" i="18"/>
  <c r="Q29" i="18"/>
  <c r="P29" i="18"/>
  <c r="V27" i="18"/>
  <c r="U27" i="18"/>
  <c r="T27" i="18"/>
  <c r="S27" i="18"/>
  <c r="R27" i="18"/>
  <c r="Q27" i="18"/>
  <c r="P27" i="18"/>
  <c r="V26" i="18"/>
  <c r="U26" i="18"/>
  <c r="T26" i="18"/>
  <c r="S26" i="18"/>
  <c r="R26" i="18"/>
  <c r="Q26" i="18"/>
  <c r="P26" i="18"/>
  <c r="V25" i="18"/>
  <c r="U25" i="18"/>
  <c r="T25" i="18"/>
  <c r="S25" i="18"/>
  <c r="R25" i="18"/>
  <c r="Q25" i="18"/>
  <c r="P25" i="18"/>
  <c r="V24" i="18"/>
  <c r="U24" i="18"/>
  <c r="T24" i="18"/>
  <c r="S24" i="18"/>
  <c r="R24" i="18"/>
  <c r="Q24" i="18"/>
  <c r="P24" i="18"/>
  <c r="V23" i="18"/>
  <c r="U23" i="18"/>
  <c r="T23" i="18"/>
  <c r="S23" i="18"/>
  <c r="R23" i="18"/>
  <c r="Q23" i="18"/>
  <c r="P23" i="18"/>
  <c r="V22" i="18"/>
  <c r="U22" i="18"/>
  <c r="T22" i="18"/>
  <c r="S22" i="18"/>
  <c r="R22" i="18"/>
  <c r="Q22" i="18"/>
  <c r="P22" i="18"/>
  <c r="V21" i="18"/>
  <c r="U21" i="18"/>
  <c r="T21" i="18"/>
  <c r="S21" i="18"/>
  <c r="R21" i="18"/>
  <c r="Q21" i="18"/>
  <c r="P21" i="18"/>
  <c r="V20" i="18"/>
  <c r="U20" i="18"/>
  <c r="T20" i="18"/>
  <c r="S20" i="18"/>
  <c r="R20" i="18"/>
  <c r="Q20" i="18"/>
  <c r="P20" i="18"/>
  <c r="V19" i="18"/>
  <c r="U19" i="18"/>
  <c r="T19" i="18"/>
  <c r="S19" i="18"/>
  <c r="R19" i="18"/>
  <c r="Q19" i="18"/>
  <c r="P19" i="18"/>
  <c r="V18" i="18"/>
  <c r="U18" i="18"/>
  <c r="T18" i="18"/>
  <c r="S18" i="18"/>
  <c r="R18" i="18"/>
  <c r="Q18" i="18"/>
  <c r="P18" i="18"/>
  <c r="V17" i="18"/>
  <c r="U17" i="18"/>
  <c r="T17" i="18"/>
  <c r="S17" i="18"/>
  <c r="R17" i="18"/>
  <c r="Q17" i="18"/>
  <c r="P17" i="18"/>
  <c r="V16" i="18"/>
  <c r="U16" i="18"/>
  <c r="T16" i="18"/>
  <c r="S16" i="18"/>
  <c r="R16" i="18"/>
  <c r="Q16" i="18"/>
  <c r="P16" i="18"/>
  <c r="V15" i="18"/>
  <c r="U15" i="18"/>
  <c r="T15" i="18"/>
  <c r="S15" i="18"/>
  <c r="R15" i="18"/>
  <c r="Q15" i="18"/>
  <c r="P15" i="18"/>
  <c r="V14" i="18"/>
  <c r="U14" i="18"/>
  <c r="T14" i="18"/>
  <c r="S14" i="18"/>
  <c r="R14" i="18"/>
  <c r="Q14" i="18"/>
  <c r="P14" i="18"/>
  <c r="V13" i="18"/>
  <c r="U13" i="18"/>
  <c r="T13" i="18"/>
  <c r="S13" i="18"/>
  <c r="R13" i="18"/>
  <c r="Q13" i="18"/>
  <c r="P13" i="18"/>
  <c r="V12" i="18"/>
  <c r="U12" i="18"/>
  <c r="T12" i="18"/>
  <c r="S12" i="18"/>
  <c r="R12" i="18"/>
  <c r="Q12" i="18"/>
  <c r="P12" i="18"/>
  <c r="V11" i="18"/>
  <c r="U11" i="18"/>
  <c r="T11" i="18"/>
  <c r="S11" i="18"/>
  <c r="R11" i="18"/>
  <c r="Q11" i="18"/>
  <c r="P11" i="18"/>
  <c r="V9" i="18"/>
  <c r="U9" i="18"/>
  <c r="T9" i="18"/>
  <c r="S9" i="18"/>
  <c r="R9" i="18"/>
  <c r="Q9" i="18"/>
  <c r="P9" i="18"/>
  <c r="V8" i="18"/>
  <c r="U8" i="18"/>
  <c r="T8" i="18"/>
  <c r="S8" i="18"/>
  <c r="R8" i="18"/>
  <c r="Q8" i="18"/>
  <c r="P8" i="18"/>
  <c r="H67" i="18"/>
  <c r="G67" i="18"/>
  <c r="F67" i="18"/>
  <c r="E67" i="18"/>
  <c r="D67" i="18"/>
  <c r="C67" i="18"/>
  <c r="H66" i="18"/>
  <c r="G66" i="18"/>
  <c r="F66" i="18"/>
  <c r="E66" i="18"/>
  <c r="D66" i="18"/>
  <c r="C66" i="18"/>
  <c r="H65" i="18"/>
  <c r="G65" i="18"/>
  <c r="F65" i="18"/>
  <c r="E65" i="18"/>
  <c r="D65" i="18"/>
  <c r="C65" i="18"/>
  <c r="H64" i="18"/>
  <c r="G64" i="18"/>
  <c r="F64" i="18"/>
  <c r="E64" i="18"/>
  <c r="D64" i="18"/>
  <c r="C64" i="18"/>
  <c r="H63" i="18"/>
  <c r="G63" i="18"/>
  <c r="F63" i="18"/>
  <c r="E63" i="18"/>
  <c r="D63" i="18"/>
  <c r="C63" i="18"/>
  <c r="H62" i="18"/>
  <c r="G62" i="18"/>
  <c r="F62" i="18"/>
  <c r="E62" i="18"/>
  <c r="D62" i="18"/>
  <c r="C62" i="18"/>
  <c r="H61" i="18"/>
  <c r="G61" i="18"/>
  <c r="F61" i="18"/>
  <c r="E61" i="18"/>
  <c r="D61" i="18"/>
  <c r="C61" i="18"/>
  <c r="H60" i="18"/>
  <c r="G60" i="18"/>
  <c r="F60" i="18"/>
  <c r="E60" i="18"/>
  <c r="D60" i="18"/>
  <c r="C60" i="18"/>
  <c r="H59" i="18"/>
  <c r="G59" i="18"/>
  <c r="F59" i="18"/>
  <c r="E59" i="18"/>
  <c r="D59" i="18"/>
  <c r="C59" i="18"/>
  <c r="H58" i="18"/>
  <c r="G58" i="18"/>
  <c r="F58" i="18"/>
  <c r="E58" i="18"/>
  <c r="D58" i="18"/>
  <c r="C58" i="18"/>
  <c r="H56" i="18"/>
  <c r="G56" i="18"/>
  <c r="F56" i="18"/>
  <c r="E56" i="18"/>
  <c r="D56" i="18"/>
  <c r="C56" i="18"/>
  <c r="H55" i="18"/>
  <c r="G55" i="18"/>
  <c r="F55" i="18"/>
  <c r="E55" i="18"/>
  <c r="D55" i="18"/>
  <c r="C55" i="18"/>
  <c r="H54" i="18"/>
  <c r="G54" i="18"/>
  <c r="F54" i="18"/>
  <c r="E54" i="18"/>
  <c r="D54" i="18"/>
  <c r="C54" i="18"/>
  <c r="H53" i="18"/>
  <c r="G53" i="18"/>
  <c r="F53" i="18"/>
  <c r="E53" i="18"/>
  <c r="D53" i="18"/>
  <c r="C53" i="18"/>
  <c r="H52" i="18"/>
  <c r="G52" i="18"/>
  <c r="F52" i="18"/>
  <c r="E52" i="18"/>
  <c r="D52" i="18"/>
  <c r="C52" i="18"/>
  <c r="H51" i="18"/>
  <c r="G51" i="18"/>
  <c r="F51" i="18"/>
  <c r="E51" i="18"/>
  <c r="D51" i="18"/>
  <c r="C51" i="18"/>
  <c r="H50" i="18"/>
  <c r="G50" i="18"/>
  <c r="F50" i="18"/>
  <c r="E50" i="18"/>
  <c r="D50" i="18"/>
  <c r="C50" i="18"/>
  <c r="H49" i="18"/>
  <c r="G49" i="18"/>
  <c r="F49" i="18"/>
  <c r="E49" i="18"/>
  <c r="D49" i="18"/>
  <c r="C49" i="18"/>
  <c r="H48" i="18"/>
  <c r="G48" i="18"/>
  <c r="F48" i="18"/>
  <c r="E48" i="18"/>
  <c r="D48" i="18"/>
  <c r="C48" i="18"/>
  <c r="H47" i="18"/>
  <c r="G47" i="18"/>
  <c r="F47" i="18"/>
  <c r="E47" i="18"/>
  <c r="D47" i="18"/>
  <c r="C47" i="18"/>
  <c r="H46" i="18"/>
  <c r="G46" i="18"/>
  <c r="F46" i="18"/>
  <c r="E46" i="18"/>
  <c r="D46" i="18"/>
  <c r="C46" i="18"/>
  <c r="H45" i="18"/>
  <c r="G45" i="18"/>
  <c r="F45" i="18"/>
  <c r="E45" i="18"/>
  <c r="D45" i="18"/>
  <c r="C45" i="18"/>
  <c r="H44" i="18"/>
  <c r="G44" i="18"/>
  <c r="F44" i="18"/>
  <c r="E44" i="18"/>
  <c r="D44" i="18"/>
  <c r="C44" i="18"/>
  <c r="H42" i="18"/>
  <c r="G42" i="18"/>
  <c r="F42" i="18"/>
  <c r="E42" i="18"/>
  <c r="D42" i="18"/>
  <c r="C42" i="18"/>
  <c r="H41" i="18"/>
  <c r="G41" i="18"/>
  <c r="F41" i="18"/>
  <c r="E41" i="18"/>
  <c r="D41" i="18"/>
  <c r="C41" i="18"/>
  <c r="H40" i="18"/>
  <c r="G40" i="18"/>
  <c r="F40" i="18"/>
  <c r="E40" i="18"/>
  <c r="D40" i="18"/>
  <c r="C40" i="18"/>
  <c r="H39" i="18"/>
  <c r="G39" i="18"/>
  <c r="F39" i="18"/>
  <c r="E39" i="18"/>
  <c r="D39" i="18"/>
  <c r="C39" i="18"/>
  <c r="H38" i="18"/>
  <c r="G38" i="18"/>
  <c r="F38" i="18"/>
  <c r="E38" i="18"/>
  <c r="D38" i="18"/>
  <c r="C38" i="18"/>
  <c r="H37" i="18"/>
  <c r="G37" i="18"/>
  <c r="F37" i="18"/>
  <c r="E37" i="18"/>
  <c r="D37" i="18"/>
  <c r="C37" i="18"/>
  <c r="H36" i="18"/>
  <c r="G36" i="18"/>
  <c r="F36" i="18"/>
  <c r="E36" i="18"/>
  <c r="D36" i="18"/>
  <c r="C36" i="18"/>
  <c r="H35" i="18"/>
  <c r="G35" i="18"/>
  <c r="F35" i="18"/>
  <c r="E35" i="18"/>
  <c r="D35" i="18"/>
  <c r="C35" i="18"/>
  <c r="H34" i="18"/>
  <c r="G34" i="18"/>
  <c r="F34" i="18"/>
  <c r="E34" i="18"/>
  <c r="D34" i="18"/>
  <c r="C34" i="18"/>
  <c r="H33" i="18"/>
  <c r="G33" i="18"/>
  <c r="F33" i="18"/>
  <c r="E33" i="18"/>
  <c r="D33" i="18"/>
  <c r="C33" i="18"/>
  <c r="H32" i="18"/>
  <c r="G32" i="18"/>
  <c r="F32" i="18"/>
  <c r="E32" i="18"/>
  <c r="D32" i="18"/>
  <c r="C32" i="18"/>
  <c r="H31" i="18"/>
  <c r="G31" i="18"/>
  <c r="F31" i="18"/>
  <c r="E31" i="18"/>
  <c r="D31" i="18"/>
  <c r="C31" i="18"/>
  <c r="H30" i="18"/>
  <c r="G30" i="18"/>
  <c r="F30" i="18"/>
  <c r="E30" i="18"/>
  <c r="D30" i="18"/>
  <c r="C30" i="18"/>
  <c r="H29" i="18"/>
  <c r="G29" i="18"/>
  <c r="F29" i="18"/>
  <c r="E29" i="18"/>
  <c r="D29" i="18"/>
  <c r="C29" i="18"/>
  <c r="H27" i="18"/>
  <c r="G27" i="18"/>
  <c r="F27" i="18"/>
  <c r="E27" i="18"/>
  <c r="D27" i="18"/>
  <c r="C27" i="18"/>
  <c r="H26" i="18"/>
  <c r="G26" i="18"/>
  <c r="F26" i="18"/>
  <c r="E26" i="18"/>
  <c r="D26" i="18"/>
  <c r="C26" i="18"/>
  <c r="H25" i="18"/>
  <c r="G25" i="18"/>
  <c r="F25" i="18"/>
  <c r="E25" i="18"/>
  <c r="D25" i="18"/>
  <c r="C25" i="18"/>
  <c r="H24" i="18"/>
  <c r="G24" i="18"/>
  <c r="F24" i="18"/>
  <c r="E24" i="18"/>
  <c r="D24" i="18"/>
  <c r="C24" i="18"/>
  <c r="H23" i="18"/>
  <c r="G23" i="18"/>
  <c r="F23" i="18"/>
  <c r="E23" i="18"/>
  <c r="D23" i="18"/>
  <c r="C23" i="18"/>
  <c r="H22" i="18"/>
  <c r="G22" i="18"/>
  <c r="F22" i="18"/>
  <c r="E22" i="18"/>
  <c r="D22" i="18"/>
  <c r="C22" i="18"/>
  <c r="H21" i="18"/>
  <c r="G21" i="18"/>
  <c r="F21" i="18"/>
  <c r="E21" i="18"/>
  <c r="D21" i="18"/>
  <c r="C21" i="18"/>
  <c r="H20" i="18"/>
  <c r="G20" i="18"/>
  <c r="F20" i="18"/>
  <c r="E20" i="18"/>
  <c r="D20" i="18"/>
  <c r="C20" i="18"/>
  <c r="H19" i="18"/>
  <c r="G19" i="18"/>
  <c r="F19" i="18"/>
  <c r="E19" i="18"/>
  <c r="D19" i="18"/>
  <c r="C19" i="18"/>
  <c r="H18" i="18"/>
  <c r="G18" i="18"/>
  <c r="F18" i="18"/>
  <c r="E18" i="18"/>
  <c r="D18" i="18"/>
  <c r="C18" i="18"/>
  <c r="H17" i="18"/>
  <c r="G17" i="18"/>
  <c r="F17" i="18"/>
  <c r="E17" i="18"/>
  <c r="D17" i="18"/>
  <c r="C17" i="18"/>
  <c r="H16" i="18"/>
  <c r="G16" i="18"/>
  <c r="F16" i="18"/>
  <c r="E16" i="18"/>
  <c r="D16" i="18"/>
  <c r="C16" i="18"/>
  <c r="H15" i="18"/>
  <c r="G15" i="18"/>
  <c r="F15" i="18"/>
  <c r="E15" i="18"/>
  <c r="D15" i="18"/>
  <c r="C15" i="18"/>
  <c r="H14" i="18"/>
  <c r="G14" i="18"/>
  <c r="F14" i="18"/>
  <c r="E14" i="18"/>
  <c r="D14" i="18"/>
  <c r="C14" i="18"/>
  <c r="H13" i="18"/>
  <c r="G13" i="18"/>
  <c r="F13" i="18"/>
  <c r="E13" i="18"/>
  <c r="D13" i="18"/>
  <c r="C13" i="18"/>
  <c r="H12" i="18"/>
  <c r="G12" i="18"/>
  <c r="F12" i="18"/>
  <c r="E12" i="18"/>
  <c r="D12" i="18"/>
  <c r="C12" i="18"/>
  <c r="H11" i="18"/>
  <c r="G11" i="18"/>
  <c r="F11" i="18"/>
  <c r="E11" i="18"/>
  <c r="D11" i="18"/>
  <c r="C11" i="18"/>
  <c r="H9" i="18"/>
  <c r="G9" i="18"/>
  <c r="F9" i="18"/>
  <c r="E9" i="18"/>
  <c r="D9" i="18"/>
  <c r="C9" i="18"/>
  <c r="BA27" i="31"/>
  <c r="BA28" i="31"/>
  <c r="BA29" i="31"/>
  <c r="BA30" i="31"/>
  <c r="BA31" i="31"/>
  <c r="BA32" i="31"/>
  <c r="BA33" i="31"/>
  <c r="BA34" i="31"/>
  <c r="BA35" i="31"/>
  <c r="BA36" i="31"/>
  <c r="BA37" i="31"/>
  <c r="BA38" i="31"/>
  <c r="BA39" i="31"/>
  <c r="Z54" i="29" l="1"/>
  <c r="AA54" i="29"/>
  <c r="Z40" i="29"/>
  <c r="AA40" i="29"/>
  <c r="Z25" i="29"/>
  <c r="AA25" i="29"/>
  <c r="Z7" i="29"/>
  <c r="AA7" i="29"/>
  <c r="AA6" i="29" s="1"/>
  <c r="Z54" i="10"/>
  <c r="AA54" i="10"/>
  <c r="AA40" i="10"/>
  <c r="Z40" i="10"/>
  <c r="Z25" i="10"/>
  <c r="AA25" i="10"/>
  <c r="AA6" i="10"/>
  <c r="Z7" i="10"/>
  <c r="AA7" i="10"/>
  <c r="Z6" i="4"/>
  <c r="AA6" i="4"/>
  <c r="Z7" i="4"/>
  <c r="AA7" i="4"/>
  <c r="Z8" i="4"/>
  <c r="AA8" i="4"/>
  <c r="Z9" i="4"/>
  <c r="AZ9" i="11" s="1"/>
  <c r="AA9" i="4"/>
  <c r="BA9" i="11" s="1"/>
  <c r="Z10" i="4"/>
  <c r="AA10" i="4"/>
  <c r="Z11" i="4"/>
  <c r="AA11" i="4"/>
  <c r="Z12" i="4"/>
  <c r="AA12" i="4"/>
  <c r="Z13" i="4"/>
  <c r="AA13" i="4"/>
  <c r="BA13" i="11" s="1"/>
  <c r="Z14" i="4"/>
  <c r="AA14" i="4"/>
  <c r="Z15" i="4"/>
  <c r="AZ15" i="11" s="1"/>
  <c r="AA15" i="4"/>
  <c r="Z16" i="4"/>
  <c r="AZ16" i="11" s="1"/>
  <c r="AA16" i="4"/>
  <c r="BA16" i="11" s="1"/>
  <c r="Z17" i="4"/>
  <c r="AZ17" i="11" s="1"/>
  <c r="AA17" i="4"/>
  <c r="BA17" i="11" s="1"/>
  <c r="Z18" i="4"/>
  <c r="AA18" i="4"/>
  <c r="Z19" i="4"/>
  <c r="AA19" i="4"/>
  <c r="Z20" i="4"/>
  <c r="AA20" i="4"/>
  <c r="Z21" i="4"/>
  <c r="AA21" i="4"/>
  <c r="BA21" i="11" s="1"/>
  <c r="Z22" i="4"/>
  <c r="AA22" i="4"/>
  <c r="Z23" i="4"/>
  <c r="AZ23" i="11" s="1"/>
  <c r="AA23" i="4"/>
  <c r="Z24" i="4"/>
  <c r="AZ24" i="11" s="1"/>
  <c r="AA24" i="4"/>
  <c r="BA24" i="11" s="1"/>
  <c r="Z25" i="4"/>
  <c r="AA25" i="4"/>
  <c r="Z26" i="4"/>
  <c r="AA26" i="4"/>
  <c r="Z27" i="4"/>
  <c r="AA27" i="4"/>
  <c r="Z28" i="4"/>
  <c r="AZ28" i="11" s="1"/>
  <c r="AA28" i="4"/>
  <c r="BA28" i="11" s="1"/>
  <c r="Z29" i="4"/>
  <c r="AZ29" i="11" s="1"/>
  <c r="AA29" i="4"/>
  <c r="Z30" i="4"/>
  <c r="AA30" i="4"/>
  <c r="Z31" i="4"/>
  <c r="AA31" i="4"/>
  <c r="Z32" i="4"/>
  <c r="AA32" i="4"/>
  <c r="BA32" i="11" s="1"/>
  <c r="Z33" i="4"/>
  <c r="AZ33" i="11" s="1"/>
  <c r="AA33" i="4"/>
  <c r="BA33" i="11" s="1"/>
  <c r="Z34" i="4"/>
  <c r="AA34" i="4"/>
  <c r="Z35" i="4"/>
  <c r="AA35" i="4"/>
  <c r="Z36" i="4"/>
  <c r="AZ36" i="11" s="1"/>
  <c r="AA36" i="4"/>
  <c r="BA36" i="11" s="1"/>
  <c r="Z37" i="4"/>
  <c r="AZ37" i="11" s="1"/>
  <c r="AA37" i="4"/>
  <c r="Z38" i="4"/>
  <c r="AA38" i="4"/>
  <c r="Z39" i="4"/>
  <c r="AA39" i="4"/>
  <c r="Z40" i="4"/>
  <c r="AA40" i="4"/>
  <c r="Z41" i="4"/>
  <c r="AA41" i="4"/>
  <c r="Z42" i="4"/>
  <c r="AA42" i="4"/>
  <c r="Z43" i="4"/>
  <c r="AZ43" i="11" s="1"/>
  <c r="AA43" i="4"/>
  <c r="Z44" i="4"/>
  <c r="AZ44" i="11" s="1"/>
  <c r="AA44" i="4"/>
  <c r="BA44" i="11" s="1"/>
  <c r="Z45" i="4"/>
  <c r="AZ45" i="11" s="1"/>
  <c r="AA45" i="4"/>
  <c r="BA45" i="11" s="1"/>
  <c r="Z46" i="4"/>
  <c r="AA46" i="4"/>
  <c r="Z47" i="4"/>
  <c r="AA47" i="4"/>
  <c r="Z48" i="4"/>
  <c r="AA48" i="4"/>
  <c r="Z49" i="4"/>
  <c r="AA49" i="4"/>
  <c r="BA49" i="11" s="1"/>
  <c r="Z50" i="4"/>
  <c r="AA50" i="4"/>
  <c r="Z51" i="4"/>
  <c r="AZ51" i="11" s="1"/>
  <c r="AA51" i="4"/>
  <c r="Z52" i="4"/>
  <c r="AZ52" i="11" s="1"/>
  <c r="AA52" i="4"/>
  <c r="BA52" i="11" s="1"/>
  <c r="Z53" i="4"/>
  <c r="AZ53" i="11" s="1"/>
  <c r="AA53" i="4"/>
  <c r="BA53" i="11" s="1"/>
  <c r="Z54" i="4"/>
  <c r="AA54" i="4"/>
  <c r="Z55" i="4"/>
  <c r="AA55" i="4"/>
  <c r="Z56" i="4"/>
  <c r="AZ56" i="11" s="1"/>
  <c r="AA56" i="4"/>
  <c r="BA56" i="11" s="1"/>
  <c r="Z57" i="4"/>
  <c r="AZ57" i="11" s="1"/>
  <c r="AA57" i="4"/>
  <c r="Z58" i="4"/>
  <c r="AA58" i="4"/>
  <c r="Z59" i="4"/>
  <c r="AA59" i="4"/>
  <c r="Z60" i="4"/>
  <c r="AA60" i="4"/>
  <c r="BA60" i="11" s="1"/>
  <c r="Z61" i="4"/>
  <c r="AZ61" i="11" s="1"/>
  <c r="AA61" i="4"/>
  <c r="BA61" i="11" s="1"/>
  <c r="Z62" i="4"/>
  <c r="AA62" i="4"/>
  <c r="Z63" i="4"/>
  <c r="AA63" i="4"/>
  <c r="Z64" i="4"/>
  <c r="AZ64" i="11" s="1"/>
  <c r="AA64" i="4"/>
  <c r="BA64" i="11" s="1"/>
  <c r="Z9" i="23"/>
  <c r="AA9" i="23"/>
  <c r="BA9" i="31" s="1"/>
  <c r="Z10" i="23"/>
  <c r="AA10" i="23"/>
  <c r="Z11" i="23"/>
  <c r="AZ11" i="31" s="1"/>
  <c r="AA11" i="23"/>
  <c r="BA11" i="31" s="1"/>
  <c r="Z12" i="23"/>
  <c r="AZ12" i="31" s="1"/>
  <c r="AA12" i="23"/>
  <c r="BA12" i="31" s="1"/>
  <c r="Z13" i="23"/>
  <c r="AA13" i="23"/>
  <c r="BA13" i="31" s="1"/>
  <c r="Z14" i="23"/>
  <c r="AA14" i="23"/>
  <c r="Z15" i="23"/>
  <c r="AZ15" i="31" s="1"/>
  <c r="AA15" i="23"/>
  <c r="BA15" i="31" s="1"/>
  <c r="Z16" i="23"/>
  <c r="AZ16" i="31" s="1"/>
  <c r="AA16" i="23"/>
  <c r="BA16" i="31" s="1"/>
  <c r="Z17" i="23"/>
  <c r="AA17" i="23"/>
  <c r="BA17" i="31" s="1"/>
  <c r="Z18" i="23"/>
  <c r="AA18" i="23"/>
  <c r="Z19" i="23"/>
  <c r="AZ19" i="31" s="1"/>
  <c r="AA19" i="23"/>
  <c r="BA19" i="31" s="1"/>
  <c r="Z20" i="23"/>
  <c r="AZ20" i="31" s="1"/>
  <c r="AA20" i="23"/>
  <c r="BA20" i="31" s="1"/>
  <c r="Z21" i="23"/>
  <c r="AA21" i="23"/>
  <c r="BA21" i="31" s="1"/>
  <c r="Z22" i="23"/>
  <c r="AA22" i="23"/>
  <c r="Z23" i="23"/>
  <c r="AZ23" i="31" s="1"/>
  <c r="AA23" i="23"/>
  <c r="BA23" i="31" s="1"/>
  <c r="Z24" i="23"/>
  <c r="AZ24" i="31" s="1"/>
  <c r="AA24" i="23"/>
  <c r="BA24" i="31" s="1"/>
  <c r="Z25" i="23"/>
  <c r="AA25" i="23"/>
  <c r="Z27" i="23"/>
  <c r="AA27" i="23"/>
  <c r="Z28" i="23"/>
  <c r="AA28" i="23"/>
  <c r="Z29" i="23"/>
  <c r="AZ29" i="31" s="1"/>
  <c r="AA29" i="23"/>
  <c r="Z30" i="23"/>
  <c r="AA30" i="23"/>
  <c r="Z31" i="23"/>
  <c r="AA31" i="23"/>
  <c r="Z32" i="23"/>
  <c r="AA32" i="23"/>
  <c r="Z33" i="23"/>
  <c r="AZ33" i="31" s="1"/>
  <c r="AA33" i="23"/>
  <c r="Z34" i="23"/>
  <c r="AA34" i="23"/>
  <c r="Z35" i="23"/>
  <c r="AA35" i="23"/>
  <c r="Z36" i="23"/>
  <c r="AA36" i="23"/>
  <c r="Z37" i="23"/>
  <c r="AZ37" i="31" s="1"/>
  <c r="AA37" i="23"/>
  <c r="Z38" i="23"/>
  <c r="AA38" i="23"/>
  <c r="Z39" i="23"/>
  <c r="AA39" i="23"/>
  <c r="Z40" i="23"/>
  <c r="AA40" i="23"/>
  <c r="Z42" i="23"/>
  <c r="AZ42" i="31" s="1"/>
  <c r="AA42" i="23"/>
  <c r="BA42" i="31" s="1"/>
  <c r="Z43" i="23"/>
  <c r="AA43" i="23"/>
  <c r="Z44" i="23"/>
  <c r="AA44" i="23"/>
  <c r="Z45" i="23"/>
  <c r="AA45" i="23"/>
  <c r="BA45" i="31" s="1"/>
  <c r="Z46" i="23"/>
  <c r="AZ46" i="31" s="1"/>
  <c r="AA46" i="23"/>
  <c r="BA46" i="31" s="1"/>
  <c r="Z47" i="23"/>
  <c r="AA47" i="23"/>
  <c r="Z48" i="23"/>
  <c r="AA48" i="23"/>
  <c r="Z49" i="23"/>
  <c r="AA49" i="23"/>
  <c r="BA49" i="31" s="1"/>
  <c r="Z50" i="23"/>
  <c r="AZ50" i="31" s="1"/>
  <c r="AA50" i="23"/>
  <c r="BA50" i="31" s="1"/>
  <c r="Z51" i="23"/>
  <c r="AA51" i="23"/>
  <c r="Z52" i="23"/>
  <c r="AA52" i="23"/>
  <c r="Z53" i="23"/>
  <c r="AA53" i="23"/>
  <c r="BA53" i="31" s="1"/>
  <c r="Z54" i="23"/>
  <c r="AA54" i="23"/>
  <c r="Z56" i="23"/>
  <c r="AA56" i="23"/>
  <c r="BA56" i="31" s="1"/>
  <c r="Z57" i="23"/>
  <c r="AA57" i="23"/>
  <c r="Z58" i="23"/>
  <c r="AA58" i="23"/>
  <c r="Z59" i="23"/>
  <c r="AA59" i="23"/>
  <c r="BA59" i="31" s="1"/>
  <c r="Z60" i="23"/>
  <c r="AA60" i="23"/>
  <c r="BA60" i="31" s="1"/>
  <c r="Z61" i="23"/>
  <c r="AA61" i="23"/>
  <c r="Z62" i="23"/>
  <c r="AA62" i="23"/>
  <c r="Z63" i="23"/>
  <c r="AA63" i="23"/>
  <c r="BA63" i="31" s="1"/>
  <c r="Z64" i="23"/>
  <c r="AA64" i="23"/>
  <c r="BA64" i="31" s="1"/>
  <c r="Z65" i="23"/>
  <c r="AA65" i="23"/>
  <c r="Z6" i="23"/>
  <c r="AA6" i="23"/>
  <c r="Z7" i="23"/>
  <c r="AA7" i="23"/>
  <c r="Z54" i="9"/>
  <c r="AA54" i="9"/>
  <c r="BA54" i="11" s="1"/>
  <c r="AA40" i="9"/>
  <c r="Z40" i="9"/>
  <c r="Z25" i="9"/>
  <c r="AA25" i="9"/>
  <c r="AA6" i="9"/>
  <c r="Z7" i="9"/>
  <c r="AA7" i="9"/>
  <c r="Z54" i="28"/>
  <c r="AA54" i="28"/>
  <c r="Z40" i="28"/>
  <c r="AA40" i="28"/>
  <c r="Z25" i="28"/>
  <c r="AA25" i="28"/>
  <c r="Z7" i="28"/>
  <c r="AA7" i="28"/>
  <c r="Z54" i="7"/>
  <c r="AA54" i="7"/>
  <c r="Z40" i="7"/>
  <c r="AA40" i="7"/>
  <c r="Z25" i="7"/>
  <c r="AA25" i="7"/>
  <c r="Z7" i="7"/>
  <c r="AA7" i="7"/>
  <c r="Z54" i="26"/>
  <c r="AA54" i="26"/>
  <c r="Z40" i="26"/>
  <c r="AA40" i="26"/>
  <c r="Z25" i="26"/>
  <c r="AA25" i="26"/>
  <c r="Z7" i="26"/>
  <c r="AA7" i="26"/>
  <c r="Z54" i="6"/>
  <c r="AA54" i="6"/>
  <c r="Z40" i="6"/>
  <c r="AA40" i="6"/>
  <c r="Z25" i="6"/>
  <c r="AA25" i="6"/>
  <c r="Z7" i="6"/>
  <c r="AA7" i="6"/>
  <c r="Z54" i="25"/>
  <c r="AA54" i="25"/>
  <c r="Z40" i="25"/>
  <c r="AA40" i="25"/>
  <c r="Z25" i="25"/>
  <c r="AA25" i="25"/>
  <c r="Z7" i="25"/>
  <c r="AA7" i="25"/>
  <c r="Z54" i="5"/>
  <c r="AA54" i="5"/>
  <c r="Z40" i="5"/>
  <c r="AA40" i="5"/>
  <c r="Z25" i="5"/>
  <c r="AA25" i="5"/>
  <c r="Z7" i="5"/>
  <c r="AA7" i="5"/>
  <c r="Z54" i="24"/>
  <c r="AA54" i="24"/>
  <c r="Z40" i="24"/>
  <c r="AA40" i="24"/>
  <c r="Z25" i="24"/>
  <c r="AA25" i="24"/>
  <c r="Z7" i="24"/>
  <c r="AA7" i="24"/>
  <c r="Z54" i="3"/>
  <c r="AA54" i="3"/>
  <c r="Z40" i="3"/>
  <c r="AA40" i="3"/>
  <c r="Z25" i="3"/>
  <c r="AA25" i="3"/>
  <c r="Z7" i="3"/>
  <c r="AA7" i="3"/>
  <c r="Z54" i="22"/>
  <c r="AA54" i="22"/>
  <c r="Z40" i="22"/>
  <c r="AA40" i="22"/>
  <c r="Z25" i="22"/>
  <c r="AA25" i="22"/>
  <c r="Z7" i="22"/>
  <c r="AA7" i="22"/>
  <c r="Z54" i="2"/>
  <c r="AZ54" i="11" s="1"/>
  <c r="AA54" i="2"/>
  <c r="Z40" i="2"/>
  <c r="AA40" i="2"/>
  <c r="Z25" i="2"/>
  <c r="AA25" i="2"/>
  <c r="Z7" i="2"/>
  <c r="AA7" i="2"/>
  <c r="Z54" i="21"/>
  <c r="AA54" i="21"/>
  <c r="Z40" i="21"/>
  <c r="AA40" i="21"/>
  <c r="Z25" i="21"/>
  <c r="AA25" i="21"/>
  <c r="Z7" i="21"/>
  <c r="AA7" i="21"/>
  <c r="Z54" i="1"/>
  <c r="AA54" i="1"/>
  <c r="Z40" i="1"/>
  <c r="AA40" i="1"/>
  <c r="Z25" i="1"/>
  <c r="AA25" i="1"/>
  <c r="Z7" i="1"/>
  <c r="AA7" i="1"/>
  <c r="Z54" i="20"/>
  <c r="AA54" i="20"/>
  <c r="Z40" i="20"/>
  <c r="AA40" i="20"/>
  <c r="Z25" i="20"/>
  <c r="AA25" i="20"/>
  <c r="AA7" i="20"/>
  <c r="Z7" i="20"/>
  <c r="BA65" i="11"/>
  <c r="BA63" i="11"/>
  <c r="BA62" i="11"/>
  <c r="BA59" i="11"/>
  <c r="BA58" i="11"/>
  <c r="BA57" i="11"/>
  <c r="BA51" i="11"/>
  <c r="BA50" i="11"/>
  <c r="BA48" i="11"/>
  <c r="BA47" i="11"/>
  <c r="BA46" i="11"/>
  <c r="BA43" i="11"/>
  <c r="BA42" i="11"/>
  <c r="BA39" i="11"/>
  <c r="BA38" i="11"/>
  <c r="BA37" i="11"/>
  <c r="BA35" i="11"/>
  <c r="BA34" i="11"/>
  <c r="BA31" i="11"/>
  <c r="BA30" i="11"/>
  <c r="BA29" i="11"/>
  <c r="BA27" i="11"/>
  <c r="BA23" i="11"/>
  <c r="BA22" i="11"/>
  <c r="BA20" i="11"/>
  <c r="BA19" i="11"/>
  <c r="BA18" i="11"/>
  <c r="BA15" i="11"/>
  <c r="BA14" i="11"/>
  <c r="BA12" i="11"/>
  <c r="BA11" i="11"/>
  <c r="BA10" i="11"/>
  <c r="Z54" i="11"/>
  <c r="AA54" i="11"/>
  <c r="Z40" i="11"/>
  <c r="AA40" i="11"/>
  <c r="Z25" i="11"/>
  <c r="AA25" i="11"/>
  <c r="Z7" i="11"/>
  <c r="AA7" i="11"/>
  <c r="AZ10" i="11"/>
  <c r="AZ11" i="11"/>
  <c r="AZ12" i="11"/>
  <c r="AZ13" i="11"/>
  <c r="AZ14" i="11"/>
  <c r="AZ18" i="11"/>
  <c r="AZ19" i="11"/>
  <c r="AZ20" i="11"/>
  <c r="AZ21" i="11"/>
  <c r="AZ22" i="11"/>
  <c r="AZ27" i="11"/>
  <c r="AZ30" i="11"/>
  <c r="AZ31" i="11"/>
  <c r="AZ32" i="11"/>
  <c r="AZ34" i="11"/>
  <c r="AZ35" i="11"/>
  <c r="AZ38" i="11"/>
  <c r="AZ39" i="11"/>
  <c r="AZ42" i="11"/>
  <c r="AZ46" i="11"/>
  <c r="AZ47" i="11"/>
  <c r="AZ48" i="11"/>
  <c r="AZ49" i="11"/>
  <c r="AZ50" i="11"/>
  <c r="AZ58" i="11"/>
  <c r="AZ59" i="11"/>
  <c r="AZ60" i="11"/>
  <c r="AZ62" i="11"/>
  <c r="AZ63" i="11"/>
  <c r="AZ65" i="11"/>
  <c r="AZ9" i="31"/>
  <c r="AZ10" i="31"/>
  <c r="BA10" i="31"/>
  <c r="AZ13" i="31"/>
  <c r="AZ14" i="31"/>
  <c r="BA14" i="31"/>
  <c r="AZ17" i="31"/>
  <c r="AZ18" i="31"/>
  <c r="BA18" i="31"/>
  <c r="AZ21" i="31"/>
  <c r="AZ22" i="31"/>
  <c r="BA22" i="31"/>
  <c r="AZ27" i="31"/>
  <c r="AZ28" i="31"/>
  <c r="AZ30" i="31"/>
  <c r="AZ31" i="31"/>
  <c r="AZ32" i="31"/>
  <c r="AZ34" i="31"/>
  <c r="AZ35" i="31"/>
  <c r="AZ36" i="31"/>
  <c r="AZ38" i="31"/>
  <c r="AZ39" i="31"/>
  <c r="AZ43" i="31"/>
  <c r="BA43" i="31"/>
  <c r="AZ44" i="31"/>
  <c r="BA44" i="31"/>
  <c r="AZ45" i="31"/>
  <c r="AZ47" i="31"/>
  <c r="BA47" i="31"/>
  <c r="AZ48" i="31"/>
  <c r="BA48" i="31"/>
  <c r="AZ49" i="31"/>
  <c r="AZ51" i="31"/>
  <c r="BA51" i="31"/>
  <c r="AZ52" i="31"/>
  <c r="BA52" i="31"/>
  <c r="AZ53" i="31"/>
  <c r="AZ56" i="31"/>
  <c r="AZ57" i="31"/>
  <c r="BA57" i="31"/>
  <c r="AZ58" i="31"/>
  <c r="BA58" i="31"/>
  <c r="AZ59" i="31"/>
  <c r="AZ60" i="31"/>
  <c r="AZ61" i="31"/>
  <c r="BA61" i="31"/>
  <c r="AZ62" i="31"/>
  <c r="BA62" i="31"/>
  <c r="AZ63" i="31"/>
  <c r="AZ64" i="31"/>
  <c r="AZ65" i="31"/>
  <c r="BA65" i="31"/>
  <c r="Z6" i="29" l="1"/>
  <c r="Z6" i="10"/>
  <c r="Z6" i="9"/>
  <c r="AA6" i="28"/>
  <c r="Z6" i="28"/>
  <c r="Z6" i="7"/>
  <c r="AA6" i="7"/>
  <c r="AA6" i="26"/>
  <c r="Z6" i="26"/>
  <c r="AA6" i="6"/>
  <c r="Z6" i="6"/>
  <c r="AA6" i="25"/>
  <c r="Z6" i="25"/>
  <c r="AA6" i="5"/>
  <c r="Z6" i="5"/>
  <c r="AA6" i="24"/>
  <c r="Z6" i="24"/>
  <c r="AA6" i="3"/>
  <c r="Z6" i="3"/>
  <c r="AA6" i="22"/>
  <c r="Z6" i="22"/>
  <c r="BA25" i="11"/>
  <c r="BA7" i="11"/>
  <c r="AA6" i="2"/>
  <c r="Z6" i="2"/>
  <c r="AA6" i="21"/>
  <c r="Z6" i="21"/>
  <c r="Z6" i="1"/>
  <c r="AZ40" i="11"/>
  <c r="AZ25" i="11"/>
  <c r="AZ7" i="11"/>
  <c r="AA6" i="1"/>
  <c r="BA6" i="11" s="1"/>
  <c r="BA40" i="11"/>
  <c r="AA6" i="20"/>
  <c r="Z6" i="20"/>
  <c r="AA6" i="11"/>
  <c r="Z6" i="11"/>
  <c r="AZ6" i="11" l="1"/>
  <c r="Z54" i="31" l="1"/>
  <c r="AA54" i="31"/>
  <c r="Z40" i="31"/>
  <c r="AA40" i="31"/>
  <c r="Z25" i="31"/>
  <c r="Z7" i="31"/>
  <c r="AA7" i="31"/>
  <c r="Z6" i="31" l="1"/>
  <c r="AA6" i="31"/>
  <c r="C8" i="18" l="1"/>
  <c r="H8" i="18"/>
  <c r="F8" i="18"/>
  <c r="E8" i="18"/>
  <c r="D8" i="18"/>
  <c r="G8" i="18"/>
  <c r="AX5" i="11"/>
  <c r="AY5" i="11"/>
  <c r="AY9" i="11"/>
  <c r="AY17" i="11"/>
  <c r="AY30" i="11"/>
  <c r="AY38" i="11"/>
  <c r="AY43" i="11"/>
  <c r="AY51" i="11"/>
  <c r="AX65" i="11"/>
  <c r="AY65" i="11"/>
  <c r="AY11" i="31"/>
  <c r="AY15" i="31"/>
  <c r="AY19" i="31"/>
  <c r="AY29" i="31"/>
  <c r="AY31" i="31"/>
  <c r="AY39" i="31"/>
  <c r="AY59" i="31"/>
  <c r="AY61" i="31"/>
  <c r="X7" i="11"/>
  <c r="Y7" i="11"/>
  <c r="X25" i="11"/>
  <c r="Y25" i="11"/>
  <c r="X40" i="11"/>
  <c r="Y40" i="11"/>
  <c r="X54" i="11"/>
  <c r="Y54" i="11"/>
  <c r="Y8" i="23"/>
  <c r="Y9" i="23"/>
  <c r="Y10" i="23"/>
  <c r="AY10" i="31" s="1"/>
  <c r="Y11" i="23"/>
  <c r="Y12" i="23"/>
  <c r="AY12" i="31" s="1"/>
  <c r="Y13" i="23"/>
  <c r="Y14" i="23"/>
  <c r="AY14" i="31" s="1"/>
  <c r="Y15" i="23"/>
  <c r="Y16" i="23"/>
  <c r="Y17" i="23"/>
  <c r="Y18" i="23"/>
  <c r="AY18" i="31" s="1"/>
  <c r="Y19" i="23"/>
  <c r="Y20" i="23"/>
  <c r="AY20" i="31" s="1"/>
  <c r="Y21" i="23"/>
  <c r="Y22" i="23"/>
  <c r="AY22" i="31" s="1"/>
  <c r="Y23" i="23"/>
  <c r="AY23" i="31" s="1"/>
  <c r="Y24" i="23"/>
  <c r="Y27" i="23"/>
  <c r="Y28" i="23"/>
  <c r="AY28" i="31" s="1"/>
  <c r="Y29" i="23"/>
  <c r="Y30" i="23"/>
  <c r="AY30" i="31" s="1"/>
  <c r="Y31" i="23"/>
  <c r="Y32" i="23"/>
  <c r="Y33" i="23"/>
  <c r="Y34" i="23"/>
  <c r="Y35" i="23"/>
  <c r="AY35" i="31" s="1"/>
  <c r="Y36" i="23"/>
  <c r="AY36" i="31" s="1"/>
  <c r="Y37" i="23"/>
  <c r="Y38" i="23"/>
  <c r="AY38" i="31" s="1"/>
  <c r="Y39" i="23"/>
  <c r="Y42" i="23"/>
  <c r="Y43" i="23"/>
  <c r="AY43" i="31" s="1"/>
  <c r="Y44" i="23"/>
  <c r="Y45" i="23"/>
  <c r="Y46" i="23"/>
  <c r="AY46" i="31" s="1"/>
  <c r="Y47" i="23"/>
  <c r="AY47" i="31" s="1"/>
  <c r="Y48" i="23"/>
  <c r="AY48" i="31" s="1"/>
  <c r="Y49" i="23"/>
  <c r="Y50" i="23"/>
  <c r="AY50" i="31" s="1"/>
  <c r="Y51" i="23"/>
  <c r="Y52" i="23"/>
  <c r="Y53" i="23"/>
  <c r="Y56" i="23"/>
  <c r="Y57" i="23"/>
  <c r="Y58" i="23"/>
  <c r="AY58" i="31" s="1"/>
  <c r="Y59" i="23"/>
  <c r="Y60" i="23"/>
  <c r="Y61" i="23"/>
  <c r="Y62" i="23"/>
  <c r="Y63" i="23"/>
  <c r="AY63" i="31" s="1"/>
  <c r="Y64" i="23"/>
  <c r="AY64" i="31" s="1"/>
  <c r="Y65" i="23"/>
  <c r="AY65" i="31" s="1"/>
  <c r="Y7" i="4"/>
  <c r="Y8" i="4"/>
  <c r="Y9" i="4"/>
  <c r="Y10" i="4"/>
  <c r="AY10" i="11" s="1"/>
  <c r="Y11" i="4"/>
  <c r="Y12" i="4"/>
  <c r="Y13" i="4"/>
  <c r="Y14" i="4"/>
  <c r="AY14" i="11" s="1"/>
  <c r="Y15" i="4"/>
  <c r="AY15" i="11" s="1"/>
  <c r="Y16" i="4"/>
  <c r="Y17" i="4"/>
  <c r="Y18" i="4"/>
  <c r="AY18" i="11" s="1"/>
  <c r="Y19" i="4"/>
  <c r="Y20" i="4"/>
  <c r="Y21" i="4"/>
  <c r="Y22" i="4"/>
  <c r="AY22" i="11" s="1"/>
  <c r="Y23" i="4"/>
  <c r="Y24" i="4"/>
  <c r="Y26" i="4"/>
  <c r="Y27" i="4"/>
  <c r="AY27" i="11" s="1"/>
  <c r="Y28" i="4"/>
  <c r="Y29" i="4"/>
  <c r="Y30" i="4"/>
  <c r="Y31" i="4"/>
  <c r="Y32" i="4"/>
  <c r="Y33" i="4"/>
  <c r="AY33" i="11" s="1"/>
  <c r="Y34" i="4"/>
  <c r="AY34" i="11" s="1"/>
  <c r="Y35" i="4"/>
  <c r="AY35" i="11" s="1"/>
  <c r="Y36" i="4"/>
  <c r="Y37" i="4"/>
  <c r="Y38" i="4"/>
  <c r="Y39" i="4"/>
  <c r="Y40" i="4"/>
  <c r="Y41" i="4"/>
  <c r="Y42" i="4"/>
  <c r="AY42" i="11" s="1"/>
  <c r="Y43" i="4"/>
  <c r="Y44" i="4"/>
  <c r="AY44" i="11" s="1"/>
  <c r="Y45" i="4"/>
  <c r="Y46" i="4"/>
  <c r="Y47" i="4"/>
  <c r="Y48" i="4"/>
  <c r="Y49" i="4"/>
  <c r="AY49" i="11" s="1"/>
  <c r="Y50" i="4"/>
  <c r="AY50" i="11" s="1"/>
  <c r="Y51" i="4"/>
  <c r="Y52" i="4"/>
  <c r="AY52" i="11" s="1"/>
  <c r="Y53" i="4"/>
  <c r="Y55" i="4"/>
  <c r="Y56" i="4"/>
  <c r="Y57" i="4"/>
  <c r="AY57" i="11" s="1"/>
  <c r="Y58" i="4"/>
  <c r="Y59" i="4"/>
  <c r="AY59" i="11" s="1"/>
  <c r="Y60" i="4"/>
  <c r="Y61" i="4"/>
  <c r="AY61" i="11" s="1"/>
  <c r="Y62" i="4"/>
  <c r="Y63" i="4"/>
  <c r="Y64" i="4"/>
  <c r="Y7" i="10"/>
  <c r="Y25" i="10"/>
  <c r="Y40" i="10"/>
  <c r="Y54" i="10"/>
  <c r="Y7" i="9"/>
  <c r="Y25" i="9"/>
  <c r="Y40" i="9"/>
  <c r="Y54" i="9"/>
  <c r="Y26" i="9"/>
  <c r="Y41" i="9"/>
  <c r="Y55" i="9"/>
  <c r="Y7" i="7"/>
  <c r="Y54" i="7"/>
  <c r="Y40" i="7"/>
  <c r="Y25" i="7"/>
  <c r="Y7" i="6"/>
  <c r="Y25" i="6"/>
  <c r="Y40" i="6"/>
  <c r="Y54" i="6"/>
  <c r="Y7" i="5"/>
  <c r="Y25" i="5"/>
  <c r="Y40" i="5"/>
  <c r="Y54" i="5"/>
  <c r="Y7" i="3"/>
  <c r="Y25" i="3"/>
  <c r="Y40" i="3"/>
  <c r="Y54" i="3"/>
  <c r="Y7" i="2"/>
  <c r="Y25" i="2"/>
  <c r="Y40" i="2"/>
  <c r="Y54" i="2"/>
  <c r="Y26" i="2"/>
  <c r="Y41" i="2"/>
  <c r="Y55" i="2"/>
  <c r="Y7" i="1"/>
  <c r="Y25" i="1"/>
  <c r="Y40" i="1"/>
  <c r="AY40" i="11" s="1"/>
  <c r="Y54" i="1"/>
  <c r="Y7" i="31"/>
  <c r="Y25" i="31"/>
  <c r="Y40" i="31"/>
  <c r="Y54" i="31"/>
  <c r="Y7" i="28"/>
  <c r="Y25" i="28"/>
  <c r="Y40" i="28"/>
  <c r="Y54" i="28"/>
  <c r="Y7" i="29"/>
  <c r="X25" i="29"/>
  <c r="Y25" i="29"/>
  <c r="Y40" i="29"/>
  <c r="Y54" i="29"/>
  <c r="Y26" i="26"/>
  <c r="Y41" i="26"/>
  <c r="Y55" i="26"/>
  <c r="Y7" i="25"/>
  <c r="Y25" i="25"/>
  <c r="Y40" i="25"/>
  <c r="Y54" i="25"/>
  <c r="Y7" i="24"/>
  <c r="Y25" i="24"/>
  <c r="Y40" i="24"/>
  <c r="Y54" i="24"/>
  <c r="Y25" i="22"/>
  <c r="X7" i="21"/>
  <c r="Y7" i="21"/>
  <c r="X25" i="21"/>
  <c r="Y25" i="21"/>
  <c r="X40" i="21"/>
  <c r="Y40" i="21"/>
  <c r="X54" i="21"/>
  <c r="Y54" i="21"/>
  <c r="Y7" i="20"/>
  <c r="Y25" i="20"/>
  <c r="Y40" i="20"/>
  <c r="Y54" i="20"/>
  <c r="Y25" i="4" l="1"/>
  <c r="AY7" i="11"/>
  <c r="AY49" i="31"/>
  <c r="AY62" i="11"/>
  <c r="AY11" i="11"/>
  <c r="AY53" i="31"/>
  <c r="AY27" i="31"/>
  <c r="AY45" i="31"/>
  <c r="AY21" i="31"/>
  <c r="AY58" i="11"/>
  <c r="AY32" i="11"/>
  <c r="AY53" i="11"/>
  <c r="X6" i="21"/>
  <c r="AY37" i="31"/>
  <c r="AY23" i="11"/>
  <c r="AY13" i="31"/>
  <c r="AY19" i="11"/>
  <c r="Y54" i="4"/>
  <c r="AY54" i="11"/>
  <c r="AY37" i="11"/>
  <c r="AY29" i="11"/>
  <c r="AY20" i="11"/>
  <c r="AY12" i="11"/>
  <c r="AY45" i="11"/>
  <c r="AY36" i="11"/>
  <c r="AY28" i="11"/>
  <c r="AY16" i="11"/>
  <c r="AY34" i="31"/>
  <c r="AY24" i="11"/>
  <c r="AY25" i="11"/>
  <c r="Y6" i="7"/>
  <c r="AY60" i="11"/>
  <c r="AY24" i="31"/>
  <c r="AY16" i="31"/>
  <c r="AY51" i="31"/>
  <c r="AY33" i="31"/>
  <c r="AY42" i="31"/>
  <c r="AY64" i="11"/>
  <c r="AY56" i="11"/>
  <c r="AY47" i="11"/>
  <c r="AY39" i="11"/>
  <c r="AY31" i="11"/>
  <c r="AY57" i="31"/>
  <c r="AY60" i="31"/>
  <c r="AY48" i="11"/>
  <c r="Y6" i="31"/>
  <c r="AY63" i="11"/>
  <c r="AY21" i="11"/>
  <c r="AY13" i="11"/>
  <c r="AY56" i="31"/>
  <c r="AY17" i="31"/>
  <c r="AY9" i="31"/>
  <c r="AY62" i="31"/>
  <c r="AY52" i="31"/>
  <c r="AY44" i="31"/>
  <c r="AY32" i="31"/>
  <c r="AY46" i="11"/>
  <c r="Y6" i="21"/>
  <c r="Y6" i="11"/>
  <c r="X6" i="11"/>
  <c r="Y6" i="10"/>
  <c r="Y6" i="9"/>
  <c r="Y6" i="6"/>
  <c r="Y6" i="5"/>
  <c r="X55" i="4"/>
  <c r="Y6" i="3"/>
  <c r="Y6" i="2"/>
  <c r="Y6" i="1"/>
  <c r="Y6" i="28"/>
  <c r="Y6" i="29"/>
  <c r="Y25" i="26"/>
  <c r="Y25" i="23" s="1"/>
  <c r="Y40" i="26"/>
  <c r="Y40" i="23" s="1"/>
  <c r="Y7" i="26"/>
  <c r="Y7" i="23" s="1"/>
  <c r="Y54" i="26"/>
  <c r="Y54" i="23" s="1"/>
  <c r="Y6" i="25"/>
  <c r="Y6" i="24"/>
  <c r="Y54" i="22"/>
  <c r="Y40" i="22"/>
  <c r="Y7" i="22"/>
  <c r="Y6" i="20"/>
  <c r="X8" i="23"/>
  <c r="X9" i="23"/>
  <c r="AX9" i="31" s="1"/>
  <c r="X10" i="23"/>
  <c r="AX10" i="31" s="1"/>
  <c r="X11" i="23"/>
  <c r="AX11" i="31" s="1"/>
  <c r="X12" i="23"/>
  <c r="AX12" i="31" s="1"/>
  <c r="X13" i="23"/>
  <c r="AX13" i="31" s="1"/>
  <c r="X14" i="23"/>
  <c r="AX14" i="31" s="1"/>
  <c r="X15" i="23"/>
  <c r="AX15" i="31" s="1"/>
  <c r="X16" i="23"/>
  <c r="AX16" i="31" s="1"/>
  <c r="X17" i="23"/>
  <c r="AX17" i="31" s="1"/>
  <c r="X18" i="23"/>
  <c r="AX18" i="31" s="1"/>
  <c r="X19" i="23"/>
  <c r="AX19" i="31" s="1"/>
  <c r="X20" i="23"/>
  <c r="AX20" i="31" s="1"/>
  <c r="X21" i="23"/>
  <c r="AX21" i="31" s="1"/>
  <c r="X22" i="23"/>
  <c r="AX22" i="31" s="1"/>
  <c r="X23" i="23"/>
  <c r="AX23" i="31" s="1"/>
  <c r="X24" i="23"/>
  <c r="AX24" i="31" s="1"/>
  <c r="X26" i="23"/>
  <c r="X27" i="23"/>
  <c r="AX27" i="31" s="1"/>
  <c r="X28" i="23"/>
  <c r="AX28" i="31" s="1"/>
  <c r="X29" i="23"/>
  <c r="AX29" i="31" s="1"/>
  <c r="X30" i="23"/>
  <c r="AX30" i="31" s="1"/>
  <c r="X31" i="23"/>
  <c r="AX31" i="31" s="1"/>
  <c r="X32" i="23"/>
  <c r="AX32" i="31" s="1"/>
  <c r="X33" i="23"/>
  <c r="AX33" i="31" s="1"/>
  <c r="X34" i="23"/>
  <c r="AX34" i="31" s="1"/>
  <c r="X35" i="23"/>
  <c r="AX35" i="31" s="1"/>
  <c r="X36" i="23"/>
  <c r="AX36" i="31" s="1"/>
  <c r="X37" i="23"/>
  <c r="AX37" i="31" s="1"/>
  <c r="X38" i="23"/>
  <c r="AX38" i="31" s="1"/>
  <c r="X39" i="23"/>
  <c r="AX39" i="31" s="1"/>
  <c r="X41" i="23"/>
  <c r="X42" i="23"/>
  <c r="AX42" i="31" s="1"/>
  <c r="X43" i="23"/>
  <c r="AX43" i="31" s="1"/>
  <c r="X44" i="23"/>
  <c r="AX44" i="31" s="1"/>
  <c r="X45" i="23"/>
  <c r="AX45" i="31" s="1"/>
  <c r="X46" i="23"/>
  <c r="AX46" i="31" s="1"/>
  <c r="X47" i="23"/>
  <c r="AX47" i="31" s="1"/>
  <c r="X48" i="23"/>
  <c r="AX48" i="31" s="1"/>
  <c r="X49" i="23"/>
  <c r="AX49" i="31" s="1"/>
  <c r="X50" i="23"/>
  <c r="AX50" i="31" s="1"/>
  <c r="X51" i="23"/>
  <c r="AX51" i="31" s="1"/>
  <c r="X52" i="23"/>
  <c r="AX52" i="31" s="1"/>
  <c r="X53" i="23"/>
  <c r="AX53" i="31" s="1"/>
  <c r="X55" i="23"/>
  <c r="X56" i="23"/>
  <c r="AX56" i="31" s="1"/>
  <c r="X57" i="23"/>
  <c r="AX57" i="31" s="1"/>
  <c r="X58" i="23"/>
  <c r="AX58" i="31" s="1"/>
  <c r="X59" i="23"/>
  <c r="AX59" i="31" s="1"/>
  <c r="X60" i="23"/>
  <c r="AX60" i="31" s="1"/>
  <c r="X61" i="23"/>
  <c r="AX61" i="31" s="1"/>
  <c r="X62" i="23"/>
  <c r="AX62" i="31" s="1"/>
  <c r="X63" i="23"/>
  <c r="AX63" i="31" s="1"/>
  <c r="X64" i="23"/>
  <c r="AX64" i="31" s="1"/>
  <c r="X65" i="23"/>
  <c r="AX65" i="31" s="1"/>
  <c r="X8" i="4"/>
  <c r="X9" i="4"/>
  <c r="AX9" i="11" s="1"/>
  <c r="X10" i="4"/>
  <c r="AX10" i="11" s="1"/>
  <c r="X11" i="4"/>
  <c r="AX11" i="11" s="1"/>
  <c r="X12" i="4"/>
  <c r="AX12" i="11" s="1"/>
  <c r="X13" i="4"/>
  <c r="AX13" i="11" s="1"/>
  <c r="X14" i="4"/>
  <c r="AX14" i="11" s="1"/>
  <c r="X15" i="4"/>
  <c r="AX15" i="11" s="1"/>
  <c r="X16" i="4"/>
  <c r="AX16" i="11" s="1"/>
  <c r="X17" i="4"/>
  <c r="AX17" i="11" s="1"/>
  <c r="X18" i="4"/>
  <c r="AX18" i="11" s="1"/>
  <c r="X19" i="4"/>
  <c r="AX19" i="11" s="1"/>
  <c r="X20" i="4"/>
  <c r="AX20" i="11" s="1"/>
  <c r="X21" i="4"/>
  <c r="AX21" i="11" s="1"/>
  <c r="X22" i="4"/>
  <c r="AX22" i="11" s="1"/>
  <c r="X23" i="4"/>
  <c r="AX23" i="11" s="1"/>
  <c r="X24" i="4"/>
  <c r="AX24" i="11" s="1"/>
  <c r="X26" i="4"/>
  <c r="X27" i="4"/>
  <c r="AX27" i="11" s="1"/>
  <c r="X28" i="4"/>
  <c r="AX28" i="11" s="1"/>
  <c r="X29" i="4"/>
  <c r="AX29" i="11" s="1"/>
  <c r="X30" i="4"/>
  <c r="AX30" i="11" s="1"/>
  <c r="X31" i="4"/>
  <c r="AX31" i="11" s="1"/>
  <c r="X32" i="4"/>
  <c r="AX32" i="11" s="1"/>
  <c r="X33" i="4"/>
  <c r="AX33" i="11" s="1"/>
  <c r="X34" i="4"/>
  <c r="AX34" i="11" s="1"/>
  <c r="X35" i="4"/>
  <c r="AX35" i="11" s="1"/>
  <c r="X36" i="4"/>
  <c r="AX36" i="11" s="1"/>
  <c r="X37" i="4"/>
  <c r="AX37" i="11" s="1"/>
  <c r="X38" i="4"/>
  <c r="AX38" i="11" s="1"/>
  <c r="X39" i="4"/>
  <c r="AX39" i="11" s="1"/>
  <c r="X41" i="4"/>
  <c r="X42" i="4"/>
  <c r="AX42" i="11" s="1"/>
  <c r="X43" i="4"/>
  <c r="AX43" i="11" s="1"/>
  <c r="X44" i="4"/>
  <c r="AX44" i="11" s="1"/>
  <c r="X45" i="4"/>
  <c r="AX45" i="11" s="1"/>
  <c r="X46" i="4"/>
  <c r="AX46" i="11" s="1"/>
  <c r="X47" i="4"/>
  <c r="AX47" i="11" s="1"/>
  <c r="X48" i="4"/>
  <c r="AX48" i="11" s="1"/>
  <c r="X49" i="4"/>
  <c r="AX49" i="11" s="1"/>
  <c r="X50" i="4"/>
  <c r="AX50" i="11" s="1"/>
  <c r="X51" i="4"/>
  <c r="AX51" i="11" s="1"/>
  <c r="X52" i="4"/>
  <c r="AX52" i="11" s="1"/>
  <c r="X53" i="4"/>
  <c r="AX53" i="11" s="1"/>
  <c r="X57" i="4"/>
  <c r="AX57" i="11" s="1"/>
  <c r="X58" i="4"/>
  <c r="AX58" i="11" s="1"/>
  <c r="X60" i="4"/>
  <c r="AX60" i="11" s="1"/>
  <c r="X61" i="4"/>
  <c r="AX61" i="11" s="1"/>
  <c r="X62" i="4"/>
  <c r="AX62" i="11" s="1"/>
  <c r="X63" i="4"/>
  <c r="AX63" i="11" s="1"/>
  <c r="X64" i="4"/>
  <c r="AX64" i="11" s="1"/>
  <c r="X54" i="7"/>
  <c r="X40" i="7"/>
  <c r="X25" i="7"/>
  <c r="X7" i="7"/>
  <c r="X54" i="28"/>
  <c r="X40" i="28"/>
  <c r="X25" i="28"/>
  <c r="X7" i="28"/>
  <c r="X54" i="9"/>
  <c r="X40" i="9"/>
  <c r="X25" i="9"/>
  <c r="X7" i="9"/>
  <c r="Y6" i="4" l="1"/>
  <c r="X6" i="7"/>
  <c r="X56" i="4"/>
  <c r="AX56" i="11" s="1"/>
  <c r="X59" i="4"/>
  <c r="AX59" i="11" s="1"/>
  <c r="Y6" i="26"/>
  <c r="Y6" i="23" s="1"/>
  <c r="Y6" i="22"/>
  <c r="X6" i="28"/>
  <c r="X6" i="9"/>
  <c r="AY6" i="11" l="1"/>
  <c r="X54" i="10"/>
  <c r="X40" i="10"/>
  <c r="X25" i="10"/>
  <c r="X7" i="10"/>
  <c r="X6" i="10" l="1"/>
  <c r="X7" i="6"/>
  <c r="X25" i="6"/>
  <c r="X40" i="6"/>
  <c r="X54" i="6"/>
  <c r="X6" i="6" l="1"/>
  <c r="X54" i="5"/>
  <c r="X54" i="4" s="1"/>
  <c r="X40" i="5"/>
  <c r="X40" i="4" s="1"/>
  <c r="X25" i="5"/>
  <c r="X25" i="4" s="1"/>
  <c r="X7" i="5"/>
  <c r="X7" i="4" s="1"/>
  <c r="X54" i="3"/>
  <c r="X40" i="3"/>
  <c r="X25" i="3"/>
  <c r="X7" i="3"/>
  <c r="X25" i="2"/>
  <c r="X40" i="2"/>
  <c r="X54" i="2"/>
  <c r="AX54" i="11" s="1"/>
  <c r="X7" i="2"/>
  <c r="X7" i="1"/>
  <c r="AX40" i="11" l="1"/>
  <c r="AX7" i="11"/>
  <c r="AX25" i="11"/>
  <c r="X6" i="5"/>
  <c r="X6" i="4" s="1"/>
  <c r="X6" i="3"/>
  <c r="X6" i="2"/>
  <c r="X6" i="1"/>
  <c r="X54" i="31"/>
  <c r="X40" i="31"/>
  <c r="X25" i="31"/>
  <c r="X7" i="31"/>
  <c r="X54" i="29"/>
  <c r="X40" i="29"/>
  <c r="X7" i="29"/>
  <c r="X54" i="26"/>
  <c r="X40" i="26"/>
  <c r="X25" i="26"/>
  <c r="X7" i="26"/>
  <c r="X54" i="25"/>
  <c r="X40" i="25"/>
  <c r="X25" i="25"/>
  <c r="X7" i="25"/>
  <c r="X54" i="24"/>
  <c r="X40" i="24"/>
  <c r="X25" i="24"/>
  <c r="X7" i="24"/>
  <c r="X54" i="22"/>
  <c r="X40" i="22"/>
  <c r="X25" i="22"/>
  <c r="X7" i="22"/>
  <c r="X54" i="20"/>
  <c r="X40" i="20"/>
  <c r="X25" i="20"/>
  <c r="X7" i="20"/>
  <c r="X7" i="23" l="1"/>
  <c r="AX6" i="11"/>
  <c r="X6" i="20"/>
  <c r="X25" i="23"/>
  <c r="X40" i="23"/>
  <c r="X54" i="23"/>
  <c r="X6" i="31"/>
  <c r="X6" i="29"/>
  <c r="X6" i="26"/>
  <c r="X6" i="25"/>
  <c r="X6" i="24"/>
  <c r="X6" i="22"/>
  <c r="X6" i="23" l="1"/>
  <c r="W54" i="6"/>
  <c r="V54" i="6"/>
  <c r="U54" i="6"/>
  <c r="T54" i="6"/>
  <c r="S54" i="6"/>
  <c r="R54" i="6"/>
  <c r="Q54" i="6"/>
  <c r="P54" i="6"/>
  <c r="O54" i="6"/>
  <c r="N54" i="6"/>
  <c r="M54" i="6"/>
  <c r="L54" i="6"/>
  <c r="K54" i="6"/>
  <c r="I54" i="6"/>
  <c r="F54" i="6"/>
  <c r="F54" i="25"/>
  <c r="F54" i="5"/>
  <c r="F54" i="3"/>
  <c r="F54" i="2"/>
  <c r="T54" i="11"/>
  <c r="W54" i="11"/>
  <c r="W54" i="10" l="1"/>
  <c r="W40" i="10"/>
  <c r="W25" i="10"/>
  <c r="W7" i="10"/>
  <c r="W54" i="29"/>
  <c r="W40" i="29"/>
  <c r="W25" i="29"/>
  <c r="W7" i="29"/>
  <c r="W54" i="9"/>
  <c r="W40" i="9"/>
  <c r="W25" i="9"/>
  <c r="W7" i="9"/>
  <c r="W6" i="29" l="1"/>
  <c r="W6" i="10"/>
  <c r="W6" i="9"/>
  <c r="W54" i="28"/>
  <c r="W40" i="28"/>
  <c r="W25" i="28"/>
  <c r="W7" i="28"/>
  <c r="W54" i="7"/>
  <c r="W40" i="7"/>
  <c r="W25" i="7"/>
  <c r="W7" i="7"/>
  <c r="W54" i="26"/>
  <c r="W40" i="26"/>
  <c r="W25" i="26"/>
  <c r="W7" i="26"/>
  <c r="W40" i="6"/>
  <c r="W25" i="6"/>
  <c r="W7" i="6"/>
  <c r="W54" i="25"/>
  <c r="W40" i="25"/>
  <c r="W25" i="25"/>
  <c r="W7" i="25"/>
  <c r="W54" i="5"/>
  <c r="W40" i="5"/>
  <c r="W25" i="5"/>
  <c r="W7" i="5"/>
  <c r="W54" i="24"/>
  <c r="W40" i="24"/>
  <c r="W25" i="24"/>
  <c r="W7" i="24"/>
  <c r="W8" i="4"/>
  <c r="W9" i="4"/>
  <c r="W10" i="4"/>
  <c r="W11" i="4"/>
  <c r="W12" i="4"/>
  <c r="W13" i="4"/>
  <c r="W14" i="4"/>
  <c r="W15" i="4"/>
  <c r="W16" i="4"/>
  <c r="W17" i="4"/>
  <c r="W18" i="4"/>
  <c r="W19" i="4"/>
  <c r="W20" i="4"/>
  <c r="W21" i="4"/>
  <c r="W22" i="4"/>
  <c r="W23" i="4"/>
  <c r="W24" i="4"/>
  <c r="W26" i="4"/>
  <c r="W27" i="4"/>
  <c r="W28" i="4"/>
  <c r="W29" i="4"/>
  <c r="W30" i="4"/>
  <c r="W31" i="4"/>
  <c r="W32" i="4"/>
  <c r="W33" i="4"/>
  <c r="W34" i="4"/>
  <c r="W35" i="4"/>
  <c r="W36" i="4"/>
  <c r="W37" i="4"/>
  <c r="W38" i="4"/>
  <c r="W39" i="4"/>
  <c r="W41" i="4"/>
  <c r="W42" i="4"/>
  <c r="W43" i="4"/>
  <c r="W44" i="4"/>
  <c r="W45" i="4"/>
  <c r="W46" i="4"/>
  <c r="W47" i="4"/>
  <c r="W48" i="4"/>
  <c r="W49" i="4"/>
  <c r="W50" i="4"/>
  <c r="W51" i="4"/>
  <c r="W52" i="4"/>
  <c r="W53" i="4"/>
  <c r="W55" i="4"/>
  <c r="W56" i="4"/>
  <c r="W57" i="4"/>
  <c r="W58" i="4"/>
  <c r="W59" i="4"/>
  <c r="W60" i="4"/>
  <c r="W61" i="4"/>
  <c r="W62" i="4"/>
  <c r="W63" i="4"/>
  <c r="W64" i="4"/>
  <c r="W65" i="4"/>
  <c r="AW65" i="11" s="1"/>
  <c r="W8" i="23"/>
  <c r="W9" i="23"/>
  <c r="W10" i="23"/>
  <c r="W11" i="23"/>
  <c r="W12" i="23"/>
  <c r="W13" i="23"/>
  <c r="W14" i="23"/>
  <c r="W15" i="23"/>
  <c r="W16" i="23"/>
  <c r="W17" i="23"/>
  <c r="W18" i="23"/>
  <c r="W19" i="23"/>
  <c r="W20" i="23"/>
  <c r="W21" i="23"/>
  <c r="W22" i="23"/>
  <c r="W23" i="23"/>
  <c r="W24" i="23"/>
  <c r="W26" i="23"/>
  <c r="W27" i="23"/>
  <c r="W28" i="23"/>
  <c r="W29" i="23"/>
  <c r="W30" i="23"/>
  <c r="W31" i="23"/>
  <c r="W32" i="23"/>
  <c r="W33" i="23"/>
  <c r="W34" i="23"/>
  <c r="W35" i="23"/>
  <c r="W36" i="23"/>
  <c r="W37" i="23"/>
  <c r="W38" i="23"/>
  <c r="W39" i="23"/>
  <c r="W41" i="23"/>
  <c r="W42" i="23"/>
  <c r="W43" i="23"/>
  <c r="W44" i="23"/>
  <c r="W45" i="23"/>
  <c r="W46" i="23"/>
  <c r="W47" i="23"/>
  <c r="W48" i="23"/>
  <c r="W49" i="23"/>
  <c r="W50" i="23"/>
  <c r="W51" i="23"/>
  <c r="W52" i="23"/>
  <c r="W53" i="23"/>
  <c r="W55" i="23"/>
  <c r="W56" i="23"/>
  <c r="W57" i="23"/>
  <c r="W58" i="23"/>
  <c r="W59" i="23"/>
  <c r="W60" i="23"/>
  <c r="W61" i="23"/>
  <c r="W62" i="23"/>
  <c r="W63" i="23"/>
  <c r="W64" i="23"/>
  <c r="W65" i="23"/>
  <c r="AW5" i="11"/>
  <c r="W40" i="11"/>
  <c r="W25" i="11"/>
  <c r="W7" i="11"/>
  <c r="AW5" i="31"/>
  <c r="W54" i="31"/>
  <c r="W40" i="31"/>
  <c r="W25" i="31"/>
  <c r="W7" i="31"/>
  <c r="W54" i="3"/>
  <c r="W40" i="3"/>
  <c r="W25" i="3"/>
  <c r="W7" i="3"/>
  <c r="W54" i="22"/>
  <c r="W40" i="22"/>
  <c r="W25" i="22"/>
  <c r="W7" i="22"/>
  <c r="W54" i="2"/>
  <c r="W40" i="2"/>
  <c r="W25" i="2"/>
  <c r="W7" i="2"/>
  <c r="W54" i="21"/>
  <c r="W40" i="21"/>
  <c r="W25" i="21"/>
  <c r="W7" i="21"/>
  <c r="W54" i="1"/>
  <c r="W40" i="1"/>
  <c r="W25" i="1"/>
  <c r="W7" i="1"/>
  <c r="W54" i="20"/>
  <c r="W40" i="20"/>
  <c r="W25" i="20"/>
  <c r="W7" i="20"/>
  <c r="V8" i="4"/>
  <c r="V9" i="4"/>
  <c r="AV9" i="11" s="1"/>
  <c r="V10" i="4"/>
  <c r="AV10" i="11" s="1"/>
  <c r="V11" i="4"/>
  <c r="V12" i="4"/>
  <c r="AV12" i="11" s="1"/>
  <c r="V13" i="4"/>
  <c r="V14" i="4"/>
  <c r="AV14" i="11" s="1"/>
  <c r="V15" i="4"/>
  <c r="AV15" i="11" s="1"/>
  <c r="V16" i="4"/>
  <c r="AV16" i="11" s="1"/>
  <c r="V17" i="4"/>
  <c r="AV17" i="11" s="1"/>
  <c r="V18" i="4"/>
  <c r="AV18" i="11" s="1"/>
  <c r="V19" i="4"/>
  <c r="V20" i="4"/>
  <c r="AV20" i="11" s="1"/>
  <c r="V21" i="4"/>
  <c r="V22" i="4"/>
  <c r="AV22" i="11" s="1"/>
  <c r="V23" i="4"/>
  <c r="AV23" i="11" s="1"/>
  <c r="V24" i="4"/>
  <c r="AV24" i="11" s="1"/>
  <c r="V26" i="4"/>
  <c r="V27" i="4"/>
  <c r="AV27" i="11" s="1"/>
  <c r="V28" i="4"/>
  <c r="V29" i="4"/>
  <c r="V30" i="4"/>
  <c r="AV30" i="11" s="1"/>
  <c r="V31" i="4"/>
  <c r="AV31" i="11" s="1"/>
  <c r="V32" i="4"/>
  <c r="AV32" i="11" s="1"/>
  <c r="V33" i="4"/>
  <c r="AV33" i="11" s="1"/>
  <c r="V34" i="4"/>
  <c r="AV34" i="11" s="1"/>
  <c r="V35" i="4"/>
  <c r="AV35" i="11" s="1"/>
  <c r="V36" i="4"/>
  <c r="V37" i="4"/>
  <c r="V38" i="4"/>
  <c r="AV38" i="11" s="1"/>
  <c r="V39" i="4"/>
  <c r="AV39" i="11" s="1"/>
  <c r="V41" i="4"/>
  <c r="V42" i="4"/>
  <c r="AV42" i="11" s="1"/>
  <c r="V43" i="4"/>
  <c r="V44" i="4"/>
  <c r="V45" i="4"/>
  <c r="V46" i="4"/>
  <c r="AV46" i="11" s="1"/>
  <c r="V47" i="4"/>
  <c r="AV47" i="11" s="1"/>
  <c r="V48" i="4"/>
  <c r="AV48" i="11" s="1"/>
  <c r="V49" i="4"/>
  <c r="AV49" i="11" s="1"/>
  <c r="V50" i="4"/>
  <c r="AV50" i="11" s="1"/>
  <c r="V51" i="4"/>
  <c r="V52" i="4"/>
  <c r="V53" i="4"/>
  <c r="V55" i="4"/>
  <c r="V56" i="4"/>
  <c r="AV56" i="11" s="1"/>
  <c r="V57" i="4"/>
  <c r="AV57" i="11" s="1"/>
  <c r="V58" i="4"/>
  <c r="AV58" i="11" s="1"/>
  <c r="V59" i="4"/>
  <c r="AV59" i="11" s="1"/>
  <c r="V60" i="4"/>
  <c r="V61" i="4"/>
  <c r="V62" i="4"/>
  <c r="AV62" i="11" s="1"/>
  <c r="V63" i="4"/>
  <c r="AV63" i="11" s="1"/>
  <c r="V64" i="4"/>
  <c r="AV64" i="11" s="1"/>
  <c r="V65" i="4"/>
  <c r="AV65" i="11" s="1"/>
  <c r="V8" i="23"/>
  <c r="V9" i="23"/>
  <c r="V10" i="23"/>
  <c r="AV10" i="31" s="1"/>
  <c r="V11" i="23"/>
  <c r="V12" i="23"/>
  <c r="AV12" i="31" s="1"/>
  <c r="V13" i="23"/>
  <c r="V14" i="23"/>
  <c r="AV14" i="31" s="1"/>
  <c r="V15" i="23"/>
  <c r="AV15" i="31" s="1"/>
  <c r="V16" i="23"/>
  <c r="AV16" i="31" s="1"/>
  <c r="V17" i="23"/>
  <c r="V18" i="23"/>
  <c r="AV18" i="31" s="1"/>
  <c r="V19" i="23"/>
  <c r="V20" i="23"/>
  <c r="AV20" i="31" s="1"/>
  <c r="V21" i="23"/>
  <c r="AV21" i="31" s="1"/>
  <c r="V22" i="23"/>
  <c r="AV22" i="31" s="1"/>
  <c r="V23" i="23"/>
  <c r="AV23" i="31" s="1"/>
  <c r="V24" i="23"/>
  <c r="AV24" i="31" s="1"/>
  <c r="V26" i="23"/>
  <c r="V27" i="23"/>
  <c r="AV27" i="31" s="1"/>
  <c r="V28" i="23"/>
  <c r="AV28" i="31" s="1"/>
  <c r="V29" i="23"/>
  <c r="AV29" i="31" s="1"/>
  <c r="V30" i="23"/>
  <c r="AV30" i="31" s="1"/>
  <c r="V31" i="23"/>
  <c r="AV31" i="31" s="1"/>
  <c r="V32" i="23"/>
  <c r="AV32" i="31" s="1"/>
  <c r="V33" i="23"/>
  <c r="V34" i="23"/>
  <c r="AV34" i="31" s="1"/>
  <c r="V35" i="23"/>
  <c r="AV35" i="31" s="1"/>
  <c r="V36" i="23"/>
  <c r="AV36" i="31" s="1"/>
  <c r="V37" i="23"/>
  <c r="V38" i="23"/>
  <c r="AV38" i="31" s="1"/>
  <c r="V39" i="23"/>
  <c r="AV39" i="31" s="1"/>
  <c r="V41" i="23"/>
  <c r="V42" i="23"/>
  <c r="AV42" i="31" s="1"/>
  <c r="V43" i="23"/>
  <c r="AV43" i="31" s="1"/>
  <c r="V44" i="23"/>
  <c r="AV44" i="31" s="1"/>
  <c r="V45" i="23"/>
  <c r="AV45" i="31" s="1"/>
  <c r="V46" i="23"/>
  <c r="V47" i="23"/>
  <c r="V48" i="23"/>
  <c r="AV48" i="31" s="1"/>
  <c r="V49" i="23"/>
  <c r="V50" i="23"/>
  <c r="AV50" i="31" s="1"/>
  <c r="V51" i="23"/>
  <c r="AV51" i="31" s="1"/>
  <c r="V52" i="23"/>
  <c r="AV52" i="31" s="1"/>
  <c r="V53" i="23"/>
  <c r="AV53" i="31" s="1"/>
  <c r="V55" i="23"/>
  <c r="V56" i="23"/>
  <c r="AV56" i="31" s="1"/>
  <c r="V57" i="23"/>
  <c r="V58" i="23"/>
  <c r="AV58" i="31" s="1"/>
  <c r="V59" i="23"/>
  <c r="AV59" i="31" s="1"/>
  <c r="V60" i="23"/>
  <c r="AV60" i="31" s="1"/>
  <c r="V61" i="23"/>
  <c r="AV61" i="31" s="1"/>
  <c r="V62" i="23"/>
  <c r="AV62" i="31" s="1"/>
  <c r="V63" i="23"/>
  <c r="AV63" i="31" s="1"/>
  <c r="V64" i="23"/>
  <c r="AV64" i="31" s="1"/>
  <c r="V65" i="23"/>
  <c r="V54" i="10"/>
  <c r="V40" i="10"/>
  <c r="V25" i="10"/>
  <c r="V7" i="10"/>
  <c r="V54" i="29"/>
  <c r="V40" i="29"/>
  <c r="V25" i="29"/>
  <c r="V7" i="29"/>
  <c r="V54" i="9"/>
  <c r="V40" i="9"/>
  <c r="V25" i="9"/>
  <c r="V7" i="9"/>
  <c r="V54" i="28"/>
  <c r="V40" i="28"/>
  <c r="V25" i="28"/>
  <c r="V7" i="28"/>
  <c r="V54" i="8"/>
  <c r="V40" i="8"/>
  <c r="V25" i="8"/>
  <c r="V7" i="8"/>
  <c r="V54" i="27"/>
  <c r="V40" i="27"/>
  <c r="V25" i="27"/>
  <c r="V7" i="27"/>
  <c r="V54" i="7"/>
  <c r="V40" i="7"/>
  <c r="V25" i="7"/>
  <c r="V7" i="7"/>
  <c r="V54" i="26"/>
  <c r="V40" i="26"/>
  <c r="V25" i="26"/>
  <c r="V7" i="26"/>
  <c r="V40" i="6"/>
  <c r="V25" i="6"/>
  <c r="V7" i="6"/>
  <c r="V54" i="25"/>
  <c r="V40" i="25"/>
  <c r="V25" i="25"/>
  <c r="V7" i="25"/>
  <c r="V54" i="5"/>
  <c r="V40" i="5"/>
  <c r="V25" i="5"/>
  <c r="V7" i="5"/>
  <c r="V54" i="24"/>
  <c r="V40" i="24"/>
  <c r="V40" i="23" s="1"/>
  <c r="V25" i="24"/>
  <c r="V7" i="24"/>
  <c r="V54" i="3"/>
  <c r="V40" i="3"/>
  <c r="V25" i="3"/>
  <c r="V7" i="3"/>
  <c r="V54" i="22"/>
  <c r="V40" i="22"/>
  <c r="V25" i="22"/>
  <c r="V7" i="22"/>
  <c r="V54" i="2"/>
  <c r="V40" i="2"/>
  <c r="V25" i="2"/>
  <c r="V7" i="2"/>
  <c r="V54" i="21"/>
  <c r="V40" i="21"/>
  <c r="V25" i="21"/>
  <c r="V7" i="21"/>
  <c r="V54" i="1"/>
  <c r="V40" i="1"/>
  <c r="V25" i="1"/>
  <c r="V7" i="1"/>
  <c r="V54" i="20"/>
  <c r="V40" i="20"/>
  <c r="V25" i="20"/>
  <c r="V7" i="20"/>
  <c r="AV5" i="31"/>
  <c r="AV13" i="31"/>
  <c r="AV37" i="31"/>
  <c r="AV46" i="31"/>
  <c r="AV5" i="11"/>
  <c r="AV11" i="11"/>
  <c r="AV19" i="11"/>
  <c r="AV28" i="11"/>
  <c r="AV36" i="11"/>
  <c r="V54" i="31"/>
  <c r="V40" i="31"/>
  <c r="V25" i="31"/>
  <c r="V7" i="31"/>
  <c r="V54" i="11"/>
  <c r="V40" i="11"/>
  <c r="V25" i="11"/>
  <c r="V7" i="11"/>
  <c r="V54" i="4" l="1"/>
  <c r="W7" i="4"/>
  <c r="AW7" i="11" s="1"/>
  <c r="W25" i="4"/>
  <c r="AW25" i="11" s="1"/>
  <c r="V7" i="23"/>
  <c r="V25" i="23"/>
  <c r="V25" i="4"/>
  <c r="AV25" i="11" s="1"/>
  <c r="V40" i="4"/>
  <c r="AV40" i="11" s="1"/>
  <c r="V7" i="4"/>
  <c r="AV7" i="11" s="1"/>
  <c r="AW59" i="11"/>
  <c r="AW50" i="11"/>
  <c r="AW42" i="11"/>
  <c r="AW33" i="11"/>
  <c r="AW24" i="11"/>
  <c r="AW16" i="11"/>
  <c r="AW58" i="11"/>
  <c r="AW49" i="11"/>
  <c r="AW32" i="11"/>
  <c r="AW23" i="11"/>
  <c r="AW15" i="11"/>
  <c r="AW60" i="11"/>
  <c r="AW34" i="11"/>
  <c r="AW9" i="11"/>
  <c r="AW48" i="11"/>
  <c r="AW22" i="11"/>
  <c r="AW30" i="11"/>
  <c r="AW63" i="11"/>
  <c r="AW46" i="11"/>
  <c r="AW37" i="11"/>
  <c r="AW29" i="11"/>
  <c r="AW20" i="11"/>
  <c r="AW12" i="11"/>
  <c r="AW43" i="11"/>
  <c r="AW57" i="11"/>
  <c r="AW39" i="11"/>
  <c r="AW14" i="11"/>
  <c r="AW56" i="11"/>
  <c r="AW47" i="11"/>
  <c r="AW38" i="11"/>
  <c r="AW13" i="11"/>
  <c r="AW62" i="11"/>
  <c r="AW53" i="11"/>
  <c r="AW45" i="11"/>
  <c r="AW36" i="11"/>
  <c r="AW28" i="11"/>
  <c r="AW19" i="11"/>
  <c r="AW11" i="11"/>
  <c r="AW51" i="11"/>
  <c r="AW17" i="11"/>
  <c r="AW31" i="11"/>
  <c r="AW64" i="11"/>
  <c r="AW21" i="11"/>
  <c r="AW61" i="11"/>
  <c r="AW52" i="11"/>
  <c r="AW44" i="11"/>
  <c r="AW35" i="11"/>
  <c r="AW27" i="11"/>
  <c r="AW18" i="11"/>
  <c r="AW10" i="11"/>
  <c r="AV54" i="11"/>
  <c r="V54" i="23"/>
  <c r="AW52" i="31"/>
  <c r="AW27" i="31"/>
  <c r="AW51" i="31"/>
  <c r="AW9" i="31"/>
  <c r="AW49" i="31"/>
  <c r="AW65" i="31"/>
  <c r="AW57" i="31"/>
  <c r="AW48" i="31"/>
  <c r="AW39" i="31"/>
  <c r="AW31" i="31"/>
  <c r="AW22" i="31"/>
  <c r="AW14" i="31"/>
  <c r="AW44" i="31"/>
  <c r="AW35" i="31"/>
  <c r="AW10" i="31"/>
  <c r="AW43" i="31"/>
  <c r="AW17" i="31"/>
  <c r="AW50" i="31"/>
  <c r="AW33" i="31"/>
  <c r="AW23" i="31"/>
  <c r="AW15" i="31"/>
  <c r="AW64" i="31"/>
  <c r="AW56" i="31"/>
  <c r="AW47" i="31"/>
  <c r="AW38" i="31"/>
  <c r="AW30" i="31"/>
  <c r="AW21" i="31"/>
  <c r="AW13" i="31"/>
  <c r="AW34" i="31"/>
  <c r="AW59" i="31"/>
  <c r="AW24" i="31"/>
  <c r="AW58" i="31"/>
  <c r="AW63" i="31"/>
  <c r="AW46" i="31"/>
  <c r="AW37" i="31"/>
  <c r="AW29" i="31"/>
  <c r="AW20" i="31"/>
  <c r="AW12" i="31"/>
  <c r="AW61" i="31"/>
  <c r="AW18" i="31"/>
  <c r="AW60" i="31"/>
  <c r="AW42" i="31"/>
  <c r="AW16" i="31"/>
  <c r="AW32" i="31"/>
  <c r="AW62" i="31"/>
  <c r="AW53" i="31"/>
  <c r="AW45" i="31"/>
  <c r="AW36" i="31"/>
  <c r="AW28" i="31"/>
  <c r="AW19" i="31"/>
  <c r="AW11" i="31"/>
  <c r="W25" i="23"/>
  <c r="W40" i="4"/>
  <c r="W54" i="4"/>
  <c r="AW54" i="11" s="1"/>
  <c r="W54" i="23"/>
  <c r="W40" i="23"/>
  <c r="W7" i="23"/>
  <c r="W6" i="28"/>
  <c r="W6" i="7"/>
  <c r="W6" i="26"/>
  <c r="W6" i="6"/>
  <c r="W6" i="25"/>
  <c r="W6" i="5"/>
  <c r="W6" i="24"/>
  <c r="W6" i="11"/>
  <c r="W6" i="31"/>
  <c r="W6" i="3"/>
  <c r="W6" i="22"/>
  <c r="W6" i="2"/>
  <c r="W6" i="21"/>
  <c r="W6" i="1"/>
  <c r="W6" i="20"/>
  <c r="AV37" i="11"/>
  <c r="AV29" i="11"/>
  <c r="AV53" i="11"/>
  <c r="AV45" i="11"/>
  <c r="AV61" i="11"/>
  <c r="AV33" i="31"/>
  <c r="AV13" i="11"/>
  <c r="AV49" i="31"/>
  <c r="AV17" i="31"/>
  <c r="AV9" i="31"/>
  <c r="AV65" i="31"/>
  <c r="AV57" i="31"/>
  <c r="AV21" i="11"/>
  <c r="AV44" i="11"/>
  <c r="AV52" i="11"/>
  <c r="AV51" i="11"/>
  <c r="AV43" i="11"/>
  <c r="AV47" i="31"/>
  <c r="AV19" i="31"/>
  <c r="AV11" i="31"/>
  <c r="V6" i="8"/>
  <c r="AV60" i="11"/>
  <c r="V6" i="10"/>
  <c r="V6" i="29"/>
  <c r="V6" i="9"/>
  <c r="V6" i="28"/>
  <c r="V6" i="27"/>
  <c r="V6" i="7"/>
  <c r="V6" i="26"/>
  <c r="V6" i="6"/>
  <c r="V6" i="25"/>
  <c r="V6" i="5"/>
  <c r="V6" i="24"/>
  <c r="V6" i="3"/>
  <c r="V6" i="22"/>
  <c r="V6" i="2"/>
  <c r="V6" i="21"/>
  <c r="V6" i="1"/>
  <c r="V6" i="20"/>
  <c r="V6" i="31"/>
  <c r="V6" i="11"/>
  <c r="AW40" i="11" l="1"/>
  <c r="V6" i="4"/>
  <c r="AV6" i="11" s="1"/>
  <c r="V6" i="23"/>
  <c r="W6" i="4"/>
  <c r="AW6" i="11" s="1"/>
  <c r="W6" i="23"/>
  <c r="AU5" i="11"/>
  <c r="AC5" i="11"/>
  <c r="AD5" i="11"/>
  <c r="AE5" i="11"/>
  <c r="AF5" i="11"/>
  <c r="AG5" i="11"/>
  <c r="AH5" i="11"/>
  <c r="AI5" i="11"/>
  <c r="AJ5" i="11"/>
  <c r="AK5" i="11"/>
  <c r="AL5" i="11"/>
  <c r="AM5" i="11"/>
  <c r="AN5" i="11"/>
  <c r="AO5" i="11"/>
  <c r="AP5" i="11"/>
  <c r="AQ5" i="11"/>
  <c r="AR5" i="11"/>
  <c r="AS5" i="11"/>
  <c r="AT5" i="11"/>
  <c r="AB5" i="11"/>
  <c r="AB5" i="31"/>
  <c r="AC5" i="31"/>
  <c r="AD5" i="31"/>
  <c r="AE5" i="31"/>
  <c r="AF5" i="31"/>
  <c r="AG5" i="31"/>
  <c r="AH5" i="31"/>
  <c r="AI5" i="31"/>
  <c r="AJ5" i="31"/>
  <c r="AK5" i="31"/>
  <c r="AL5" i="31"/>
  <c r="AM5" i="31"/>
  <c r="AN5" i="31"/>
  <c r="AO5" i="31"/>
  <c r="AP5" i="31"/>
  <c r="AQ5" i="31"/>
  <c r="AR5" i="31"/>
  <c r="AS5" i="31"/>
  <c r="AT5" i="31"/>
  <c r="AU5" i="31"/>
  <c r="N57" i="19"/>
  <c r="M57" i="19"/>
  <c r="L57" i="19"/>
  <c r="K57" i="19"/>
  <c r="J57" i="19"/>
  <c r="I57" i="19"/>
  <c r="N43" i="19"/>
  <c r="M43" i="19"/>
  <c r="L43" i="19"/>
  <c r="K43" i="19"/>
  <c r="J43" i="19"/>
  <c r="I43" i="19"/>
  <c r="N28" i="19"/>
  <c r="M28" i="19"/>
  <c r="L28" i="19"/>
  <c r="K28" i="19"/>
  <c r="J28" i="19"/>
  <c r="I28" i="19"/>
  <c r="U65" i="4" l="1"/>
  <c r="AU65" i="11" s="1"/>
  <c r="T65" i="4"/>
  <c r="AT65" i="11" s="1"/>
  <c r="S65" i="4"/>
  <c r="AS65" i="11" s="1"/>
  <c r="R65" i="4"/>
  <c r="AR65" i="11" s="1"/>
  <c r="Q65" i="4"/>
  <c r="AQ65" i="11" s="1"/>
  <c r="P65" i="4"/>
  <c r="AP65" i="11" s="1"/>
  <c r="O65" i="4"/>
  <c r="AO65" i="11" s="1"/>
  <c r="N65" i="4"/>
  <c r="AN65" i="11" s="1"/>
  <c r="M65" i="4"/>
  <c r="AM65" i="11" s="1"/>
  <c r="L65" i="4"/>
  <c r="AL65" i="11" s="1"/>
  <c r="K65" i="4"/>
  <c r="AK65" i="11" s="1"/>
  <c r="J65" i="4"/>
  <c r="AJ65" i="11" s="1"/>
  <c r="I65" i="4"/>
  <c r="AI65" i="11" s="1"/>
  <c r="H65" i="4"/>
  <c r="AH65" i="11" s="1"/>
  <c r="G65" i="4"/>
  <c r="AG65" i="11" s="1"/>
  <c r="F65" i="4"/>
  <c r="AF65" i="11" s="1"/>
  <c r="E65" i="4"/>
  <c r="AE65" i="11" s="1"/>
  <c r="D65" i="4"/>
  <c r="AD65" i="11" s="1"/>
  <c r="C65" i="4"/>
  <c r="AC65" i="11" s="1"/>
  <c r="B65" i="4"/>
  <c r="AB65" i="11" s="1"/>
  <c r="U64" i="4"/>
  <c r="AU64" i="11" s="1"/>
  <c r="T64" i="4"/>
  <c r="S64" i="4"/>
  <c r="AS64" i="11" s="1"/>
  <c r="R64" i="4"/>
  <c r="Q64" i="4"/>
  <c r="P64" i="4"/>
  <c r="AP64" i="11" s="1"/>
  <c r="O64" i="4"/>
  <c r="AO64" i="11" s="1"/>
  <c r="N64" i="4"/>
  <c r="AN64" i="11" s="1"/>
  <c r="M64" i="4"/>
  <c r="AM64" i="11" s="1"/>
  <c r="L64" i="4"/>
  <c r="AL64" i="11" s="1"/>
  <c r="K64" i="4"/>
  <c r="AK64" i="11" s="1"/>
  <c r="J64" i="4"/>
  <c r="AJ64" i="11" s="1"/>
  <c r="I64" i="4"/>
  <c r="AI64" i="11" s="1"/>
  <c r="H64" i="4"/>
  <c r="AH64" i="11" s="1"/>
  <c r="G64" i="4"/>
  <c r="AG64" i="11" s="1"/>
  <c r="F64" i="4"/>
  <c r="AF64" i="11" s="1"/>
  <c r="E64" i="4"/>
  <c r="AE64" i="11" s="1"/>
  <c r="D64" i="4"/>
  <c r="AD64" i="11" s="1"/>
  <c r="C64" i="4"/>
  <c r="AC64" i="11" s="1"/>
  <c r="B64" i="4"/>
  <c r="AB64" i="11" s="1"/>
  <c r="U63" i="4"/>
  <c r="AU63" i="11" s="1"/>
  <c r="T63" i="4"/>
  <c r="S63" i="4"/>
  <c r="AS63" i="11" s="1"/>
  <c r="R63" i="4"/>
  <c r="Q63" i="4"/>
  <c r="P63" i="4"/>
  <c r="AP63" i="11" s="1"/>
  <c r="O63" i="4"/>
  <c r="AO63" i="11" s="1"/>
  <c r="N63" i="4"/>
  <c r="AN63" i="11" s="1"/>
  <c r="M63" i="4"/>
  <c r="AM63" i="11" s="1"/>
  <c r="L63" i="4"/>
  <c r="AL63" i="11" s="1"/>
  <c r="K63" i="4"/>
  <c r="AK63" i="11" s="1"/>
  <c r="J63" i="4"/>
  <c r="AJ63" i="11" s="1"/>
  <c r="I63" i="4"/>
  <c r="AI63" i="11" s="1"/>
  <c r="H63" i="4"/>
  <c r="AH63" i="11" s="1"/>
  <c r="G63" i="4"/>
  <c r="AG63" i="11" s="1"/>
  <c r="F63" i="4"/>
  <c r="AF63" i="11" s="1"/>
  <c r="E63" i="4"/>
  <c r="AE63" i="11" s="1"/>
  <c r="D63" i="4"/>
  <c r="AD63" i="11" s="1"/>
  <c r="C63" i="4"/>
  <c r="AC63" i="11" s="1"/>
  <c r="B63" i="4"/>
  <c r="AB63" i="11" s="1"/>
  <c r="U62" i="4"/>
  <c r="AU62" i="11" s="1"/>
  <c r="T62" i="4"/>
  <c r="S62" i="4"/>
  <c r="AS62" i="11" s="1"/>
  <c r="R62" i="4"/>
  <c r="Q62" i="4"/>
  <c r="P62" i="4"/>
  <c r="AP62" i="11" s="1"/>
  <c r="O62" i="4"/>
  <c r="AO62" i="11" s="1"/>
  <c r="N62" i="4"/>
  <c r="AN62" i="11" s="1"/>
  <c r="M62" i="4"/>
  <c r="AM62" i="11" s="1"/>
  <c r="L62" i="4"/>
  <c r="AL62" i="11" s="1"/>
  <c r="K62" i="4"/>
  <c r="AK62" i="11" s="1"/>
  <c r="J62" i="4"/>
  <c r="AJ62" i="11" s="1"/>
  <c r="I62" i="4"/>
  <c r="AI62" i="11" s="1"/>
  <c r="H62" i="4"/>
  <c r="AH62" i="11" s="1"/>
  <c r="G62" i="4"/>
  <c r="AG62" i="11" s="1"/>
  <c r="F62" i="4"/>
  <c r="AF62" i="11" s="1"/>
  <c r="E62" i="4"/>
  <c r="AE62" i="11" s="1"/>
  <c r="D62" i="4"/>
  <c r="AD62" i="11" s="1"/>
  <c r="C62" i="4"/>
  <c r="AC62" i="11" s="1"/>
  <c r="B62" i="4"/>
  <c r="AB62" i="11" s="1"/>
  <c r="U61" i="4"/>
  <c r="AU61" i="11" s="1"/>
  <c r="T61" i="4"/>
  <c r="S61" i="4"/>
  <c r="AS61" i="11" s="1"/>
  <c r="R61" i="4"/>
  <c r="Q61" i="4"/>
  <c r="P61" i="4"/>
  <c r="AP61" i="11" s="1"/>
  <c r="O61" i="4"/>
  <c r="AO61" i="11" s="1"/>
  <c r="N61" i="4"/>
  <c r="AN61" i="11" s="1"/>
  <c r="M61" i="4"/>
  <c r="AM61" i="11" s="1"/>
  <c r="L61" i="4"/>
  <c r="AL61" i="11" s="1"/>
  <c r="K61" i="4"/>
  <c r="AK61" i="11" s="1"/>
  <c r="J61" i="4"/>
  <c r="AJ61" i="11" s="1"/>
  <c r="I61" i="4"/>
  <c r="AI61" i="11" s="1"/>
  <c r="H61" i="4"/>
  <c r="AH61" i="11" s="1"/>
  <c r="G61" i="4"/>
  <c r="AG61" i="11" s="1"/>
  <c r="F61" i="4"/>
  <c r="AF61" i="11" s="1"/>
  <c r="E61" i="4"/>
  <c r="AE61" i="11" s="1"/>
  <c r="D61" i="4"/>
  <c r="AD61" i="11" s="1"/>
  <c r="C61" i="4"/>
  <c r="AC61" i="11" s="1"/>
  <c r="B61" i="4"/>
  <c r="AB61" i="11" s="1"/>
  <c r="U60" i="4"/>
  <c r="AU60" i="11" s="1"/>
  <c r="T60" i="4"/>
  <c r="S60" i="4"/>
  <c r="AS60" i="11" s="1"/>
  <c r="R60" i="4"/>
  <c r="Q60" i="4"/>
  <c r="P60" i="4"/>
  <c r="AP60" i="11" s="1"/>
  <c r="O60" i="4"/>
  <c r="AO60" i="11" s="1"/>
  <c r="N60" i="4"/>
  <c r="AN60" i="11" s="1"/>
  <c r="M60" i="4"/>
  <c r="AM60" i="11" s="1"/>
  <c r="L60" i="4"/>
  <c r="AL60" i="11" s="1"/>
  <c r="K60" i="4"/>
  <c r="AK60" i="11" s="1"/>
  <c r="J60" i="4"/>
  <c r="AJ60" i="11" s="1"/>
  <c r="I60" i="4"/>
  <c r="AI60" i="11" s="1"/>
  <c r="H60" i="4"/>
  <c r="AH60" i="11" s="1"/>
  <c r="G60" i="4"/>
  <c r="AG60" i="11" s="1"/>
  <c r="F60" i="4"/>
  <c r="AF60" i="11" s="1"/>
  <c r="E60" i="4"/>
  <c r="AE60" i="11" s="1"/>
  <c r="D60" i="4"/>
  <c r="AD60" i="11" s="1"/>
  <c r="C60" i="4"/>
  <c r="AC60" i="11" s="1"/>
  <c r="B60" i="4"/>
  <c r="AB60" i="11" s="1"/>
  <c r="U59" i="4"/>
  <c r="AU59" i="11" s="1"/>
  <c r="T59" i="4"/>
  <c r="S59" i="4"/>
  <c r="AS59" i="11" s="1"/>
  <c r="R59" i="4"/>
  <c r="Q59" i="4"/>
  <c r="P59" i="4"/>
  <c r="AP59" i="11" s="1"/>
  <c r="O59" i="4"/>
  <c r="AO59" i="11" s="1"/>
  <c r="N59" i="4"/>
  <c r="AN59" i="11" s="1"/>
  <c r="M59" i="4"/>
  <c r="AM59" i="11" s="1"/>
  <c r="L59" i="4"/>
  <c r="AL59" i="11" s="1"/>
  <c r="K59" i="4"/>
  <c r="AK59" i="11" s="1"/>
  <c r="J59" i="4"/>
  <c r="AJ59" i="11" s="1"/>
  <c r="I59" i="4"/>
  <c r="AI59" i="11" s="1"/>
  <c r="H59" i="4"/>
  <c r="AH59" i="11" s="1"/>
  <c r="G59" i="4"/>
  <c r="AG59" i="11" s="1"/>
  <c r="F59" i="4"/>
  <c r="AF59" i="11" s="1"/>
  <c r="E59" i="4"/>
  <c r="AE59" i="11" s="1"/>
  <c r="D59" i="4"/>
  <c r="AD59" i="11" s="1"/>
  <c r="C59" i="4"/>
  <c r="AC59" i="11" s="1"/>
  <c r="B59" i="4"/>
  <c r="AB59" i="11" s="1"/>
  <c r="U58" i="4"/>
  <c r="AU58" i="11" s="1"/>
  <c r="T58" i="4"/>
  <c r="S58" i="4"/>
  <c r="AS58" i="11" s="1"/>
  <c r="R58" i="4"/>
  <c r="Q58" i="4"/>
  <c r="P58" i="4"/>
  <c r="AP58" i="11" s="1"/>
  <c r="O58" i="4"/>
  <c r="AO58" i="11" s="1"/>
  <c r="N58" i="4"/>
  <c r="AN58" i="11" s="1"/>
  <c r="M58" i="4"/>
  <c r="AM58" i="11" s="1"/>
  <c r="L58" i="4"/>
  <c r="AL58" i="11" s="1"/>
  <c r="K58" i="4"/>
  <c r="AK58" i="11" s="1"/>
  <c r="J58" i="4"/>
  <c r="AJ58" i="11" s="1"/>
  <c r="I58" i="4"/>
  <c r="AI58" i="11" s="1"/>
  <c r="H58" i="4"/>
  <c r="AH58" i="11" s="1"/>
  <c r="G58" i="4"/>
  <c r="AG58" i="11" s="1"/>
  <c r="F58" i="4"/>
  <c r="AF58" i="11" s="1"/>
  <c r="E58" i="4"/>
  <c r="AE58" i="11" s="1"/>
  <c r="D58" i="4"/>
  <c r="AD58" i="11" s="1"/>
  <c r="C58" i="4"/>
  <c r="AC58" i="11" s="1"/>
  <c r="B58" i="4"/>
  <c r="AB58" i="11" s="1"/>
  <c r="U57" i="4"/>
  <c r="AU57" i="11" s="1"/>
  <c r="T57" i="4"/>
  <c r="S57" i="4"/>
  <c r="AS57" i="11" s="1"/>
  <c r="R57" i="4"/>
  <c r="Q57" i="4"/>
  <c r="P57" i="4"/>
  <c r="AP57" i="11" s="1"/>
  <c r="O57" i="4"/>
  <c r="AO57" i="11" s="1"/>
  <c r="N57" i="4"/>
  <c r="AN57" i="11" s="1"/>
  <c r="M57" i="4"/>
  <c r="AM57" i="11" s="1"/>
  <c r="L57" i="4"/>
  <c r="AL57" i="11" s="1"/>
  <c r="K57" i="4"/>
  <c r="AK57" i="11" s="1"/>
  <c r="J57" i="4"/>
  <c r="AJ57" i="11" s="1"/>
  <c r="I57" i="4"/>
  <c r="AI57" i="11" s="1"/>
  <c r="H57" i="4"/>
  <c r="AH57" i="11" s="1"/>
  <c r="G57" i="4"/>
  <c r="AG57" i="11" s="1"/>
  <c r="F57" i="4"/>
  <c r="AF57" i="11" s="1"/>
  <c r="E57" i="4"/>
  <c r="AE57" i="11" s="1"/>
  <c r="D57" i="4"/>
  <c r="AD57" i="11" s="1"/>
  <c r="C57" i="4"/>
  <c r="AC57" i="11" s="1"/>
  <c r="B57" i="4"/>
  <c r="AB57" i="11" s="1"/>
  <c r="U56" i="4"/>
  <c r="AU56" i="11" s="1"/>
  <c r="T56" i="4"/>
  <c r="S56" i="4"/>
  <c r="AS56" i="11" s="1"/>
  <c r="R56" i="4"/>
  <c r="Q56" i="4"/>
  <c r="P56" i="4"/>
  <c r="AP56" i="11" s="1"/>
  <c r="O56" i="4"/>
  <c r="AO56" i="11" s="1"/>
  <c r="N56" i="4"/>
  <c r="AN56" i="11" s="1"/>
  <c r="M56" i="4"/>
  <c r="AM56" i="11" s="1"/>
  <c r="L56" i="4"/>
  <c r="AL56" i="11" s="1"/>
  <c r="K56" i="4"/>
  <c r="AK56" i="11" s="1"/>
  <c r="J56" i="4"/>
  <c r="AJ56" i="11" s="1"/>
  <c r="I56" i="4"/>
  <c r="AI56" i="11" s="1"/>
  <c r="H56" i="4"/>
  <c r="AH56" i="11" s="1"/>
  <c r="AG56" i="11"/>
  <c r="F56" i="4"/>
  <c r="AF56" i="11" s="1"/>
  <c r="E56" i="4"/>
  <c r="AE56" i="11" s="1"/>
  <c r="D56" i="4"/>
  <c r="AD56" i="11" s="1"/>
  <c r="C56" i="4"/>
  <c r="AC56" i="11" s="1"/>
  <c r="B56" i="4"/>
  <c r="AB56" i="11" s="1"/>
  <c r="U55" i="4"/>
  <c r="T55" i="4"/>
  <c r="S55" i="4"/>
  <c r="R55" i="4"/>
  <c r="Q55" i="4"/>
  <c r="P55" i="4"/>
  <c r="O55" i="4"/>
  <c r="N55" i="4"/>
  <c r="M55" i="4"/>
  <c r="L55" i="4"/>
  <c r="K55" i="4"/>
  <c r="J55" i="4"/>
  <c r="I55" i="4"/>
  <c r="H55" i="4"/>
  <c r="G55" i="4"/>
  <c r="F55" i="4"/>
  <c r="E55" i="4"/>
  <c r="D55" i="4"/>
  <c r="C55" i="4"/>
  <c r="B55" i="4"/>
  <c r="U53" i="4"/>
  <c r="AU53" i="11" s="1"/>
  <c r="T53" i="4"/>
  <c r="S53" i="4"/>
  <c r="AS53" i="11" s="1"/>
  <c r="R53" i="4"/>
  <c r="Q53" i="4"/>
  <c r="P53" i="4"/>
  <c r="AP53" i="11" s="1"/>
  <c r="O53" i="4"/>
  <c r="AO53" i="11" s="1"/>
  <c r="N53" i="4"/>
  <c r="AN53" i="11" s="1"/>
  <c r="M53" i="4"/>
  <c r="AM53" i="11" s="1"/>
  <c r="L53" i="4"/>
  <c r="AL53" i="11" s="1"/>
  <c r="K53" i="4"/>
  <c r="AK53" i="11" s="1"/>
  <c r="J53" i="4"/>
  <c r="AJ53" i="11" s="1"/>
  <c r="I53" i="4"/>
  <c r="AI53" i="11" s="1"/>
  <c r="H53" i="4"/>
  <c r="AH53" i="11" s="1"/>
  <c r="G53" i="4"/>
  <c r="AG53" i="11" s="1"/>
  <c r="F53" i="4"/>
  <c r="AF53" i="11" s="1"/>
  <c r="E53" i="4"/>
  <c r="AE53" i="11" s="1"/>
  <c r="D53" i="4"/>
  <c r="AD53" i="11" s="1"/>
  <c r="C53" i="4"/>
  <c r="AC53" i="11" s="1"/>
  <c r="B53" i="4"/>
  <c r="AB53" i="11" s="1"/>
  <c r="U52" i="4"/>
  <c r="AU52" i="11" s="1"/>
  <c r="T52" i="4"/>
  <c r="S52" i="4"/>
  <c r="AS52" i="11" s="1"/>
  <c r="R52" i="4"/>
  <c r="Q52" i="4"/>
  <c r="P52" i="4"/>
  <c r="AP52" i="11" s="1"/>
  <c r="O52" i="4"/>
  <c r="AO52" i="11" s="1"/>
  <c r="N52" i="4"/>
  <c r="AN52" i="11" s="1"/>
  <c r="M52" i="4"/>
  <c r="AM52" i="11" s="1"/>
  <c r="L52" i="4"/>
  <c r="AL52" i="11" s="1"/>
  <c r="K52" i="4"/>
  <c r="AK52" i="11" s="1"/>
  <c r="J52" i="4"/>
  <c r="AJ52" i="11" s="1"/>
  <c r="I52" i="4"/>
  <c r="AI52" i="11" s="1"/>
  <c r="H52" i="4"/>
  <c r="AH52" i="11" s="1"/>
  <c r="G52" i="4"/>
  <c r="AG52" i="11" s="1"/>
  <c r="F52" i="4"/>
  <c r="AF52" i="11" s="1"/>
  <c r="E52" i="4"/>
  <c r="AE52" i="11" s="1"/>
  <c r="D52" i="4"/>
  <c r="AD52" i="11" s="1"/>
  <c r="C52" i="4"/>
  <c r="AC52" i="11" s="1"/>
  <c r="B52" i="4"/>
  <c r="AB52" i="11" s="1"/>
  <c r="U51" i="4"/>
  <c r="AU51" i="11" s="1"/>
  <c r="T51" i="4"/>
  <c r="S51" i="4"/>
  <c r="AS51" i="11" s="1"/>
  <c r="R51" i="4"/>
  <c r="Q51" i="4"/>
  <c r="P51" i="4"/>
  <c r="AP51" i="11" s="1"/>
  <c r="O51" i="4"/>
  <c r="AO51" i="11" s="1"/>
  <c r="N51" i="4"/>
  <c r="AN51" i="11" s="1"/>
  <c r="M51" i="4"/>
  <c r="AM51" i="11" s="1"/>
  <c r="L51" i="4"/>
  <c r="AL51" i="11" s="1"/>
  <c r="K51" i="4"/>
  <c r="AK51" i="11" s="1"/>
  <c r="J51" i="4"/>
  <c r="AJ51" i="11" s="1"/>
  <c r="I51" i="4"/>
  <c r="AI51" i="11" s="1"/>
  <c r="H51" i="4"/>
  <c r="AH51" i="11" s="1"/>
  <c r="G51" i="4"/>
  <c r="AG51" i="11" s="1"/>
  <c r="F51" i="4"/>
  <c r="AF51" i="11" s="1"/>
  <c r="E51" i="4"/>
  <c r="AE51" i="11" s="1"/>
  <c r="D51" i="4"/>
  <c r="AD51" i="11" s="1"/>
  <c r="C51" i="4"/>
  <c r="AC51" i="11" s="1"/>
  <c r="B51" i="4"/>
  <c r="AB51" i="11" s="1"/>
  <c r="U50" i="4"/>
  <c r="AU50" i="11" s="1"/>
  <c r="T50" i="4"/>
  <c r="S50" i="4"/>
  <c r="AS50" i="11" s="1"/>
  <c r="R50" i="4"/>
  <c r="Q50" i="4"/>
  <c r="P50" i="4"/>
  <c r="AP50" i="11" s="1"/>
  <c r="O50" i="4"/>
  <c r="AO50" i="11" s="1"/>
  <c r="N50" i="4"/>
  <c r="AN50" i="11" s="1"/>
  <c r="M50" i="4"/>
  <c r="AM50" i="11" s="1"/>
  <c r="L50" i="4"/>
  <c r="AL50" i="11" s="1"/>
  <c r="K50" i="4"/>
  <c r="AK50" i="11" s="1"/>
  <c r="J50" i="4"/>
  <c r="AJ50" i="11" s="1"/>
  <c r="I50" i="4"/>
  <c r="AI50" i="11" s="1"/>
  <c r="H50" i="4"/>
  <c r="AH50" i="11" s="1"/>
  <c r="G50" i="4"/>
  <c r="AG50" i="11" s="1"/>
  <c r="F50" i="4"/>
  <c r="AF50" i="11" s="1"/>
  <c r="E50" i="4"/>
  <c r="AE50" i="11" s="1"/>
  <c r="D50" i="4"/>
  <c r="AD50" i="11" s="1"/>
  <c r="C50" i="4"/>
  <c r="AC50" i="11" s="1"/>
  <c r="B50" i="4"/>
  <c r="AB50" i="11" s="1"/>
  <c r="U49" i="4"/>
  <c r="AU49" i="11" s="1"/>
  <c r="T49" i="4"/>
  <c r="S49" i="4"/>
  <c r="AS49" i="11" s="1"/>
  <c r="R49" i="4"/>
  <c r="Q49" i="4"/>
  <c r="P49" i="4"/>
  <c r="AP49" i="11" s="1"/>
  <c r="O49" i="4"/>
  <c r="AO49" i="11" s="1"/>
  <c r="N49" i="4"/>
  <c r="AN49" i="11" s="1"/>
  <c r="M49" i="4"/>
  <c r="AM49" i="11" s="1"/>
  <c r="L49" i="4"/>
  <c r="AL49" i="11" s="1"/>
  <c r="K49" i="4"/>
  <c r="AK49" i="11" s="1"/>
  <c r="J49" i="4"/>
  <c r="AJ49" i="11" s="1"/>
  <c r="I49" i="4"/>
  <c r="AI49" i="11" s="1"/>
  <c r="H49" i="4"/>
  <c r="AH49" i="11" s="1"/>
  <c r="G49" i="4"/>
  <c r="AG49" i="11" s="1"/>
  <c r="F49" i="4"/>
  <c r="AF49" i="11" s="1"/>
  <c r="E49" i="4"/>
  <c r="AE49" i="11" s="1"/>
  <c r="D49" i="4"/>
  <c r="AD49" i="11" s="1"/>
  <c r="C49" i="4"/>
  <c r="AC49" i="11" s="1"/>
  <c r="B49" i="4"/>
  <c r="AB49" i="11" s="1"/>
  <c r="U48" i="4"/>
  <c r="AU48" i="11" s="1"/>
  <c r="T48" i="4"/>
  <c r="S48" i="4"/>
  <c r="AS48" i="11" s="1"/>
  <c r="R48" i="4"/>
  <c r="Q48" i="4"/>
  <c r="P48" i="4"/>
  <c r="AP48" i="11" s="1"/>
  <c r="O48" i="4"/>
  <c r="AO48" i="11" s="1"/>
  <c r="N48" i="4"/>
  <c r="AN48" i="11" s="1"/>
  <c r="M48" i="4"/>
  <c r="AM48" i="11" s="1"/>
  <c r="L48" i="4"/>
  <c r="AL48" i="11" s="1"/>
  <c r="K48" i="4"/>
  <c r="AK48" i="11" s="1"/>
  <c r="J48" i="4"/>
  <c r="AJ48" i="11" s="1"/>
  <c r="I48" i="4"/>
  <c r="AI48" i="11" s="1"/>
  <c r="H48" i="4"/>
  <c r="AH48" i="11" s="1"/>
  <c r="G48" i="4"/>
  <c r="AG48" i="11" s="1"/>
  <c r="F48" i="4"/>
  <c r="AF48" i="11" s="1"/>
  <c r="E48" i="4"/>
  <c r="AE48" i="11" s="1"/>
  <c r="D48" i="4"/>
  <c r="AD48" i="11" s="1"/>
  <c r="C48" i="4"/>
  <c r="AC48" i="11" s="1"/>
  <c r="B48" i="4"/>
  <c r="AB48" i="11" s="1"/>
  <c r="U47" i="4"/>
  <c r="AU47" i="11" s="1"/>
  <c r="T47" i="4"/>
  <c r="S47" i="4"/>
  <c r="AS47" i="11" s="1"/>
  <c r="R47" i="4"/>
  <c r="Q47" i="4"/>
  <c r="P47" i="4"/>
  <c r="AP47" i="11" s="1"/>
  <c r="O47" i="4"/>
  <c r="AO47" i="11" s="1"/>
  <c r="N47" i="4"/>
  <c r="AN47" i="11" s="1"/>
  <c r="M47" i="4"/>
  <c r="AM47" i="11" s="1"/>
  <c r="L47" i="4"/>
  <c r="AL47" i="11" s="1"/>
  <c r="K47" i="4"/>
  <c r="AK47" i="11" s="1"/>
  <c r="J47" i="4"/>
  <c r="AJ47" i="11" s="1"/>
  <c r="I47" i="4"/>
  <c r="AI47" i="11" s="1"/>
  <c r="H47" i="4"/>
  <c r="AH47" i="11" s="1"/>
  <c r="G47" i="4"/>
  <c r="AG47" i="11" s="1"/>
  <c r="F47" i="4"/>
  <c r="AF47" i="11" s="1"/>
  <c r="E47" i="4"/>
  <c r="AE47" i="11" s="1"/>
  <c r="D47" i="4"/>
  <c r="AD47" i="11" s="1"/>
  <c r="C47" i="4"/>
  <c r="AC47" i="11" s="1"/>
  <c r="B47" i="4"/>
  <c r="AB47" i="11" s="1"/>
  <c r="U46" i="4"/>
  <c r="AU46" i="11" s="1"/>
  <c r="T46" i="4"/>
  <c r="S46" i="4"/>
  <c r="AS46" i="11" s="1"/>
  <c r="R46" i="4"/>
  <c r="Q46" i="4"/>
  <c r="P46" i="4"/>
  <c r="AP46" i="11" s="1"/>
  <c r="O46" i="4"/>
  <c r="AO46" i="11" s="1"/>
  <c r="N46" i="4"/>
  <c r="AN46" i="11" s="1"/>
  <c r="M46" i="4"/>
  <c r="AM46" i="11" s="1"/>
  <c r="L46" i="4"/>
  <c r="AL46" i="11" s="1"/>
  <c r="K46" i="4"/>
  <c r="AK46" i="11" s="1"/>
  <c r="J46" i="4"/>
  <c r="AJ46" i="11" s="1"/>
  <c r="I46" i="4"/>
  <c r="AI46" i="11" s="1"/>
  <c r="H46" i="4"/>
  <c r="AH46" i="11" s="1"/>
  <c r="G46" i="4"/>
  <c r="AG46" i="11" s="1"/>
  <c r="F46" i="4"/>
  <c r="AF46" i="11" s="1"/>
  <c r="E46" i="4"/>
  <c r="AE46" i="11" s="1"/>
  <c r="D46" i="4"/>
  <c r="AD46" i="11" s="1"/>
  <c r="C46" i="4"/>
  <c r="AC46" i="11" s="1"/>
  <c r="B46" i="4"/>
  <c r="AB46" i="11" s="1"/>
  <c r="U45" i="4"/>
  <c r="AU45" i="11" s="1"/>
  <c r="T45" i="4"/>
  <c r="S45" i="4"/>
  <c r="AS45" i="11" s="1"/>
  <c r="R45" i="4"/>
  <c r="Q45" i="4"/>
  <c r="P45" i="4"/>
  <c r="AP45" i="11" s="1"/>
  <c r="O45" i="4"/>
  <c r="AO45" i="11" s="1"/>
  <c r="N45" i="4"/>
  <c r="AN45" i="11" s="1"/>
  <c r="M45" i="4"/>
  <c r="AM45" i="11" s="1"/>
  <c r="L45" i="4"/>
  <c r="AL45" i="11" s="1"/>
  <c r="K45" i="4"/>
  <c r="AK45" i="11" s="1"/>
  <c r="J45" i="4"/>
  <c r="AJ45" i="11" s="1"/>
  <c r="I45" i="4"/>
  <c r="AI45" i="11" s="1"/>
  <c r="H45" i="4"/>
  <c r="AH45" i="11" s="1"/>
  <c r="G45" i="4"/>
  <c r="AG45" i="11" s="1"/>
  <c r="F45" i="4"/>
  <c r="AF45" i="11" s="1"/>
  <c r="E45" i="4"/>
  <c r="AE45" i="11" s="1"/>
  <c r="D45" i="4"/>
  <c r="AD45" i="11" s="1"/>
  <c r="C45" i="4"/>
  <c r="AC45" i="11" s="1"/>
  <c r="B45" i="4"/>
  <c r="AB45" i="11" s="1"/>
  <c r="U44" i="4"/>
  <c r="AU44" i="11" s="1"/>
  <c r="T44" i="4"/>
  <c r="S44" i="4"/>
  <c r="AS44" i="11" s="1"/>
  <c r="R44" i="4"/>
  <c r="Q44" i="4"/>
  <c r="P44" i="4"/>
  <c r="AP44" i="11" s="1"/>
  <c r="O44" i="4"/>
  <c r="AO44" i="11" s="1"/>
  <c r="N44" i="4"/>
  <c r="AN44" i="11" s="1"/>
  <c r="M44" i="4"/>
  <c r="AM44" i="11" s="1"/>
  <c r="L44" i="4"/>
  <c r="AL44" i="11" s="1"/>
  <c r="K44" i="4"/>
  <c r="AK44" i="11" s="1"/>
  <c r="J44" i="4"/>
  <c r="AJ44" i="11" s="1"/>
  <c r="I44" i="4"/>
  <c r="AI44" i="11" s="1"/>
  <c r="H44" i="4"/>
  <c r="AH44" i="11" s="1"/>
  <c r="G44" i="4"/>
  <c r="AG44" i="11" s="1"/>
  <c r="F44" i="4"/>
  <c r="AF44" i="11" s="1"/>
  <c r="E44" i="4"/>
  <c r="AE44" i="11" s="1"/>
  <c r="D44" i="4"/>
  <c r="AD44" i="11" s="1"/>
  <c r="C44" i="4"/>
  <c r="AC44" i="11" s="1"/>
  <c r="B44" i="4"/>
  <c r="AB44" i="11" s="1"/>
  <c r="U43" i="4"/>
  <c r="AU43" i="11" s="1"/>
  <c r="T43" i="4"/>
  <c r="S43" i="4"/>
  <c r="AS43" i="11" s="1"/>
  <c r="R43" i="4"/>
  <c r="Q43" i="4"/>
  <c r="P43" i="4"/>
  <c r="AP43" i="11" s="1"/>
  <c r="O43" i="4"/>
  <c r="AO43" i="11" s="1"/>
  <c r="N43" i="4"/>
  <c r="AN43" i="11" s="1"/>
  <c r="M43" i="4"/>
  <c r="AM43" i="11" s="1"/>
  <c r="L43" i="4"/>
  <c r="AL43" i="11" s="1"/>
  <c r="K43" i="4"/>
  <c r="AK43" i="11" s="1"/>
  <c r="J43" i="4"/>
  <c r="AJ43" i="11" s="1"/>
  <c r="I43" i="4"/>
  <c r="AI43" i="11" s="1"/>
  <c r="H43" i="4"/>
  <c r="AH43" i="11" s="1"/>
  <c r="G43" i="4"/>
  <c r="AG43" i="11" s="1"/>
  <c r="F43" i="4"/>
  <c r="AF43" i="11" s="1"/>
  <c r="E43" i="4"/>
  <c r="AE43" i="11" s="1"/>
  <c r="D43" i="4"/>
  <c r="AD43" i="11" s="1"/>
  <c r="C43" i="4"/>
  <c r="AC43" i="11" s="1"/>
  <c r="B43" i="4"/>
  <c r="AB43" i="11" s="1"/>
  <c r="U42" i="4"/>
  <c r="AU42" i="11" s="1"/>
  <c r="T42" i="4"/>
  <c r="S42" i="4"/>
  <c r="AS42" i="11" s="1"/>
  <c r="R42" i="4"/>
  <c r="Q42" i="4"/>
  <c r="P42" i="4"/>
  <c r="AP42" i="11" s="1"/>
  <c r="O42" i="4"/>
  <c r="AO42" i="11" s="1"/>
  <c r="N42" i="4"/>
  <c r="AN42" i="11" s="1"/>
  <c r="M42" i="4"/>
  <c r="AM42" i="11" s="1"/>
  <c r="L42" i="4"/>
  <c r="AL42" i="11" s="1"/>
  <c r="K42" i="4"/>
  <c r="AK42" i="11" s="1"/>
  <c r="J42" i="4"/>
  <c r="AJ42" i="11" s="1"/>
  <c r="I42" i="4"/>
  <c r="AI42" i="11" s="1"/>
  <c r="H42" i="4"/>
  <c r="AH42" i="11" s="1"/>
  <c r="G42" i="4"/>
  <c r="AG42" i="11" s="1"/>
  <c r="F42" i="4"/>
  <c r="AF42" i="11" s="1"/>
  <c r="E42" i="4"/>
  <c r="AE42" i="11" s="1"/>
  <c r="D42" i="4"/>
  <c r="AD42" i="11" s="1"/>
  <c r="C42" i="4"/>
  <c r="AC42" i="11" s="1"/>
  <c r="B42" i="4"/>
  <c r="AB42" i="11" s="1"/>
  <c r="U41" i="4"/>
  <c r="T41" i="4"/>
  <c r="S41" i="4"/>
  <c r="R41" i="4"/>
  <c r="Q41" i="4"/>
  <c r="P41" i="4"/>
  <c r="O41" i="4"/>
  <c r="N41" i="4"/>
  <c r="M41" i="4"/>
  <c r="L41" i="4"/>
  <c r="K41" i="4"/>
  <c r="J41" i="4"/>
  <c r="I41" i="4"/>
  <c r="H41" i="4"/>
  <c r="G41" i="4"/>
  <c r="F41" i="4"/>
  <c r="E41" i="4"/>
  <c r="D41" i="4"/>
  <c r="C41" i="4"/>
  <c r="B41" i="4"/>
  <c r="U39" i="4"/>
  <c r="AU39" i="11" s="1"/>
  <c r="T39" i="4"/>
  <c r="S39" i="4"/>
  <c r="AS39" i="11" s="1"/>
  <c r="R39" i="4"/>
  <c r="Q39" i="4"/>
  <c r="P39" i="4"/>
  <c r="AP39" i="11" s="1"/>
  <c r="O39" i="4"/>
  <c r="AO39" i="11" s="1"/>
  <c r="N39" i="4"/>
  <c r="AN39" i="11" s="1"/>
  <c r="M39" i="4"/>
  <c r="AM39" i="11" s="1"/>
  <c r="L39" i="4"/>
  <c r="AL39" i="11" s="1"/>
  <c r="K39" i="4"/>
  <c r="AK39" i="11" s="1"/>
  <c r="J39" i="4"/>
  <c r="AJ39" i="11" s="1"/>
  <c r="I39" i="4"/>
  <c r="AI39" i="11" s="1"/>
  <c r="H39" i="4"/>
  <c r="AH39" i="11" s="1"/>
  <c r="G39" i="4"/>
  <c r="AG39" i="11" s="1"/>
  <c r="F39" i="4"/>
  <c r="AF39" i="11" s="1"/>
  <c r="E39" i="4"/>
  <c r="AE39" i="11" s="1"/>
  <c r="D39" i="4"/>
  <c r="AD39" i="11" s="1"/>
  <c r="C39" i="4"/>
  <c r="AC39" i="11" s="1"/>
  <c r="B39" i="4"/>
  <c r="AB39" i="11" s="1"/>
  <c r="U38" i="4"/>
  <c r="AU38" i="11" s="1"/>
  <c r="T38" i="4"/>
  <c r="S38" i="4"/>
  <c r="AS38" i="11" s="1"/>
  <c r="R38" i="4"/>
  <c r="Q38" i="4"/>
  <c r="P38" i="4"/>
  <c r="AP38" i="11" s="1"/>
  <c r="O38" i="4"/>
  <c r="AO38" i="11" s="1"/>
  <c r="N38" i="4"/>
  <c r="AN38" i="11" s="1"/>
  <c r="M38" i="4"/>
  <c r="AM38" i="11" s="1"/>
  <c r="L38" i="4"/>
  <c r="AL38" i="11" s="1"/>
  <c r="K38" i="4"/>
  <c r="AK38" i="11" s="1"/>
  <c r="J38" i="4"/>
  <c r="AJ38" i="11" s="1"/>
  <c r="I38" i="4"/>
  <c r="AI38" i="11" s="1"/>
  <c r="H38" i="4"/>
  <c r="AH38" i="11" s="1"/>
  <c r="G38" i="4"/>
  <c r="AG38" i="11" s="1"/>
  <c r="F38" i="4"/>
  <c r="AF38" i="11" s="1"/>
  <c r="E38" i="4"/>
  <c r="AE38" i="11" s="1"/>
  <c r="D38" i="4"/>
  <c r="AD38" i="11" s="1"/>
  <c r="C38" i="4"/>
  <c r="AC38" i="11" s="1"/>
  <c r="B38" i="4"/>
  <c r="AB38" i="11" s="1"/>
  <c r="U37" i="4"/>
  <c r="AU37" i="11" s="1"/>
  <c r="T37" i="4"/>
  <c r="S37" i="4"/>
  <c r="AS37" i="11" s="1"/>
  <c r="R37" i="4"/>
  <c r="Q37" i="4"/>
  <c r="P37" i="4"/>
  <c r="AP37" i="11" s="1"/>
  <c r="O37" i="4"/>
  <c r="AO37" i="11" s="1"/>
  <c r="N37" i="4"/>
  <c r="AN37" i="11" s="1"/>
  <c r="M37" i="4"/>
  <c r="AM37" i="11" s="1"/>
  <c r="L37" i="4"/>
  <c r="AL37" i="11" s="1"/>
  <c r="K37" i="4"/>
  <c r="AK37" i="11" s="1"/>
  <c r="J37" i="4"/>
  <c r="AJ37" i="11" s="1"/>
  <c r="I37" i="4"/>
  <c r="AI37" i="11" s="1"/>
  <c r="H37" i="4"/>
  <c r="AH37" i="11" s="1"/>
  <c r="G37" i="4"/>
  <c r="AG37" i="11" s="1"/>
  <c r="F37" i="4"/>
  <c r="AF37" i="11" s="1"/>
  <c r="E37" i="4"/>
  <c r="AE37" i="11" s="1"/>
  <c r="D37" i="4"/>
  <c r="AD37" i="11" s="1"/>
  <c r="C37" i="4"/>
  <c r="AC37" i="11" s="1"/>
  <c r="B37" i="4"/>
  <c r="AB37" i="11" s="1"/>
  <c r="U36" i="4"/>
  <c r="AU36" i="11" s="1"/>
  <c r="T36" i="4"/>
  <c r="S36" i="4"/>
  <c r="AS36" i="11" s="1"/>
  <c r="R36" i="4"/>
  <c r="Q36" i="4"/>
  <c r="P36" i="4"/>
  <c r="AP36" i="11" s="1"/>
  <c r="O36" i="4"/>
  <c r="AO36" i="11" s="1"/>
  <c r="N36" i="4"/>
  <c r="AN36" i="11" s="1"/>
  <c r="M36" i="4"/>
  <c r="AM36" i="11" s="1"/>
  <c r="L36" i="4"/>
  <c r="AL36" i="11" s="1"/>
  <c r="K36" i="4"/>
  <c r="AK36" i="11" s="1"/>
  <c r="J36" i="4"/>
  <c r="AJ36" i="11" s="1"/>
  <c r="I36" i="4"/>
  <c r="AI36" i="11" s="1"/>
  <c r="H36" i="4"/>
  <c r="AH36" i="11" s="1"/>
  <c r="G36" i="4"/>
  <c r="AG36" i="11" s="1"/>
  <c r="F36" i="4"/>
  <c r="AF36" i="11" s="1"/>
  <c r="E36" i="4"/>
  <c r="AE36" i="11" s="1"/>
  <c r="D36" i="4"/>
  <c r="AD36" i="11" s="1"/>
  <c r="C36" i="4"/>
  <c r="AC36" i="11" s="1"/>
  <c r="B36" i="4"/>
  <c r="AB36" i="11" s="1"/>
  <c r="U35" i="4"/>
  <c r="AU35" i="11" s="1"/>
  <c r="T35" i="4"/>
  <c r="S35" i="4"/>
  <c r="AS35" i="11" s="1"/>
  <c r="R35" i="4"/>
  <c r="Q35" i="4"/>
  <c r="P35" i="4"/>
  <c r="AP35" i="11" s="1"/>
  <c r="O35" i="4"/>
  <c r="AO35" i="11" s="1"/>
  <c r="N35" i="4"/>
  <c r="AN35" i="11" s="1"/>
  <c r="M35" i="4"/>
  <c r="AM35" i="11" s="1"/>
  <c r="L35" i="4"/>
  <c r="AL35" i="11" s="1"/>
  <c r="K35" i="4"/>
  <c r="AK35" i="11" s="1"/>
  <c r="J35" i="4"/>
  <c r="AJ35" i="11" s="1"/>
  <c r="I35" i="4"/>
  <c r="AI35" i="11" s="1"/>
  <c r="H35" i="4"/>
  <c r="AH35" i="11" s="1"/>
  <c r="G35" i="4"/>
  <c r="AG35" i="11" s="1"/>
  <c r="F35" i="4"/>
  <c r="AF35" i="11" s="1"/>
  <c r="E35" i="4"/>
  <c r="AE35" i="11" s="1"/>
  <c r="D35" i="4"/>
  <c r="AD35" i="11" s="1"/>
  <c r="C35" i="4"/>
  <c r="AC35" i="11" s="1"/>
  <c r="B35" i="4"/>
  <c r="AB35" i="11" s="1"/>
  <c r="U34" i="4"/>
  <c r="AU34" i="11" s="1"/>
  <c r="T34" i="4"/>
  <c r="S34" i="4"/>
  <c r="AS34" i="11" s="1"/>
  <c r="R34" i="4"/>
  <c r="Q34" i="4"/>
  <c r="P34" i="4"/>
  <c r="AP34" i="11" s="1"/>
  <c r="O34" i="4"/>
  <c r="AO34" i="11" s="1"/>
  <c r="N34" i="4"/>
  <c r="AN34" i="11" s="1"/>
  <c r="M34" i="4"/>
  <c r="AM34" i="11" s="1"/>
  <c r="L34" i="4"/>
  <c r="AL34" i="11" s="1"/>
  <c r="K34" i="4"/>
  <c r="AK34" i="11" s="1"/>
  <c r="J34" i="4"/>
  <c r="AJ34" i="11" s="1"/>
  <c r="I34" i="4"/>
  <c r="AI34" i="11" s="1"/>
  <c r="H34" i="4"/>
  <c r="AH34" i="11" s="1"/>
  <c r="G34" i="4"/>
  <c r="AG34" i="11" s="1"/>
  <c r="F34" i="4"/>
  <c r="AF34" i="11" s="1"/>
  <c r="E34" i="4"/>
  <c r="AE34" i="11" s="1"/>
  <c r="D34" i="4"/>
  <c r="AD34" i="11" s="1"/>
  <c r="C34" i="4"/>
  <c r="AC34" i="11" s="1"/>
  <c r="B34" i="4"/>
  <c r="AB34" i="11" s="1"/>
  <c r="U33" i="4"/>
  <c r="AU33" i="11" s="1"/>
  <c r="T33" i="4"/>
  <c r="S33" i="4"/>
  <c r="AS33" i="11" s="1"/>
  <c r="R33" i="4"/>
  <c r="Q33" i="4"/>
  <c r="P33" i="4"/>
  <c r="AP33" i="11" s="1"/>
  <c r="O33" i="4"/>
  <c r="AO33" i="11" s="1"/>
  <c r="N33" i="4"/>
  <c r="AN33" i="11" s="1"/>
  <c r="M33" i="4"/>
  <c r="AM33" i="11" s="1"/>
  <c r="L33" i="4"/>
  <c r="AL33" i="11" s="1"/>
  <c r="K33" i="4"/>
  <c r="AK33" i="11" s="1"/>
  <c r="J33" i="4"/>
  <c r="AJ33" i="11" s="1"/>
  <c r="I33" i="4"/>
  <c r="AI33" i="11" s="1"/>
  <c r="H33" i="4"/>
  <c r="AH33" i="11" s="1"/>
  <c r="G33" i="4"/>
  <c r="AG33" i="11" s="1"/>
  <c r="F33" i="4"/>
  <c r="AF33" i="11" s="1"/>
  <c r="E33" i="4"/>
  <c r="AE33" i="11" s="1"/>
  <c r="D33" i="4"/>
  <c r="AD33" i="11" s="1"/>
  <c r="C33" i="4"/>
  <c r="AC33" i="11" s="1"/>
  <c r="B33" i="4"/>
  <c r="AB33" i="11" s="1"/>
  <c r="U32" i="4"/>
  <c r="AU32" i="11" s="1"/>
  <c r="T32" i="4"/>
  <c r="S32" i="4"/>
  <c r="AS32" i="11" s="1"/>
  <c r="R32" i="4"/>
  <c r="Q32" i="4"/>
  <c r="P32" i="4"/>
  <c r="AP32" i="11" s="1"/>
  <c r="O32" i="4"/>
  <c r="AO32" i="11" s="1"/>
  <c r="N32" i="4"/>
  <c r="AN32" i="11" s="1"/>
  <c r="M32" i="4"/>
  <c r="AM32" i="11" s="1"/>
  <c r="L32" i="4"/>
  <c r="AL32" i="11" s="1"/>
  <c r="K32" i="4"/>
  <c r="AK32" i="11" s="1"/>
  <c r="J32" i="4"/>
  <c r="AJ32" i="11" s="1"/>
  <c r="I32" i="4"/>
  <c r="AI32" i="11" s="1"/>
  <c r="H32" i="4"/>
  <c r="AH32" i="11" s="1"/>
  <c r="G32" i="4"/>
  <c r="AG32" i="11" s="1"/>
  <c r="F32" i="4"/>
  <c r="AF32" i="11" s="1"/>
  <c r="E32" i="4"/>
  <c r="AE32" i="11" s="1"/>
  <c r="D32" i="4"/>
  <c r="AD32" i="11" s="1"/>
  <c r="C32" i="4"/>
  <c r="AC32" i="11" s="1"/>
  <c r="B32" i="4"/>
  <c r="AB32" i="11" s="1"/>
  <c r="U31" i="4"/>
  <c r="AU31" i="11" s="1"/>
  <c r="T31" i="4"/>
  <c r="S31" i="4"/>
  <c r="AS31" i="11" s="1"/>
  <c r="R31" i="4"/>
  <c r="Q31" i="4"/>
  <c r="P31" i="4"/>
  <c r="AP31" i="11" s="1"/>
  <c r="O31" i="4"/>
  <c r="AO31" i="11" s="1"/>
  <c r="N31" i="4"/>
  <c r="AN31" i="11" s="1"/>
  <c r="M31" i="4"/>
  <c r="AM31" i="11" s="1"/>
  <c r="L31" i="4"/>
  <c r="AL31" i="11" s="1"/>
  <c r="K31" i="4"/>
  <c r="AK31" i="11" s="1"/>
  <c r="J31" i="4"/>
  <c r="AJ31" i="11" s="1"/>
  <c r="I31" i="4"/>
  <c r="AI31" i="11" s="1"/>
  <c r="H31" i="4"/>
  <c r="AH31" i="11" s="1"/>
  <c r="G31" i="4"/>
  <c r="AG31" i="11" s="1"/>
  <c r="F31" i="4"/>
  <c r="AF31" i="11" s="1"/>
  <c r="E31" i="4"/>
  <c r="AE31" i="11" s="1"/>
  <c r="D31" i="4"/>
  <c r="AD31" i="11" s="1"/>
  <c r="C31" i="4"/>
  <c r="AC31" i="11" s="1"/>
  <c r="B31" i="4"/>
  <c r="AB31" i="11" s="1"/>
  <c r="U30" i="4"/>
  <c r="AU30" i="11" s="1"/>
  <c r="T30" i="4"/>
  <c r="S30" i="4"/>
  <c r="AS30" i="11" s="1"/>
  <c r="R30" i="4"/>
  <c r="Q30" i="4"/>
  <c r="P30" i="4"/>
  <c r="AP30" i="11" s="1"/>
  <c r="O30" i="4"/>
  <c r="AO30" i="11" s="1"/>
  <c r="N30" i="4"/>
  <c r="AN30" i="11" s="1"/>
  <c r="M30" i="4"/>
  <c r="AM30" i="11" s="1"/>
  <c r="L30" i="4"/>
  <c r="AL30" i="11" s="1"/>
  <c r="K30" i="4"/>
  <c r="AK30" i="11" s="1"/>
  <c r="J30" i="4"/>
  <c r="AJ30" i="11" s="1"/>
  <c r="I30" i="4"/>
  <c r="AI30" i="11" s="1"/>
  <c r="H30" i="4"/>
  <c r="AH30" i="11" s="1"/>
  <c r="G30" i="4"/>
  <c r="AG30" i="11" s="1"/>
  <c r="F30" i="4"/>
  <c r="AF30" i="11" s="1"/>
  <c r="E30" i="4"/>
  <c r="AE30" i="11" s="1"/>
  <c r="D30" i="4"/>
  <c r="AD30" i="11" s="1"/>
  <c r="C30" i="4"/>
  <c r="AC30" i="11" s="1"/>
  <c r="B30" i="4"/>
  <c r="AB30" i="11" s="1"/>
  <c r="U29" i="4"/>
  <c r="AU29" i="11" s="1"/>
  <c r="T29" i="4"/>
  <c r="S29" i="4"/>
  <c r="AS29" i="11" s="1"/>
  <c r="R29" i="4"/>
  <c r="Q29" i="4"/>
  <c r="P29" i="4"/>
  <c r="AP29" i="11" s="1"/>
  <c r="O29" i="4"/>
  <c r="AO29" i="11" s="1"/>
  <c r="N29" i="4"/>
  <c r="AN29" i="11" s="1"/>
  <c r="M29" i="4"/>
  <c r="AM29" i="11" s="1"/>
  <c r="L29" i="4"/>
  <c r="AL29" i="11" s="1"/>
  <c r="K29" i="4"/>
  <c r="AK29" i="11" s="1"/>
  <c r="J29" i="4"/>
  <c r="AJ29" i="11" s="1"/>
  <c r="I29" i="4"/>
  <c r="AI29" i="11" s="1"/>
  <c r="H29" i="4"/>
  <c r="AH29" i="11" s="1"/>
  <c r="G29" i="4"/>
  <c r="AG29" i="11" s="1"/>
  <c r="F29" i="4"/>
  <c r="AF29" i="11" s="1"/>
  <c r="E29" i="4"/>
  <c r="AE29" i="11" s="1"/>
  <c r="D29" i="4"/>
  <c r="AD29" i="11" s="1"/>
  <c r="C29" i="4"/>
  <c r="AC29" i="11" s="1"/>
  <c r="B29" i="4"/>
  <c r="AB29" i="11" s="1"/>
  <c r="U28" i="4"/>
  <c r="AU28" i="11" s="1"/>
  <c r="T28" i="4"/>
  <c r="S28" i="4"/>
  <c r="AS28" i="11" s="1"/>
  <c r="R28" i="4"/>
  <c r="Q28" i="4"/>
  <c r="P28" i="4"/>
  <c r="AP28" i="11" s="1"/>
  <c r="O28" i="4"/>
  <c r="AO28" i="11" s="1"/>
  <c r="N28" i="4"/>
  <c r="AN28" i="11" s="1"/>
  <c r="M28" i="4"/>
  <c r="AM28" i="11" s="1"/>
  <c r="L28" i="4"/>
  <c r="AL28" i="11" s="1"/>
  <c r="K28" i="4"/>
  <c r="AK28" i="11" s="1"/>
  <c r="J28" i="4"/>
  <c r="AJ28" i="11" s="1"/>
  <c r="I28" i="4"/>
  <c r="AI28" i="11" s="1"/>
  <c r="H28" i="4"/>
  <c r="AH28" i="11" s="1"/>
  <c r="G28" i="4"/>
  <c r="AG28" i="11" s="1"/>
  <c r="F28" i="4"/>
  <c r="AF28" i="11" s="1"/>
  <c r="E28" i="4"/>
  <c r="AE28" i="11" s="1"/>
  <c r="D28" i="4"/>
  <c r="AD28" i="11" s="1"/>
  <c r="C28" i="4"/>
  <c r="AC28" i="11" s="1"/>
  <c r="B28" i="4"/>
  <c r="AB28" i="11" s="1"/>
  <c r="U27" i="4"/>
  <c r="AU27" i="11" s="1"/>
  <c r="T27" i="4"/>
  <c r="S27" i="4"/>
  <c r="AS27" i="11" s="1"/>
  <c r="R27" i="4"/>
  <c r="Q27" i="4"/>
  <c r="P27" i="4"/>
  <c r="AP27" i="11" s="1"/>
  <c r="O27" i="4"/>
  <c r="AO27" i="11" s="1"/>
  <c r="N27" i="4"/>
  <c r="AN27" i="11" s="1"/>
  <c r="M27" i="4"/>
  <c r="AM27" i="11" s="1"/>
  <c r="L27" i="4"/>
  <c r="AL27" i="11" s="1"/>
  <c r="K27" i="4"/>
  <c r="AK27" i="11" s="1"/>
  <c r="J27" i="4"/>
  <c r="AJ27" i="11" s="1"/>
  <c r="I27" i="4"/>
  <c r="AI27" i="11" s="1"/>
  <c r="H27" i="4"/>
  <c r="AH27" i="11" s="1"/>
  <c r="G27" i="4"/>
  <c r="AG27" i="11" s="1"/>
  <c r="F27" i="4"/>
  <c r="AF27" i="11" s="1"/>
  <c r="E27" i="4"/>
  <c r="AE27" i="11" s="1"/>
  <c r="D27" i="4"/>
  <c r="AD27" i="11" s="1"/>
  <c r="C27" i="4"/>
  <c r="AC27" i="11" s="1"/>
  <c r="B27" i="4"/>
  <c r="AB27" i="11" s="1"/>
  <c r="U26" i="4"/>
  <c r="T26" i="4"/>
  <c r="S26" i="4"/>
  <c r="R26" i="4"/>
  <c r="Q26" i="4"/>
  <c r="P26" i="4"/>
  <c r="O26" i="4"/>
  <c r="N26" i="4"/>
  <c r="M26" i="4"/>
  <c r="L26" i="4"/>
  <c r="K26" i="4"/>
  <c r="J26" i="4"/>
  <c r="I26" i="4"/>
  <c r="H26" i="4"/>
  <c r="G26" i="4"/>
  <c r="F26" i="4"/>
  <c r="E26" i="4"/>
  <c r="D26" i="4"/>
  <c r="C26" i="4"/>
  <c r="B26" i="4"/>
  <c r="U24" i="4"/>
  <c r="AU24" i="11" s="1"/>
  <c r="T24" i="4"/>
  <c r="S24" i="4"/>
  <c r="AS24" i="11" s="1"/>
  <c r="R24" i="4"/>
  <c r="Q24" i="4"/>
  <c r="P24" i="4"/>
  <c r="AP24" i="11" s="1"/>
  <c r="O24" i="4"/>
  <c r="AO24" i="11" s="1"/>
  <c r="N24" i="4"/>
  <c r="AN24" i="11" s="1"/>
  <c r="M24" i="4"/>
  <c r="AM24" i="11" s="1"/>
  <c r="L24" i="4"/>
  <c r="AL24" i="11" s="1"/>
  <c r="K24" i="4"/>
  <c r="AK24" i="11" s="1"/>
  <c r="J24" i="4"/>
  <c r="I24" i="4"/>
  <c r="AI24" i="11" s="1"/>
  <c r="H24" i="4"/>
  <c r="G24" i="4"/>
  <c r="F24" i="4"/>
  <c r="AF24" i="11" s="1"/>
  <c r="E24" i="4"/>
  <c r="D24" i="4"/>
  <c r="AD24" i="11" s="1"/>
  <c r="C24" i="4"/>
  <c r="AC24" i="11" s="1"/>
  <c r="B24" i="4"/>
  <c r="AB24" i="11" s="1"/>
  <c r="U23" i="4"/>
  <c r="AU23" i="11" s="1"/>
  <c r="T23" i="4"/>
  <c r="S23" i="4"/>
  <c r="AS23" i="11" s="1"/>
  <c r="R23" i="4"/>
  <c r="Q23" i="4"/>
  <c r="P23" i="4"/>
  <c r="AP23" i="11" s="1"/>
  <c r="O23" i="4"/>
  <c r="AO23" i="11" s="1"/>
  <c r="N23" i="4"/>
  <c r="AN23" i="11" s="1"/>
  <c r="M23" i="4"/>
  <c r="AM23" i="11" s="1"/>
  <c r="L23" i="4"/>
  <c r="AL23" i="11" s="1"/>
  <c r="K23" i="4"/>
  <c r="AK23" i="11" s="1"/>
  <c r="J23" i="4"/>
  <c r="I23" i="4"/>
  <c r="AI23" i="11" s="1"/>
  <c r="H23" i="4"/>
  <c r="G23" i="4"/>
  <c r="F23" i="4"/>
  <c r="AF23" i="11" s="1"/>
  <c r="E23" i="4"/>
  <c r="D23" i="4"/>
  <c r="AD23" i="11" s="1"/>
  <c r="C23" i="4"/>
  <c r="AC23" i="11" s="1"/>
  <c r="B23" i="4"/>
  <c r="AB23" i="11" s="1"/>
  <c r="U22" i="4"/>
  <c r="AU22" i="11" s="1"/>
  <c r="T22" i="4"/>
  <c r="S22" i="4"/>
  <c r="AS22" i="11" s="1"/>
  <c r="R22" i="4"/>
  <c r="Q22" i="4"/>
  <c r="P22" i="4"/>
  <c r="AP22" i="11" s="1"/>
  <c r="O22" i="4"/>
  <c r="AO22" i="11" s="1"/>
  <c r="N22" i="4"/>
  <c r="AN22" i="11" s="1"/>
  <c r="M22" i="4"/>
  <c r="AM22" i="11" s="1"/>
  <c r="L22" i="4"/>
  <c r="AL22" i="11" s="1"/>
  <c r="K22" i="4"/>
  <c r="AK22" i="11" s="1"/>
  <c r="J22" i="4"/>
  <c r="I22" i="4"/>
  <c r="AI22" i="11" s="1"/>
  <c r="H22" i="4"/>
  <c r="G22" i="4"/>
  <c r="F22" i="4"/>
  <c r="AF22" i="11" s="1"/>
  <c r="E22" i="4"/>
  <c r="D22" i="4"/>
  <c r="AD22" i="11" s="1"/>
  <c r="C22" i="4"/>
  <c r="AC22" i="11" s="1"/>
  <c r="B22" i="4"/>
  <c r="AB22" i="11" s="1"/>
  <c r="U21" i="4"/>
  <c r="AU21" i="11" s="1"/>
  <c r="T21" i="4"/>
  <c r="S21" i="4"/>
  <c r="AS21" i="11" s="1"/>
  <c r="R21" i="4"/>
  <c r="Q21" i="4"/>
  <c r="P21" i="4"/>
  <c r="AP21" i="11" s="1"/>
  <c r="O21" i="4"/>
  <c r="AO21" i="11" s="1"/>
  <c r="N21" i="4"/>
  <c r="AN21" i="11" s="1"/>
  <c r="M21" i="4"/>
  <c r="AM21" i="11" s="1"/>
  <c r="L21" i="4"/>
  <c r="AL21" i="11" s="1"/>
  <c r="K21" i="4"/>
  <c r="AK21" i="11" s="1"/>
  <c r="J21" i="4"/>
  <c r="I21" i="4"/>
  <c r="AI21" i="11" s="1"/>
  <c r="H21" i="4"/>
  <c r="G21" i="4"/>
  <c r="F21" i="4"/>
  <c r="AF21" i="11" s="1"/>
  <c r="E21" i="4"/>
  <c r="D21" i="4"/>
  <c r="AD21" i="11" s="1"/>
  <c r="C21" i="4"/>
  <c r="AC21" i="11" s="1"/>
  <c r="B21" i="4"/>
  <c r="AB21" i="11" s="1"/>
  <c r="U20" i="4"/>
  <c r="AU20" i="11" s="1"/>
  <c r="T20" i="4"/>
  <c r="S20" i="4"/>
  <c r="AS20" i="11" s="1"/>
  <c r="R20" i="4"/>
  <c r="Q20" i="4"/>
  <c r="P20" i="4"/>
  <c r="AP20" i="11" s="1"/>
  <c r="O20" i="4"/>
  <c r="AO20" i="11" s="1"/>
  <c r="N20" i="4"/>
  <c r="AN20" i="11" s="1"/>
  <c r="M20" i="4"/>
  <c r="AM20" i="11" s="1"/>
  <c r="L20" i="4"/>
  <c r="AL20" i="11" s="1"/>
  <c r="K20" i="4"/>
  <c r="AK20" i="11" s="1"/>
  <c r="J20" i="4"/>
  <c r="I20" i="4"/>
  <c r="AI20" i="11" s="1"/>
  <c r="H20" i="4"/>
  <c r="G20" i="4"/>
  <c r="F20" i="4"/>
  <c r="AF20" i="11" s="1"/>
  <c r="E20" i="4"/>
  <c r="D20" i="4"/>
  <c r="AD20" i="11" s="1"/>
  <c r="C20" i="4"/>
  <c r="AC20" i="11" s="1"/>
  <c r="B20" i="4"/>
  <c r="AB20" i="11" s="1"/>
  <c r="U19" i="4"/>
  <c r="AU19" i="11" s="1"/>
  <c r="T19" i="4"/>
  <c r="S19" i="4"/>
  <c r="AS19" i="11" s="1"/>
  <c r="R19" i="4"/>
  <c r="Q19" i="4"/>
  <c r="P19" i="4"/>
  <c r="AP19" i="11" s="1"/>
  <c r="O19" i="4"/>
  <c r="AO19" i="11" s="1"/>
  <c r="N19" i="4"/>
  <c r="AN19" i="11" s="1"/>
  <c r="M19" i="4"/>
  <c r="AM19" i="11" s="1"/>
  <c r="L19" i="4"/>
  <c r="AL19" i="11" s="1"/>
  <c r="K19" i="4"/>
  <c r="AK19" i="11" s="1"/>
  <c r="J19" i="4"/>
  <c r="I19" i="4"/>
  <c r="AI19" i="11" s="1"/>
  <c r="H19" i="4"/>
  <c r="G19" i="4"/>
  <c r="F19" i="4"/>
  <c r="AF19" i="11" s="1"/>
  <c r="E19" i="4"/>
  <c r="D19" i="4"/>
  <c r="AD19" i="11" s="1"/>
  <c r="C19" i="4"/>
  <c r="AC19" i="11" s="1"/>
  <c r="B19" i="4"/>
  <c r="AB19" i="11" s="1"/>
  <c r="U18" i="4"/>
  <c r="AU18" i="11" s="1"/>
  <c r="T18" i="4"/>
  <c r="S18" i="4"/>
  <c r="AS18" i="11" s="1"/>
  <c r="R18" i="4"/>
  <c r="Q18" i="4"/>
  <c r="P18" i="4"/>
  <c r="AP18" i="11" s="1"/>
  <c r="O18" i="4"/>
  <c r="AO18" i="11" s="1"/>
  <c r="N18" i="4"/>
  <c r="AN18" i="11" s="1"/>
  <c r="M18" i="4"/>
  <c r="AM18" i="11" s="1"/>
  <c r="L18" i="4"/>
  <c r="AL18" i="11" s="1"/>
  <c r="K18" i="4"/>
  <c r="AK18" i="11" s="1"/>
  <c r="J18" i="4"/>
  <c r="I18" i="4"/>
  <c r="AI18" i="11" s="1"/>
  <c r="H18" i="4"/>
  <c r="G18" i="4"/>
  <c r="F18" i="4"/>
  <c r="AF18" i="11" s="1"/>
  <c r="E18" i="4"/>
  <c r="D18" i="4"/>
  <c r="AD18" i="11" s="1"/>
  <c r="C18" i="4"/>
  <c r="AC18" i="11" s="1"/>
  <c r="B18" i="4"/>
  <c r="AB18" i="11" s="1"/>
  <c r="U17" i="4"/>
  <c r="AU17" i="11" s="1"/>
  <c r="T17" i="4"/>
  <c r="S17" i="4"/>
  <c r="AS17" i="11" s="1"/>
  <c r="R17" i="4"/>
  <c r="Q17" i="4"/>
  <c r="P17" i="4"/>
  <c r="AP17" i="11" s="1"/>
  <c r="O17" i="4"/>
  <c r="AO17" i="11" s="1"/>
  <c r="N17" i="4"/>
  <c r="AN17" i="11" s="1"/>
  <c r="M17" i="4"/>
  <c r="AM17" i="11" s="1"/>
  <c r="L17" i="4"/>
  <c r="AL17" i="11" s="1"/>
  <c r="K17" i="4"/>
  <c r="AK17" i="11" s="1"/>
  <c r="J17" i="4"/>
  <c r="I17" i="4"/>
  <c r="AI17" i="11" s="1"/>
  <c r="H17" i="4"/>
  <c r="G17" i="4"/>
  <c r="F17" i="4"/>
  <c r="AF17" i="11" s="1"/>
  <c r="E17" i="4"/>
  <c r="D17" i="4"/>
  <c r="AD17" i="11" s="1"/>
  <c r="C17" i="4"/>
  <c r="AC17" i="11" s="1"/>
  <c r="B17" i="4"/>
  <c r="AB17" i="11" s="1"/>
  <c r="U16" i="4"/>
  <c r="AU16" i="11" s="1"/>
  <c r="T16" i="4"/>
  <c r="S16" i="4"/>
  <c r="AS16" i="11" s="1"/>
  <c r="R16" i="4"/>
  <c r="Q16" i="4"/>
  <c r="P16" i="4"/>
  <c r="AP16" i="11" s="1"/>
  <c r="O16" i="4"/>
  <c r="AO16" i="11" s="1"/>
  <c r="N16" i="4"/>
  <c r="AN16" i="11" s="1"/>
  <c r="M16" i="4"/>
  <c r="AM16" i="11" s="1"/>
  <c r="L16" i="4"/>
  <c r="AL16" i="11" s="1"/>
  <c r="K16" i="4"/>
  <c r="AK16" i="11" s="1"/>
  <c r="J16" i="4"/>
  <c r="I16" i="4"/>
  <c r="AI16" i="11" s="1"/>
  <c r="H16" i="4"/>
  <c r="G16" i="4"/>
  <c r="F16" i="4"/>
  <c r="AF16" i="11" s="1"/>
  <c r="E16" i="4"/>
  <c r="D16" i="4"/>
  <c r="C16" i="4"/>
  <c r="AC16" i="11" s="1"/>
  <c r="B16" i="4"/>
  <c r="AB16" i="11" s="1"/>
  <c r="U15" i="4"/>
  <c r="AU15" i="11" s="1"/>
  <c r="T15" i="4"/>
  <c r="S15" i="4"/>
  <c r="AS15" i="11" s="1"/>
  <c r="R15" i="4"/>
  <c r="Q15" i="4"/>
  <c r="P15" i="4"/>
  <c r="AP15" i="11" s="1"/>
  <c r="O15" i="4"/>
  <c r="AO15" i="11" s="1"/>
  <c r="N15" i="4"/>
  <c r="AN15" i="11" s="1"/>
  <c r="M15" i="4"/>
  <c r="AM15" i="11" s="1"/>
  <c r="L15" i="4"/>
  <c r="AL15" i="11" s="1"/>
  <c r="K15" i="4"/>
  <c r="AK15" i="11" s="1"/>
  <c r="J15" i="4"/>
  <c r="I15" i="4"/>
  <c r="AI15" i="11" s="1"/>
  <c r="H15" i="4"/>
  <c r="G15" i="4"/>
  <c r="F15" i="4"/>
  <c r="AF15" i="11" s="1"/>
  <c r="E15" i="4"/>
  <c r="D15" i="4"/>
  <c r="AD15" i="11" s="1"/>
  <c r="C15" i="4"/>
  <c r="AC15" i="11" s="1"/>
  <c r="B15" i="4"/>
  <c r="AB15" i="11" s="1"/>
  <c r="U14" i="4"/>
  <c r="AU14" i="11" s="1"/>
  <c r="T14" i="4"/>
  <c r="S14" i="4"/>
  <c r="AS14" i="11" s="1"/>
  <c r="R14" i="4"/>
  <c r="Q14" i="4"/>
  <c r="P14" i="4"/>
  <c r="AP14" i="11" s="1"/>
  <c r="O14" i="4"/>
  <c r="AO14" i="11" s="1"/>
  <c r="N14" i="4"/>
  <c r="AN14" i="11" s="1"/>
  <c r="M14" i="4"/>
  <c r="AM14" i="11" s="1"/>
  <c r="L14" i="4"/>
  <c r="AL14" i="11" s="1"/>
  <c r="K14" i="4"/>
  <c r="AK14" i="11" s="1"/>
  <c r="J14" i="4"/>
  <c r="I14" i="4"/>
  <c r="AI14" i="11" s="1"/>
  <c r="H14" i="4"/>
  <c r="G14" i="4"/>
  <c r="F14" i="4"/>
  <c r="AF14" i="11" s="1"/>
  <c r="E14" i="4"/>
  <c r="D14" i="4"/>
  <c r="AD14" i="11" s="1"/>
  <c r="C14" i="4"/>
  <c r="AC14" i="11" s="1"/>
  <c r="B14" i="4"/>
  <c r="AB14" i="11" s="1"/>
  <c r="U13" i="4"/>
  <c r="AU13" i="11" s="1"/>
  <c r="T13" i="4"/>
  <c r="S13" i="4"/>
  <c r="AS13" i="11" s="1"/>
  <c r="R13" i="4"/>
  <c r="Q13" i="4"/>
  <c r="P13" i="4"/>
  <c r="AP13" i="11" s="1"/>
  <c r="O13" i="4"/>
  <c r="AO13" i="11" s="1"/>
  <c r="N13" i="4"/>
  <c r="AN13" i="11" s="1"/>
  <c r="M13" i="4"/>
  <c r="AM13" i="11" s="1"/>
  <c r="L13" i="4"/>
  <c r="AL13" i="11" s="1"/>
  <c r="K13" i="4"/>
  <c r="AK13" i="11" s="1"/>
  <c r="J13" i="4"/>
  <c r="I13" i="4"/>
  <c r="AI13" i="11" s="1"/>
  <c r="H13" i="4"/>
  <c r="AH13" i="11" s="1"/>
  <c r="G13" i="4"/>
  <c r="F13" i="4"/>
  <c r="AF13" i="11" s="1"/>
  <c r="E13" i="4"/>
  <c r="D13" i="4"/>
  <c r="AD13" i="11" s="1"/>
  <c r="C13" i="4"/>
  <c r="AC13" i="11" s="1"/>
  <c r="B13" i="4"/>
  <c r="AB13" i="11" s="1"/>
  <c r="U12" i="4"/>
  <c r="AU12" i="11" s="1"/>
  <c r="T12" i="4"/>
  <c r="S12" i="4"/>
  <c r="AS12" i="11" s="1"/>
  <c r="R12" i="4"/>
  <c r="Q12" i="4"/>
  <c r="P12" i="4"/>
  <c r="AP12" i="11" s="1"/>
  <c r="O12" i="4"/>
  <c r="AO12" i="11" s="1"/>
  <c r="N12" i="4"/>
  <c r="AN12" i="11" s="1"/>
  <c r="M12" i="4"/>
  <c r="AM12" i="11" s="1"/>
  <c r="L12" i="4"/>
  <c r="AL12" i="11" s="1"/>
  <c r="K12" i="4"/>
  <c r="AK12" i="11" s="1"/>
  <c r="J12" i="4"/>
  <c r="I12" i="4"/>
  <c r="AI12" i="11" s="1"/>
  <c r="H12" i="4"/>
  <c r="G12" i="4"/>
  <c r="F12" i="4"/>
  <c r="AF12" i="11" s="1"/>
  <c r="E12" i="4"/>
  <c r="D12" i="4"/>
  <c r="AD12" i="11" s="1"/>
  <c r="C12" i="4"/>
  <c r="AC12" i="11" s="1"/>
  <c r="B12" i="4"/>
  <c r="AB12" i="11" s="1"/>
  <c r="U11" i="4"/>
  <c r="AU11" i="11" s="1"/>
  <c r="T11" i="4"/>
  <c r="S11" i="4"/>
  <c r="AS11" i="11" s="1"/>
  <c r="R11" i="4"/>
  <c r="Q11" i="4"/>
  <c r="P11" i="4"/>
  <c r="AP11" i="11" s="1"/>
  <c r="O11" i="4"/>
  <c r="AO11" i="11" s="1"/>
  <c r="N11" i="4"/>
  <c r="AN11" i="11" s="1"/>
  <c r="M11" i="4"/>
  <c r="AM11" i="11" s="1"/>
  <c r="L11" i="4"/>
  <c r="AL11" i="11" s="1"/>
  <c r="K11" i="4"/>
  <c r="AK11" i="11" s="1"/>
  <c r="J11" i="4"/>
  <c r="I11" i="4"/>
  <c r="AI11" i="11" s="1"/>
  <c r="H11" i="4"/>
  <c r="AH11" i="11" s="1"/>
  <c r="G11" i="4"/>
  <c r="AG11" i="11" s="1"/>
  <c r="F11" i="4"/>
  <c r="AF11" i="11" s="1"/>
  <c r="E11" i="4"/>
  <c r="AE11" i="11" s="1"/>
  <c r="D11" i="4"/>
  <c r="AD11" i="11" s="1"/>
  <c r="C11" i="4"/>
  <c r="AC11" i="11" s="1"/>
  <c r="B11" i="4"/>
  <c r="AB11" i="11" s="1"/>
  <c r="U10" i="4"/>
  <c r="AU10" i="11" s="1"/>
  <c r="T10" i="4"/>
  <c r="S10" i="4"/>
  <c r="AS10" i="11" s="1"/>
  <c r="R10" i="4"/>
  <c r="Q10" i="4"/>
  <c r="P10" i="4"/>
  <c r="AP10" i="11" s="1"/>
  <c r="O10" i="4"/>
  <c r="AO10" i="11" s="1"/>
  <c r="N10" i="4"/>
  <c r="AN10" i="11" s="1"/>
  <c r="M10" i="4"/>
  <c r="AM10" i="11" s="1"/>
  <c r="L10" i="4"/>
  <c r="AL10" i="11" s="1"/>
  <c r="K10" i="4"/>
  <c r="AK10" i="11" s="1"/>
  <c r="J10" i="4"/>
  <c r="I10" i="4"/>
  <c r="AI10" i="11" s="1"/>
  <c r="H10" i="4"/>
  <c r="G10" i="4"/>
  <c r="F10" i="4"/>
  <c r="AF10" i="11" s="1"/>
  <c r="E10" i="4"/>
  <c r="D10" i="4"/>
  <c r="AD10" i="11" s="1"/>
  <c r="C10" i="4"/>
  <c r="AC10" i="11" s="1"/>
  <c r="B10" i="4"/>
  <c r="AB10" i="11" s="1"/>
  <c r="U9" i="4"/>
  <c r="AU9" i="11" s="1"/>
  <c r="T9" i="4"/>
  <c r="S9" i="4"/>
  <c r="AS9" i="11" s="1"/>
  <c r="R9" i="4"/>
  <c r="Q9" i="4"/>
  <c r="P9" i="4"/>
  <c r="AP9" i="11" s="1"/>
  <c r="O9" i="4"/>
  <c r="AO9" i="11" s="1"/>
  <c r="N9" i="4"/>
  <c r="AN9" i="11" s="1"/>
  <c r="M9" i="4"/>
  <c r="AM9" i="11" s="1"/>
  <c r="L9" i="4"/>
  <c r="AL9" i="11" s="1"/>
  <c r="K9" i="4"/>
  <c r="AK9" i="11" s="1"/>
  <c r="J9" i="4"/>
  <c r="I9" i="4"/>
  <c r="AI9" i="11" s="1"/>
  <c r="H9" i="4"/>
  <c r="G9" i="4"/>
  <c r="F9" i="4"/>
  <c r="AF9" i="11" s="1"/>
  <c r="E9" i="4"/>
  <c r="D9" i="4"/>
  <c r="AD9" i="11" s="1"/>
  <c r="C9" i="4"/>
  <c r="AC9" i="11" s="1"/>
  <c r="B9" i="4"/>
  <c r="AB9" i="11" s="1"/>
  <c r="U8" i="4"/>
  <c r="T8" i="4"/>
  <c r="S8" i="4"/>
  <c r="R8" i="4"/>
  <c r="Q8" i="4"/>
  <c r="P8" i="4"/>
  <c r="O8" i="4"/>
  <c r="N8" i="4"/>
  <c r="M8" i="4"/>
  <c r="L8" i="4"/>
  <c r="K8" i="4"/>
  <c r="J8" i="4"/>
  <c r="I8" i="4"/>
  <c r="H8" i="4"/>
  <c r="G8" i="4"/>
  <c r="F8" i="4"/>
  <c r="E8" i="4"/>
  <c r="D8" i="4"/>
  <c r="C8" i="4"/>
  <c r="B8" i="4"/>
  <c r="U65" i="23"/>
  <c r="AU65" i="31" s="1"/>
  <c r="S65" i="23"/>
  <c r="AS65" i="31" s="1"/>
  <c r="R65" i="23"/>
  <c r="Q65" i="23"/>
  <c r="P65" i="23"/>
  <c r="AP65" i="31" s="1"/>
  <c r="O65" i="23"/>
  <c r="AO65" i="31" s="1"/>
  <c r="N65" i="23"/>
  <c r="AN65" i="31" s="1"/>
  <c r="M65" i="23"/>
  <c r="AM65" i="31" s="1"/>
  <c r="L65" i="23"/>
  <c r="AL65" i="31" s="1"/>
  <c r="K65" i="23"/>
  <c r="AK65" i="31" s="1"/>
  <c r="J65" i="23"/>
  <c r="AJ65" i="31" s="1"/>
  <c r="I65" i="23"/>
  <c r="AI65" i="31" s="1"/>
  <c r="H65" i="23"/>
  <c r="AH65" i="31" s="1"/>
  <c r="G65" i="23"/>
  <c r="AG65" i="31" s="1"/>
  <c r="F65" i="23"/>
  <c r="AF65" i="31" s="1"/>
  <c r="E65" i="23"/>
  <c r="AE65" i="31" s="1"/>
  <c r="D65" i="23"/>
  <c r="AD65" i="31" s="1"/>
  <c r="C65" i="23"/>
  <c r="AC65" i="31" s="1"/>
  <c r="B65" i="23"/>
  <c r="AB65" i="31" s="1"/>
  <c r="U64" i="23"/>
  <c r="AU64" i="31" s="1"/>
  <c r="T64" i="23"/>
  <c r="S64" i="23"/>
  <c r="AS64" i="31" s="1"/>
  <c r="R64" i="23"/>
  <c r="Q64" i="23"/>
  <c r="P64" i="23"/>
  <c r="AP64" i="31" s="1"/>
  <c r="O64" i="23"/>
  <c r="AO64" i="31" s="1"/>
  <c r="N64" i="23"/>
  <c r="AN64" i="31" s="1"/>
  <c r="M64" i="23"/>
  <c r="AM64" i="31" s="1"/>
  <c r="L64" i="23"/>
  <c r="AL64" i="31" s="1"/>
  <c r="K64" i="23"/>
  <c r="AK64" i="31" s="1"/>
  <c r="J64" i="23"/>
  <c r="AJ64" i="31" s="1"/>
  <c r="I64" i="23"/>
  <c r="AI64" i="31" s="1"/>
  <c r="H64" i="23"/>
  <c r="AH64" i="31" s="1"/>
  <c r="G64" i="23"/>
  <c r="AG64" i="31" s="1"/>
  <c r="F64" i="23"/>
  <c r="AF64" i="31" s="1"/>
  <c r="E64" i="23"/>
  <c r="AE64" i="31" s="1"/>
  <c r="D64" i="23"/>
  <c r="AD64" i="31" s="1"/>
  <c r="C64" i="23"/>
  <c r="AC64" i="31" s="1"/>
  <c r="B64" i="23"/>
  <c r="AB64" i="31" s="1"/>
  <c r="U63" i="23"/>
  <c r="AU63" i="31" s="1"/>
  <c r="T63" i="23"/>
  <c r="S63" i="23"/>
  <c r="AS63" i="31" s="1"/>
  <c r="R63" i="23"/>
  <c r="Q63" i="23"/>
  <c r="P63" i="23"/>
  <c r="AP63" i="31" s="1"/>
  <c r="O63" i="23"/>
  <c r="AO63" i="31" s="1"/>
  <c r="N63" i="23"/>
  <c r="AN63" i="31" s="1"/>
  <c r="M63" i="23"/>
  <c r="AM63" i="31" s="1"/>
  <c r="L63" i="23"/>
  <c r="AL63" i="31" s="1"/>
  <c r="K63" i="23"/>
  <c r="AK63" i="31" s="1"/>
  <c r="J63" i="23"/>
  <c r="AJ63" i="31" s="1"/>
  <c r="I63" i="23"/>
  <c r="AI63" i="31" s="1"/>
  <c r="H63" i="23"/>
  <c r="AH63" i="31" s="1"/>
  <c r="G63" i="23"/>
  <c r="AG63" i="31" s="1"/>
  <c r="F63" i="23"/>
  <c r="AF63" i="31" s="1"/>
  <c r="E63" i="23"/>
  <c r="AE63" i="31" s="1"/>
  <c r="D63" i="23"/>
  <c r="AD63" i="31" s="1"/>
  <c r="C63" i="23"/>
  <c r="AC63" i="31" s="1"/>
  <c r="B63" i="23"/>
  <c r="AB63" i="31" s="1"/>
  <c r="U62" i="23"/>
  <c r="AU62" i="31" s="1"/>
  <c r="T62" i="23"/>
  <c r="S62" i="23"/>
  <c r="AS62" i="31" s="1"/>
  <c r="R62" i="23"/>
  <c r="Q62" i="23"/>
  <c r="P62" i="23"/>
  <c r="AP62" i="31" s="1"/>
  <c r="O62" i="23"/>
  <c r="AO62" i="31" s="1"/>
  <c r="N62" i="23"/>
  <c r="AN62" i="31" s="1"/>
  <c r="M62" i="23"/>
  <c r="AM62" i="31" s="1"/>
  <c r="L62" i="23"/>
  <c r="AL62" i="31" s="1"/>
  <c r="K62" i="23"/>
  <c r="AK62" i="31" s="1"/>
  <c r="J62" i="23"/>
  <c r="AJ62" i="31" s="1"/>
  <c r="I62" i="23"/>
  <c r="AI62" i="31" s="1"/>
  <c r="H62" i="23"/>
  <c r="AH62" i="31" s="1"/>
  <c r="G62" i="23"/>
  <c r="AG62" i="31" s="1"/>
  <c r="F62" i="23"/>
  <c r="AF62" i="31" s="1"/>
  <c r="E62" i="23"/>
  <c r="AE62" i="31" s="1"/>
  <c r="D62" i="23"/>
  <c r="AD62" i="31" s="1"/>
  <c r="C62" i="23"/>
  <c r="AC62" i="31" s="1"/>
  <c r="B62" i="23"/>
  <c r="AB62" i="31" s="1"/>
  <c r="U61" i="23"/>
  <c r="AU61" i="31" s="1"/>
  <c r="T61" i="23"/>
  <c r="S61" i="23"/>
  <c r="AS61" i="31" s="1"/>
  <c r="R61" i="23"/>
  <c r="Q61" i="23"/>
  <c r="P61" i="23"/>
  <c r="AP61" i="31" s="1"/>
  <c r="O61" i="23"/>
  <c r="AO61" i="31" s="1"/>
  <c r="N61" i="23"/>
  <c r="AN61" i="31" s="1"/>
  <c r="M61" i="23"/>
  <c r="AM61" i="31" s="1"/>
  <c r="L61" i="23"/>
  <c r="AL61" i="31" s="1"/>
  <c r="K61" i="23"/>
  <c r="AK61" i="31" s="1"/>
  <c r="J61" i="23"/>
  <c r="AJ61" i="31" s="1"/>
  <c r="I61" i="23"/>
  <c r="AI61" i="31" s="1"/>
  <c r="H61" i="23"/>
  <c r="AH61" i="31" s="1"/>
  <c r="G61" i="23"/>
  <c r="AG61" i="31" s="1"/>
  <c r="F61" i="23"/>
  <c r="AF61" i="31" s="1"/>
  <c r="E61" i="23"/>
  <c r="AE61" i="31" s="1"/>
  <c r="D61" i="23"/>
  <c r="AD61" i="31" s="1"/>
  <c r="C61" i="23"/>
  <c r="AC61" i="31" s="1"/>
  <c r="B61" i="23"/>
  <c r="AB61" i="31" s="1"/>
  <c r="U60" i="23"/>
  <c r="AU60" i="31" s="1"/>
  <c r="T60" i="23"/>
  <c r="S60" i="23"/>
  <c r="AS60" i="31" s="1"/>
  <c r="R60" i="23"/>
  <c r="Q60" i="23"/>
  <c r="P60" i="23"/>
  <c r="AP60" i="31" s="1"/>
  <c r="O60" i="23"/>
  <c r="AO60" i="31" s="1"/>
  <c r="N60" i="23"/>
  <c r="AN60" i="31" s="1"/>
  <c r="M60" i="23"/>
  <c r="AM60" i="31" s="1"/>
  <c r="L60" i="23"/>
  <c r="AL60" i="31" s="1"/>
  <c r="K60" i="23"/>
  <c r="AK60" i="31" s="1"/>
  <c r="J60" i="23"/>
  <c r="AJ60" i="31" s="1"/>
  <c r="I60" i="23"/>
  <c r="AI60" i="31" s="1"/>
  <c r="H60" i="23"/>
  <c r="AH60" i="31" s="1"/>
  <c r="G60" i="23"/>
  <c r="AG60" i="31" s="1"/>
  <c r="F60" i="23"/>
  <c r="AF60" i="31" s="1"/>
  <c r="E60" i="23"/>
  <c r="AE60" i="31" s="1"/>
  <c r="D60" i="23"/>
  <c r="AD60" i="31" s="1"/>
  <c r="C60" i="23"/>
  <c r="AC60" i="31" s="1"/>
  <c r="B60" i="23"/>
  <c r="AB60" i="31" s="1"/>
  <c r="U59" i="23"/>
  <c r="AU59" i="31" s="1"/>
  <c r="T59" i="23"/>
  <c r="S59" i="23"/>
  <c r="AS59" i="31" s="1"/>
  <c r="R59" i="23"/>
  <c r="Q59" i="23"/>
  <c r="P59" i="23"/>
  <c r="AP59" i="31" s="1"/>
  <c r="O59" i="23"/>
  <c r="AO59" i="31" s="1"/>
  <c r="N59" i="23"/>
  <c r="AN59" i="31" s="1"/>
  <c r="M59" i="23"/>
  <c r="AM59" i="31" s="1"/>
  <c r="L59" i="23"/>
  <c r="AL59" i="31" s="1"/>
  <c r="K59" i="23"/>
  <c r="AK59" i="31" s="1"/>
  <c r="J59" i="23"/>
  <c r="AJ59" i="31" s="1"/>
  <c r="I59" i="23"/>
  <c r="AI59" i="31" s="1"/>
  <c r="H59" i="23"/>
  <c r="AH59" i="31" s="1"/>
  <c r="G59" i="23"/>
  <c r="AG59" i="31" s="1"/>
  <c r="F59" i="23"/>
  <c r="AF59" i="31" s="1"/>
  <c r="E59" i="23"/>
  <c r="AE59" i="31" s="1"/>
  <c r="D59" i="23"/>
  <c r="AD59" i="31" s="1"/>
  <c r="C59" i="23"/>
  <c r="AC59" i="31" s="1"/>
  <c r="B59" i="23"/>
  <c r="AB59" i="31" s="1"/>
  <c r="U58" i="23"/>
  <c r="AU58" i="31" s="1"/>
  <c r="T58" i="23"/>
  <c r="S58" i="23"/>
  <c r="AS58" i="31" s="1"/>
  <c r="R58" i="23"/>
  <c r="Q58" i="23"/>
  <c r="P58" i="23"/>
  <c r="AP58" i="31" s="1"/>
  <c r="O58" i="23"/>
  <c r="AO58" i="31" s="1"/>
  <c r="N58" i="23"/>
  <c r="AN58" i="31" s="1"/>
  <c r="M58" i="23"/>
  <c r="AM58" i="31" s="1"/>
  <c r="L58" i="23"/>
  <c r="AL58" i="31" s="1"/>
  <c r="K58" i="23"/>
  <c r="AK58" i="31" s="1"/>
  <c r="J58" i="23"/>
  <c r="AJ58" i="31" s="1"/>
  <c r="I58" i="23"/>
  <c r="AI58" i="31" s="1"/>
  <c r="H58" i="23"/>
  <c r="AH58" i="31" s="1"/>
  <c r="G58" i="23"/>
  <c r="AG58" i="31" s="1"/>
  <c r="F58" i="23"/>
  <c r="AF58" i="31" s="1"/>
  <c r="E58" i="23"/>
  <c r="AE58" i="31" s="1"/>
  <c r="D58" i="23"/>
  <c r="AD58" i="31" s="1"/>
  <c r="C58" i="23"/>
  <c r="AC58" i="31" s="1"/>
  <c r="B58" i="23"/>
  <c r="AB58" i="31" s="1"/>
  <c r="U57" i="23"/>
  <c r="AU57" i="31" s="1"/>
  <c r="T57" i="23"/>
  <c r="S57" i="23"/>
  <c r="AS57" i="31" s="1"/>
  <c r="R57" i="23"/>
  <c r="Q57" i="23"/>
  <c r="P57" i="23"/>
  <c r="AP57" i="31" s="1"/>
  <c r="O57" i="23"/>
  <c r="AO57" i="31" s="1"/>
  <c r="N57" i="23"/>
  <c r="AN57" i="31" s="1"/>
  <c r="M57" i="23"/>
  <c r="AM57" i="31" s="1"/>
  <c r="L57" i="23"/>
  <c r="AL57" i="31" s="1"/>
  <c r="K57" i="23"/>
  <c r="AK57" i="31" s="1"/>
  <c r="J57" i="23"/>
  <c r="AJ57" i="31" s="1"/>
  <c r="I57" i="23"/>
  <c r="AI57" i="31" s="1"/>
  <c r="H57" i="23"/>
  <c r="AH57" i="31" s="1"/>
  <c r="G57" i="23"/>
  <c r="AG57" i="31" s="1"/>
  <c r="F57" i="23"/>
  <c r="AF57" i="31" s="1"/>
  <c r="E57" i="23"/>
  <c r="AE57" i="31" s="1"/>
  <c r="D57" i="23"/>
  <c r="AD57" i="31" s="1"/>
  <c r="C57" i="23"/>
  <c r="AC57" i="31" s="1"/>
  <c r="B57" i="23"/>
  <c r="AB57" i="31" s="1"/>
  <c r="U56" i="23"/>
  <c r="AU56" i="31" s="1"/>
  <c r="T56" i="23"/>
  <c r="S56" i="23"/>
  <c r="AS56" i="31" s="1"/>
  <c r="R56" i="23"/>
  <c r="Q56" i="23"/>
  <c r="P56" i="23"/>
  <c r="AP56" i="31" s="1"/>
  <c r="O56" i="23"/>
  <c r="AO56" i="31" s="1"/>
  <c r="N56" i="23"/>
  <c r="AN56" i="31" s="1"/>
  <c r="M56" i="23"/>
  <c r="AM56" i="31" s="1"/>
  <c r="L56" i="23"/>
  <c r="AL56" i="31" s="1"/>
  <c r="K56" i="23"/>
  <c r="AK56" i="31" s="1"/>
  <c r="J56" i="23"/>
  <c r="AJ56" i="31" s="1"/>
  <c r="I56" i="23"/>
  <c r="AI56" i="31" s="1"/>
  <c r="H56" i="23"/>
  <c r="AH56" i="31" s="1"/>
  <c r="AG56" i="31"/>
  <c r="F56" i="23"/>
  <c r="AF56" i="31" s="1"/>
  <c r="E56" i="23"/>
  <c r="AE56" i="31" s="1"/>
  <c r="D56" i="23"/>
  <c r="AD56" i="31" s="1"/>
  <c r="C56" i="23"/>
  <c r="AC56" i="31" s="1"/>
  <c r="B56" i="23"/>
  <c r="AB56" i="31" s="1"/>
  <c r="U55" i="23"/>
  <c r="T55" i="23"/>
  <c r="S55" i="23"/>
  <c r="R55" i="23"/>
  <c r="Q55" i="23"/>
  <c r="P55" i="23"/>
  <c r="O55" i="23"/>
  <c r="N55" i="23"/>
  <c r="M55" i="23"/>
  <c r="L55" i="23"/>
  <c r="K55" i="23"/>
  <c r="J55" i="23"/>
  <c r="I55" i="23"/>
  <c r="H55" i="23"/>
  <c r="G55" i="23"/>
  <c r="F55" i="23"/>
  <c r="E55" i="23"/>
  <c r="D55" i="23"/>
  <c r="C55" i="23"/>
  <c r="B55" i="23"/>
  <c r="U53" i="23"/>
  <c r="AU53" i="31" s="1"/>
  <c r="T53" i="23"/>
  <c r="S53" i="23"/>
  <c r="AS53" i="31" s="1"/>
  <c r="R53" i="23"/>
  <c r="Q53" i="23"/>
  <c r="P53" i="23"/>
  <c r="AP53" i="31" s="1"/>
  <c r="O53" i="23"/>
  <c r="AO53" i="31" s="1"/>
  <c r="N53" i="23"/>
  <c r="AN53" i="31" s="1"/>
  <c r="M53" i="23"/>
  <c r="AM53" i="31" s="1"/>
  <c r="L53" i="23"/>
  <c r="AL53" i="31" s="1"/>
  <c r="K53" i="23"/>
  <c r="AK53" i="31" s="1"/>
  <c r="J53" i="23"/>
  <c r="AJ53" i="31" s="1"/>
  <c r="I53" i="23"/>
  <c r="AI53" i="31" s="1"/>
  <c r="H53" i="23"/>
  <c r="AH53" i="31" s="1"/>
  <c r="G53" i="23"/>
  <c r="AG53" i="31" s="1"/>
  <c r="F53" i="23"/>
  <c r="AF53" i="31" s="1"/>
  <c r="E53" i="23"/>
  <c r="AE53" i="31" s="1"/>
  <c r="D53" i="23"/>
  <c r="AD53" i="31" s="1"/>
  <c r="C53" i="23"/>
  <c r="AC53" i="31" s="1"/>
  <c r="B53" i="23"/>
  <c r="AB53" i="31" s="1"/>
  <c r="U52" i="23"/>
  <c r="AU52" i="31" s="1"/>
  <c r="T52" i="23"/>
  <c r="S52" i="23"/>
  <c r="AS52" i="31" s="1"/>
  <c r="R52" i="23"/>
  <c r="Q52" i="23"/>
  <c r="P52" i="23"/>
  <c r="AP52" i="31" s="1"/>
  <c r="O52" i="23"/>
  <c r="AO52" i="31" s="1"/>
  <c r="N52" i="23"/>
  <c r="AN52" i="31" s="1"/>
  <c r="M52" i="23"/>
  <c r="AM52" i="31" s="1"/>
  <c r="L52" i="23"/>
  <c r="AL52" i="31" s="1"/>
  <c r="K52" i="23"/>
  <c r="AK52" i="31" s="1"/>
  <c r="J52" i="23"/>
  <c r="AJ52" i="31" s="1"/>
  <c r="I52" i="23"/>
  <c r="AI52" i="31" s="1"/>
  <c r="H52" i="23"/>
  <c r="AH52" i="31" s="1"/>
  <c r="G52" i="23"/>
  <c r="AG52" i="31" s="1"/>
  <c r="F52" i="23"/>
  <c r="AF52" i="31" s="1"/>
  <c r="E52" i="23"/>
  <c r="AE52" i="31" s="1"/>
  <c r="D52" i="23"/>
  <c r="AD52" i="31" s="1"/>
  <c r="C52" i="23"/>
  <c r="AC52" i="31" s="1"/>
  <c r="B52" i="23"/>
  <c r="AB52" i="31" s="1"/>
  <c r="U51" i="23"/>
  <c r="AU51" i="31" s="1"/>
  <c r="T51" i="23"/>
  <c r="S51" i="23"/>
  <c r="AS51" i="31" s="1"/>
  <c r="R51" i="23"/>
  <c r="Q51" i="23"/>
  <c r="P51" i="23"/>
  <c r="AP51" i="31" s="1"/>
  <c r="O51" i="23"/>
  <c r="AO51" i="31" s="1"/>
  <c r="N51" i="23"/>
  <c r="AN51" i="31" s="1"/>
  <c r="M51" i="23"/>
  <c r="AM51" i="31" s="1"/>
  <c r="L51" i="23"/>
  <c r="AL51" i="31" s="1"/>
  <c r="K51" i="23"/>
  <c r="AK51" i="31" s="1"/>
  <c r="J51" i="23"/>
  <c r="AJ51" i="31" s="1"/>
  <c r="I51" i="23"/>
  <c r="AI51" i="31" s="1"/>
  <c r="H51" i="23"/>
  <c r="AH51" i="31" s="1"/>
  <c r="G51" i="23"/>
  <c r="AG51" i="31" s="1"/>
  <c r="F51" i="23"/>
  <c r="AF51" i="31" s="1"/>
  <c r="E51" i="23"/>
  <c r="AE51" i="31" s="1"/>
  <c r="D51" i="23"/>
  <c r="AD51" i="31" s="1"/>
  <c r="C51" i="23"/>
  <c r="AC51" i="31" s="1"/>
  <c r="B51" i="23"/>
  <c r="AB51" i="31" s="1"/>
  <c r="U50" i="23"/>
  <c r="AU50" i="31" s="1"/>
  <c r="T50" i="23"/>
  <c r="S50" i="23"/>
  <c r="AS50" i="31" s="1"/>
  <c r="R50" i="23"/>
  <c r="Q50" i="23"/>
  <c r="P50" i="23"/>
  <c r="AP50" i="31" s="1"/>
  <c r="O50" i="23"/>
  <c r="AO50" i="31" s="1"/>
  <c r="N50" i="23"/>
  <c r="AN50" i="31" s="1"/>
  <c r="M50" i="23"/>
  <c r="AM50" i="31" s="1"/>
  <c r="L50" i="23"/>
  <c r="AL50" i="31" s="1"/>
  <c r="K50" i="23"/>
  <c r="AK50" i="31" s="1"/>
  <c r="J50" i="23"/>
  <c r="AJ50" i="31" s="1"/>
  <c r="I50" i="23"/>
  <c r="AI50" i="31" s="1"/>
  <c r="H50" i="23"/>
  <c r="AH50" i="31" s="1"/>
  <c r="G50" i="23"/>
  <c r="AG50" i="31" s="1"/>
  <c r="F50" i="23"/>
  <c r="AF50" i="31" s="1"/>
  <c r="E50" i="23"/>
  <c r="AE50" i="31" s="1"/>
  <c r="D50" i="23"/>
  <c r="AD50" i="31" s="1"/>
  <c r="C50" i="23"/>
  <c r="AC50" i="31" s="1"/>
  <c r="B50" i="23"/>
  <c r="AB50" i="31" s="1"/>
  <c r="U49" i="23"/>
  <c r="AU49" i="31" s="1"/>
  <c r="T49" i="23"/>
  <c r="S49" i="23"/>
  <c r="AS49" i="31" s="1"/>
  <c r="R49" i="23"/>
  <c r="Q49" i="23"/>
  <c r="P49" i="23"/>
  <c r="AP49" i="31" s="1"/>
  <c r="O49" i="23"/>
  <c r="AO49" i="31" s="1"/>
  <c r="N49" i="23"/>
  <c r="AN49" i="31" s="1"/>
  <c r="M49" i="23"/>
  <c r="AM49" i="31" s="1"/>
  <c r="L49" i="23"/>
  <c r="AL49" i="31" s="1"/>
  <c r="K49" i="23"/>
  <c r="AK49" i="31" s="1"/>
  <c r="J49" i="23"/>
  <c r="AJ49" i="31" s="1"/>
  <c r="I49" i="23"/>
  <c r="AI49" i="31" s="1"/>
  <c r="H49" i="23"/>
  <c r="AH49" i="31" s="1"/>
  <c r="G49" i="23"/>
  <c r="AG49" i="31" s="1"/>
  <c r="F49" i="23"/>
  <c r="AF49" i="31" s="1"/>
  <c r="E49" i="23"/>
  <c r="AE49" i="31" s="1"/>
  <c r="D49" i="23"/>
  <c r="AD49" i="31" s="1"/>
  <c r="C49" i="23"/>
  <c r="AC49" i="31" s="1"/>
  <c r="B49" i="23"/>
  <c r="AB49" i="31" s="1"/>
  <c r="U48" i="23"/>
  <c r="AU48" i="31" s="1"/>
  <c r="T48" i="23"/>
  <c r="S48" i="23"/>
  <c r="AS48" i="31" s="1"/>
  <c r="R48" i="23"/>
  <c r="Q48" i="23"/>
  <c r="P48" i="23"/>
  <c r="AP48" i="31" s="1"/>
  <c r="O48" i="23"/>
  <c r="AO48" i="31" s="1"/>
  <c r="N48" i="23"/>
  <c r="AN48" i="31" s="1"/>
  <c r="M48" i="23"/>
  <c r="AM48" i="31" s="1"/>
  <c r="L48" i="23"/>
  <c r="AL48" i="31" s="1"/>
  <c r="K48" i="23"/>
  <c r="AK48" i="31" s="1"/>
  <c r="J48" i="23"/>
  <c r="AJ48" i="31" s="1"/>
  <c r="I48" i="23"/>
  <c r="AI48" i="31" s="1"/>
  <c r="H48" i="23"/>
  <c r="AH48" i="31" s="1"/>
  <c r="G48" i="23"/>
  <c r="AG48" i="31" s="1"/>
  <c r="F48" i="23"/>
  <c r="AF48" i="31" s="1"/>
  <c r="E48" i="23"/>
  <c r="AE48" i="31" s="1"/>
  <c r="D48" i="23"/>
  <c r="AD48" i="31" s="1"/>
  <c r="C48" i="23"/>
  <c r="AC48" i="31" s="1"/>
  <c r="B48" i="23"/>
  <c r="AB48" i="31" s="1"/>
  <c r="U47" i="23"/>
  <c r="AU47" i="31" s="1"/>
  <c r="T47" i="23"/>
  <c r="S47" i="23"/>
  <c r="AS47" i="31" s="1"/>
  <c r="R47" i="23"/>
  <c r="Q47" i="23"/>
  <c r="P47" i="23"/>
  <c r="AP47" i="31" s="1"/>
  <c r="O47" i="23"/>
  <c r="AO47" i="31" s="1"/>
  <c r="N47" i="23"/>
  <c r="AN47" i="31" s="1"/>
  <c r="M47" i="23"/>
  <c r="AM47" i="31" s="1"/>
  <c r="L47" i="23"/>
  <c r="AL47" i="31" s="1"/>
  <c r="K47" i="23"/>
  <c r="AK47" i="31" s="1"/>
  <c r="J47" i="23"/>
  <c r="AJ47" i="31" s="1"/>
  <c r="I47" i="23"/>
  <c r="AI47" i="31" s="1"/>
  <c r="H47" i="23"/>
  <c r="AH47" i="31" s="1"/>
  <c r="G47" i="23"/>
  <c r="AG47" i="31" s="1"/>
  <c r="F47" i="23"/>
  <c r="AF47" i="31" s="1"/>
  <c r="E47" i="23"/>
  <c r="AE47" i="31" s="1"/>
  <c r="D47" i="23"/>
  <c r="AD47" i="31" s="1"/>
  <c r="C47" i="23"/>
  <c r="AC47" i="31" s="1"/>
  <c r="B47" i="23"/>
  <c r="AB47" i="31" s="1"/>
  <c r="U46" i="23"/>
  <c r="AU46" i="31" s="1"/>
  <c r="T46" i="23"/>
  <c r="S46" i="23"/>
  <c r="AS46" i="31" s="1"/>
  <c r="R46" i="23"/>
  <c r="Q46" i="23"/>
  <c r="P46" i="23"/>
  <c r="AP46" i="31" s="1"/>
  <c r="O46" i="23"/>
  <c r="AO46" i="31" s="1"/>
  <c r="N46" i="23"/>
  <c r="AN46" i="31" s="1"/>
  <c r="M46" i="23"/>
  <c r="AM46" i="31" s="1"/>
  <c r="L46" i="23"/>
  <c r="AL46" i="31" s="1"/>
  <c r="K46" i="23"/>
  <c r="AK46" i="31" s="1"/>
  <c r="J46" i="23"/>
  <c r="AJ46" i="31" s="1"/>
  <c r="I46" i="23"/>
  <c r="AI46" i="31" s="1"/>
  <c r="H46" i="23"/>
  <c r="AH46" i="31" s="1"/>
  <c r="G46" i="23"/>
  <c r="AG46" i="31" s="1"/>
  <c r="F46" i="23"/>
  <c r="AF46" i="31" s="1"/>
  <c r="E46" i="23"/>
  <c r="AE46" i="31" s="1"/>
  <c r="D46" i="23"/>
  <c r="AD46" i="31" s="1"/>
  <c r="C46" i="23"/>
  <c r="AC46" i="31" s="1"/>
  <c r="B46" i="23"/>
  <c r="AB46" i="31" s="1"/>
  <c r="U45" i="23"/>
  <c r="AU45" i="31" s="1"/>
  <c r="T45" i="23"/>
  <c r="S45" i="23"/>
  <c r="AS45" i="31" s="1"/>
  <c r="R45" i="23"/>
  <c r="Q45" i="23"/>
  <c r="P45" i="23"/>
  <c r="AP45" i="31" s="1"/>
  <c r="O45" i="23"/>
  <c r="AO45" i="31" s="1"/>
  <c r="N45" i="23"/>
  <c r="AN45" i="31" s="1"/>
  <c r="M45" i="23"/>
  <c r="AM45" i="31" s="1"/>
  <c r="L45" i="23"/>
  <c r="AL45" i="31" s="1"/>
  <c r="K45" i="23"/>
  <c r="AK45" i="31" s="1"/>
  <c r="J45" i="23"/>
  <c r="AJ45" i="31" s="1"/>
  <c r="I45" i="23"/>
  <c r="AI45" i="31" s="1"/>
  <c r="H45" i="23"/>
  <c r="AH45" i="31" s="1"/>
  <c r="G45" i="23"/>
  <c r="AG45" i="31" s="1"/>
  <c r="F45" i="23"/>
  <c r="AF45" i="31" s="1"/>
  <c r="E45" i="23"/>
  <c r="AE45" i="31" s="1"/>
  <c r="D45" i="23"/>
  <c r="AD45" i="31" s="1"/>
  <c r="C45" i="23"/>
  <c r="AC45" i="31" s="1"/>
  <c r="B45" i="23"/>
  <c r="AB45" i="31" s="1"/>
  <c r="U44" i="23"/>
  <c r="AU44" i="31" s="1"/>
  <c r="T44" i="23"/>
  <c r="S44" i="23"/>
  <c r="AS44" i="31" s="1"/>
  <c r="R44" i="23"/>
  <c r="Q44" i="23"/>
  <c r="P44" i="23"/>
  <c r="AP44" i="31" s="1"/>
  <c r="O44" i="23"/>
  <c r="AO44" i="31" s="1"/>
  <c r="N44" i="23"/>
  <c r="AN44" i="31" s="1"/>
  <c r="M44" i="23"/>
  <c r="AM44" i="31" s="1"/>
  <c r="L44" i="23"/>
  <c r="AL44" i="31" s="1"/>
  <c r="K44" i="23"/>
  <c r="AK44" i="31" s="1"/>
  <c r="J44" i="23"/>
  <c r="AJ44" i="31" s="1"/>
  <c r="I44" i="23"/>
  <c r="AI44" i="31" s="1"/>
  <c r="H44" i="23"/>
  <c r="AH44" i="31" s="1"/>
  <c r="G44" i="23"/>
  <c r="AG44" i="31" s="1"/>
  <c r="F44" i="23"/>
  <c r="AF44" i="31" s="1"/>
  <c r="E44" i="23"/>
  <c r="AE44" i="31" s="1"/>
  <c r="D44" i="23"/>
  <c r="AD44" i="31" s="1"/>
  <c r="C44" i="23"/>
  <c r="AC44" i="31" s="1"/>
  <c r="B44" i="23"/>
  <c r="AB44" i="31" s="1"/>
  <c r="U43" i="23"/>
  <c r="AU43" i="31" s="1"/>
  <c r="T43" i="23"/>
  <c r="S43" i="23"/>
  <c r="AS43" i="31" s="1"/>
  <c r="R43" i="23"/>
  <c r="Q43" i="23"/>
  <c r="P43" i="23"/>
  <c r="AP43" i="31" s="1"/>
  <c r="O43" i="23"/>
  <c r="AO43" i="31" s="1"/>
  <c r="N43" i="23"/>
  <c r="AN43" i="31" s="1"/>
  <c r="M43" i="23"/>
  <c r="AM43" i="31" s="1"/>
  <c r="L43" i="23"/>
  <c r="AL43" i="31" s="1"/>
  <c r="K43" i="23"/>
  <c r="AK43" i="31" s="1"/>
  <c r="J43" i="23"/>
  <c r="AJ43" i="31" s="1"/>
  <c r="I43" i="23"/>
  <c r="AI43" i="31" s="1"/>
  <c r="H43" i="23"/>
  <c r="AH43" i="31" s="1"/>
  <c r="G43" i="23"/>
  <c r="AG43" i="31" s="1"/>
  <c r="F43" i="23"/>
  <c r="AF43" i="31" s="1"/>
  <c r="E43" i="23"/>
  <c r="AE43" i="31" s="1"/>
  <c r="D43" i="23"/>
  <c r="AD43" i="31" s="1"/>
  <c r="C43" i="23"/>
  <c r="AC43" i="31" s="1"/>
  <c r="B43" i="23"/>
  <c r="AB43" i="31" s="1"/>
  <c r="U42" i="23"/>
  <c r="AU42" i="31" s="1"/>
  <c r="T42" i="23"/>
  <c r="S42" i="23"/>
  <c r="AS42" i="31" s="1"/>
  <c r="R42" i="23"/>
  <c r="Q42" i="23"/>
  <c r="P42" i="23"/>
  <c r="AP42" i="31" s="1"/>
  <c r="O42" i="23"/>
  <c r="AO42" i="31" s="1"/>
  <c r="N42" i="23"/>
  <c r="AN42" i="31" s="1"/>
  <c r="M42" i="23"/>
  <c r="AM42" i="31" s="1"/>
  <c r="L42" i="23"/>
  <c r="AL42" i="31" s="1"/>
  <c r="K42" i="23"/>
  <c r="AK42" i="31" s="1"/>
  <c r="J42" i="23"/>
  <c r="AJ42" i="31" s="1"/>
  <c r="I42" i="23"/>
  <c r="AI42" i="31" s="1"/>
  <c r="H42" i="23"/>
  <c r="AH42" i="31" s="1"/>
  <c r="G42" i="23"/>
  <c r="AG42" i="31" s="1"/>
  <c r="F42" i="23"/>
  <c r="AF42" i="31" s="1"/>
  <c r="E42" i="23"/>
  <c r="AE42" i="31" s="1"/>
  <c r="D42" i="23"/>
  <c r="AD42" i="31" s="1"/>
  <c r="C42" i="23"/>
  <c r="AC42" i="31" s="1"/>
  <c r="B42" i="23"/>
  <c r="AB42" i="31" s="1"/>
  <c r="U41" i="23"/>
  <c r="T41" i="23"/>
  <c r="S41" i="23"/>
  <c r="R41" i="23"/>
  <c r="Q41" i="23"/>
  <c r="P41" i="23"/>
  <c r="O41" i="23"/>
  <c r="N41" i="23"/>
  <c r="M41" i="23"/>
  <c r="L41" i="23"/>
  <c r="K41" i="23"/>
  <c r="J41" i="23"/>
  <c r="I41" i="23"/>
  <c r="H41" i="23"/>
  <c r="G41" i="23"/>
  <c r="F41" i="23"/>
  <c r="E41" i="23"/>
  <c r="D41" i="23"/>
  <c r="C41" i="23"/>
  <c r="B41" i="23"/>
  <c r="U39" i="23"/>
  <c r="AU39" i="31" s="1"/>
  <c r="T39" i="23"/>
  <c r="S39" i="23"/>
  <c r="AS39" i="31" s="1"/>
  <c r="R39" i="23"/>
  <c r="Q39" i="23"/>
  <c r="P39" i="23"/>
  <c r="AP39" i="31" s="1"/>
  <c r="O39" i="23"/>
  <c r="AO39" i="31" s="1"/>
  <c r="N39" i="23"/>
  <c r="AN39" i="31" s="1"/>
  <c r="M39" i="23"/>
  <c r="AM39" i="31" s="1"/>
  <c r="L39" i="23"/>
  <c r="AL39" i="31" s="1"/>
  <c r="K39" i="23"/>
  <c r="AK39" i="31" s="1"/>
  <c r="J39" i="23"/>
  <c r="AJ39" i="31" s="1"/>
  <c r="I39" i="23"/>
  <c r="AI39" i="31" s="1"/>
  <c r="H39" i="23"/>
  <c r="AH39" i="31" s="1"/>
  <c r="G39" i="23"/>
  <c r="AG39" i="31" s="1"/>
  <c r="F39" i="23"/>
  <c r="AF39" i="31" s="1"/>
  <c r="E39" i="23"/>
  <c r="AE39" i="31" s="1"/>
  <c r="D39" i="23"/>
  <c r="AD39" i="31" s="1"/>
  <c r="C39" i="23"/>
  <c r="AC39" i="31" s="1"/>
  <c r="B39" i="23"/>
  <c r="AB39" i="31" s="1"/>
  <c r="U38" i="23"/>
  <c r="AU38" i="31" s="1"/>
  <c r="T38" i="23"/>
  <c r="S38" i="23"/>
  <c r="AS38" i="31" s="1"/>
  <c r="R38" i="23"/>
  <c r="Q38" i="23"/>
  <c r="P38" i="23"/>
  <c r="AP38" i="31" s="1"/>
  <c r="O38" i="23"/>
  <c r="AO38" i="31" s="1"/>
  <c r="N38" i="23"/>
  <c r="AN38" i="31" s="1"/>
  <c r="M38" i="23"/>
  <c r="AM38" i="31" s="1"/>
  <c r="L38" i="23"/>
  <c r="AL38" i="31" s="1"/>
  <c r="K38" i="23"/>
  <c r="AK38" i="31" s="1"/>
  <c r="J38" i="23"/>
  <c r="AJ38" i="31" s="1"/>
  <c r="I38" i="23"/>
  <c r="AI38" i="31" s="1"/>
  <c r="H38" i="23"/>
  <c r="AH38" i="31" s="1"/>
  <c r="G38" i="23"/>
  <c r="AG38" i="31" s="1"/>
  <c r="F38" i="23"/>
  <c r="AF38" i="31" s="1"/>
  <c r="E38" i="23"/>
  <c r="AE38" i="31" s="1"/>
  <c r="D38" i="23"/>
  <c r="AD38" i="31" s="1"/>
  <c r="C38" i="23"/>
  <c r="AC38" i="31" s="1"/>
  <c r="B38" i="23"/>
  <c r="AB38" i="31" s="1"/>
  <c r="U37" i="23"/>
  <c r="AU37" i="31" s="1"/>
  <c r="T37" i="23"/>
  <c r="S37" i="23"/>
  <c r="AS37" i="31" s="1"/>
  <c r="R37" i="23"/>
  <c r="Q37" i="23"/>
  <c r="P37" i="23"/>
  <c r="AP37" i="31" s="1"/>
  <c r="O37" i="23"/>
  <c r="AO37" i="31" s="1"/>
  <c r="N37" i="23"/>
  <c r="AN37" i="31" s="1"/>
  <c r="M37" i="23"/>
  <c r="AM37" i="31" s="1"/>
  <c r="L37" i="23"/>
  <c r="AL37" i="31" s="1"/>
  <c r="K37" i="23"/>
  <c r="AK37" i="31" s="1"/>
  <c r="J37" i="23"/>
  <c r="AJ37" i="31" s="1"/>
  <c r="I37" i="23"/>
  <c r="AI37" i="31" s="1"/>
  <c r="H37" i="23"/>
  <c r="AH37" i="31" s="1"/>
  <c r="G37" i="23"/>
  <c r="AG37" i="31" s="1"/>
  <c r="F37" i="23"/>
  <c r="AF37" i="31" s="1"/>
  <c r="E37" i="23"/>
  <c r="AE37" i="31" s="1"/>
  <c r="D37" i="23"/>
  <c r="AD37" i="31" s="1"/>
  <c r="C37" i="23"/>
  <c r="AC37" i="31" s="1"/>
  <c r="B37" i="23"/>
  <c r="AB37" i="31" s="1"/>
  <c r="U36" i="23"/>
  <c r="AU36" i="31" s="1"/>
  <c r="T36" i="23"/>
  <c r="S36" i="23"/>
  <c r="AS36" i="31" s="1"/>
  <c r="R36" i="23"/>
  <c r="Q36" i="23"/>
  <c r="P36" i="23"/>
  <c r="AP36" i="31" s="1"/>
  <c r="O36" i="23"/>
  <c r="AO36" i="31" s="1"/>
  <c r="N36" i="23"/>
  <c r="AN36" i="31" s="1"/>
  <c r="M36" i="23"/>
  <c r="AM36" i="31" s="1"/>
  <c r="L36" i="23"/>
  <c r="AL36" i="31" s="1"/>
  <c r="K36" i="23"/>
  <c r="AK36" i="31" s="1"/>
  <c r="J36" i="23"/>
  <c r="AJ36" i="31" s="1"/>
  <c r="I36" i="23"/>
  <c r="AI36" i="31" s="1"/>
  <c r="H36" i="23"/>
  <c r="AH36" i="31" s="1"/>
  <c r="G36" i="23"/>
  <c r="AG36" i="31" s="1"/>
  <c r="F36" i="23"/>
  <c r="AF36" i="31" s="1"/>
  <c r="E36" i="23"/>
  <c r="AE36" i="31" s="1"/>
  <c r="D36" i="23"/>
  <c r="AD36" i="31" s="1"/>
  <c r="C36" i="23"/>
  <c r="AC36" i="31" s="1"/>
  <c r="B36" i="23"/>
  <c r="AB36" i="31" s="1"/>
  <c r="U35" i="23"/>
  <c r="AU35" i="31" s="1"/>
  <c r="T35" i="23"/>
  <c r="S35" i="23"/>
  <c r="AS35" i="31" s="1"/>
  <c r="R35" i="23"/>
  <c r="Q35" i="23"/>
  <c r="P35" i="23"/>
  <c r="AP35" i="31" s="1"/>
  <c r="O35" i="23"/>
  <c r="AO35" i="31" s="1"/>
  <c r="N35" i="23"/>
  <c r="AN35" i="31" s="1"/>
  <c r="M35" i="23"/>
  <c r="AM35" i="31" s="1"/>
  <c r="L35" i="23"/>
  <c r="AL35" i="31" s="1"/>
  <c r="K35" i="23"/>
  <c r="AK35" i="31" s="1"/>
  <c r="J35" i="23"/>
  <c r="AJ35" i="31" s="1"/>
  <c r="I35" i="23"/>
  <c r="AI35" i="31" s="1"/>
  <c r="H35" i="23"/>
  <c r="AH35" i="31" s="1"/>
  <c r="G35" i="23"/>
  <c r="AG35" i="31" s="1"/>
  <c r="F35" i="23"/>
  <c r="AF35" i="31" s="1"/>
  <c r="E35" i="23"/>
  <c r="AE35" i="31" s="1"/>
  <c r="D35" i="23"/>
  <c r="AD35" i="31" s="1"/>
  <c r="C35" i="23"/>
  <c r="AC35" i="31" s="1"/>
  <c r="B35" i="23"/>
  <c r="AB35" i="31" s="1"/>
  <c r="U34" i="23"/>
  <c r="AU34" i="31" s="1"/>
  <c r="T34" i="23"/>
  <c r="S34" i="23"/>
  <c r="AS34" i="31" s="1"/>
  <c r="R34" i="23"/>
  <c r="Q34" i="23"/>
  <c r="P34" i="23"/>
  <c r="AP34" i="31" s="1"/>
  <c r="O34" i="23"/>
  <c r="AO34" i="31" s="1"/>
  <c r="N34" i="23"/>
  <c r="AN34" i="31" s="1"/>
  <c r="M34" i="23"/>
  <c r="AM34" i="31" s="1"/>
  <c r="L34" i="23"/>
  <c r="AL34" i="31" s="1"/>
  <c r="K34" i="23"/>
  <c r="AK34" i="31" s="1"/>
  <c r="J34" i="23"/>
  <c r="AJ34" i="31" s="1"/>
  <c r="I34" i="23"/>
  <c r="AI34" i="31" s="1"/>
  <c r="H34" i="23"/>
  <c r="AH34" i="31" s="1"/>
  <c r="G34" i="23"/>
  <c r="AG34" i="31" s="1"/>
  <c r="F34" i="23"/>
  <c r="AF34" i="31" s="1"/>
  <c r="E34" i="23"/>
  <c r="AE34" i="31" s="1"/>
  <c r="D34" i="23"/>
  <c r="AD34" i="31" s="1"/>
  <c r="C34" i="23"/>
  <c r="AC34" i="31" s="1"/>
  <c r="B34" i="23"/>
  <c r="AB34" i="31" s="1"/>
  <c r="U33" i="23"/>
  <c r="AU33" i="31" s="1"/>
  <c r="T33" i="23"/>
  <c r="S33" i="23"/>
  <c r="AS33" i="31" s="1"/>
  <c r="R33" i="23"/>
  <c r="Q33" i="23"/>
  <c r="P33" i="23"/>
  <c r="AP33" i="31" s="1"/>
  <c r="O33" i="23"/>
  <c r="AO33" i="31" s="1"/>
  <c r="N33" i="23"/>
  <c r="AN33" i="31" s="1"/>
  <c r="M33" i="23"/>
  <c r="AM33" i="31" s="1"/>
  <c r="L33" i="23"/>
  <c r="AL33" i="31" s="1"/>
  <c r="K33" i="23"/>
  <c r="AK33" i="31" s="1"/>
  <c r="J33" i="23"/>
  <c r="AJ33" i="31" s="1"/>
  <c r="I33" i="23"/>
  <c r="AI33" i="31" s="1"/>
  <c r="H33" i="23"/>
  <c r="AH33" i="31" s="1"/>
  <c r="G33" i="23"/>
  <c r="AG33" i="31" s="1"/>
  <c r="F33" i="23"/>
  <c r="AF33" i="31" s="1"/>
  <c r="E33" i="23"/>
  <c r="AE33" i="31" s="1"/>
  <c r="D33" i="23"/>
  <c r="AD33" i="31" s="1"/>
  <c r="C33" i="23"/>
  <c r="AC33" i="31" s="1"/>
  <c r="B33" i="23"/>
  <c r="AB33" i="31" s="1"/>
  <c r="U32" i="23"/>
  <c r="AU32" i="31" s="1"/>
  <c r="T32" i="23"/>
  <c r="S32" i="23"/>
  <c r="AS32" i="31" s="1"/>
  <c r="R32" i="23"/>
  <c r="Q32" i="23"/>
  <c r="P32" i="23"/>
  <c r="AP32" i="31" s="1"/>
  <c r="O32" i="23"/>
  <c r="AO32" i="31" s="1"/>
  <c r="N32" i="23"/>
  <c r="AN32" i="31" s="1"/>
  <c r="M32" i="23"/>
  <c r="AM32" i="31" s="1"/>
  <c r="L32" i="23"/>
  <c r="AL32" i="31" s="1"/>
  <c r="K32" i="23"/>
  <c r="AK32" i="31" s="1"/>
  <c r="J32" i="23"/>
  <c r="AJ32" i="31" s="1"/>
  <c r="I32" i="23"/>
  <c r="AI32" i="31" s="1"/>
  <c r="H32" i="23"/>
  <c r="AH32" i="31" s="1"/>
  <c r="G32" i="23"/>
  <c r="AG32" i="31" s="1"/>
  <c r="F32" i="23"/>
  <c r="AF32" i="31" s="1"/>
  <c r="E32" i="23"/>
  <c r="AE32" i="31" s="1"/>
  <c r="D32" i="23"/>
  <c r="AD32" i="31" s="1"/>
  <c r="C32" i="23"/>
  <c r="AC32" i="31" s="1"/>
  <c r="B32" i="23"/>
  <c r="AB32" i="31" s="1"/>
  <c r="U31" i="23"/>
  <c r="AU31" i="31" s="1"/>
  <c r="T31" i="23"/>
  <c r="S31" i="23"/>
  <c r="AS31" i="31" s="1"/>
  <c r="R31" i="23"/>
  <c r="Q31" i="23"/>
  <c r="P31" i="23"/>
  <c r="AP31" i="31" s="1"/>
  <c r="O31" i="23"/>
  <c r="AO31" i="31" s="1"/>
  <c r="N31" i="23"/>
  <c r="AN31" i="31" s="1"/>
  <c r="M31" i="23"/>
  <c r="AM31" i="31" s="1"/>
  <c r="L31" i="23"/>
  <c r="AL31" i="31" s="1"/>
  <c r="K31" i="23"/>
  <c r="AK31" i="31" s="1"/>
  <c r="J31" i="23"/>
  <c r="AJ31" i="31" s="1"/>
  <c r="I31" i="23"/>
  <c r="AI31" i="31" s="1"/>
  <c r="H31" i="23"/>
  <c r="AH31" i="31" s="1"/>
  <c r="G31" i="23"/>
  <c r="AG31" i="31" s="1"/>
  <c r="F31" i="23"/>
  <c r="AF31" i="31" s="1"/>
  <c r="E31" i="23"/>
  <c r="AE31" i="31" s="1"/>
  <c r="D31" i="23"/>
  <c r="AD31" i="31" s="1"/>
  <c r="C31" i="23"/>
  <c r="AC31" i="31" s="1"/>
  <c r="B31" i="23"/>
  <c r="AB31" i="31" s="1"/>
  <c r="U30" i="23"/>
  <c r="AU30" i="31" s="1"/>
  <c r="T30" i="23"/>
  <c r="S30" i="23"/>
  <c r="AS30" i="31" s="1"/>
  <c r="R30" i="23"/>
  <c r="Q30" i="23"/>
  <c r="P30" i="23"/>
  <c r="AP30" i="31" s="1"/>
  <c r="O30" i="23"/>
  <c r="AO30" i="31" s="1"/>
  <c r="N30" i="23"/>
  <c r="AN30" i="31" s="1"/>
  <c r="M30" i="23"/>
  <c r="AM30" i="31" s="1"/>
  <c r="L30" i="23"/>
  <c r="AL30" i="31" s="1"/>
  <c r="K30" i="23"/>
  <c r="AK30" i="31" s="1"/>
  <c r="J30" i="23"/>
  <c r="AJ30" i="31" s="1"/>
  <c r="I30" i="23"/>
  <c r="AI30" i="31" s="1"/>
  <c r="H30" i="23"/>
  <c r="AH30" i="31" s="1"/>
  <c r="G30" i="23"/>
  <c r="AG30" i="31" s="1"/>
  <c r="F30" i="23"/>
  <c r="AF30" i="31" s="1"/>
  <c r="E30" i="23"/>
  <c r="AE30" i="31" s="1"/>
  <c r="D30" i="23"/>
  <c r="AD30" i="31" s="1"/>
  <c r="C30" i="23"/>
  <c r="AC30" i="31" s="1"/>
  <c r="B30" i="23"/>
  <c r="AB30" i="31" s="1"/>
  <c r="U29" i="23"/>
  <c r="AU29" i="31" s="1"/>
  <c r="T29" i="23"/>
  <c r="S29" i="23"/>
  <c r="AS29" i="31" s="1"/>
  <c r="R29" i="23"/>
  <c r="Q29" i="23"/>
  <c r="P29" i="23"/>
  <c r="AP29" i="31" s="1"/>
  <c r="O29" i="23"/>
  <c r="AO29" i="31" s="1"/>
  <c r="N29" i="23"/>
  <c r="AN29" i="31" s="1"/>
  <c r="M29" i="23"/>
  <c r="AM29" i="31" s="1"/>
  <c r="L29" i="23"/>
  <c r="AL29" i="31" s="1"/>
  <c r="K29" i="23"/>
  <c r="AK29" i="31" s="1"/>
  <c r="J29" i="23"/>
  <c r="AJ29" i="31" s="1"/>
  <c r="I29" i="23"/>
  <c r="AI29" i="31" s="1"/>
  <c r="H29" i="23"/>
  <c r="AH29" i="31" s="1"/>
  <c r="G29" i="23"/>
  <c r="AG29" i="31" s="1"/>
  <c r="F29" i="23"/>
  <c r="AF29" i="31" s="1"/>
  <c r="E29" i="23"/>
  <c r="AE29" i="31" s="1"/>
  <c r="D29" i="23"/>
  <c r="AD29" i="31" s="1"/>
  <c r="C29" i="23"/>
  <c r="AC29" i="31" s="1"/>
  <c r="B29" i="23"/>
  <c r="AB29" i="31" s="1"/>
  <c r="U28" i="23"/>
  <c r="AU28" i="31" s="1"/>
  <c r="T28" i="23"/>
  <c r="S28" i="23"/>
  <c r="AS28" i="31" s="1"/>
  <c r="R28" i="23"/>
  <c r="Q28" i="23"/>
  <c r="P28" i="23"/>
  <c r="AP28" i="31" s="1"/>
  <c r="O28" i="23"/>
  <c r="AO28" i="31" s="1"/>
  <c r="N28" i="23"/>
  <c r="AN28" i="31" s="1"/>
  <c r="M28" i="23"/>
  <c r="AM28" i="31" s="1"/>
  <c r="L28" i="23"/>
  <c r="AL28" i="31" s="1"/>
  <c r="K28" i="23"/>
  <c r="AK28" i="31" s="1"/>
  <c r="J28" i="23"/>
  <c r="AJ28" i="31" s="1"/>
  <c r="I28" i="23"/>
  <c r="AI28" i="31" s="1"/>
  <c r="H28" i="23"/>
  <c r="AH28" i="31" s="1"/>
  <c r="G28" i="23"/>
  <c r="AG28" i="31" s="1"/>
  <c r="F28" i="23"/>
  <c r="AF28" i="31" s="1"/>
  <c r="E28" i="23"/>
  <c r="AE28" i="31" s="1"/>
  <c r="D28" i="23"/>
  <c r="AD28" i="31" s="1"/>
  <c r="C28" i="23"/>
  <c r="AC28" i="31" s="1"/>
  <c r="B28" i="23"/>
  <c r="AB28" i="31" s="1"/>
  <c r="U27" i="23"/>
  <c r="AU27" i="31" s="1"/>
  <c r="T27" i="23"/>
  <c r="S27" i="23"/>
  <c r="AS27" i="31" s="1"/>
  <c r="R27" i="23"/>
  <c r="Q27" i="23"/>
  <c r="P27" i="23"/>
  <c r="AP27" i="31" s="1"/>
  <c r="O27" i="23"/>
  <c r="AO27" i="31" s="1"/>
  <c r="N27" i="23"/>
  <c r="AN27" i="31" s="1"/>
  <c r="M27" i="23"/>
  <c r="AM27" i="31" s="1"/>
  <c r="L27" i="23"/>
  <c r="AL27" i="31" s="1"/>
  <c r="K27" i="23"/>
  <c r="AK27" i="31" s="1"/>
  <c r="J27" i="23"/>
  <c r="AJ27" i="31" s="1"/>
  <c r="I27" i="23"/>
  <c r="AI27" i="31" s="1"/>
  <c r="H27" i="23"/>
  <c r="AH27" i="31" s="1"/>
  <c r="G27" i="23"/>
  <c r="AG27" i="31" s="1"/>
  <c r="F27" i="23"/>
  <c r="AF27" i="31" s="1"/>
  <c r="E27" i="23"/>
  <c r="AE27" i="31" s="1"/>
  <c r="D27" i="23"/>
  <c r="AD27" i="31" s="1"/>
  <c r="C27" i="23"/>
  <c r="AC27" i="31" s="1"/>
  <c r="B27" i="23"/>
  <c r="AB27" i="31" s="1"/>
  <c r="U26" i="23"/>
  <c r="T26" i="23"/>
  <c r="S26" i="23"/>
  <c r="R26" i="23"/>
  <c r="Q26" i="23"/>
  <c r="P26" i="23"/>
  <c r="O26" i="23"/>
  <c r="N26" i="23"/>
  <c r="M26" i="23"/>
  <c r="L26" i="23"/>
  <c r="K26" i="23"/>
  <c r="J26" i="23"/>
  <c r="I26" i="23"/>
  <c r="H26" i="23"/>
  <c r="G26" i="23"/>
  <c r="F26" i="23"/>
  <c r="E26" i="23"/>
  <c r="D26" i="23"/>
  <c r="C26" i="23"/>
  <c r="B26" i="23"/>
  <c r="U24" i="23"/>
  <c r="AU24" i="31" s="1"/>
  <c r="T24" i="23"/>
  <c r="S24" i="23"/>
  <c r="AS24" i="31" s="1"/>
  <c r="R24" i="23"/>
  <c r="Q24" i="23"/>
  <c r="P24" i="23"/>
  <c r="AP24" i="31" s="1"/>
  <c r="O24" i="23"/>
  <c r="AO24" i="31" s="1"/>
  <c r="N24" i="23"/>
  <c r="AN24" i="31" s="1"/>
  <c r="M24" i="23"/>
  <c r="AM24" i="31" s="1"/>
  <c r="L24" i="23"/>
  <c r="AL24" i="31" s="1"/>
  <c r="K24" i="23"/>
  <c r="AK24" i="31" s="1"/>
  <c r="J24" i="23"/>
  <c r="I24" i="23"/>
  <c r="AI24" i="31" s="1"/>
  <c r="H24" i="23"/>
  <c r="G24" i="23"/>
  <c r="F24" i="23"/>
  <c r="AF24" i="31" s="1"/>
  <c r="E24" i="23"/>
  <c r="U23" i="23"/>
  <c r="AU23" i="31" s="1"/>
  <c r="T23" i="23"/>
  <c r="S23" i="23"/>
  <c r="AS23" i="31" s="1"/>
  <c r="R23" i="23"/>
  <c r="Q23" i="23"/>
  <c r="P23" i="23"/>
  <c r="AP23" i="31" s="1"/>
  <c r="O23" i="23"/>
  <c r="AO23" i="31" s="1"/>
  <c r="N23" i="23"/>
  <c r="AN23" i="31" s="1"/>
  <c r="M23" i="23"/>
  <c r="AM23" i="31" s="1"/>
  <c r="L23" i="23"/>
  <c r="AL23" i="31" s="1"/>
  <c r="K23" i="23"/>
  <c r="AK23" i="31" s="1"/>
  <c r="J23" i="23"/>
  <c r="I23" i="23"/>
  <c r="AI23" i="31" s="1"/>
  <c r="H23" i="23"/>
  <c r="G23" i="23"/>
  <c r="F23" i="23"/>
  <c r="AF23" i="31" s="1"/>
  <c r="E23" i="23"/>
  <c r="U22" i="23"/>
  <c r="AU22" i="31" s="1"/>
  <c r="T22" i="23"/>
  <c r="S22" i="23"/>
  <c r="AS22" i="31" s="1"/>
  <c r="R22" i="23"/>
  <c r="Q22" i="23"/>
  <c r="P22" i="23"/>
  <c r="AP22" i="31" s="1"/>
  <c r="O22" i="23"/>
  <c r="AO22" i="31" s="1"/>
  <c r="N22" i="23"/>
  <c r="AN22" i="31" s="1"/>
  <c r="M22" i="23"/>
  <c r="AM22" i="31" s="1"/>
  <c r="L22" i="23"/>
  <c r="AL22" i="31" s="1"/>
  <c r="K22" i="23"/>
  <c r="AK22" i="31" s="1"/>
  <c r="J22" i="23"/>
  <c r="I22" i="23"/>
  <c r="AI22" i="31" s="1"/>
  <c r="H22" i="23"/>
  <c r="G22" i="23"/>
  <c r="F22" i="23"/>
  <c r="AF22" i="31" s="1"/>
  <c r="E22" i="23"/>
  <c r="U21" i="23"/>
  <c r="AU21" i="31" s="1"/>
  <c r="T21" i="23"/>
  <c r="S21" i="23"/>
  <c r="AS21" i="31" s="1"/>
  <c r="R21" i="23"/>
  <c r="Q21" i="23"/>
  <c r="P21" i="23"/>
  <c r="AP21" i="31" s="1"/>
  <c r="O21" i="23"/>
  <c r="AO21" i="31" s="1"/>
  <c r="N21" i="23"/>
  <c r="AN21" i="31" s="1"/>
  <c r="M21" i="23"/>
  <c r="AM21" i="31" s="1"/>
  <c r="L21" i="23"/>
  <c r="AL21" i="31" s="1"/>
  <c r="K21" i="23"/>
  <c r="AK21" i="31" s="1"/>
  <c r="J21" i="23"/>
  <c r="I21" i="23"/>
  <c r="AI21" i="31" s="1"/>
  <c r="H21" i="23"/>
  <c r="G21" i="23"/>
  <c r="F21" i="23"/>
  <c r="AF21" i="31" s="1"/>
  <c r="E21" i="23"/>
  <c r="U20" i="23"/>
  <c r="AU20" i="31" s="1"/>
  <c r="T20" i="23"/>
  <c r="S20" i="23"/>
  <c r="AS20" i="31" s="1"/>
  <c r="R20" i="23"/>
  <c r="Q20" i="23"/>
  <c r="P20" i="23"/>
  <c r="AP20" i="31" s="1"/>
  <c r="O20" i="23"/>
  <c r="AO20" i="31" s="1"/>
  <c r="N20" i="23"/>
  <c r="AN20" i="31" s="1"/>
  <c r="M20" i="23"/>
  <c r="AM20" i="31" s="1"/>
  <c r="L20" i="23"/>
  <c r="AL20" i="31" s="1"/>
  <c r="K20" i="23"/>
  <c r="AK20" i="31" s="1"/>
  <c r="J20" i="23"/>
  <c r="I20" i="23"/>
  <c r="AI20" i="31" s="1"/>
  <c r="H20" i="23"/>
  <c r="G20" i="23"/>
  <c r="F20" i="23"/>
  <c r="AF20" i="31" s="1"/>
  <c r="E20" i="23"/>
  <c r="U19" i="23"/>
  <c r="AU19" i="31" s="1"/>
  <c r="T19" i="23"/>
  <c r="S19" i="23"/>
  <c r="AS19" i="31" s="1"/>
  <c r="R19" i="23"/>
  <c r="Q19" i="23"/>
  <c r="P19" i="23"/>
  <c r="AP19" i="31" s="1"/>
  <c r="O19" i="23"/>
  <c r="AO19" i="31" s="1"/>
  <c r="N19" i="23"/>
  <c r="AN19" i="31" s="1"/>
  <c r="M19" i="23"/>
  <c r="AM19" i="31" s="1"/>
  <c r="L19" i="23"/>
  <c r="AL19" i="31" s="1"/>
  <c r="K19" i="23"/>
  <c r="AK19" i="31" s="1"/>
  <c r="J19" i="23"/>
  <c r="I19" i="23"/>
  <c r="AI19" i="31" s="1"/>
  <c r="H19" i="23"/>
  <c r="G19" i="23"/>
  <c r="F19" i="23"/>
  <c r="AF19" i="31" s="1"/>
  <c r="E19" i="23"/>
  <c r="B19" i="23"/>
  <c r="AB19" i="31" s="1"/>
  <c r="U18" i="23"/>
  <c r="AU18" i="31" s="1"/>
  <c r="T18" i="23"/>
  <c r="S18" i="23"/>
  <c r="AS18" i="31" s="1"/>
  <c r="R18" i="23"/>
  <c r="Q18" i="23"/>
  <c r="P18" i="23"/>
  <c r="AP18" i="31" s="1"/>
  <c r="O18" i="23"/>
  <c r="AO18" i="31" s="1"/>
  <c r="N18" i="23"/>
  <c r="AN18" i="31" s="1"/>
  <c r="M18" i="23"/>
  <c r="AM18" i="31" s="1"/>
  <c r="L18" i="23"/>
  <c r="AL18" i="31" s="1"/>
  <c r="K18" i="23"/>
  <c r="AK18" i="31" s="1"/>
  <c r="J18" i="23"/>
  <c r="I18" i="23"/>
  <c r="AI18" i="31" s="1"/>
  <c r="H18" i="23"/>
  <c r="G18" i="23"/>
  <c r="F18" i="23"/>
  <c r="AF18" i="31" s="1"/>
  <c r="E18" i="23"/>
  <c r="U17" i="23"/>
  <c r="AU17" i="31" s="1"/>
  <c r="T17" i="23"/>
  <c r="S17" i="23"/>
  <c r="AS17" i="31" s="1"/>
  <c r="R17" i="23"/>
  <c r="Q17" i="23"/>
  <c r="P17" i="23"/>
  <c r="AP17" i="31" s="1"/>
  <c r="O17" i="23"/>
  <c r="AO17" i="31" s="1"/>
  <c r="N17" i="23"/>
  <c r="AN17" i="31" s="1"/>
  <c r="M17" i="23"/>
  <c r="AM17" i="31" s="1"/>
  <c r="L17" i="23"/>
  <c r="AL17" i="31" s="1"/>
  <c r="K17" i="23"/>
  <c r="AK17" i="31" s="1"/>
  <c r="J17" i="23"/>
  <c r="I17" i="23"/>
  <c r="AI17" i="31" s="1"/>
  <c r="H17" i="23"/>
  <c r="G17" i="23"/>
  <c r="F17" i="23"/>
  <c r="AF17" i="31" s="1"/>
  <c r="E17" i="23"/>
  <c r="U16" i="23"/>
  <c r="AU16" i="31" s="1"/>
  <c r="T16" i="23"/>
  <c r="S16" i="23"/>
  <c r="AS16" i="31" s="1"/>
  <c r="R16" i="23"/>
  <c r="Q16" i="23"/>
  <c r="P16" i="23"/>
  <c r="AP16" i="31" s="1"/>
  <c r="O16" i="23"/>
  <c r="AO16" i="31" s="1"/>
  <c r="N16" i="23"/>
  <c r="AN16" i="31" s="1"/>
  <c r="M16" i="23"/>
  <c r="AM16" i="31" s="1"/>
  <c r="L16" i="23"/>
  <c r="AL16" i="31" s="1"/>
  <c r="K16" i="23"/>
  <c r="AK16" i="31" s="1"/>
  <c r="J16" i="23"/>
  <c r="I16" i="23"/>
  <c r="AI16" i="31" s="1"/>
  <c r="H16" i="23"/>
  <c r="G16" i="23"/>
  <c r="F16" i="23"/>
  <c r="AF16" i="31" s="1"/>
  <c r="E16" i="23"/>
  <c r="B16" i="23"/>
  <c r="AB16" i="31" s="1"/>
  <c r="U15" i="23"/>
  <c r="AU15" i="31" s="1"/>
  <c r="T15" i="23"/>
  <c r="S15" i="23"/>
  <c r="AS15" i="31" s="1"/>
  <c r="R15" i="23"/>
  <c r="Q15" i="23"/>
  <c r="P15" i="23"/>
  <c r="AP15" i="31" s="1"/>
  <c r="O15" i="23"/>
  <c r="AO15" i="31" s="1"/>
  <c r="N15" i="23"/>
  <c r="AN15" i="31" s="1"/>
  <c r="M15" i="23"/>
  <c r="AM15" i="31" s="1"/>
  <c r="L15" i="23"/>
  <c r="AL15" i="31" s="1"/>
  <c r="K15" i="23"/>
  <c r="AK15" i="31" s="1"/>
  <c r="J15" i="23"/>
  <c r="I15" i="23"/>
  <c r="AI15" i="31" s="1"/>
  <c r="H15" i="23"/>
  <c r="G15" i="23"/>
  <c r="F15" i="23"/>
  <c r="AF15" i="31" s="1"/>
  <c r="E15" i="23"/>
  <c r="U14" i="23"/>
  <c r="AU14" i="31" s="1"/>
  <c r="T14" i="23"/>
  <c r="S14" i="23"/>
  <c r="AS14" i="31" s="1"/>
  <c r="R14" i="23"/>
  <c r="Q14" i="23"/>
  <c r="P14" i="23"/>
  <c r="AP14" i="31" s="1"/>
  <c r="O14" i="23"/>
  <c r="AO14" i="31" s="1"/>
  <c r="N14" i="23"/>
  <c r="AN14" i="31" s="1"/>
  <c r="M14" i="23"/>
  <c r="AM14" i="31" s="1"/>
  <c r="L14" i="23"/>
  <c r="AL14" i="31" s="1"/>
  <c r="K14" i="23"/>
  <c r="AK14" i="31" s="1"/>
  <c r="J14" i="23"/>
  <c r="I14" i="23"/>
  <c r="AI14" i="31" s="1"/>
  <c r="H14" i="23"/>
  <c r="G14" i="23"/>
  <c r="F14" i="23"/>
  <c r="AF14" i="31" s="1"/>
  <c r="E14" i="23"/>
  <c r="U13" i="23"/>
  <c r="AU13" i="31" s="1"/>
  <c r="T13" i="23"/>
  <c r="S13" i="23"/>
  <c r="AS13" i="31" s="1"/>
  <c r="R13" i="23"/>
  <c r="Q13" i="23"/>
  <c r="P13" i="23"/>
  <c r="AP13" i="31" s="1"/>
  <c r="O13" i="23"/>
  <c r="AO13" i="31" s="1"/>
  <c r="N13" i="23"/>
  <c r="AN13" i="31" s="1"/>
  <c r="M13" i="23"/>
  <c r="AM13" i="31" s="1"/>
  <c r="L13" i="23"/>
  <c r="AL13" i="31" s="1"/>
  <c r="K13" i="23"/>
  <c r="AK13" i="31" s="1"/>
  <c r="J13" i="23"/>
  <c r="I13" i="23"/>
  <c r="AI13" i="31" s="1"/>
  <c r="H13" i="23"/>
  <c r="G13" i="23"/>
  <c r="F13" i="23"/>
  <c r="AF13" i="31" s="1"/>
  <c r="E13" i="23"/>
  <c r="U12" i="23"/>
  <c r="AU12" i="31" s="1"/>
  <c r="T12" i="23"/>
  <c r="S12" i="23"/>
  <c r="AS12" i="31" s="1"/>
  <c r="R12" i="23"/>
  <c r="Q12" i="23"/>
  <c r="P12" i="23"/>
  <c r="AP12" i="31" s="1"/>
  <c r="O12" i="23"/>
  <c r="AO12" i="31" s="1"/>
  <c r="N12" i="23"/>
  <c r="AN12" i="31" s="1"/>
  <c r="M12" i="23"/>
  <c r="AM12" i="31" s="1"/>
  <c r="L12" i="23"/>
  <c r="AL12" i="31" s="1"/>
  <c r="K12" i="23"/>
  <c r="AK12" i="31" s="1"/>
  <c r="J12" i="23"/>
  <c r="I12" i="23"/>
  <c r="AI12" i="31" s="1"/>
  <c r="H12" i="23"/>
  <c r="G12" i="23"/>
  <c r="F12" i="23"/>
  <c r="AF12" i="31" s="1"/>
  <c r="E12" i="23"/>
  <c r="U11" i="23"/>
  <c r="AU11" i="31" s="1"/>
  <c r="T11" i="23"/>
  <c r="S11" i="23"/>
  <c r="AS11" i="31" s="1"/>
  <c r="R11" i="23"/>
  <c r="P11" i="23"/>
  <c r="AP11" i="31" s="1"/>
  <c r="O11" i="23"/>
  <c r="AO11" i="31" s="1"/>
  <c r="N11" i="23"/>
  <c r="AN11" i="31" s="1"/>
  <c r="M11" i="23"/>
  <c r="AM11" i="31" s="1"/>
  <c r="L11" i="23"/>
  <c r="AL11" i="31" s="1"/>
  <c r="K11" i="23"/>
  <c r="AK11" i="31" s="1"/>
  <c r="J11" i="23"/>
  <c r="I11" i="23"/>
  <c r="AI11" i="31" s="1"/>
  <c r="H11" i="23"/>
  <c r="AH11" i="31" s="1"/>
  <c r="G11" i="23"/>
  <c r="AG11" i="31" s="1"/>
  <c r="F11" i="23"/>
  <c r="AF11" i="31" s="1"/>
  <c r="E11" i="23"/>
  <c r="AE11" i="31" s="1"/>
  <c r="C11" i="23"/>
  <c r="AC11" i="31" s="1"/>
  <c r="B11" i="23"/>
  <c r="AB11" i="31" s="1"/>
  <c r="U10" i="23"/>
  <c r="AU10" i="31" s="1"/>
  <c r="T10" i="23"/>
  <c r="S10" i="23"/>
  <c r="AS10" i="31" s="1"/>
  <c r="R10" i="23"/>
  <c r="Q10" i="23"/>
  <c r="P10" i="23"/>
  <c r="AP10" i="31" s="1"/>
  <c r="O10" i="23"/>
  <c r="AO10" i="31" s="1"/>
  <c r="N10" i="23"/>
  <c r="AN10" i="31" s="1"/>
  <c r="M10" i="23"/>
  <c r="AM10" i="31" s="1"/>
  <c r="L10" i="23"/>
  <c r="AL10" i="31" s="1"/>
  <c r="K10" i="23"/>
  <c r="AK10" i="31" s="1"/>
  <c r="J10" i="23"/>
  <c r="I10" i="23"/>
  <c r="AI10" i="31" s="1"/>
  <c r="H10" i="23"/>
  <c r="G10" i="23"/>
  <c r="F10" i="23"/>
  <c r="AF10" i="31" s="1"/>
  <c r="E10" i="23"/>
  <c r="U9" i="23"/>
  <c r="AU9" i="31" s="1"/>
  <c r="T9" i="23"/>
  <c r="S9" i="23"/>
  <c r="AS9" i="31" s="1"/>
  <c r="R9" i="23"/>
  <c r="Q9" i="23"/>
  <c r="P9" i="23"/>
  <c r="AP9" i="31" s="1"/>
  <c r="O9" i="23"/>
  <c r="AO9" i="31" s="1"/>
  <c r="N9" i="23"/>
  <c r="AN9" i="31" s="1"/>
  <c r="M9" i="23"/>
  <c r="AM9" i="31" s="1"/>
  <c r="L9" i="23"/>
  <c r="AL9" i="31" s="1"/>
  <c r="K9" i="23"/>
  <c r="AK9" i="31" s="1"/>
  <c r="J9" i="23"/>
  <c r="I9" i="23"/>
  <c r="AI9" i="31" s="1"/>
  <c r="H9" i="23"/>
  <c r="G9" i="23"/>
  <c r="F9" i="23"/>
  <c r="AF9" i="31" s="1"/>
  <c r="E9" i="23"/>
  <c r="U8" i="23"/>
  <c r="T8" i="23"/>
  <c r="S8" i="23"/>
  <c r="R8" i="23"/>
  <c r="Q8" i="23"/>
  <c r="P8" i="23"/>
  <c r="O8" i="23"/>
  <c r="N8" i="23"/>
  <c r="M8" i="23"/>
  <c r="L8" i="23"/>
  <c r="K8" i="23"/>
  <c r="J8" i="23"/>
  <c r="I8" i="23"/>
  <c r="H8" i="23"/>
  <c r="G8" i="23"/>
  <c r="F8" i="23"/>
  <c r="E8" i="23"/>
  <c r="D8" i="23"/>
  <c r="C8" i="23"/>
  <c r="B8" i="23"/>
  <c r="N66" i="19"/>
  <c r="M66" i="19"/>
  <c r="K66" i="19"/>
  <c r="J66" i="19"/>
  <c r="I66" i="19"/>
  <c r="N65" i="19"/>
  <c r="M65" i="19"/>
  <c r="K65" i="19"/>
  <c r="J65" i="19"/>
  <c r="I65" i="19"/>
  <c r="N64" i="19"/>
  <c r="M64" i="19"/>
  <c r="K64" i="19"/>
  <c r="J64" i="19"/>
  <c r="I64" i="19"/>
  <c r="N63" i="19"/>
  <c r="M63" i="19"/>
  <c r="K63" i="19"/>
  <c r="J63" i="19"/>
  <c r="I63" i="19"/>
  <c r="N62" i="19"/>
  <c r="M62" i="19"/>
  <c r="K62" i="19"/>
  <c r="J62" i="19"/>
  <c r="I62" i="19"/>
  <c r="N61" i="19"/>
  <c r="M61" i="19"/>
  <c r="K61" i="19"/>
  <c r="J61" i="19"/>
  <c r="I61" i="19"/>
  <c r="N60" i="19"/>
  <c r="M60" i="19"/>
  <c r="K60" i="19"/>
  <c r="J60" i="19"/>
  <c r="I60" i="19"/>
  <c r="N59" i="19"/>
  <c r="M59" i="19"/>
  <c r="K59" i="19"/>
  <c r="J59" i="19"/>
  <c r="I59" i="19"/>
  <c r="N58" i="19"/>
  <c r="M58" i="19"/>
  <c r="K58" i="19"/>
  <c r="J58" i="19"/>
  <c r="I58" i="19"/>
  <c r="N55" i="19"/>
  <c r="M55" i="19"/>
  <c r="K55" i="19"/>
  <c r="J55" i="19"/>
  <c r="I55" i="19"/>
  <c r="N54" i="19"/>
  <c r="M54" i="19"/>
  <c r="K54" i="19"/>
  <c r="J54" i="19"/>
  <c r="I54" i="19"/>
  <c r="N53" i="19"/>
  <c r="M53" i="19"/>
  <c r="K53" i="19"/>
  <c r="J53" i="19"/>
  <c r="I53" i="19"/>
  <c r="N52" i="19"/>
  <c r="M52" i="19"/>
  <c r="K52" i="19"/>
  <c r="J52" i="19"/>
  <c r="I52" i="19"/>
  <c r="N51" i="19"/>
  <c r="M51" i="19"/>
  <c r="K51" i="19"/>
  <c r="J51" i="19"/>
  <c r="I51" i="19"/>
  <c r="N50" i="19"/>
  <c r="M50" i="19"/>
  <c r="K50" i="19"/>
  <c r="J50" i="19"/>
  <c r="N49" i="19"/>
  <c r="M49" i="19"/>
  <c r="K49" i="19"/>
  <c r="J49" i="19"/>
  <c r="I49" i="19"/>
  <c r="N48" i="19"/>
  <c r="M48" i="19"/>
  <c r="K48" i="19"/>
  <c r="J48" i="19"/>
  <c r="N47" i="19"/>
  <c r="M47" i="19"/>
  <c r="K47" i="19"/>
  <c r="J47" i="19"/>
  <c r="I47" i="19"/>
  <c r="N46" i="19"/>
  <c r="M46" i="19"/>
  <c r="K46" i="19"/>
  <c r="J46" i="19"/>
  <c r="N45" i="19"/>
  <c r="M45" i="19"/>
  <c r="K45" i="19"/>
  <c r="J45" i="19"/>
  <c r="I45" i="19"/>
  <c r="N44" i="19"/>
  <c r="M44" i="19"/>
  <c r="K44" i="19"/>
  <c r="J44" i="19"/>
  <c r="N41" i="19"/>
  <c r="M41" i="19"/>
  <c r="K41" i="19"/>
  <c r="J41" i="19"/>
  <c r="I41" i="19"/>
  <c r="N40" i="19"/>
  <c r="M40" i="19"/>
  <c r="K40" i="19"/>
  <c r="J40" i="19"/>
  <c r="N39" i="19"/>
  <c r="M39" i="19"/>
  <c r="K39" i="19"/>
  <c r="J39" i="19"/>
  <c r="I39" i="19"/>
  <c r="N38" i="19"/>
  <c r="M38" i="19"/>
  <c r="K38" i="19"/>
  <c r="J38" i="19"/>
  <c r="N37" i="19"/>
  <c r="M37" i="19"/>
  <c r="K37" i="19"/>
  <c r="J37" i="19"/>
  <c r="I37" i="19"/>
  <c r="N36" i="19"/>
  <c r="M36" i="19"/>
  <c r="K36" i="19"/>
  <c r="J36" i="19"/>
  <c r="N35" i="19"/>
  <c r="M35" i="19"/>
  <c r="K35" i="19"/>
  <c r="J35" i="19"/>
  <c r="I35" i="19"/>
  <c r="N34" i="19"/>
  <c r="M34" i="19"/>
  <c r="K34" i="19"/>
  <c r="J34" i="19"/>
  <c r="N33" i="19"/>
  <c r="M33" i="19"/>
  <c r="K33" i="19"/>
  <c r="J33" i="19"/>
  <c r="I33" i="19"/>
  <c r="N32" i="19"/>
  <c r="M32" i="19"/>
  <c r="K32" i="19"/>
  <c r="J32" i="19"/>
  <c r="N31" i="19"/>
  <c r="M31" i="19"/>
  <c r="K31" i="19"/>
  <c r="J31" i="19"/>
  <c r="I31" i="19"/>
  <c r="N30" i="19"/>
  <c r="M30" i="19"/>
  <c r="K30" i="19"/>
  <c r="J30" i="19"/>
  <c r="N26" i="19"/>
  <c r="M26" i="19"/>
  <c r="K26" i="19"/>
  <c r="J26" i="19"/>
  <c r="N25" i="19"/>
  <c r="M25" i="19"/>
  <c r="K25" i="19"/>
  <c r="J25" i="19"/>
  <c r="I25" i="19"/>
  <c r="N24" i="19"/>
  <c r="M24" i="19"/>
  <c r="K24" i="19"/>
  <c r="J24" i="19"/>
  <c r="N23" i="19"/>
  <c r="M23" i="19"/>
  <c r="K23" i="19"/>
  <c r="J23" i="19"/>
  <c r="I23" i="19"/>
  <c r="N22" i="19"/>
  <c r="M22" i="19"/>
  <c r="K22" i="19"/>
  <c r="J22" i="19"/>
  <c r="N21" i="19"/>
  <c r="M21" i="19"/>
  <c r="K21" i="19"/>
  <c r="J21" i="19"/>
  <c r="I21" i="19"/>
  <c r="N20" i="19"/>
  <c r="M20" i="19"/>
  <c r="K20" i="19"/>
  <c r="J20" i="19"/>
  <c r="N19" i="19"/>
  <c r="M19" i="19"/>
  <c r="K19" i="19"/>
  <c r="J19" i="19"/>
  <c r="I19" i="19"/>
  <c r="N18" i="19"/>
  <c r="M18" i="19"/>
  <c r="K18" i="19"/>
  <c r="J18" i="19"/>
  <c r="N17" i="19"/>
  <c r="M17" i="19"/>
  <c r="K17" i="19"/>
  <c r="J17" i="19"/>
  <c r="I17" i="19"/>
  <c r="N16" i="19"/>
  <c r="M16" i="19"/>
  <c r="K16" i="19"/>
  <c r="J16" i="19"/>
  <c r="N15" i="19"/>
  <c r="M15" i="19"/>
  <c r="K15" i="19"/>
  <c r="J15" i="19"/>
  <c r="I15" i="19"/>
  <c r="N14" i="19"/>
  <c r="M14" i="19"/>
  <c r="K14" i="19"/>
  <c r="J14" i="19"/>
  <c r="N13" i="19"/>
  <c r="M13" i="19"/>
  <c r="K13" i="19"/>
  <c r="J13" i="19"/>
  <c r="I13" i="19"/>
  <c r="N12" i="19"/>
  <c r="M12" i="19"/>
  <c r="K12" i="19"/>
  <c r="J12" i="19"/>
  <c r="N11" i="19"/>
  <c r="M11" i="19"/>
  <c r="K11" i="19"/>
  <c r="J11" i="19"/>
  <c r="I11" i="19"/>
  <c r="M67" i="18"/>
  <c r="K67" i="18"/>
  <c r="J67" i="18"/>
  <c r="I67" i="18"/>
  <c r="J66" i="18"/>
  <c r="I66" i="18"/>
  <c r="N65" i="18"/>
  <c r="I65" i="18"/>
  <c r="N64" i="18"/>
  <c r="M64" i="18"/>
  <c r="K64" i="18"/>
  <c r="N63" i="18"/>
  <c r="M63" i="18"/>
  <c r="J63" i="18"/>
  <c r="M62" i="18"/>
  <c r="I62" i="18"/>
  <c r="K61" i="18"/>
  <c r="N60" i="18"/>
  <c r="K60" i="18"/>
  <c r="J60" i="18"/>
  <c r="M59" i="18"/>
  <c r="K59" i="18"/>
  <c r="J59" i="18"/>
  <c r="I59" i="18"/>
  <c r="J58" i="18"/>
  <c r="I58" i="18"/>
  <c r="N55" i="18"/>
  <c r="M55" i="18"/>
  <c r="K55" i="18"/>
  <c r="N54" i="18"/>
  <c r="M54" i="18"/>
  <c r="J54" i="18"/>
  <c r="M53" i="18"/>
  <c r="I53" i="18"/>
  <c r="K52" i="18"/>
  <c r="N51" i="18"/>
  <c r="K51" i="18"/>
  <c r="J51" i="18"/>
  <c r="M50" i="18"/>
  <c r="K50" i="18"/>
  <c r="J50" i="18"/>
  <c r="I50" i="18"/>
  <c r="J49" i="18"/>
  <c r="I49" i="18"/>
  <c r="N48" i="18"/>
  <c r="I48" i="18"/>
  <c r="N47" i="18"/>
  <c r="M47" i="18"/>
  <c r="K47" i="18"/>
  <c r="N46" i="18"/>
  <c r="M46" i="18"/>
  <c r="J46" i="18"/>
  <c r="M45" i="18"/>
  <c r="I45" i="18"/>
  <c r="K44" i="18"/>
  <c r="M41" i="18"/>
  <c r="K41" i="18"/>
  <c r="J41" i="18"/>
  <c r="I41" i="18"/>
  <c r="J40" i="18"/>
  <c r="I40" i="18"/>
  <c r="N39" i="18"/>
  <c r="I39" i="18"/>
  <c r="N38" i="18"/>
  <c r="M38" i="18"/>
  <c r="K38" i="18"/>
  <c r="N37" i="18"/>
  <c r="M37" i="18"/>
  <c r="J37" i="18"/>
  <c r="M36" i="18"/>
  <c r="I36" i="18"/>
  <c r="K35" i="18"/>
  <c r="N34" i="18"/>
  <c r="K34" i="18"/>
  <c r="J34" i="18"/>
  <c r="M33" i="18"/>
  <c r="K33" i="18"/>
  <c r="J33" i="18"/>
  <c r="I33" i="18"/>
  <c r="J32" i="18"/>
  <c r="I32" i="18"/>
  <c r="N31" i="18"/>
  <c r="I31" i="18"/>
  <c r="N30" i="18"/>
  <c r="M30" i="18"/>
  <c r="K30" i="18"/>
  <c r="N29" i="18"/>
  <c r="M29" i="18"/>
  <c r="J29" i="18"/>
  <c r="K26" i="18"/>
  <c r="N25" i="18"/>
  <c r="K25" i="18"/>
  <c r="J25" i="18"/>
  <c r="M24" i="18"/>
  <c r="K24" i="18"/>
  <c r="J24" i="18"/>
  <c r="I24" i="18"/>
  <c r="J23" i="18"/>
  <c r="I23" i="18"/>
  <c r="N22" i="18"/>
  <c r="I22" i="18"/>
  <c r="N21" i="18"/>
  <c r="M21" i="18"/>
  <c r="K21" i="18"/>
  <c r="N20" i="18"/>
  <c r="M20" i="18"/>
  <c r="J20" i="18"/>
  <c r="M19" i="18"/>
  <c r="I19" i="18"/>
  <c r="K18" i="18"/>
  <c r="N17" i="18"/>
  <c r="K17" i="18"/>
  <c r="J17" i="18"/>
  <c r="M16" i="18"/>
  <c r="K16" i="18"/>
  <c r="J16" i="18"/>
  <c r="J15" i="18"/>
  <c r="N14" i="18"/>
  <c r="N13" i="18"/>
  <c r="M13" i="18"/>
  <c r="N12" i="18"/>
  <c r="M12" i="18"/>
  <c r="J12" i="18"/>
  <c r="M11" i="18"/>
  <c r="I11" i="18"/>
  <c r="AT39" i="31" l="1"/>
  <c r="X41" i="18"/>
  <c r="AT46" i="31"/>
  <c r="L48" i="18"/>
  <c r="AT63" i="31"/>
  <c r="L65" i="18"/>
  <c r="AT15" i="31"/>
  <c r="L17" i="18"/>
  <c r="AT9" i="31"/>
  <c r="L11" i="18"/>
  <c r="AT22" i="31"/>
  <c r="L24" i="18"/>
  <c r="AT24" i="31"/>
  <c r="L26" i="18"/>
  <c r="AT29" i="31"/>
  <c r="L31" i="18"/>
  <c r="AT31" i="31"/>
  <c r="AT37" i="31"/>
  <c r="L39" i="18"/>
  <c r="AT48" i="31"/>
  <c r="L50" i="18"/>
  <c r="AT57" i="31"/>
  <c r="X59" i="18"/>
  <c r="AT59" i="31"/>
  <c r="AT18" i="31"/>
  <c r="AT19" i="31"/>
  <c r="L21" i="18"/>
  <c r="AT21" i="31"/>
  <c r="L23" i="18"/>
  <c r="AT10" i="31"/>
  <c r="X12" i="18"/>
  <c r="AT16" i="31"/>
  <c r="L18" i="18"/>
  <c r="AT23" i="31"/>
  <c r="L25" i="18"/>
  <c r="AT9" i="11"/>
  <c r="L11" i="19"/>
  <c r="AT11" i="11"/>
  <c r="AT13" i="11"/>
  <c r="L15" i="19"/>
  <c r="AT15" i="11"/>
  <c r="L17" i="19"/>
  <c r="AT17" i="11"/>
  <c r="L19" i="19"/>
  <c r="AT19" i="11"/>
  <c r="AT21" i="11"/>
  <c r="X23" i="19"/>
  <c r="AT23" i="11"/>
  <c r="L25" i="19"/>
  <c r="AT28" i="11"/>
  <c r="X30" i="19"/>
  <c r="AT30" i="11"/>
  <c r="AT32" i="11"/>
  <c r="AT34" i="11"/>
  <c r="L36" i="19"/>
  <c r="AT36" i="11"/>
  <c r="L38" i="19"/>
  <c r="AT38" i="11"/>
  <c r="AT43" i="11"/>
  <c r="AT45" i="11"/>
  <c r="X47" i="19"/>
  <c r="AT47" i="11"/>
  <c r="X49" i="19"/>
  <c r="AT49" i="11"/>
  <c r="AT51" i="11"/>
  <c r="AT53" i="11"/>
  <c r="L55" i="19"/>
  <c r="AT56" i="11"/>
  <c r="L58" i="19"/>
  <c r="AT58" i="11"/>
  <c r="AT60" i="11"/>
  <c r="AT62" i="11"/>
  <c r="X64" i="19"/>
  <c r="AT64" i="11"/>
  <c r="X66" i="19"/>
  <c r="AT35" i="31"/>
  <c r="AT44" i="31"/>
  <c r="X46" i="18"/>
  <c r="AT50" i="31"/>
  <c r="X52" i="18"/>
  <c r="AT12" i="31"/>
  <c r="L14" i="18"/>
  <c r="AT24" i="11"/>
  <c r="AT27" i="11"/>
  <c r="AT29" i="11"/>
  <c r="L31" i="19"/>
  <c r="AT31" i="11"/>
  <c r="L33" i="19"/>
  <c r="AT33" i="11"/>
  <c r="AT35" i="11"/>
  <c r="AT37" i="11"/>
  <c r="L39" i="19"/>
  <c r="AT39" i="11"/>
  <c r="L41" i="19"/>
  <c r="AT42" i="11"/>
  <c r="AT44" i="11"/>
  <c r="L46" i="19"/>
  <c r="AT46" i="11"/>
  <c r="L48" i="19"/>
  <c r="AT48" i="11"/>
  <c r="L50" i="19"/>
  <c r="AT50" i="11"/>
  <c r="AT52" i="11"/>
  <c r="AT57" i="11"/>
  <c r="AT59" i="11"/>
  <c r="L61" i="19"/>
  <c r="AT61" i="11"/>
  <c r="AT63" i="11"/>
  <c r="L65" i="19"/>
  <c r="AT17" i="31"/>
  <c r="L19" i="18"/>
  <c r="AT27" i="31"/>
  <c r="L29" i="18"/>
  <c r="AT33" i="31"/>
  <c r="AT42" i="31"/>
  <c r="L44" i="18"/>
  <c r="AT52" i="31"/>
  <c r="L54" i="18"/>
  <c r="AT61" i="31"/>
  <c r="L63" i="18"/>
  <c r="AT11" i="31"/>
  <c r="AT13" i="31"/>
  <c r="L15" i="18"/>
  <c r="AT10" i="11"/>
  <c r="X12" i="19"/>
  <c r="AT12" i="11"/>
  <c r="X14" i="19"/>
  <c r="AT14" i="11"/>
  <c r="AT16" i="11"/>
  <c r="AT18" i="11"/>
  <c r="L20" i="19"/>
  <c r="AT20" i="11"/>
  <c r="X22" i="19"/>
  <c r="AT22" i="11"/>
  <c r="AT14" i="31"/>
  <c r="L16" i="18"/>
  <c r="AT20" i="31"/>
  <c r="L22" i="18"/>
  <c r="AT28" i="31"/>
  <c r="X30" i="18"/>
  <c r="AT30" i="31"/>
  <c r="X32" i="18"/>
  <c r="AT32" i="31"/>
  <c r="L34" i="18"/>
  <c r="AT34" i="31"/>
  <c r="L36" i="18"/>
  <c r="AT36" i="31"/>
  <c r="L38" i="18"/>
  <c r="AT38" i="31"/>
  <c r="AT43" i="31"/>
  <c r="X45" i="18"/>
  <c r="AT45" i="31"/>
  <c r="L47" i="18"/>
  <c r="AT47" i="31"/>
  <c r="L49" i="18"/>
  <c r="AT49" i="31"/>
  <c r="L51" i="18"/>
  <c r="AT51" i="31"/>
  <c r="L53" i="18"/>
  <c r="AT53" i="31"/>
  <c r="L55" i="18"/>
  <c r="AT56" i="31"/>
  <c r="L58" i="18"/>
  <c r="AT58" i="31"/>
  <c r="AT60" i="31"/>
  <c r="L62" i="18"/>
  <c r="AT62" i="31"/>
  <c r="L64" i="18"/>
  <c r="AT64" i="31"/>
  <c r="X66" i="18"/>
  <c r="AR10" i="11"/>
  <c r="AR12" i="11"/>
  <c r="AR14" i="11"/>
  <c r="L16" i="19"/>
  <c r="AR16" i="11"/>
  <c r="L18" i="19"/>
  <c r="AR18" i="11"/>
  <c r="AR20" i="11"/>
  <c r="AR22" i="11"/>
  <c r="L24" i="19"/>
  <c r="AR24" i="11"/>
  <c r="L26" i="19"/>
  <c r="AR27" i="11"/>
  <c r="AR29" i="11"/>
  <c r="AR31" i="11"/>
  <c r="AR33" i="11"/>
  <c r="X35" i="19"/>
  <c r="AR35" i="11"/>
  <c r="AR37" i="11"/>
  <c r="AR39" i="11"/>
  <c r="AR42" i="11"/>
  <c r="L44" i="19"/>
  <c r="AR44" i="11"/>
  <c r="AR46" i="11"/>
  <c r="AR48" i="11"/>
  <c r="AR50" i="11"/>
  <c r="L52" i="19"/>
  <c r="AR52" i="11"/>
  <c r="AR57" i="11"/>
  <c r="L59" i="19"/>
  <c r="AR59" i="11"/>
  <c r="AR61" i="11"/>
  <c r="L63" i="19"/>
  <c r="AR63" i="11"/>
  <c r="AR9" i="11"/>
  <c r="AR11" i="11"/>
  <c r="X13" i="19"/>
  <c r="AR13" i="11"/>
  <c r="AR15" i="11"/>
  <c r="AR17" i="11"/>
  <c r="AR19" i="11"/>
  <c r="L21" i="19"/>
  <c r="AR21" i="11"/>
  <c r="AR23" i="11"/>
  <c r="AR28" i="11"/>
  <c r="AR30" i="11"/>
  <c r="X32" i="19"/>
  <c r="AR32" i="11"/>
  <c r="L34" i="19"/>
  <c r="AR34" i="11"/>
  <c r="AR36" i="11"/>
  <c r="AR38" i="11"/>
  <c r="X40" i="19"/>
  <c r="AR43" i="11"/>
  <c r="L45" i="19"/>
  <c r="AR45" i="11"/>
  <c r="AR47" i="11"/>
  <c r="AR49" i="11"/>
  <c r="X51" i="19"/>
  <c r="AR51" i="11"/>
  <c r="L53" i="19"/>
  <c r="AR53" i="11"/>
  <c r="AR56" i="11"/>
  <c r="AR58" i="11"/>
  <c r="L60" i="19"/>
  <c r="AR60" i="11"/>
  <c r="X62" i="19"/>
  <c r="AR62" i="11"/>
  <c r="AR64" i="11"/>
  <c r="AR31" i="31"/>
  <c r="L33" i="18"/>
  <c r="AR39" i="31"/>
  <c r="AR44" i="31"/>
  <c r="AR63" i="31"/>
  <c r="AR18" i="31"/>
  <c r="L20" i="18"/>
  <c r="AR13" i="31"/>
  <c r="AR19" i="31"/>
  <c r="AR50" i="31"/>
  <c r="AR52" i="31"/>
  <c r="AR57" i="31"/>
  <c r="AR59" i="31"/>
  <c r="L61" i="18"/>
  <c r="AR61" i="31"/>
  <c r="AR65" i="31"/>
  <c r="AR11" i="31"/>
  <c r="AR12" i="31"/>
  <c r="AR14" i="31"/>
  <c r="AR20" i="31"/>
  <c r="AR28" i="31"/>
  <c r="AR30" i="31"/>
  <c r="AR32" i="31"/>
  <c r="AR34" i="31"/>
  <c r="AR36" i="31"/>
  <c r="AR38" i="31"/>
  <c r="L40" i="18"/>
  <c r="AR43" i="31"/>
  <c r="AR45" i="31"/>
  <c r="AR47" i="31"/>
  <c r="AR49" i="31"/>
  <c r="AR51" i="31"/>
  <c r="AR53" i="31"/>
  <c r="AR56" i="31"/>
  <c r="AR58" i="31"/>
  <c r="X60" i="18"/>
  <c r="AR60" i="31"/>
  <c r="AR62" i="31"/>
  <c r="AR64" i="31"/>
  <c r="AR24" i="31"/>
  <c r="AR29" i="31"/>
  <c r="AR33" i="31"/>
  <c r="L35" i="18"/>
  <c r="AR35" i="31"/>
  <c r="L37" i="18"/>
  <c r="AR42" i="31"/>
  <c r="AR46" i="31"/>
  <c r="AR15" i="31"/>
  <c r="AR21" i="31"/>
  <c r="AR17" i="31"/>
  <c r="AR27" i="31"/>
  <c r="AR37" i="31"/>
  <c r="AR48" i="31"/>
  <c r="AR9" i="31"/>
  <c r="AR22" i="31"/>
  <c r="AR10" i="31"/>
  <c r="AR16" i="31"/>
  <c r="AR23" i="31"/>
  <c r="AQ18" i="31"/>
  <c r="AQ30" i="31"/>
  <c r="AQ42" i="31"/>
  <c r="AQ48" i="31"/>
  <c r="AQ52" i="31"/>
  <c r="AQ60" i="31"/>
  <c r="AQ9" i="11"/>
  <c r="AQ13" i="11"/>
  <c r="AQ17" i="11"/>
  <c r="AQ49" i="11"/>
  <c r="AQ57" i="11"/>
  <c r="AQ14" i="31"/>
  <c r="AQ20" i="31"/>
  <c r="AQ22" i="31"/>
  <c r="AQ24" i="31"/>
  <c r="AQ28" i="31"/>
  <c r="AQ32" i="31"/>
  <c r="AQ34" i="31"/>
  <c r="AQ36" i="31"/>
  <c r="AQ38" i="31"/>
  <c r="AQ44" i="31"/>
  <c r="AQ50" i="31"/>
  <c r="AQ56" i="31"/>
  <c r="AQ62" i="31"/>
  <c r="AQ64" i="31"/>
  <c r="AQ15" i="11"/>
  <c r="AQ19" i="11"/>
  <c r="AQ21" i="11"/>
  <c r="AQ23" i="11"/>
  <c r="AQ27" i="11"/>
  <c r="AQ33" i="11"/>
  <c r="AQ37" i="11"/>
  <c r="AQ43" i="11"/>
  <c r="AQ63" i="11"/>
  <c r="AQ12" i="31"/>
  <c r="AQ46" i="31"/>
  <c r="AQ58" i="31"/>
  <c r="AQ29" i="11"/>
  <c r="L37" i="19"/>
  <c r="AQ35" i="11"/>
  <c r="AQ45" i="11"/>
  <c r="AQ53" i="11"/>
  <c r="AQ59" i="11"/>
  <c r="AQ10" i="31"/>
  <c r="AQ16" i="31"/>
  <c r="AQ11" i="11"/>
  <c r="AQ31" i="11"/>
  <c r="AQ39" i="11"/>
  <c r="AQ47" i="11"/>
  <c r="AQ51" i="11"/>
  <c r="AQ61" i="11"/>
  <c r="AQ9" i="31"/>
  <c r="AQ13" i="31"/>
  <c r="AQ15" i="31"/>
  <c r="AQ17" i="31"/>
  <c r="AQ19" i="31"/>
  <c r="AQ21" i="31"/>
  <c r="AQ23" i="31"/>
  <c r="AQ27" i="31"/>
  <c r="AQ29" i="31"/>
  <c r="AQ31" i="31"/>
  <c r="AQ33" i="31"/>
  <c r="AQ35" i="31"/>
  <c r="AQ37" i="31"/>
  <c r="AQ39" i="31"/>
  <c r="AQ43" i="31"/>
  <c r="AQ45" i="31"/>
  <c r="AQ47" i="31"/>
  <c r="AQ49" i="31"/>
  <c r="AQ51" i="31"/>
  <c r="AQ53" i="31"/>
  <c r="AQ57" i="31"/>
  <c r="AQ59" i="31"/>
  <c r="AQ61" i="31"/>
  <c r="AQ63" i="31"/>
  <c r="AQ65" i="31"/>
  <c r="AQ10" i="11"/>
  <c r="AQ12" i="11"/>
  <c r="AQ14" i="11"/>
  <c r="AQ16" i="11"/>
  <c r="AQ18" i="11"/>
  <c r="AQ20" i="11"/>
  <c r="AQ22" i="11"/>
  <c r="AQ24" i="11"/>
  <c r="AQ28" i="11"/>
  <c r="AQ30" i="11"/>
  <c r="AQ32" i="11"/>
  <c r="AQ34" i="11"/>
  <c r="AQ36" i="11"/>
  <c r="AQ38" i="11"/>
  <c r="AQ42" i="11"/>
  <c r="AQ44" i="11"/>
  <c r="AQ46" i="11"/>
  <c r="AQ48" i="11"/>
  <c r="AQ50" i="11"/>
  <c r="L54" i="19"/>
  <c r="AQ52" i="11"/>
  <c r="AQ56" i="11"/>
  <c r="AQ58" i="11"/>
  <c r="AQ60" i="11"/>
  <c r="AQ62" i="11"/>
  <c r="AQ64" i="11"/>
  <c r="K11" i="18"/>
  <c r="M14" i="18"/>
  <c r="N15" i="18"/>
  <c r="I17" i="18"/>
  <c r="J18" i="18"/>
  <c r="K19" i="18"/>
  <c r="M22" i="18"/>
  <c r="N23" i="18"/>
  <c r="I25" i="18"/>
  <c r="J26" i="18"/>
  <c r="M31" i="18"/>
  <c r="N32" i="18"/>
  <c r="I34" i="18"/>
  <c r="J35" i="18"/>
  <c r="K36" i="18"/>
  <c r="M39" i="18"/>
  <c r="N40" i="18"/>
  <c r="J44" i="18"/>
  <c r="K45" i="18"/>
  <c r="M48" i="18"/>
  <c r="N49" i="18"/>
  <c r="I51" i="18"/>
  <c r="J52" i="18"/>
  <c r="K53" i="18"/>
  <c r="N58" i="18"/>
  <c r="I60" i="18"/>
  <c r="J61" i="18"/>
  <c r="K62" i="18"/>
  <c r="M65" i="18"/>
  <c r="N66" i="18"/>
  <c r="J11" i="18"/>
  <c r="K12" i="18"/>
  <c r="M15" i="18"/>
  <c r="N16" i="18"/>
  <c r="I18" i="18"/>
  <c r="J19" i="18"/>
  <c r="K20" i="18"/>
  <c r="M23" i="18"/>
  <c r="N24" i="18"/>
  <c r="I26" i="18"/>
  <c r="K29" i="18"/>
  <c r="M32" i="18"/>
  <c r="N33" i="18"/>
  <c r="I35" i="18"/>
  <c r="J36" i="18"/>
  <c r="K37" i="18"/>
  <c r="M40" i="18"/>
  <c r="N41" i="18"/>
  <c r="I44" i="18"/>
  <c r="J45" i="18"/>
  <c r="K46" i="18"/>
  <c r="M49" i="18"/>
  <c r="N50" i="18"/>
  <c r="I52" i="18"/>
  <c r="J53" i="18"/>
  <c r="K54" i="18"/>
  <c r="M58" i="18"/>
  <c r="N59" i="18"/>
  <c r="I61" i="18"/>
  <c r="J62" i="18"/>
  <c r="K63" i="18"/>
  <c r="M66" i="18"/>
  <c r="N67" i="18"/>
  <c r="N18" i="18"/>
  <c r="K22" i="18"/>
  <c r="M25" i="18"/>
  <c r="J30" i="18"/>
  <c r="N35" i="18"/>
  <c r="J38" i="18"/>
  <c r="N44" i="18"/>
  <c r="J47" i="18"/>
  <c r="I54" i="18"/>
  <c r="N61" i="18"/>
  <c r="J64" i="18"/>
  <c r="N11" i="18"/>
  <c r="J14" i="18"/>
  <c r="K15" i="18"/>
  <c r="M18" i="18"/>
  <c r="N19" i="18"/>
  <c r="I21" i="18"/>
  <c r="J22" i="18"/>
  <c r="K23" i="18"/>
  <c r="M26" i="18"/>
  <c r="I30" i="18"/>
  <c r="J31" i="18"/>
  <c r="K32" i="18"/>
  <c r="M35" i="18"/>
  <c r="N36" i="18"/>
  <c r="I38" i="18"/>
  <c r="J39" i="18"/>
  <c r="K40" i="18"/>
  <c r="M44" i="18"/>
  <c r="N45" i="18"/>
  <c r="I47" i="18"/>
  <c r="J48" i="18"/>
  <c r="K49" i="18"/>
  <c r="M52" i="18"/>
  <c r="N53" i="18"/>
  <c r="I55" i="18"/>
  <c r="K58" i="18"/>
  <c r="M61" i="18"/>
  <c r="N62" i="18"/>
  <c r="I64" i="18"/>
  <c r="J65" i="18"/>
  <c r="K66" i="18"/>
  <c r="I20" i="18"/>
  <c r="N26" i="18"/>
  <c r="K31" i="18"/>
  <c r="M34" i="18"/>
  <c r="K39" i="18"/>
  <c r="I46" i="18"/>
  <c r="M51" i="18"/>
  <c r="J55" i="18"/>
  <c r="M60" i="18"/>
  <c r="K65" i="18"/>
  <c r="K14" i="18"/>
  <c r="M17" i="18"/>
  <c r="J21" i="18"/>
  <c r="I29" i="18"/>
  <c r="I37" i="18"/>
  <c r="K48" i="18"/>
  <c r="N52" i="18"/>
  <c r="I63" i="18"/>
  <c r="I15" i="18"/>
  <c r="Y15" i="18"/>
  <c r="I12" i="18"/>
  <c r="Y12" i="18"/>
  <c r="I14" i="18"/>
  <c r="Y14" i="18"/>
  <c r="I16" i="18"/>
  <c r="Y16" i="18"/>
  <c r="Y13" i="18"/>
  <c r="Y30" i="19"/>
  <c r="I30" i="19"/>
  <c r="Y32" i="19"/>
  <c r="I32" i="19"/>
  <c r="Y34" i="19"/>
  <c r="I34" i="19"/>
  <c r="Y36" i="19"/>
  <c r="I36" i="19"/>
  <c r="Y38" i="19"/>
  <c r="I38" i="19"/>
  <c r="Y40" i="19"/>
  <c r="I40" i="19"/>
  <c r="Y42" i="19"/>
  <c r="Y12" i="19"/>
  <c r="I12" i="19"/>
  <c r="Y14" i="19"/>
  <c r="I14" i="19"/>
  <c r="Y16" i="19"/>
  <c r="I16" i="19"/>
  <c r="Y18" i="19"/>
  <c r="I18" i="19"/>
  <c r="Y20" i="19"/>
  <c r="I20" i="19"/>
  <c r="Y22" i="19"/>
  <c r="I22" i="19"/>
  <c r="Y24" i="19"/>
  <c r="I24" i="19"/>
  <c r="Y26" i="19"/>
  <c r="I26" i="19"/>
  <c r="Y44" i="19"/>
  <c r="I44" i="19"/>
  <c r="Y46" i="19"/>
  <c r="I46" i="19"/>
  <c r="Y48" i="19"/>
  <c r="I48" i="19"/>
  <c r="Y50" i="19"/>
  <c r="I50" i="19"/>
  <c r="Y9" i="19"/>
  <c r="Y11" i="19"/>
  <c r="Y13" i="19"/>
  <c r="Y15" i="19"/>
  <c r="Y17" i="19"/>
  <c r="Y19" i="19"/>
  <c r="Y21" i="19"/>
  <c r="Y23" i="19"/>
  <c r="Y25" i="19"/>
  <c r="Y27" i="19"/>
  <c r="Y29" i="19"/>
  <c r="Y31" i="19"/>
  <c r="Y33" i="19"/>
  <c r="Y35" i="19"/>
  <c r="Y37" i="19"/>
  <c r="Y39" i="19"/>
  <c r="Y41" i="19"/>
  <c r="Y45" i="19"/>
  <c r="Y47" i="19"/>
  <c r="Y49" i="19"/>
  <c r="Y51" i="19"/>
  <c r="Y53" i="19"/>
  <c r="Y55" i="19"/>
  <c r="Y59" i="19"/>
  <c r="Y61" i="19"/>
  <c r="Y63" i="19"/>
  <c r="Y65" i="19"/>
  <c r="X37" i="19"/>
  <c r="Y52" i="19"/>
  <c r="Y54" i="19"/>
  <c r="Y56" i="19"/>
  <c r="Y58" i="19"/>
  <c r="Y60" i="19"/>
  <c r="Y62" i="19"/>
  <c r="Y64" i="19"/>
  <c r="Y66" i="19"/>
  <c r="Y67" i="18"/>
  <c r="Y66" i="18"/>
  <c r="Y65" i="18"/>
  <c r="Y64" i="18"/>
  <c r="Y63" i="18"/>
  <c r="Y62" i="18"/>
  <c r="Y61" i="18"/>
  <c r="Y60" i="18"/>
  <c r="Y59" i="18"/>
  <c r="Y58" i="18"/>
  <c r="Y55" i="18"/>
  <c r="Y54" i="18"/>
  <c r="Y53" i="18"/>
  <c r="Y52" i="18"/>
  <c r="Y51" i="18"/>
  <c r="Y50" i="18"/>
  <c r="Y49" i="18"/>
  <c r="Y48" i="18"/>
  <c r="Y47" i="18"/>
  <c r="Y46" i="18"/>
  <c r="Y45" i="18"/>
  <c r="Y44" i="18"/>
  <c r="Y41" i="18"/>
  <c r="Y40" i="18"/>
  <c r="Y39" i="18"/>
  <c r="Y38" i="18"/>
  <c r="Y37" i="18"/>
  <c r="Y36" i="18"/>
  <c r="Y35" i="18"/>
  <c r="Y34" i="18"/>
  <c r="Y33" i="18"/>
  <c r="Y32" i="18"/>
  <c r="Y31" i="18"/>
  <c r="Y30" i="18"/>
  <c r="Y29" i="18"/>
  <c r="X25" i="19" l="1"/>
  <c r="X55" i="19"/>
  <c r="L12" i="19"/>
  <c r="X17" i="19"/>
  <c r="L64" i="19"/>
  <c r="L47" i="19"/>
  <c r="X46" i="19"/>
  <c r="X21" i="19"/>
  <c r="L30" i="19"/>
  <c r="X59" i="19"/>
  <c r="L66" i="19"/>
  <c r="L40" i="19"/>
  <c r="L14" i="19"/>
  <c r="L22" i="19"/>
  <c r="X48" i="19"/>
  <c r="L62" i="19"/>
  <c r="X50" i="19"/>
  <c r="L51" i="19"/>
  <c r="X60" i="19"/>
  <c r="L32" i="19"/>
  <c r="X19" i="19"/>
  <c r="L49" i="19"/>
  <c r="X34" i="19"/>
  <c r="X53" i="19"/>
  <c r="X45" i="19"/>
  <c r="X58" i="19"/>
  <c r="L23" i="19"/>
  <c r="X18" i="19"/>
  <c r="X24" i="19"/>
  <c r="L13" i="19"/>
  <c r="L35" i="19"/>
  <c r="X52" i="19"/>
  <c r="X54" i="18"/>
  <c r="L60" i="18"/>
  <c r="L32" i="18"/>
  <c r="L46" i="18"/>
  <c r="X62" i="18"/>
  <c r="X51" i="18"/>
  <c r="L41" i="18"/>
  <c r="L52" i="18"/>
  <c r="L45" i="18"/>
  <c r="L66" i="18"/>
  <c r="X65" i="18"/>
  <c r="X53" i="18"/>
  <c r="X36" i="18"/>
  <c r="X35" i="18"/>
  <c r="X47" i="18"/>
  <c r="X34" i="18"/>
  <c r="X39" i="19"/>
  <c r="X44" i="19"/>
  <c r="X38" i="19"/>
  <c r="X63" i="18"/>
  <c r="X33" i="18"/>
  <c r="X14" i="18"/>
  <c r="L12" i="18"/>
  <c r="X48" i="18"/>
  <c r="X15" i="18"/>
  <c r="X50" i="18"/>
  <c r="X64" i="18"/>
  <c r="L30" i="18"/>
  <c r="X16" i="19"/>
  <c r="X40" i="18"/>
  <c r="X11" i="19"/>
  <c r="X63" i="19"/>
  <c r="X36" i="19"/>
  <c r="X20" i="19"/>
  <c r="X37" i="18"/>
  <c r="X61" i="18"/>
  <c r="X49" i="18"/>
  <c r="L59" i="18"/>
  <c r="X29" i="18"/>
  <c r="X54" i="19"/>
  <c r="X61" i="19"/>
  <c r="X16" i="18"/>
  <c r="X58" i="18"/>
  <c r="X29" i="19"/>
  <c r="X65" i="19"/>
  <c r="X31" i="19"/>
  <c r="X39" i="18"/>
  <c r="X44" i="18"/>
  <c r="X41" i="19"/>
  <c r="X38" i="18"/>
  <c r="X55" i="18"/>
  <c r="X15" i="19"/>
  <c r="X33" i="19"/>
  <c r="X26" i="19"/>
  <c r="X31" i="18"/>
  <c r="U54" i="11"/>
  <c r="U40" i="11"/>
  <c r="U25" i="11"/>
  <c r="U7" i="11"/>
  <c r="U54" i="20"/>
  <c r="U40" i="20"/>
  <c r="U25" i="20"/>
  <c r="U7" i="20"/>
  <c r="U54" i="1"/>
  <c r="U40" i="1"/>
  <c r="U25" i="1"/>
  <c r="U7" i="1"/>
  <c r="U54" i="21"/>
  <c r="U40" i="21"/>
  <c r="U25" i="21"/>
  <c r="U7" i="21"/>
  <c r="U54" i="2"/>
  <c r="U40" i="2"/>
  <c r="U25" i="2"/>
  <c r="U7" i="2"/>
  <c r="U54" i="22"/>
  <c r="U40" i="22"/>
  <c r="U25" i="22"/>
  <c r="U7" i="22"/>
  <c r="U54" i="3"/>
  <c r="U40" i="3"/>
  <c r="U25" i="3"/>
  <c r="U7" i="3"/>
  <c r="U54" i="24"/>
  <c r="U40" i="24"/>
  <c r="U25" i="24"/>
  <c r="U7" i="24"/>
  <c r="U54" i="5"/>
  <c r="U40" i="5"/>
  <c r="U25" i="5"/>
  <c r="U7" i="5"/>
  <c r="U54" i="25"/>
  <c r="U40" i="25"/>
  <c r="U25" i="25"/>
  <c r="U7" i="25"/>
  <c r="U40" i="6"/>
  <c r="U25" i="6"/>
  <c r="U7" i="6"/>
  <c r="T65" i="26"/>
  <c r="T65" i="23" s="1"/>
  <c r="U54" i="26"/>
  <c r="U40" i="26"/>
  <c r="U25" i="26"/>
  <c r="U7" i="26"/>
  <c r="U54" i="7"/>
  <c r="U40" i="7"/>
  <c r="U25" i="7"/>
  <c r="U7" i="7"/>
  <c r="U54" i="27"/>
  <c r="U40" i="27"/>
  <c r="U25" i="27"/>
  <c r="U7" i="27"/>
  <c r="U54" i="8"/>
  <c r="U40" i="8"/>
  <c r="U25" i="8"/>
  <c r="U7" i="8"/>
  <c r="U54" i="28"/>
  <c r="U40" i="28"/>
  <c r="U25" i="28"/>
  <c r="U7" i="28"/>
  <c r="U54" i="9"/>
  <c r="U40" i="9"/>
  <c r="U25" i="9"/>
  <c r="U7" i="9"/>
  <c r="U54" i="29"/>
  <c r="T54" i="29"/>
  <c r="U40" i="29"/>
  <c r="U25" i="29"/>
  <c r="U7" i="29"/>
  <c r="U54" i="10"/>
  <c r="U40" i="10"/>
  <c r="U25" i="10"/>
  <c r="U7" i="10"/>
  <c r="U54" i="31"/>
  <c r="U40" i="31"/>
  <c r="U25" i="31"/>
  <c r="U7" i="31"/>
  <c r="C6" i="4"/>
  <c r="AC6" i="11" s="1"/>
  <c r="D6" i="4"/>
  <c r="E6" i="4"/>
  <c r="G6" i="4"/>
  <c r="H6" i="4"/>
  <c r="J6" i="4"/>
  <c r="AJ6" i="11" s="1"/>
  <c r="B6" i="4"/>
  <c r="AB6" i="11" s="1"/>
  <c r="E6" i="23"/>
  <c r="G6" i="23"/>
  <c r="H6" i="23"/>
  <c r="J6" i="23"/>
  <c r="J6" i="10"/>
  <c r="H6" i="10"/>
  <c r="G6" i="10"/>
  <c r="E6" i="10"/>
  <c r="D6" i="10"/>
  <c r="J6" i="29"/>
  <c r="H6" i="29"/>
  <c r="G6" i="29"/>
  <c r="E6" i="29"/>
  <c r="D6" i="29"/>
  <c r="C6" i="29"/>
  <c r="B6" i="29"/>
  <c r="D6" i="28"/>
  <c r="C6" i="28"/>
  <c r="B6" i="28"/>
  <c r="D6" i="27"/>
  <c r="C6" i="27"/>
  <c r="B6" i="27"/>
  <c r="D6" i="26"/>
  <c r="C6" i="26"/>
  <c r="B6" i="26"/>
  <c r="D6" i="25"/>
  <c r="C6" i="25"/>
  <c r="B6" i="25"/>
  <c r="D6" i="24"/>
  <c r="C6" i="24"/>
  <c r="B6" i="24"/>
  <c r="D6" i="22"/>
  <c r="C6" i="22"/>
  <c r="B6" i="22"/>
  <c r="D6" i="21"/>
  <c r="C6" i="21"/>
  <c r="B6" i="21"/>
  <c r="D6" i="20"/>
  <c r="C6" i="20"/>
  <c r="B6" i="20"/>
  <c r="D6" i="31"/>
  <c r="C6" i="31"/>
  <c r="B6" i="31"/>
  <c r="T54" i="10"/>
  <c r="S54" i="10"/>
  <c r="R54" i="10"/>
  <c r="Q54" i="10"/>
  <c r="P54" i="10"/>
  <c r="O54" i="10"/>
  <c r="N54" i="10"/>
  <c r="M54" i="10"/>
  <c r="L54" i="10"/>
  <c r="K54" i="10"/>
  <c r="J54" i="10"/>
  <c r="I54" i="10"/>
  <c r="H54" i="10"/>
  <c r="G54" i="10"/>
  <c r="F54" i="10"/>
  <c r="E54" i="10"/>
  <c r="D54" i="10"/>
  <c r="C54" i="10"/>
  <c r="B54" i="10"/>
  <c r="S54" i="29"/>
  <c r="R54" i="29"/>
  <c r="Q54" i="29"/>
  <c r="P54" i="29"/>
  <c r="O54" i="29"/>
  <c r="N54" i="29"/>
  <c r="M54" i="29"/>
  <c r="L54" i="29"/>
  <c r="K54" i="29"/>
  <c r="J54" i="29"/>
  <c r="I54" i="29"/>
  <c r="H54" i="29"/>
  <c r="G54" i="29"/>
  <c r="F54" i="29"/>
  <c r="E54" i="29"/>
  <c r="D54" i="29"/>
  <c r="C54" i="29"/>
  <c r="B54" i="29"/>
  <c r="T54" i="9"/>
  <c r="S54" i="9"/>
  <c r="R54" i="9"/>
  <c r="Q54" i="9"/>
  <c r="P54" i="9"/>
  <c r="O54" i="9"/>
  <c r="N54" i="9"/>
  <c r="M54" i="9"/>
  <c r="L54" i="9"/>
  <c r="K54" i="9"/>
  <c r="J54" i="9"/>
  <c r="I54" i="9"/>
  <c r="H54" i="9"/>
  <c r="G54" i="9"/>
  <c r="F54" i="9"/>
  <c r="E54" i="9"/>
  <c r="D54" i="9"/>
  <c r="C54" i="9"/>
  <c r="B54" i="9"/>
  <c r="T54" i="28"/>
  <c r="S54" i="28"/>
  <c r="R54" i="28"/>
  <c r="Q54" i="28"/>
  <c r="P54" i="28"/>
  <c r="O54" i="28"/>
  <c r="N54" i="28"/>
  <c r="M54" i="28"/>
  <c r="L54" i="28"/>
  <c r="K54" i="28"/>
  <c r="J54" i="28"/>
  <c r="I54" i="28"/>
  <c r="H54" i="28"/>
  <c r="G54" i="28"/>
  <c r="F54" i="28"/>
  <c r="E54" i="28"/>
  <c r="D54" i="28"/>
  <c r="C54" i="28"/>
  <c r="B54" i="28"/>
  <c r="T54" i="8"/>
  <c r="S54" i="8"/>
  <c r="R54" i="8"/>
  <c r="Q54" i="8"/>
  <c r="P54" i="8"/>
  <c r="O54" i="8"/>
  <c r="N54" i="8"/>
  <c r="M54" i="8"/>
  <c r="L54" i="8"/>
  <c r="K54" i="8"/>
  <c r="J54" i="8"/>
  <c r="I54" i="8"/>
  <c r="H54" i="8"/>
  <c r="G54" i="8"/>
  <c r="F54" i="8"/>
  <c r="E54" i="8"/>
  <c r="D54" i="8"/>
  <c r="C54" i="8"/>
  <c r="B54" i="8"/>
  <c r="T54" i="27"/>
  <c r="S54" i="27"/>
  <c r="R54" i="27"/>
  <c r="Q54" i="27"/>
  <c r="P54" i="27"/>
  <c r="O54" i="27"/>
  <c r="N54" i="27"/>
  <c r="M54" i="27"/>
  <c r="L54" i="27"/>
  <c r="K54" i="27"/>
  <c r="J54" i="27"/>
  <c r="I54" i="27"/>
  <c r="H54" i="27"/>
  <c r="G54" i="27"/>
  <c r="F54" i="27"/>
  <c r="E54" i="27"/>
  <c r="D54" i="27"/>
  <c r="C54" i="27"/>
  <c r="B54" i="27"/>
  <c r="T54" i="7"/>
  <c r="S54" i="7"/>
  <c r="R54" i="7"/>
  <c r="Q54" i="7"/>
  <c r="P54" i="7"/>
  <c r="O54" i="7"/>
  <c r="N54" i="7"/>
  <c r="M54" i="7"/>
  <c r="L54" i="7"/>
  <c r="K54" i="7"/>
  <c r="J54" i="7"/>
  <c r="I54" i="7"/>
  <c r="H54" i="7"/>
  <c r="G54" i="7"/>
  <c r="F54" i="7"/>
  <c r="E54" i="7"/>
  <c r="D54" i="7"/>
  <c r="C54" i="7"/>
  <c r="B54" i="7"/>
  <c r="T54" i="26"/>
  <c r="S54" i="26"/>
  <c r="R54" i="26"/>
  <c r="Q54" i="26"/>
  <c r="P54" i="26"/>
  <c r="O54" i="26"/>
  <c r="N54" i="26"/>
  <c r="M54" i="26"/>
  <c r="L54" i="26"/>
  <c r="K54" i="26"/>
  <c r="J54" i="26"/>
  <c r="I54" i="26"/>
  <c r="H54" i="26"/>
  <c r="G54" i="26"/>
  <c r="F54" i="26"/>
  <c r="E54" i="26"/>
  <c r="D54" i="26"/>
  <c r="C54" i="26"/>
  <c r="B54" i="26"/>
  <c r="J54" i="6"/>
  <c r="H54" i="6"/>
  <c r="G54" i="6"/>
  <c r="E54" i="6"/>
  <c r="D54" i="6"/>
  <c r="C54" i="6"/>
  <c r="B54" i="6"/>
  <c r="T54" i="25"/>
  <c r="S54" i="25"/>
  <c r="R54" i="25"/>
  <c r="Q54" i="25"/>
  <c r="P54" i="25"/>
  <c r="O54" i="25"/>
  <c r="N54" i="25"/>
  <c r="M54" i="25"/>
  <c r="L54" i="25"/>
  <c r="K54" i="25"/>
  <c r="J54" i="25"/>
  <c r="I54" i="25"/>
  <c r="H54" i="25"/>
  <c r="G54" i="25"/>
  <c r="E54" i="25"/>
  <c r="D54" i="25"/>
  <c r="C54" i="25"/>
  <c r="B54" i="25"/>
  <c r="T54" i="5"/>
  <c r="S54" i="5"/>
  <c r="R54" i="5"/>
  <c r="Q54" i="5"/>
  <c r="P54" i="5"/>
  <c r="O54" i="5"/>
  <c r="N54" i="5"/>
  <c r="M54" i="5"/>
  <c r="L54" i="5"/>
  <c r="K54" i="5"/>
  <c r="J54" i="5"/>
  <c r="I54" i="5"/>
  <c r="H54" i="5"/>
  <c r="G54" i="5"/>
  <c r="E54" i="5"/>
  <c r="D54" i="5"/>
  <c r="C54" i="5"/>
  <c r="B54" i="5"/>
  <c r="T54" i="24"/>
  <c r="S54" i="24"/>
  <c r="R54" i="24"/>
  <c r="Q54" i="24"/>
  <c r="P54" i="24"/>
  <c r="O54" i="24"/>
  <c r="N54" i="24"/>
  <c r="M54" i="24"/>
  <c r="L54" i="24"/>
  <c r="K54" i="24"/>
  <c r="J54" i="24"/>
  <c r="I54" i="24"/>
  <c r="H54" i="24"/>
  <c r="G54" i="24"/>
  <c r="F54" i="24"/>
  <c r="E54" i="24"/>
  <c r="D54" i="24"/>
  <c r="C54" i="24"/>
  <c r="B54" i="24"/>
  <c r="T54" i="3"/>
  <c r="S54" i="3"/>
  <c r="R54" i="3"/>
  <c r="Q54" i="3"/>
  <c r="P54" i="3"/>
  <c r="O54" i="3"/>
  <c r="N54" i="3"/>
  <c r="M54" i="3"/>
  <c r="L54" i="3"/>
  <c r="K54" i="3"/>
  <c r="J54" i="3"/>
  <c r="I54" i="3"/>
  <c r="H54" i="3"/>
  <c r="G54" i="3"/>
  <c r="E54" i="3"/>
  <c r="D54" i="3"/>
  <c r="C54" i="3"/>
  <c r="B54" i="3"/>
  <c r="T54" i="22"/>
  <c r="S54" i="22"/>
  <c r="R54" i="22"/>
  <c r="Q54" i="22"/>
  <c r="P54" i="22"/>
  <c r="O54" i="22"/>
  <c r="N54" i="22"/>
  <c r="M54" i="22"/>
  <c r="L54" i="22"/>
  <c r="K54" i="22"/>
  <c r="J54" i="22"/>
  <c r="I54" i="22"/>
  <c r="H54" i="22"/>
  <c r="G54" i="22"/>
  <c r="F54" i="22"/>
  <c r="E54" i="22"/>
  <c r="D54" i="22"/>
  <c r="C54" i="22"/>
  <c r="B54" i="22"/>
  <c r="T54" i="2"/>
  <c r="S54" i="2"/>
  <c r="R54" i="2"/>
  <c r="Q54" i="2"/>
  <c r="P54" i="2"/>
  <c r="O54" i="2"/>
  <c r="N54" i="2"/>
  <c r="M54" i="2"/>
  <c r="L54" i="2"/>
  <c r="K54" i="2"/>
  <c r="J54" i="2"/>
  <c r="I54" i="2"/>
  <c r="H54" i="2"/>
  <c r="G54" i="2"/>
  <c r="E54" i="2"/>
  <c r="D54" i="2"/>
  <c r="C54" i="2"/>
  <c r="B54" i="2"/>
  <c r="T54" i="21"/>
  <c r="S54" i="21"/>
  <c r="R54" i="21"/>
  <c r="Q54" i="21"/>
  <c r="P54" i="21"/>
  <c r="O54" i="21"/>
  <c r="N54" i="21"/>
  <c r="M54" i="21"/>
  <c r="L54" i="21"/>
  <c r="K54" i="21"/>
  <c r="J54" i="21"/>
  <c r="I54" i="21"/>
  <c r="H54" i="21"/>
  <c r="G54" i="21"/>
  <c r="F54" i="21"/>
  <c r="E54" i="21"/>
  <c r="D54" i="21"/>
  <c r="C54" i="21"/>
  <c r="B54" i="21"/>
  <c r="T54" i="1"/>
  <c r="S54" i="1"/>
  <c r="R54" i="1"/>
  <c r="Q54" i="1"/>
  <c r="P54" i="1"/>
  <c r="O54" i="1"/>
  <c r="N54" i="1"/>
  <c r="M54" i="1"/>
  <c r="L54" i="1"/>
  <c r="K54" i="1"/>
  <c r="J54" i="1"/>
  <c r="I54" i="1"/>
  <c r="H54" i="1"/>
  <c r="G54" i="1"/>
  <c r="F54" i="1"/>
  <c r="E54" i="1"/>
  <c r="D54" i="1"/>
  <c r="C54" i="1"/>
  <c r="B54" i="1"/>
  <c r="T54" i="20"/>
  <c r="S54" i="20"/>
  <c r="R54" i="20"/>
  <c r="Q54" i="20"/>
  <c r="P54" i="20"/>
  <c r="O54" i="20"/>
  <c r="N54" i="20"/>
  <c r="M54" i="20"/>
  <c r="L54" i="20"/>
  <c r="K54" i="20"/>
  <c r="J54" i="20"/>
  <c r="I54" i="20"/>
  <c r="H54" i="20"/>
  <c r="G54" i="20"/>
  <c r="F54" i="20"/>
  <c r="E54" i="20"/>
  <c r="D54" i="20"/>
  <c r="C54" i="20"/>
  <c r="B54" i="20"/>
  <c r="S54" i="11"/>
  <c r="R54" i="11"/>
  <c r="Q54" i="11"/>
  <c r="P54" i="11"/>
  <c r="O54" i="11"/>
  <c r="N54" i="11"/>
  <c r="M54" i="11"/>
  <c r="L54" i="11"/>
  <c r="K54" i="11"/>
  <c r="J54" i="11"/>
  <c r="I54" i="11"/>
  <c r="H54" i="11"/>
  <c r="G54" i="11"/>
  <c r="F54" i="11"/>
  <c r="E54" i="11"/>
  <c r="D54" i="11"/>
  <c r="C54" i="11"/>
  <c r="B54" i="11"/>
  <c r="T40" i="10"/>
  <c r="S40" i="10"/>
  <c r="R40" i="10"/>
  <c r="Q40" i="10"/>
  <c r="P40" i="10"/>
  <c r="O40" i="10"/>
  <c r="N40" i="10"/>
  <c r="M40" i="10"/>
  <c r="L40" i="10"/>
  <c r="K40" i="10"/>
  <c r="J40" i="10"/>
  <c r="I40" i="10"/>
  <c r="H40" i="10"/>
  <c r="G40" i="10"/>
  <c r="F40" i="10"/>
  <c r="E40" i="10"/>
  <c r="D40" i="10"/>
  <c r="C40" i="10"/>
  <c r="B40" i="10"/>
  <c r="T40" i="29"/>
  <c r="S40" i="29"/>
  <c r="R40" i="29"/>
  <c r="Q40" i="29"/>
  <c r="P40" i="29"/>
  <c r="O40" i="29"/>
  <c r="N40" i="29"/>
  <c r="M40" i="29"/>
  <c r="L40" i="29"/>
  <c r="K40" i="29"/>
  <c r="J40" i="29"/>
  <c r="I40" i="29"/>
  <c r="H40" i="29"/>
  <c r="G40" i="29"/>
  <c r="F40" i="29"/>
  <c r="E40" i="29"/>
  <c r="D40" i="29"/>
  <c r="C40" i="29"/>
  <c r="B40" i="29"/>
  <c r="T40" i="9"/>
  <c r="S40" i="9"/>
  <c r="R40" i="9"/>
  <c r="Q40" i="9"/>
  <c r="P40" i="9"/>
  <c r="O40" i="9"/>
  <c r="N40" i="9"/>
  <c r="M40" i="9"/>
  <c r="L40" i="9"/>
  <c r="K40" i="9"/>
  <c r="J40" i="9"/>
  <c r="I40" i="9"/>
  <c r="H40" i="9"/>
  <c r="G40" i="9"/>
  <c r="F40" i="9"/>
  <c r="E40" i="9"/>
  <c r="D40" i="9"/>
  <c r="C40" i="9"/>
  <c r="B40" i="9"/>
  <c r="T40" i="28"/>
  <c r="S40" i="28"/>
  <c r="R40" i="28"/>
  <c r="Q40" i="28"/>
  <c r="P40" i="28"/>
  <c r="O40" i="28"/>
  <c r="N40" i="28"/>
  <c r="M40" i="28"/>
  <c r="L40" i="28"/>
  <c r="K40" i="28"/>
  <c r="J40" i="28"/>
  <c r="I40" i="28"/>
  <c r="H40" i="28"/>
  <c r="G40" i="28"/>
  <c r="F40" i="28"/>
  <c r="E40" i="28"/>
  <c r="D40" i="28"/>
  <c r="C40" i="28"/>
  <c r="B40" i="28"/>
  <c r="T40" i="8"/>
  <c r="S40" i="8"/>
  <c r="R40" i="8"/>
  <c r="Q40" i="8"/>
  <c r="P40" i="8"/>
  <c r="O40" i="8"/>
  <c r="N40" i="8"/>
  <c r="M40" i="8"/>
  <c r="L40" i="8"/>
  <c r="K40" i="8"/>
  <c r="J40" i="8"/>
  <c r="I40" i="8"/>
  <c r="H40" i="8"/>
  <c r="G40" i="8"/>
  <c r="F40" i="8"/>
  <c r="E40" i="8"/>
  <c r="D40" i="8"/>
  <c r="C40" i="8"/>
  <c r="B40" i="8"/>
  <c r="T40" i="27"/>
  <c r="S40" i="27"/>
  <c r="R40" i="27"/>
  <c r="Q40" i="27"/>
  <c r="P40" i="27"/>
  <c r="O40" i="27"/>
  <c r="N40" i="27"/>
  <c r="M40" i="27"/>
  <c r="L40" i="27"/>
  <c r="K40" i="27"/>
  <c r="J40" i="27"/>
  <c r="I40" i="27"/>
  <c r="H40" i="27"/>
  <c r="G40" i="27"/>
  <c r="F40" i="27"/>
  <c r="E40" i="27"/>
  <c r="D40" i="27"/>
  <c r="C40" i="27"/>
  <c r="B40" i="27"/>
  <c r="T40" i="7"/>
  <c r="S40" i="7"/>
  <c r="R40" i="7"/>
  <c r="Q40" i="7"/>
  <c r="P40" i="7"/>
  <c r="O40" i="7"/>
  <c r="N40" i="7"/>
  <c r="M40" i="7"/>
  <c r="L40" i="7"/>
  <c r="K40" i="7"/>
  <c r="J40" i="7"/>
  <c r="I40" i="7"/>
  <c r="H40" i="7"/>
  <c r="G40" i="7"/>
  <c r="F40" i="7"/>
  <c r="E40" i="7"/>
  <c r="D40" i="7"/>
  <c r="C40" i="7"/>
  <c r="B40" i="7"/>
  <c r="T40" i="26"/>
  <c r="S40" i="26"/>
  <c r="R40" i="26"/>
  <c r="Q40" i="26"/>
  <c r="P40" i="26"/>
  <c r="O40" i="26"/>
  <c r="N40" i="26"/>
  <c r="M40" i="26"/>
  <c r="L40" i="26"/>
  <c r="K40" i="26"/>
  <c r="J40" i="26"/>
  <c r="I40" i="26"/>
  <c r="H40" i="26"/>
  <c r="G40" i="26"/>
  <c r="F40" i="26"/>
  <c r="E40" i="26"/>
  <c r="D40" i="26"/>
  <c r="C40" i="26"/>
  <c r="B40" i="26"/>
  <c r="T40" i="6"/>
  <c r="S40" i="6"/>
  <c r="R40" i="6"/>
  <c r="Q40" i="6"/>
  <c r="P40" i="6"/>
  <c r="O40" i="6"/>
  <c r="N40" i="6"/>
  <c r="M40" i="6"/>
  <c r="L40" i="6"/>
  <c r="K40" i="6"/>
  <c r="J40" i="6"/>
  <c r="I40" i="6"/>
  <c r="H40" i="6"/>
  <c r="G40" i="6"/>
  <c r="F40" i="6"/>
  <c r="E40" i="6"/>
  <c r="D40" i="6"/>
  <c r="C40" i="6"/>
  <c r="B40" i="6"/>
  <c r="T40" i="25"/>
  <c r="S40" i="25"/>
  <c r="R40" i="25"/>
  <c r="Q40" i="25"/>
  <c r="P40" i="25"/>
  <c r="O40" i="25"/>
  <c r="N40" i="25"/>
  <c r="M40" i="25"/>
  <c r="L40" i="25"/>
  <c r="K40" i="25"/>
  <c r="J40" i="25"/>
  <c r="I40" i="25"/>
  <c r="H40" i="25"/>
  <c r="G40" i="25"/>
  <c r="F40" i="25"/>
  <c r="E40" i="25"/>
  <c r="D40" i="25"/>
  <c r="C40" i="25"/>
  <c r="B40" i="25"/>
  <c r="T40" i="5"/>
  <c r="S40" i="5"/>
  <c r="R40" i="5"/>
  <c r="Q40" i="5"/>
  <c r="P40" i="5"/>
  <c r="O40" i="5"/>
  <c r="N40" i="5"/>
  <c r="M40" i="5"/>
  <c r="L40" i="5"/>
  <c r="K40" i="5"/>
  <c r="J40" i="5"/>
  <c r="I40" i="5"/>
  <c r="H40" i="5"/>
  <c r="G40" i="5"/>
  <c r="F40" i="5"/>
  <c r="E40" i="5"/>
  <c r="D40" i="5"/>
  <c r="C40" i="5"/>
  <c r="B40" i="5"/>
  <c r="T40" i="24"/>
  <c r="S40" i="24"/>
  <c r="R40" i="24"/>
  <c r="Q40" i="24"/>
  <c r="P40" i="24"/>
  <c r="O40" i="24"/>
  <c r="N40" i="24"/>
  <c r="M40" i="24"/>
  <c r="L40" i="24"/>
  <c r="K40" i="24"/>
  <c r="J40" i="24"/>
  <c r="I40" i="24"/>
  <c r="H40" i="24"/>
  <c r="G40" i="24"/>
  <c r="F40" i="24"/>
  <c r="E40" i="24"/>
  <c r="D40" i="24"/>
  <c r="C40" i="24"/>
  <c r="B40" i="24"/>
  <c r="T40" i="3"/>
  <c r="S40" i="3"/>
  <c r="R40" i="3"/>
  <c r="Q40" i="3"/>
  <c r="P40" i="3"/>
  <c r="O40" i="3"/>
  <c r="N40" i="3"/>
  <c r="M40" i="3"/>
  <c r="L40" i="3"/>
  <c r="K40" i="3"/>
  <c r="J40" i="3"/>
  <c r="I40" i="3"/>
  <c r="H40" i="3"/>
  <c r="G40" i="3"/>
  <c r="F40" i="3"/>
  <c r="E40" i="3"/>
  <c r="D40" i="3"/>
  <c r="C40" i="3"/>
  <c r="B40" i="3"/>
  <c r="T40" i="22"/>
  <c r="S40" i="22"/>
  <c r="R40" i="22"/>
  <c r="Q40" i="22"/>
  <c r="P40" i="22"/>
  <c r="O40" i="22"/>
  <c r="N40" i="22"/>
  <c r="M40" i="22"/>
  <c r="L40" i="22"/>
  <c r="K40" i="22"/>
  <c r="J40" i="22"/>
  <c r="I40" i="22"/>
  <c r="H40" i="22"/>
  <c r="G40" i="22"/>
  <c r="F40" i="22"/>
  <c r="E40" i="22"/>
  <c r="D40" i="22"/>
  <c r="C40" i="22"/>
  <c r="B40" i="22"/>
  <c r="T40" i="2"/>
  <c r="S40" i="2"/>
  <c r="R40" i="2"/>
  <c r="Q40" i="2"/>
  <c r="P40" i="2"/>
  <c r="O40" i="2"/>
  <c r="N40" i="2"/>
  <c r="M40" i="2"/>
  <c r="L40" i="2"/>
  <c r="K40" i="2"/>
  <c r="J40" i="2"/>
  <c r="I40" i="2"/>
  <c r="H40" i="2"/>
  <c r="G40" i="2"/>
  <c r="F40" i="2"/>
  <c r="E40" i="2"/>
  <c r="D40" i="2"/>
  <c r="C40" i="2"/>
  <c r="B40" i="2"/>
  <c r="T40" i="21"/>
  <c r="S40" i="21"/>
  <c r="R40" i="21"/>
  <c r="Q40" i="21"/>
  <c r="P40" i="21"/>
  <c r="O40" i="21"/>
  <c r="N40" i="21"/>
  <c r="M40" i="21"/>
  <c r="L40" i="21"/>
  <c r="K40" i="21"/>
  <c r="J40" i="21"/>
  <c r="I40" i="21"/>
  <c r="H40" i="21"/>
  <c r="G40" i="21"/>
  <c r="F40" i="21"/>
  <c r="E40" i="21"/>
  <c r="D40" i="21"/>
  <c r="C40" i="21"/>
  <c r="B40" i="21"/>
  <c r="T40" i="1"/>
  <c r="S40" i="1"/>
  <c r="R40" i="1"/>
  <c r="Q40" i="1"/>
  <c r="P40" i="1"/>
  <c r="O40" i="1"/>
  <c r="N40" i="1"/>
  <c r="M40" i="1"/>
  <c r="L40" i="1"/>
  <c r="K40" i="1"/>
  <c r="J40" i="1"/>
  <c r="I40" i="1"/>
  <c r="H40" i="1"/>
  <c r="G40" i="1"/>
  <c r="F40" i="1"/>
  <c r="E40" i="1"/>
  <c r="D40" i="1"/>
  <c r="C40" i="1"/>
  <c r="B40" i="1"/>
  <c r="T40" i="20"/>
  <c r="S40" i="20"/>
  <c r="R40" i="20"/>
  <c r="Q40" i="20"/>
  <c r="P40" i="20"/>
  <c r="O40" i="20"/>
  <c r="N40" i="20"/>
  <c r="M40" i="20"/>
  <c r="L40" i="20"/>
  <c r="K40" i="20"/>
  <c r="J40" i="20"/>
  <c r="I40" i="20"/>
  <c r="H40" i="20"/>
  <c r="G40" i="20"/>
  <c r="F40" i="20"/>
  <c r="E40" i="20"/>
  <c r="D40" i="20"/>
  <c r="C40" i="20"/>
  <c r="B40" i="20"/>
  <c r="T40" i="11"/>
  <c r="S40" i="11"/>
  <c r="R40" i="11"/>
  <c r="Q40" i="11"/>
  <c r="P40" i="11"/>
  <c r="O40" i="11"/>
  <c r="N40" i="11"/>
  <c r="M40" i="11"/>
  <c r="L40" i="11"/>
  <c r="K40" i="11"/>
  <c r="J40" i="11"/>
  <c r="I40" i="11"/>
  <c r="H40" i="11"/>
  <c r="G40" i="11"/>
  <c r="F40" i="11"/>
  <c r="E40" i="11"/>
  <c r="D40" i="11"/>
  <c r="C40" i="11"/>
  <c r="B40" i="11"/>
  <c r="T25" i="10"/>
  <c r="S25" i="10"/>
  <c r="R25" i="10"/>
  <c r="Q25" i="10"/>
  <c r="P25" i="10"/>
  <c r="O25" i="10"/>
  <c r="N25" i="10"/>
  <c r="M25" i="10"/>
  <c r="L25" i="10"/>
  <c r="K25" i="10"/>
  <c r="J25" i="10"/>
  <c r="I25" i="10"/>
  <c r="H25" i="10"/>
  <c r="G25" i="10"/>
  <c r="F25" i="10"/>
  <c r="E25" i="10"/>
  <c r="D25" i="10"/>
  <c r="C25" i="10"/>
  <c r="B25" i="10"/>
  <c r="T25" i="29"/>
  <c r="S25" i="29"/>
  <c r="R25" i="29"/>
  <c r="Q25" i="29"/>
  <c r="P25" i="29"/>
  <c r="O25" i="29"/>
  <c r="N25" i="29"/>
  <c r="M25" i="29"/>
  <c r="L25" i="29"/>
  <c r="K25" i="29"/>
  <c r="J25" i="29"/>
  <c r="I25" i="29"/>
  <c r="H25" i="29"/>
  <c r="G25" i="29"/>
  <c r="F25" i="29"/>
  <c r="E25" i="29"/>
  <c r="D25" i="29"/>
  <c r="C25" i="29"/>
  <c r="B25" i="29"/>
  <c r="T25" i="9"/>
  <c r="S25" i="9"/>
  <c r="R25" i="9"/>
  <c r="Q25" i="9"/>
  <c r="P25" i="9"/>
  <c r="O25" i="9"/>
  <c r="N25" i="9"/>
  <c r="M25" i="9"/>
  <c r="L25" i="9"/>
  <c r="K25" i="9"/>
  <c r="J25" i="9"/>
  <c r="I25" i="9"/>
  <c r="H25" i="9"/>
  <c r="G25" i="9"/>
  <c r="F25" i="9"/>
  <c r="E25" i="9"/>
  <c r="D25" i="9"/>
  <c r="C25" i="9"/>
  <c r="B25" i="9"/>
  <c r="T25" i="28"/>
  <c r="S25" i="28"/>
  <c r="R25" i="28"/>
  <c r="Q25" i="28"/>
  <c r="P25" i="28"/>
  <c r="O25" i="28"/>
  <c r="N25" i="28"/>
  <c r="M25" i="28"/>
  <c r="L25" i="28"/>
  <c r="K25" i="28"/>
  <c r="J25" i="28"/>
  <c r="I25" i="28"/>
  <c r="H25" i="28"/>
  <c r="G25" i="28"/>
  <c r="F25" i="28"/>
  <c r="E25" i="28"/>
  <c r="D25" i="28"/>
  <c r="C25" i="28"/>
  <c r="B25" i="28"/>
  <c r="T25" i="8"/>
  <c r="S25" i="8"/>
  <c r="R25" i="8"/>
  <c r="Q25" i="8"/>
  <c r="P25" i="8"/>
  <c r="O25" i="8"/>
  <c r="N25" i="8"/>
  <c r="M25" i="8"/>
  <c r="L25" i="8"/>
  <c r="K25" i="8"/>
  <c r="J25" i="8"/>
  <c r="I25" i="8"/>
  <c r="H25" i="8"/>
  <c r="G25" i="8"/>
  <c r="F25" i="8"/>
  <c r="E25" i="8"/>
  <c r="D25" i="8"/>
  <c r="C25" i="8"/>
  <c r="B25" i="8"/>
  <c r="T25" i="27"/>
  <c r="S25" i="27"/>
  <c r="R25" i="27"/>
  <c r="Q25" i="27"/>
  <c r="P25" i="27"/>
  <c r="O25" i="27"/>
  <c r="N25" i="27"/>
  <c r="M25" i="27"/>
  <c r="M6" i="27" s="1"/>
  <c r="L25" i="27"/>
  <c r="K25" i="27"/>
  <c r="J25" i="27"/>
  <c r="I25" i="27"/>
  <c r="H25" i="27"/>
  <c r="G25" i="27"/>
  <c r="F25" i="27"/>
  <c r="E25" i="27"/>
  <c r="D25" i="27"/>
  <c r="C25" i="27"/>
  <c r="B25" i="27"/>
  <c r="T25" i="7"/>
  <c r="S25" i="7"/>
  <c r="R25" i="7"/>
  <c r="Q25" i="7"/>
  <c r="P25" i="7"/>
  <c r="O25" i="7"/>
  <c r="N25" i="7"/>
  <c r="M25" i="7"/>
  <c r="L25" i="7"/>
  <c r="K25" i="7"/>
  <c r="J25" i="7"/>
  <c r="I25" i="7"/>
  <c r="H25" i="7"/>
  <c r="G25" i="7"/>
  <c r="F25" i="7"/>
  <c r="E25" i="7"/>
  <c r="D25" i="7"/>
  <c r="C25" i="7"/>
  <c r="B25" i="7"/>
  <c r="T25" i="26"/>
  <c r="S25" i="26"/>
  <c r="R25" i="26"/>
  <c r="Q25" i="26"/>
  <c r="P25" i="26"/>
  <c r="O25" i="26"/>
  <c r="N25" i="26"/>
  <c r="M25" i="26"/>
  <c r="L25" i="26"/>
  <c r="K25" i="26"/>
  <c r="J25" i="26"/>
  <c r="I25" i="26"/>
  <c r="H25" i="26"/>
  <c r="G25" i="26"/>
  <c r="F25" i="26"/>
  <c r="E25" i="26"/>
  <c r="D25" i="26"/>
  <c r="C25" i="26"/>
  <c r="B25" i="26"/>
  <c r="T25" i="6"/>
  <c r="S25" i="6"/>
  <c r="R25" i="6"/>
  <c r="Q25" i="6"/>
  <c r="P25" i="6"/>
  <c r="O25" i="6"/>
  <c r="N25" i="6"/>
  <c r="M25" i="6"/>
  <c r="L25" i="6"/>
  <c r="K25" i="6"/>
  <c r="J25" i="6"/>
  <c r="I25" i="6"/>
  <c r="H25" i="6"/>
  <c r="G25" i="6"/>
  <c r="F25" i="6"/>
  <c r="E25" i="6"/>
  <c r="D25" i="6"/>
  <c r="C25" i="6"/>
  <c r="B25" i="6"/>
  <c r="T25" i="25"/>
  <c r="S25" i="25"/>
  <c r="R25" i="25"/>
  <c r="R6" i="25" s="1"/>
  <c r="Q25" i="25"/>
  <c r="P25" i="25"/>
  <c r="O25" i="25"/>
  <c r="N25" i="25"/>
  <c r="M25" i="25"/>
  <c r="L25" i="25"/>
  <c r="K25" i="25"/>
  <c r="J25" i="25"/>
  <c r="I25" i="25"/>
  <c r="H25" i="25"/>
  <c r="G25" i="25"/>
  <c r="F25" i="25"/>
  <c r="E25" i="25"/>
  <c r="D25" i="25"/>
  <c r="C25" i="25"/>
  <c r="B25" i="25"/>
  <c r="T25" i="5"/>
  <c r="S25" i="5"/>
  <c r="R25" i="5"/>
  <c r="Q25" i="5"/>
  <c r="P25" i="5"/>
  <c r="O25" i="5"/>
  <c r="N25" i="5"/>
  <c r="M25" i="5"/>
  <c r="L25" i="5"/>
  <c r="K25" i="5"/>
  <c r="J25" i="5"/>
  <c r="I25" i="5"/>
  <c r="H25" i="5"/>
  <c r="G25" i="5"/>
  <c r="F25" i="5"/>
  <c r="E25" i="5"/>
  <c r="D25" i="5"/>
  <c r="C25" i="5"/>
  <c r="B25" i="5"/>
  <c r="T25" i="24"/>
  <c r="S25" i="24"/>
  <c r="R25" i="24"/>
  <c r="Q25" i="24"/>
  <c r="P25" i="24"/>
  <c r="O25" i="24"/>
  <c r="N25" i="24"/>
  <c r="M25" i="24"/>
  <c r="L25" i="24"/>
  <c r="K25" i="24"/>
  <c r="J25" i="24"/>
  <c r="I25" i="24"/>
  <c r="H25" i="24"/>
  <c r="G25" i="24"/>
  <c r="F25" i="24"/>
  <c r="E25" i="24"/>
  <c r="D25" i="24"/>
  <c r="C25" i="24"/>
  <c r="B25" i="24"/>
  <c r="T25" i="3"/>
  <c r="S25" i="3"/>
  <c r="R25" i="3"/>
  <c r="Q25" i="3"/>
  <c r="P25" i="3"/>
  <c r="O25" i="3"/>
  <c r="N25" i="3"/>
  <c r="M25" i="3"/>
  <c r="L25" i="3"/>
  <c r="K25" i="3"/>
  <c r="J25" i="3"/>
  <c r="I25" i="3"/>
  <c r="H25" i="3"/>
  <c r="G25" i="3"/>
  <c r="F25" i="3"/>
  <c r="E25" i="3"/>
  <c r="D25" i="3"/>
  <c r="C25" i="3"/>
  <c r="B25" i="3"/>
  <c r="T25" i="22"/>
  <c r="S25" i="22"/>
  <c r="R25" i="22"/>
  <c r="Q25" i="22"/>
  <c r="P25" i="22"/>
  <c r="O25" i="22"/>
  <c r="N25" i="22"/>
  <c r="M25" i="22"/>
  <c r="L25" i="22"/>
  <c r="K25" i="22"/>
  <c r="J25" i="22"/>
  <c r="I25" i="22"/>
  <c r="H25" i="22"/>
  <c r="G25" i="22"/>
  <c r="F25" i="22"/>
  <c r="E25" i="22"/>
  <c r="D25" i="22"/>
  <c r="C25" i="22"/>
  <c r="B25" i="22"/>
  <c r="T25" i="2"/>
  <c r="S25" i="2"/>
  <c r="R25" i="2"/>
  <c r="Q25" i="2"/>
  <c r="P25" i="2"/>
  <c r="O25" i="2"/>
  <c r="N25" i="2"/>
  <c r="M25" i="2"/>
  <c r="L25" i="2"/>
  <c r="K25" i="2"/>
  <c r="J25" i="2"/>
  <c r="I25" i="2"/>
  <c r="H25" i="2"/>
  <c r="G25" i="2"/>
  <c r="F25" i="2"/>
  <c r="E25" i="2"/>
  <c r="D25" i="2"/>
  <c r="C25" i="2"/>
  <c r="B25" i="2"/>
  <c r="T25" i="21"/>
  <c r="S25" i="21"/>
  <c r="R25" i="21"/>
  <c r="Q25" i="21"/>
  <c r="P25" i="21"/>
  <c r="O25" i="21"/>
  <c r="N25" i="21"/>
  <c r="M25" i="21"/>
  <c r="L25" i="21"/>
  <c r="K25" i="21"/>
  <c r="J25" i="21"/>
  <c r="I25" i="21"/>
  <c r="H25" i="21"/>
  <c r="G25" i="21"/>
  <c r="F25" i="21"/>
  <c r="E25" i="21"/>
  <c r="D25" i="21"/>
  <c r="C25" i="21"/>
  <c r="B25" i="21"/>
  <c r="T25" i="1"/>
  <c r="S25" i="1"/>
  <c r="R25" i="1"/>
  <c r="Q25" i="1"/>
  <c r="P25" i="1"/>
  <c r="O25" i="1"/>
  <c r="N25" i="1"/>
  <c r="M25" i="1"/>
  <c r="L25" i="1"/>
  <c r="K25" i="1"/>
  <c r="J25" i="1"/>
  <c r="I25" i="1"/>
  <c r="H25" i="1"/>
  <c r="G25" i="1"/>
  <c r="F25" i="1"/>
  <c r="E25" i="1"/>
  <c r="D25" i="1"/>
  <c r="C25" i="1"/>
  <c r="B25" i="1"/>
  <c r="T25" i="20"/>
  <c r="S25" i="20"/>
  <c r="R25" i="20"/>
  <c r="Q25" i="20"/>
  <c r="P25" i="20"/>
  <c r="O25" i="20"/>
  <c r="N25" i="20"/>
  <c r="M25" i="20"/>
  <c r="L25" i="20"/>
  <c r="K25" i="20"/>
  <c r="J25" i="20"/>
  <c r="I25" i="20"/>
  <c r="H25" i="20"/>
  <c r="G25" i="20"/>
  <c r="F25" i="20"/>
  <c r="E25" i="20"/>
  <c r="D25" i="20"/>
  <c r="C25" i="20"/>
  <c r="B25" i="20"/>
  <c r="T25" i="11"/>
  <c r="S25" i="11"/>
  <c r="R25" i="11"/>
  <c r="Q25" i="11"/>
  <c r="P25" i="11"/>
  <c r="O25" i="11"/>
  <c r="N25" i="11"/>
  <c r="M25" i="11"/>
  <c r="L25" i="11"/>
  <c r="K25" i="11"/>
  <c r="J25" i="11"/>
  <c r="I25" i="11"/>
  <c r="H25" i="11"/>
  <c r="G25" i="11"/>
  <c r="F25" i="11"/>
  <c r="E25" i="11"/>
  <c r="D25" i="11"/>
  <c r="C25" i="11"/>
  <c r="B25" i="11"/>
  <c r="T7" i="10"/>
  <c r="S7" i="10"/>
  <c r="R7" i="10"/>
  <c r="R6" i="10" s="1"/>
  <c r="Q7" i="10"/>
  <c r="P7" i="10"/>
  <c r="O7" i="10"/>
  <c r="N7" i="10"/>
  <c r="M7" i="10"/>
  <c r="L7" i="10"/>
  <c r="K7" i="10"/>
  <c r="I7" i="10"/>
  <c r="I6" i="10" s="1"/>
  <c r="F7" i="10"/>
  <c r="C7" i="10"/>
  <c r="B7" i="10"/>
  <c r="T7" i="29"/>
  <c r="S7" i="29"/>
  <c r="R7" i="29"/>
  <c r="Q7" i="29"/>
  <c r="P7" i="29"/>
  <c r="O7" i="29"/>
  <c r="N7" i="29"/>
  <c r="M7" i="29"/>
  <c r="L7" i="29"/>
  <c r="K7" i="29"/>
  <c r="I7" i="29"/>
  <c r="F7" i="29"/>
  <c r="F6" i="29" s="1"/>
  <c r="T7" i="9"/>
  <c r="S7" i="9"/>
  <c r="R7" i="9"/>
  <c r="Q7" i="9"/>
  <c r="Q6" i="9" s="1"/>
  <c r="P7" i="9"/>
  <c r="O7" i="9"/>
  <c r="N7" i="9"/>
  <c r="M7" i="9"/>
  <c r="L7" i="9"/>
  <c r="K7" i="9"/>
  <c r="J7" i="9"/>
  <c r="I7" i="9"/>
  <c r="H7" i="9"/>
  <c r="G7" i="9"/>
  <c r="F7" i="9"/>
  <c r="E7" i="9"/>
  <c r="D7" i="9"/>
  <c r="C7" i="9"/>
  <c r="B7" i="9"/>
  <c r="T7" i="28"/>
  <c r="S7" i="28"/>
  <c r="R7" i="28"/>
  <c r="Q7" i="28"/>
  <c r="P7" i="28"/>
  <c r="O7" i="28"/>
  <c r="N7" i="28"/>
  <c r="M7" i="28"/>
  <c r="L7" i="28"/>
  <c r="K7" i="28"/>
  <c r="J7" i="28"/>
  <c r="I7" i="28"/>
  <c r="H7" i="28"/>
  <c r="G7" i="28"/>
  <c r="F7" i="28"/>
  <c r="E7" i="28"/>
  <c r="T7" i="8"/>
  <c r="S7" i="8"/>
  <c r="R7" i="8"/>
  <c r="Q7" i="8"/>
  <c r="P7" i="8"/>
  <c r="O7" i="8"/>
  <c r="N7" i="8"/>
  <c r="N6" i="8" s="1"/>
  <c r="M7" i="8"/>
  <c r="M6" i="8" s="1"/>
  <c r="L7" i="8"/>
  <c r="L6" i="8" s="1"/>
  <c r="K7" i="8"/>
  <c r="J7" i="8"/>
  <c r="I7" i="8"/>
  <c r="H7" i="8"/>
  <c r="G7" i="8"/>
  <c r="F7" i="8"/>
  <c r="F6" i="8" s="1"/>
  <c r="E7" i="8"/>
  <c r="D7" i="8"/>
  <c r="C7" i="8"/>
  <c r="B7" i="8"/>
  <c r="T7" i="27"/>
  <c r="S7" i="27"/>
  <c r="R7" i="27"/>
  <c r="Q7" i="27"/>
  <c r="P7" i="27"/>
  <c r="P6" i="27" s="1"/>
  <c r="O7" i="27"/>
  <c r="O6" i="27" s="1"/>
  <c r="N7" i="27"/>
  <c r="M7" i="27"/>
  <c r="L7" i="27"/>
  <c r="K7" i="27"/>
  <c r="J7" i="27"/>
  <c r="I7" i="27"/>
  <c r="I6" i="27" s="1"/>
  <c r="H7" i="27"/>
  <c r="G7" i="27"/>
  <c r="F7" i="27"/>
  <c r="E7" i="27"/>
  <c r="T7" i="7"/>
  <c r="S7" i="7"/>
  <c r="R7" i="7"/>
  <c r="Q7" i="7"/>
  <c r="P7" i="7"/>
  <c r="O7" i="7"/>
  <c r="N7" i="7"/>
  <c r="M7" i="7"/>
  <c r="L7" i="7"/>
  <c r="K7" i="7"/>
  <c r="J7" i="7"/>
  <c r="I7" i="7"/>
  <c r="H7" i="7"/>
  <c r="G7" i="7"/>
  <c r="F7" i="7"/>
  <c r="E7" i="7"/>
  <c r="D7" i="7"/>
  <c r="C7" i="7"/>
  <c r="B7" i="7"/>
  <c r="T7" i="26"/>
  <c r="S7" i="26"/>
  <c r="R7" i="26"/>
  <c r="P7" i="26"/>
  <c r="O7" i="26"/>
  <c r="N7" i="26"/>
  <c r="M7" i="26"/>
  <c r="L7" i="26"/>
  <c r="K7" i="26"/>
  <c r="J7" i="26"/>
  <c r="I7" i="26"/>
  <c r="H7" i="26"/>
  <c r="G7" i="26"/>
  <c r="F7" i="26"/>
  <c r="E7" i="26"/>
  <c r="T7" i="6"/>
  <c r="S7" i="6"/>
  <c r="R7" i="6"/>
  <c r="Q7" i="6"/>
  <c r="P7" i="6"/>
  <c r="O7" i="6"/>
  <c r="N7" i="6"/>
  <c r="M7" i="6"/>
  <c r="L7" i="6"/>
  <c r="K7" i="6"/>
  <c r="J7" i="6"/>
  <c r="I7" i="6"/>
  <c r="H7" i="6"/>
  <c r="G7" i="6"/>
  <c r="F7" i="6"/>
  <c r="E7" i="6"/>
  <c r="D7" i="6"/>
  <c r="C7" i="6"/>
  <c r="B7" i="6"/>
  <c r="T7" i="25"/>
  <c r="T6" i="25" s="1"/>
  <c r="S7" i="25"/>
  <c r="R7" i="25"/>
  <c r="P7" i="25"/>
  <c r="O7" i="25"/>
  <c r="N7" i="25"/>
  <c r="M7" i="25"/>
  <c r="L7" i="25"/>
  <c r="K7" i="25"/>
  <c r="J7" i="25"/>
  <c r="I7" i="25"/>
  <c r="H7" i="25"/>
  <c r="G7" i="25"/>
  <c r="F7" i="25"/>
  <c r="E7" i="25"/>
  <c r="T7" i="5"/>
  <c r="S7" i="5"/>
  <c r="R7" i="5"/>
  <c r="Q7" i="5"/>
  <c r="P7" i="5"/>
  <c r="O7" i="5"/>
  <c r="N7" i="5"/>
  <c r="M7" i="5"/>
  <c r="L7" i="5"/>
  <c r="K7" i="5"/>
  <c r="J7" i="5"/>
  <c r="I7" i="5"/>
  <c r="H7" i="5"/>
  <c r="G7" i="5"/>
  <c r="F7" i="5"/>
  <c r="E7" i="5"/>
  <c r="D7" i="5"/>
  <c r="C7" i="5"/>
  <c r="B7" i="5"/>
  <c r="T7" i="24"/>
  <c r="S7" i="24"/>
  <c r="R7" i="24"/>
  <c r="P7" i="24"/>
  <c r="O7" i="24"/>
  <c r="N7" i="24"/>
  <c r="M7" i="24"/>
  <c r="L7" i="24"/>
  <c r="K7" i="24"/>
  <c r="J7" i="24"/>
  <c r="I7" i="24"/>
  <c r="H7" i="24"/>
  <c r="G7" i="24"/>
  <c r="F7" i="24"/>
  <c r="E7" i="24"/>
  <c r="T7" i="3"/>
  <c r="S7" i="3"/>
  <c r="R7" i="3"/>
  <c r="Q7" i="3"/>
  <c r="P7" i="3"/>
  <c r="O7" i="3"/>
  <c r="N7" i="3"/>
  <c r="M7" i="3"/>
  <c r="L7" i="3"/>
  <c r="K7" i="3"/>
  <c r="J7" i="3"/>
  <c r="I7" i="3"/>
  <c r="H7" i="3"/>
  <c r="G7" i="3"/>
  <c r="F7" i="3"/>
  <c r="F6" i="3" s="1"/>
  <c r="E7" i="3"/>
  <c r="D7" i="3"/>
  <c r="C7" i="3"/>
  <c r="B7" i="3"/>
  <c r="T7" i="22"/>
  <c r="S7" i="22"/>
  <c r="R7" i="22"/>
  <c r="P7" i="22"/>
  <c r="O7" i="22"/>
  <c r="N7" i="22"/>
  <c r="M7" i="22"/>
  <c r="L7" i="22"/>
  <c r="K7" i="22"/>
  <c r="J7" i="22"/>
  <c r="I7" i="22"/>
  <c r="H7" i="22"/>
  <c r="G7" i="22"/>
  <c r="F7" i="22"/>
  <c r="E7" i="22"/>
  <c r="T7" i="2"/>
  <c r="S7" i="2"/>
  <c r="R7" i="2"/>
  <c r="Q7" i="2"/>
  <c r="P7" i="2"/>
  <c r="O7" i="2"/>
  <c r="N7" i="2"/>
  <c r="M7" i="2"/>
  <c r="L7" i="2"/>
  <c r="K7" i="2"/>
  <c r="J7" i="2"/>
  <c r="I7" i="2"/>
  <c r="H7" i="2"/>
  <c r="G7" i="2"/>
  <c r="F7" i="2"/>
  <c r="E7" i="2"/>
  <c r="D7" i="2"/>
  <c r="C7" i="2"/>
  <c r="B7" i="2"/>
  <c r="T7" i="21"/>
  <c r="S7" i="21"/>
  <c r="R7" i="21"/>
  <c r="P7" i="21"/>
  <c r="O7" i="21"/>
  <c r="N7" i="21"/>
  <c r="M7" i="21"/>
  <c r="L7" i="21"/>
  <c r="K7" i="21"/>
  <c r="J7" i="21"/>
  <c r="I7" i="21"/>
  <c r="H7" i="21"/>
  <c r="G7" i="21"/>
  <c r="F7" i="21"/>
  <c r="E7" i="21"/>
  <c r="T7" i="1"/>
  <c r="S7" i="1"/>
  <c r="R7" i="1"/>
  <c r="Q7" i="1"/>
  <c r="P7" i="1"/>
  <c r="O7" i="1"/>
  <c r="N7" i="1"/>
  <c r="M7" i="1"/>
  <c r="L7" i="1"/>
  <c r="K7" i="1"/>
  <c r="J7" i="1"/>
  <c r="I7" i="1"/>
  <c r="H7" i="1"/>
  <c r="G7" i="1"/>
  <c r="F7" i="1"/>
  <c r="E7" i="1"/>
  <c r="D7" i="1"/>
  <c r="C7" i="1"/>
  <c r="B7" i="1"/>
  <c r="T7" i="20"/>
  <c r="S7" i="20"/>
  <c r="R7" i="20"/>
  <c r="P7" i="20"/>
  <c r="O7" i="20"/>
  <c r="N7" i="20"/>
  <c r="M7" i="20"/>
  <c r="L7" i="20"/>
  <c r="K7" i="20"/>
  <c r="J7" i="20"/>
  <c r="I7" i="20"/>
  <c r="H7" i="20"/>
  <c r="G7" i="20"/>
  <c r="F7" i="20"/>
  <c r="E7" i="20"/>
  <c r="T7" i="11"/>
  <c r="S7" i="11"/>
  <c r="R7" i="11"/>
  <c r="Q7" i="11"/>
  <c r="P7" i="11"/>
  <c r="O7" i="11"/>
  <c r="N7" i="11"/>
  <c r="M7" i="11"/>
  <c r="L7" i="11"/>
  <c r="K7" i="11"/>
  <c r="J7" i="11"/>
  <c r="I7" i="11"/>
  <c r="H7" i="11"/>
  <c r="G7" i="11"/>
  <c r="F7" i="11"/>
  <c r="E7" i="11"/>
  <c r="D7" i="11"/>
  <c r="C7" i="11"/>
  <c r="B7" i="11"/>
  <c r="L6" i="7"/>
  <c r="O6" i="8"/>
  <c r="C54" i="31"/>
  <c r="D54" i="31"/>
  <c r="E54" i="31"/>
  <c r="F54" i="31"/>
  <c r="G54" i="31"/>
  <c r="H54" i="31"/>
  <c r="I54" i="31"/>
  <c r="J54" i="31"/>
  <c r="K54" i="31"/>
  <c r="L54" i="31"/>
  <c r="M54" i="31"/>
  <c r="N54" i="31"/>
  <c r="O54" i="31"/>
  <c r="P54" i="31"/>
  <c r="Q54" i="31"/>
  <c r="R54" i="31"/>
  <c r="S54" i="31"/>
  <c r="T54" i="31"/>
  <c r="B54" i="31"/>
  <c r="C40" i="31"/>
  <c r="D40" i="31"/>
  <c r="E40" i="31"/>
  <c r="F40" i="31"/>
  <c r="G40" i="31"/>
  <c r="H40" i="31"/>
  <c r="I40" i="31"/>
  <c r="J40" i="31"/>
  <c r="K40" i="31"/>
  <c r="L40" i="31"/>
  <c r="M40" i="31"/>
  <c r="N40" i="31"/>
  <c r="O40" i="31"/>
  <c r="P40" i="31"/>
  <c r="Q40" i="31"/>
  <c r="R40" i="31"/>
  <c r="S40" i="31"/>
  <c r="T40" i="31"/>
  <c r="B40" i="31"/>
  <c r="C25" i="31"/>
  <c r="D25" i="31"/>
  <c r="E25" i="31"/>
  <c r="F25" i="31"/>
  <c r="G25" i="31"/>
  <c r="H25" i="31"/>
  <c r="I25" i="31"/>
  <c r="J25" i="31"/>
  <c r="K25" i="31"/>
  <c r="L25" i="31"/>
  <c r="M25" i="31"/>
  <c r="N25" i="31"/>
  <c r="O25" i="31"/>
  <c r="P25" i="31"/>
  <c r="Q25" i="31"/>
  <c r="R25" i="31"/>
  <c r="S25" i="31"/>
  <c r="T25" i="31"/>
  <c r="B25" i="31"/>
  <c r="E7" i="31"/>
  <c r="F7" i="31"/>
  <c r="G7" i="31"/>
  <c r="H7" i="31"/>
  <c r="I7" i="31"/>
  <c r="J7" i="31"/>
  <c r="K7" i="31"/>
  <c r="L7" i="31"/>
  <c r="M7" i="31"/>
  <c r="N7" i="31"/>
  <c r="O7" i="31"/>
  <c r="P7" i="31"/>
  <c r="Q7" i="31"/>
  <c r="R7" i="31"/>
  <c r="S7" i="31"/>
  <c r="T7" i="31"/>
  <c r="T6" i="8" l="1"/>
  <c r="T6" i="11"/>
  <c r="S6" i="8"/>
  <c r="K6" i="8"/>
  <c r="R6" i="8"/>
  <c r="T6" i="27"/>
  <c r="S6" i="22"/>
  <c r="L6" i="9"/>
  <c r="M9" i="19"/>
  <c r="P6" i="22"/>
  <c r="T6" i="29"/>
  <c r="N27" i="18"/>
  <c r="K42" i="19"/>
  <c r="I6" i="8"/>
  <c r="M6" i="1"/>
  <c r="K6" i="27"/>
  <c r="S6" i="27"/>
  <c r="P6" i="8"/>
  <c r="J27" i="19"/>
  <c r="P6" i="5"/>
  <c r="T6" i="7"/>
  <c r="L6" i="27"/>
  <c r="F6" i="27"/>
  <c r="M42" i="19"/>
  <c r="K27" i="19"/>
  <c r="N9" i="19"/>
  <c r="M6" i="2"/>
  <c r="M6" i="7"/>
  <c r="R6" i="27"/>
  <c r="M27" i="18"/>
  <c r="J42" i="19"/>
  <c r="N6" i="27"/>
  <c r="T6" i="3"/>
  <c r="K6" i="3"/>
  <c r="S6" i="3"/>
  <c r="M6" i="10"/>
  <c r="M6" i="28"/>
  <c r="P6" i="21"/>
  <c r="I6" i="3"/>
  <c r="U6" i="8"/>
  <c r="AT65" i="31"/>
  <c r="R6" i="9"/>
  <c r="F6" i="7"/>
  <c r="N6" i="7"/>
  <c r="D54" i="4"/>
  <c r="AD54" i="11" s="1"/>
  <c r="I6" i="5"/>
  <c r="O6" i="3"/>
  <c r="P6" i="3"/>
  <c r="M6" i="3"/>
  <c r="L6" i="3"/>
  <c r="L6" i="2"/>
  <c r="T6" i="2"/>
  <c r="F6" i="2"/>
  <c r="R6" i="2"/>
  <c r="R6" i="1"/>
  <c r="I6" i="1"/>
  <c r="L6" i="1"/>
  <c r="T6" i="1"/>
  <c r="K6" i="1"/>
  <c r="S6" i="1"/>
  <c r="O6" i="1"/>
  <c r="F6" i="1"/>
  <c r="L6" i="28"/>
  <c r="T6" i="28"/>
  <c r="M6" i="29"/>
  <c r="N6" i="29"/>
  <c r="I6" i="29"/>
  <c r="O6" i="29"/>
  <c r="P6" i="26"/>
  <c r="I6" i="26"/>
  <c r="G25" i="23"/>
  <c r="O25" i="23"/>
  <c r="F40" i="23"/>
  <c r="N40" i="23"/>
  <c r="L6" i="26"/>
  <c r="T6" i="26"/>
  <c r="M6" i="26"/>
  <c r="O6" i="25"/>
  <c r="G54" i="23"/>
  <c r="H25" i="23"/>
  <c r="G40" i="23"/>
  <c r="O40" i="23"/>
  <c r="I6" i="25"/>
  <c r="O54" i="23"/>
  <c r="L6" i="25"/>
  <c r="P25" i="23"/>
  <c r="M6" i="25"/>
  <c r="I25" i="23"/>
  <c r="Q25" i="23"/>
  <c r="H40" i="23"/>
  <c r="P40" i="23"/>
  <c r="K6" i="22"/>
  <c r="O6" i="22"/>
  <c r="I6" i="22"/>
  <c r="M6" i="21"/>
  <c r="O6" i="20"/>
  <c r="T6" i="20"/>
  <c r="M6" i="20"/>
  <c r="R6" i="28"/>
  <c r="K6" i="28"/>
  <c r="S6" i="28"/>
  <c r="F6" i="28"/>
  <c r="N6" i="28"/>
  <c r="P6" i="28"/>
  <c r="O6" i="28"/>
  <c r="I6" i="28"/>
  <c r="O6" i="9"/>
  <c r="U6" i="9"/>
  <c r="I6" i="9"/>
  <c r="P6" i="9"/>
  <c r="K6" i="9"/>
  <c r="M6" i="9"/>
  <c r="T6" i="9"/>
  <c r="S6" i="9"/>
  <c r="L6" i="10"/>
  <c r="AD6" i="11"/>
  <c r="AH6" i="11"/>
  <c r="T6" i="10"/>
  <c r="K6" i="10"/>
  <c r="S6" i="10"/>
  <c r="AG6" i="11"/>
  <c r="AE6" i="11"/>
  <c r="P6" i="10"/>
  <c r="O6" i="10"/>
  <c r="F6" i="10"/>
  <c r="N6" i="10"/>
  <c r="K6" i="7"/>
  <c r="S6" i="7"/>
  <c r="R54" i="4"/>
  <c r="AR54" i="11" s="1"/>
  <c r="B54" i="4"/>
  <c r="AB54" i="11" s="1"/>
  <c r="K54" i="4"/>
  <c r="AK54" i="11" s="1"/>
  <c r="C54" i="4"/>
  <c r="L54" i="4"/>
  <c r="AL54" i="11" s="1"/>
  <c r="T54" i="4"/>
  <c r="B7" i="4"/>
  <c r="AB7" i="11" s="1"/>
  <c r="O6" i="7"/>
  <c r="J7" i="4"/>
  <c r="I6" i="7"/>
  <c r="Q6" i="7"/>
  <c r="P6" i="7"/>
  <c r="D25" i="4"/>
  <c r="AD25" i="11" s="1"/>
  <c r="L25" i="4"/>
  <c r="AL25" i="11" s="1"/>
  <c r="T25" i="4"/>
  <c r="C40" i="4"/>
  <c r="AC40" i="11" s="1"/>
  <c r="K40" i="4"/>
  <c r="AK40" i="11" s="1"/>
  <c r="S40" i="4"/>
  <c r="AS40" i="11" s="1"/>
  <c r="E25" i="4"/>
  <c r="AE25" i="11" s="1"/>
  <c r="M25" i="4"/>
  <c r="AM25" i="11" s="1"/>
  <c r="D40" i="4"/>
  <c r="AD40" i="11" s="1"/>
  <c r="L40" i="4"/>
  <c r="AL40" i="11" s="1"/>
  <c r="T40" i="4"/>
  <c r="E7" i="4"/>
  <c r="M7" i="4"/>
  <c r="AM7" i="11" s="1"/>
  <c r="F25" i="4"/>
  <c r="AF25" i="11" s="1"/>
  <c r="N25" i="4"/>
  <c r="AN25" i="11" s="1"/>
  <c r="E40" i="4"/>
  <c r="AE40" i="11" s="1"/>
  <c r="M40" i="4"/>
  <c r="AM40" i="11" s="1"/>
  <c r="F7" i="4"/>
  <c r="AF7" i="11" s="1"/>
  <c r="N7" i="4"/>
  <c r="AN7" i="11" s="1"/>
  <c r="G7" i="4"/>
  <c r="J54" i="4"/>
  <c r="AJ54" i="11" s="1"/>
  <c r="M6" i="5"/>
  <c r="T6" i="5"/>
  <c r="AC54" i="11"/>
  <c r="N6" i="3"/>
  <c r="R6" i="3"/>
  <c r="K6" i="2"/>
  <c r="S6" i="2"/>
  <c r="N6" i="2"/>
  <c r="O6" i="2"/>
  <c r="I6" i="2"/>
  <c r="P6" i="2"/>
  <c r="Q6" i="11"/>
  <c r="F6" i="11"/>
  <c r="N6" i="11"/>
  <c r="O6" i="11"/>
  <c r="M27" i="19"/>
  <c r="N27" i="19"/>
  <c r="I56" i="19"/>
  <c r="N56" i="19"/>
  <c r="M56" i="19"/>
  <c r="K56" i="19"/>
  <c r="J56" i="19"/>
  <c r="P6" i="11"/>
  <c r="I6" i="11"/>
  <c r="R6" i="11"/>
  <c r="K9" i="19"/>
  <c r="J9" i="19"/>
  <c r="N42" i="19"/>
  <c r="K6" i="11"/>
  <c r="M6" i="11"/>
  <c r="S6" i="11"/>
  <c r="M9" i="18"/>
  <c r="I6" i="31"/>
  <c r="K56" i="18"/>
  <c r="M56" i="18"/>
  <c r="L6" i="29"/>
  <c r="P6" i="29"/>
  <c r="H7" i="23"/>
  <c r="R7" i="23"/>
  <c r="S6" i="26"/>
  <c r="P7" i="23"/>
  <c r="F6" i="26"/>
  <c r="N6" i="26"/>
  <c r="O6" i="26"/>
  <c r="B6" i="23"/>
  <c r="R6" i="26"/>
  <c r="P6" i="25"/>
  <c r="C6" i="23"/>
  <c r="J7" i="23"/>
  <c r="N6" i="25"/>
  <c r="E54" i="23"/>
  <c r="M54" i="23"/>
  <c r="U54" i="23"/>
  <c r="F6" i="25"/>
  <c r="N54" i="23"/>
  <c r="E7" i="23"/>
  <c r="M7" i="23"/>
  <c r="R6" i="24"/>
  <c r="R6" i="22"/>
  <c r="L6" i="22"/>
  <c r="T6" i="22"/>
  <c r="F6" i="22"/>
  <c r="N6" i="22"/>
  <c r="M6" i="22"/>
  <c r="F6" i="21"/>
  <c r="N6" i="21"/>
  <c r="O6" i="21"/>
  <c r="I6" i="21"/>
  <c r="R6" i="21"/>
  <c r="L6" i="21"/>
  <c r="T6" i="21"/>
  <c r="K6" i="21"/>
  <c r="S6" i="21"/>
  <c r="F6" i="20"/>
  <c r="N6" i="20"/>
  <c r="K6" i="20"/>
  <c r="S6" i="20"/>
  <c r="P6" i="20"/>
  <c r="L6" i="20"/>
  <c r="R6" i="20"/>
  <c r="I6" i="20"/>
  <c r="Q6" i="31"/>
  <c r="R6" i="31"/>
  <c r="R7" i="4"/>
  <c r="R6" i="5"/>
  <c r="M6" i="24"/>
  <c r="K6" i="5"/>
  <c r="D6" i="23"/>
  <c r="U54" i="4"/>
  <c r="AU54" i="11" s="1"/>
  <c r="F6" i="5"/>
  <c r="O6" i="24"/>
  <c r="Q6" i="3"/>
  <c r="P6" i="1"/>
  <c r="S6" i="25"/>
  <c r="P6" i="24"/>
  <c r="Q6" i="1"/>
  <c r="K6" i="25"/>
  <c r="Q6" i="28"/>
  <c r="F6" i="9"/>
  <c r="N6" i="9"/>
  <c r="S6" i="31"/>
  <c r="F54" i="23"/>
  <c r="F6" i="24"/>
  <c r="L6" i="5"/>
  <c r="K6" i="26"/>
  <c r="F6" i="31"/>
  <c r="N6" i="5"/>
  <c r="Q6" i="2"/>
  <c r="K7" i="23"/>
  <c r="K6" i="24"/>
  <c r="R6" i="29"/>
  <c r="I7" i="23"/>
  <c r="I6" i="24"/>
  <c r="Q6" i="29"/>
  <c r="S54" i="4"/>
  <c r="AS54" i="11" s="1"/>
  <c r="S6" i="5"/>
  <c r="K6" i="31"/>
  <c r="N6" i="24"/>
  <c r="O7" i="4"/>
  <c r="AO7" i="11" s="1"/>
  <c r="O6" i="5"/>
  <c r="Q6" i="10"/>
  <c r="Q6" i="8"/>
  <c r="R6" i="7"/>
  <c r="K6" i="29"/>
  <c r="S6" i="29"/>
  <c r="S7" i="23"/>
  <c r="H7" i="4"/>
  <c r="P7" i="4"/>
  <c r="AP7" i="11" s="1"/>
  <c r="B25" i="23"/>
  <c r="J25" i="23"/>
  <c r="R25" i="23"/>
  <c r="G25" i="4"/>
  <c r="AG25" i="11" s="1"/>
  <c r="O25" i="4"/>
  <c r="AO25" i="11" s="1"/>
  <c r="I40" i="23"/>
  <c r="Q40" i="23"/>
  <c r="F40" i="4"/>
  <c r="AF40" i="11" s="1"/>
  <c r="N40" i="4"/>
  <c r="AN40" i="11" s="1"/>
  <c r="H54" i="23"/>
  <c r="P54" i="23"/>
  <c r="E54" i="4"/>
  <c r="AE54" i="11" s="1"/>
  <c r="M54" i="4"/>
  <c r="AM54" i="11" s="1"/>
  <c r="U25" i="23"/>
  <c r="U6" i="22"/>
  <c r="U6" i="21"/>
  <c r="P6" i="31"/>
  <c r="L7" i="23"/>
  <c r="T7" i="23"/>
  <c r="I7" i="4"/>
  <c r="AI7" i="11" s="1"/>
  <c r="Q7" i="4"/>
  <c r="AQ7" i="11" s="1"/>
  <c r="C25" i="23"/>
  <c r="K25" i="23"/>
  <c r="S25" i="23"/>
  <c r="H25" i="4"/>
  <c r="AH25" i="11" s="1"/>
  <c r="P25" i="4"/>
  <c r="AP25" i="11" s="1"/>
  <c r="B40" i="23"/>
  <c r="J40" i="23"/>
  <c r="R40" i="23"/>
  <c r="G40" i="4"/>
  <c r="AG40" i="11" s="1"/>
  <c r="O40" i="4"/>
  <c r="AO40" i="11" s="1"/>
  <c r="I54" i="23"/>
  <c r="Q54" i="23"/>
  <c r="F54" i="4"/>
  <c r="AF54" i="11" s="1"/>
  <c r="N54" i="4"/>
  <c r="AN54" i="11" s="1"/>
  <c r="U40" i="23"/>
  <c r="L25" i="23"/>
  <c r="Q25" i="4"/>
  <c r="AQ25" i="11" s="1"/>
  <c r="S40" i="23"/>
  <c r="B54" i="23"/>
  <c r="G54" i="4"/>
  <c r="AG54" i="11" s="1"/>
  <c r="N6" i="31"/>
  <c r="O6" i="31"/>
  <c r="S6" i="24"/>
  <c r="F7" i="23"/>
  <c r="N7" i="23"/>
  <c r="C7" i="4"/>
  <c r="AC7" i="11" s="1"/>
  <c r="K7" i="4"/>
  <c r="AK7" i="11" s="1"/>
  <c r="S7" i="4"/>
  <c r="AS7" i="11" s="1"/>
  <c r="E25" i="23"/>
  <c r="M25" i="23"/>
  <c r="B25" i="4"/>
  <c r="AB25" i="11" s="1"/>
  <c r="J25" i="4"/>
  <c r="AJ25" i="11" s="1"/>
  <c r="R25" i="4"/>
  <c r="AR25" i="11" s="1"/>
  <c r="D40" i="23"/>
  <c r="L40" i="23"/>
  <c r="T40" i="23"/>
  <c r="I40" i="4"/>
  <c r="AI40" i="11" s="1"/>
  <c r="Q40" i="4"/>
  <c r="AQ40" i="11" s="1"/>
  <c r="C54" i="23"/>
  <c r="K54" i="23"/>
  <c r="S54" i="23"/>
  <c r="H54" i="4"/>
  <c r="AH54" i="11" s="1"/>
  <c r="P54" i="4"/>
  <c r="AP54" i="11" s="1"/>
  <c r="U7" i="4"/>
  <c r="AU7" i="11" s="1"/>
  <c r="T25" i="23"/>
  <c r="C40" i="23"/>
  <c r="H40" i="4"/>
  <c r="AH40" i="11" s="1"/>
  <c r="J54" i="23"/>
  <c r="O54" i="4"/>
  <c r="AO54" i="11" s="1"/>
  <c r="M6" i="31"/>
  <c r="Q6" i="27"/>
  <c r="Q6" i="5"/>
  <c r="T6" i="24"/>
  <c r="L6" i="11"/>
  <c r="N6" i="1"/>
  <c r="G7" i="23"/>
  <c r="O7" i="23"/>
  <c r="D7" i="4"/>
  <c r="L7" i="4"/>
  <c r="AL7" i="11" s="1"/>
  <c r="T7" i="4"/>
  <c r="F25" i="23"/>
  <c r="N25" i="23"/>
  <c r="C25" i="4"/>
  <c r="AC25" i="11" s="1"/>
  <c r="K25" i="4"/>
  <c r="AK25" i="11" s="1"/>
  <c r="S25" i="4"/>
  <c r="AS25" i="11" s="1"/>
  <c r="E40" i="23"/>
  <c r="M40" i="23"/>
  <c r="B40" i="4"/>
  <c r="AB40" i="11" s="1"/>
  <c r="J40" i="4"/>
  <c r="AJ40" i="11" s="1"/>
  <c r="R40" i="4"/>
  <c r="AR40" i="11" s="1"/>
  <c r="D54" i="23"/>
  <c r="L54" i="23"/>
  <c r="T54" i="23"/>
  <c r="I54" i="4"/>
  <c r="AI54" i="11" s="1"/>
  <c r="Q54" i="4"/>
  <c r="U25" i="4"/>
  <c r="AU25" i="11" s="1"/>
  <c r="U6" i="2"/>
  <c r="D25" i="23"/>
  <c r="I25" i="4"/>
  <c r="AI25" i="11" s="1"/>
  <c r="K40" i="23"/>
  <c r="P40" i="4"/>
  <c r="AP40" i="11" s="1"/>
  <c r="R54" i="23"/>
  <c r="T6" i="31"/>
  <c r="L6" i="31"/>
  <c r="L6" i="24"/>
  <c r="U40" i="4"/>
  <c r="AU40" i="11" s="1"/>
  <c r="U7" i="23"/>
  <c r="U6" i="11"/>
  <c r="U6" i="20"/>
  <c r="U6" i="1"/>
  <c r="U6" i="3"/>
  <c r="U6" i="24"/>
  <c r="U6" i="5"/>
  <c r="U6" i="25"/>
  <c r="T6" i="6"/>
  <c r="I6" i="6"/>
  <c r="L6" i="6"/>
  <c r="Q6" i="6"/>
  <c r="P6" i="6"/>
  <c r="M6" i="6"/>
  <c r="F6" i="6"/>
  <c r="K6" i="6"/>
  <c r="O6" i="6"/>
  <c r="S6" i="6"/>
  <c r="N6" i="6"/>
  <c r="R6" i="6"/>
  <c r="U6" i="6"/>
  <c r="U6" i="26"/>
  <c r="U6" i="7"/>
  <c r="U6" i="27"/>
  <c r="U6" i="28"/>
  <c r="U6" i="29"/>
  <c r="U6" i="10"/>
  <c r="U6" i="31"/>
  <c r="Q11" i="20"/>
  <c r="Q11" i="24"/>
  <c r="Q11" i="25"/>
  <c r="Q7" i="25" s="1"/>
  <c r="Q6" i="25" s="1"/>
  <c r="Q11" i="26"/>
  <c r="Q7" i="26" s="1"/>
  <c r="Q6" i="26" s="1"/>
  <c r="Q11" i="21"/>
  <c r="Q11" i="22"/>
  <c r="B9" i="24"/>
  <c r="B9" i="25"/>
  <c r="B9" i="26"/>
  <c r="B10" i="24"/>
  <c r="B10" i="25"/>
  <c r="B10" i="26"/>
  <c r="B12" i="24"/>
  <c r="B12" i="25"/>
  <c r="B12" i="26"/>
  <c r="B13" i="24"/>
  <c r="B13" i="25"/>
  <c r="B13" i="26"/>
  <c r="B14" i="24"/>
  <c r="B14" i="25"/>
  <c r="B14" i="26"/>
  <c r="B15" i="24"/>
  <c r="B15" i="25"/>
  <c r="B15" i="26"/>
  <c r="B17" i="24"/>
  <c r="B17" i="25"/>
  <c r="B17" i="26"/>
  <c r="B18" i="24"/>
  <c r="B18" i="25"/>
  <c r="B18" i="26"/>
  <c r="B20" i="24"/>
  <c r="B20" i="25"/>
  <c r="B20" i="26"/>
  <c r="B21" i="24"/>
  <c r="B21" i="25"/>
  <c r="B21" i="26"/>
  <c r="B22" i="24"/>
  <c r="B22" i="25"/>
  <c r="B22" i="26"/>
  <c r="B23" i="24"/>
  <c r="B23" i="25"/>
  <c r="B23" i="26"/>
  <c r="B24" i="24"/>
  <c r="B24" i="25"/>
  <c r="B24" i="26"/>
  <c r="C9" i="24"/>
  <c r="C9" i="25"/>
  <c r="C9" i="26"/>
  <c r="C10" i="24"/>
  <c r="C10" i="25"/>
  <c r="C10" i="26"/>
  <c r="C12" i="24"/>
  <c r="C12" i="25"/>
  <c r="C12" i="26"/>
  <c r="C13" i="24"/>
  <c r="C13" i="25"/>
  <c r="C13" i="26"/>
  <c r="C14" i="24"/>
  <c r="C14" i="25"/>
  <c r="C14" i="26"/>
  <c r="C15" i="24"/>
  <c r="C15" i="25"/>
  <c r="C15" i="26"/>
  <c r="C16" i="24"/>
  <c r="C16" i="25"/>
  <c r="C16" i="26"/>
  <c r="C17" i="24"/>
  <c r="C17" i="25"/>
  <c r="C17" i="26"/>
  <c r="C18" i="24"/>
  <c r="C18" i="25"/>
  <c r="C18" i="26"/>
  <c r="C19" i="24"/>
  <c r="C19" i="25"/>
  <c r="C19" i="26"/>
  <c r="C20" i="24"/>
  <c r="C20" i="25"/>
  <c r="C20" i="26"/>
  <c r="C21" i="24"/>
  <c r="C21" i="25"/>
  <c r="C21" i="26"/>
  <c r="C22" i="24"/>
  <c r="C22" i="25"/>
  <c r="C22" i="26"/>
  <c r="C23" i="24"/>
  <c r="C23" i="25"/>
  <c r="C23" i="26"/>
  <c r="C24" i="24"/>
  <c r="C24" i="25"/>
  <c r="C24" i="26"/>
  <c r="D9" i="24"/>
  <c r="D9" i="25"/>
  <c r="D9" i="26"/>
  <c r="D10" i="24"/>
  <c r="D10" i="25"/>
  <c r="D10" i="26"/>
  <c r="D11" i="24"/>
  <c r="D11" i="25"/>
  <c r="D11" i="26"/>
  <c r="D12" i="24"/>
  <c r="D12" i="25"/>
  <c r="D12" i="26"/>
  <c r="D13" i="24"/>
  <c r="D13" i="25"/>
  <c r="D13" i="26"/>
  <c r="D14" i="24"/>
  <c r="D14" i="25"/>
  <c r="D14" i="26"/>
  <c r="D15" i="24"/>
  <c r="D15" i="25"/>
  <c r="D15" i="26"/>
  <c r="D16" i="24"/>
  <c r="D16" i="25"/>
  <c r="D16" i="26"/>
  <c r="D17" i="24"/>
  <c r="D17" i="25"/>
  <c r="D17" i="26"/>
  <c r="D18" i="24"/>
  <c r="D18" i="25"/>
  <c r="D18" i="26"/>
  <c r="D19" i="24"/>
  <c r="D19" i="25"/>
  <c r="D19" i="26"/>
  <c r="D20" i="24"/>
  <c r="D20" i="25"/>
  <c r="D20" i="26"/>
  <c r="D21" i="24"/>
  <c r="D21" i="25"/>
  <c r="D21" i="26"/>
  <c r="D22" i="24"/>
  <c r="D22" i="25"/>
  <c r="D22" i="26"/>
  <c r="D23" i="24"/>
  <c r="D23" i="25"/>
  <c r="D23" i="26"/>
  <c r="D24" i="24"/>
  <c r="D24" i="25"/>
  <c r="D24" i="26"/>
  <c r="D16" i="10"/>
  <c r="E9" i="10"/>
  <c r="E10" i="10"/>
  <c r="AE10" i="11" s="1"/>
  <c r="E12" i="10"/>
  <c r="AE12" i="11" s="1"/>
  <c r="E13" i="10"/>
  <c r="AE13" i="11" s="1"/>
  <c r="E14" i="10"/>
  <c r="AE14" i="11" s="1"/>
  <c r="E15" i="10"/>
  <c r="AE15" i="11" s="1"/>
  <c r="E16" i="10"/>
  <c r="AE16" i="11" s="1"/>
  <c r="E17" i="10"/>
  <c r="AE17" i="11" s="1"/>
  <c r="E18" i="10"/>
  <c r="AE18" i="11" s="1"/>
  <c r="E19" i="10"/>
  <c r="AE19" i="11" s="1"/>
  <c r="E20" i="10"/>
  <c r="AE20" i="11" s="1"/>
  <c r="E21" i="10"/>
  <c r="AE21" i="11" s="1"/>
  <c r="E22" i="10"/>
  <c r="AE22" i="11" s="1"/>
  <c r="E23" i="10"/>
  <c r="AE23" i="11" s="1"/>
  <c r="E24" i="10"/>
  <c r="AE24" i="11" s="1"/>
  <c r="G9" i="10"/>
  <c r="G10" i="10"/>
  <c r="AG10" i="11" s="1"/>
  <c r="G12" i="10"/>
  <c r="AG12" i="11" s="1"/>
  <c r="G13" i="10"/>
  <c r="AG13" i="11" s="1"/>
  <c r="G14" i="10"/>
  <c r="AG14" i="11" s="1"/>
  <c r="G15" i="10"/>
  <c r="AG15" i="11" s="1"/>
  <c r="G16" i="10"/>
  <c r="AG16" i="11" s="1"/>
  <c r="G17" i="10"/>
  <c r="AG17" i="11" s="1"/>
  <c r="G18" i="10"/>
  <c r="AG18" i="11" s="1"/>
  <c r="G19" i="10"/>
  <c r="AG19" i="11" s="1"/>
  <c r="G20" i="10"/>
  <c r="AG20" i="11" s="1"/>
  <c r="G21" i="10"/>
  <c r="AG21" i="11" s="1"/>
  <c r="G22" i="10"/>
  <c r="AG22" i="11" s="1"/>
  <c r="G23" i="10"/>
  <c r="AG23" i="11" s="1"/>
  <c r="G24" i="10"/>
  <c r="AG24" i="11" s="1"/>
  <c r="H9" i="10"/>
  <c r="H10" i="10"/>
  <c r="AH10" i="11" s="1"/>
  <c r="H12" i="10"/>
  <c r="AH12" i="11" s="1"/>
  <c r="H14" i="10"/>
  <c r="AH14" i="11" s="1"/>
  <c r="H15" i="10"/>
  <c r="AH15" i="11" s="1"/>
  <c r="H16" i="10"/>
  <c r="AH16" i="11" s="1"/>
  <c r="H17" i="10"/>
  <c r="AH17" i="11" s="1"/>
  <c r="H18" i="10"/>
  <c r="AH18" i="11" s="1"/>
  <c r="H19" i="10"/>
  <c r="AH19" i="11" s="1"/>
  <c r="H20" i="10"/>
  <c r="AH20" i="11" s="1"/>
  <c r="H21" i="10"/>
  <c r="AH21" i="11" s="1"/>
  <c r="H22" i="10"/>
  <c r="AH22" i="11" s="1"/>
  <c r="H23" i="10"/>
  <c r="AH23" i="11" s="1"/>
  <c r="H24" i="10"/>
  <c r="AH24" i="11" s="1"/>
  <c r="J9" i="10"/>
  <c r="J10" i="10"/>
  <c r="AJ10" i="11" s="1"/>
  <c r="J11" i="10"/>
  <c r="AJ11" i="11" s="1"/>
  <c r="J12" i="10"/>
  <c r="AJ12" i="11" s="1"/>
  <c r="J13" i="10"/>
  <c r="AJ13" i="11" s="1"/>
  <c r="J14" i="10"/>
  <c r="AJ14" i="11" s="1"/>
  <c r="J15" i="10"/>
  <c r="AJ15" i="11" s="1"/>
  <c r="J16" i="10"/>
  <c r="AJ16" i="11" s="1"/>
  <c r="J17" i="10"/>
  <c r="AJ17" i="11" s="1"/>
  <c r="J18" i="10"/>
  <c r="AJ18" i="11" s="1"/>
  <c r="J19" i="10"/>
  <c r="AJ19" i="11" s="1"/>
  <c r="J20" i="10"/>
  <c r="AJ20" i="11" s="1"/>
  <c r="J21" i="10"/>
  <c r="AJ21" i="11" s="1"/>
  <c r="J22" i="10"/>
  <c r="AJ22" i="11" s="1"/>
  <c r="J23" i="10"/>
  <c r="AJ23" i="11" s="1"/>
  <c r="J24" i="10"/>
  <c r="AJ24" i="11" s="1"/>
  <c r="B9" i="29"/>
  <c r="B10" i="29"/>
  <c r="B12" i="29"/>
  <c r="B14" i="29"/>
  <c r="B15" i="29"/>
  <c r="B17" i="29"/>
  <c r="B18" i="29"/>
  <c r="B20" i="29"/>
  <c r="B22" i="29"/>
  <c r="B23" i="29"/>
  <c r="B24" i="29"/>
  <c r="C9" i="29"/>
  <c r="C10" i="29"/>
  <c r="C12" i="29"/>
  <c r="C14" i="29"/>
  <c r="C15" i="29"/>
  <c r="C16" i="29"/>
  <c r="C17" i="29"/>
  <c r="C18" i="29"/>
  <c r="C19" i="29"/>
  <c r="C20" i="29"/>
  <c r="C21" i="29"/>
  <c r="C22" i="29"/>
  <c r="C23" i="29"/>
  <c r="C24" i="29"/>
  <c r="D9" i="29"/>
  <c r="D10" i="29"/>
  <c r="D11" i="29"/>
  <c r="D12" i="29"/>
  <c r="D13" i="29"/>
  <c r="D14" i="29"/>
  <c r="D15" i="29"/>
  <c r="D17" i="29"/>
  <c r="D20" i="29"/>
  <c r="D21" i="29"/>
  <c r="D22" i="29"/>
  <c r="D23" i="29"/>
  <c r="E9" i="29"/>
  <c r="E10" i="29"/>
  <c r="AE10" i="31" s="1"/>
  <c r="E12" i="29"/>
  <c r="AE12" i="31" s="1"/>
  <c r="E13" i="29"/>
  <c r="AE13" i="31" s="1"/>
  <c r="E14" i="29"/>
  <c r="AE14" i="31" s="1"/>
  <c r="E15" i="29"/>
  <c r="AE15" i="31" s="1"/>
  <c r="E16" i="29"/>
  <c r="AE16" i="31" s="1"/>
  <c r="E17" i="29"/>
  <c r="AE17" i="31" s="1"/>
  <c r="E18" i="29"/>
  <c r="AE18" i="31" s="1"/>
  <c r="E19" i="29"/>
  <c r="AE19" i="31" s="1"/>
  <c r="E20" i="29"/>
  <c r="AE20" i="31" s="1"/>
  <c r="E21" i="29"/>
  <c r="AE21" i="31" s="1"/>
  <c r="E22" i="29"/>
  <c r="AE22" i="31" s="1"/>
  <c r="E23" i="29"/>
  <c r="AE23" i="31" s="1"/>
  <c r="E24" i="29"/>
  <c r="AE24" i="31" s="1"/>
  <c r="G9" i="29"/>
  <c r="G10" i="29"/>
  <c r="AG10" i="31" s="1"/>
  <c r="G12" i="29"/>
  <c r="AG12" i="31" s="1"/>
  <c r="G13" i="29"/>
  <c r="AG13" i="31" s="1"/>
  <c r="G14" i="29"/>
  <c r="AG14" i="31" s="1"/>
  <c r="G15" i="29"/>
  <c r="AG15" i="31" s="1"/>
  <c r="G16" i="29"/>
  <c r="AG16" i="31" s="1"/>
  <c r="G17" i="29"/>
  <c r="AG17" i="31" s="1"/>
  <c r="G18" i="29"/>
  <c r="AG18" i="31" s="1"/>
  <c r="G19" i="29"/>
  <c r="AG19" i="31" s="1"/>
  <c r="G20" i="29"/>
  <c r="AG20" i="31" s="1"/>
  <c r="G21" i="29"/>
  <c r="AG21" i="31" s="1"/>
  <c r="G22" i="29"/>
  <c r="AG22" i="31" s="1"/>
  <c r="G23" i="29"/>
  <c r="AG23" i="31" s="1"/>
  <c r="G24" i="29"/>
  <c r="AG24" i="31" s="1"/>
  <c r="H9" i="29"/>
  <c r="H10" i="29"/>
  <c r="AH10" i="31" s="1"/>
  <c r="H12" i="29"/>
  <c r="AH12" i="31" s="1"/>
  <c r="H13" i="29"/>
  <c r="AH13" i="31" s="1"/>
  <c r="H14" i="29"/>
  <c r="AH14" i="31" s="1"/>
  <c r="H15" i="29"/>
  <c r="AH15" i="31" s="1"/>
  <c r="H16" i="29"/>
  <c r="AH16" i="31" s="1"/>
  <c r="H17" i="29"/>
  <c r="AH17" i="31" s="1"/>
  <c r="H18" i="29"/>
  <c r="AH18" i="31" s="1"/>
  <c r="H19" i="29"/>
  <c r="AH19" i="31" s="1"/>
  <c r="H20" i="29"/>
  <c r="AH20" i="31" s="1"/>
  <c r="H21" i="29"/>
  <c r="AH21" i="31" s="1"/>
  <c r="H22" i="29"/>
  <c r="AH22" i="31" s="1"/>
  <c r="H23" i="29"/>
  <c r="AH23" i="31" s="1"/>
  <c r="H24" i="29"/>
  <c r="AH24" i="31" s="1"/>
  <c r="J9" i="29"/>
  <c r="J10" i="29"/>
  <c r="AJ10" i="31" s="1"/>
  <c r="J11" i="29"/>
  <c r="AJ11" i="31" s="1"/>
  <c r="J12" i="29"/>
  <c r="AJ12" i="31" s="1"/>
  <c r="J13" i="29"/>
  <c r="AJ13" i="31" s="1"/>
  <c r="J14" i="29"/>
  <c r="AJ14" i="31" s="1"/>
  <c r="J15" i="29"/>
  <c r="AJ15" i="31" s="1"/>
  <c r="J16" i="29"/>
  <c r="AJ16" i="31" s="1"/>
  <c r="J17" i="29"/>
  <c r="AJ17" i="31" s="1"/>
  <c r="J18" i="29"/>
  <c r="AJ18" i="31" s="1"/>
  <c r="J19" i="29"/>
  <c r="AJ19" i="31" s="1"/>
  <c r="J20" i="29"/>
  <c r="AJ20" i="31" s="1"/>
  <c r="J21" i="29"/>
  <c r="AJ21" i="31" s="1"/>
  <c r="J22" i="29"/>
  <c r="AJ22" i="31" s="1"/>
  <c r="J23" i="29"/>
  <c r="AJ23" i="31" s="1"/>
  <c r="J24" i="29"/>
  <c r="AJ24" i="31" s="1"/>
  <c r="B9" i="28"/>
  <c r="B10" i="28"/>
  <c r="B12" i="28"/>
  <c r="B13" i="28"/>
  <c r="B14" i="28"/>
  <c r="B15" i="28"/>
  <c r="B17" i="28"/>
  <c r="B18" i="28"/>
  <c r="B20" i="28"/>
  <c r="B21" i="28"/>
  <c r="B22" i="28"/>
  <c r="B23" i="28"/>
  <c r="B24" i="28"/>
  <c r="C9" i="28"/>
  <c r="C10" i="28"/>
  <c r="C12" i="28"/>
  <c r="C13" i="28"/>
  <c r="C14" i="28"/>
  <c r="C15" i="28"/>
  <c r="C16" i="28"/>
  <c r="C17" i="28"/>
  <c r="C18" i="28"/>
  <c r="C19" i="28"/>
  <c r="C20" i="28"/>
  <c r="C21" i="28"/>
  <c r="C22" i="28"/>
  <c r="C23" i="28"/>
  <c r="C24" i="28"/>
  <c r="D9" i="28"/>
  <c r="D10" i="28"/>
  <c r="D11" i="28"/>
  <c r="D12" i="28"/>
  <c r="D13" i="28"/>
  <c r="D14" i="28"/>
  <c r="D15" i="28"/>
  <c r="D17" i="28"/>
  <c r="D18" i="28"/>
  <c r="D20" i="28"/>
  <c r="D21" i="28"/>
  <c r="D22" i="28"/>
  <c r="D23" i="28"/>
  <c r="D24" i="28"/>
  <c r="B9" i="27"/>
  <c r="B10" i="27"/>
  <c r="B12" i="27"/>
  <c r="B13" i="27"/>
  <c r="B14" i="27"/>
  <c r="B15" i="27"/>
  <c r="B17" i="27"/>
  <c r="B18" i="27"/>
  <c r="B20" i="27"/>
  <c r="B21" i="27"/>
  <c r="B22" i="27"/>
  <c r="B23" i="27"/>
  <c r="B24" i="27"/>
  <c r="C9" i="27"/>
  <c r="C10" i="27"/>
  <c r="C12" i="27"/>
  <c r="C13" i="27"/>
  <c r="C14" i="27"/>
  <c r="C15" i="27"/>
  <c r="C16" i="27"/>
  <c r="C17" i="27"/>
  <c r="C18" i="27"/>
  <c r="C19" i="27"/>
  <c r="C20" i="27"/>
  <c r="C21" i="27"/>
  <c r="C22" i="27"/>
  <c r="C23" i="27"/>
  <c r="C24" i="27"/>
  <c r="D9" i="27"/>
  <c r="D10" i="27"/>
  <c r="D11" i="27"/>
  <c r="D12" i="27"/>
  <c r="D13" i="27"/>
  <c r="D14" i="27"/>
  <c r="D15" i="27"/>
  <c r="D17" i="27"/>
  <c r="D18" i="27"/>
  <c r="D20" i="27"/>
  <c r="D21" i="27"/>
  <c r="D22" i="27"/>
  <c r="D23" i="27"/>
  <c r="D24" i="27"/>
  <c r="B9" i="22"/>
  <c r="B10" i="22"/>
  <c r="B12" i="22"/>
  <c r="B13" i="22"/>
  <c r="B14" i="22"/>
  <c r="B15" i="22"/>
  <c r="B17" i="22"/>
  <c r="B18" i="22"/>
  <c r="B20" i="22"/>
  <c r="B21" i="22"/>
  <c r="B22" i="22"/>
  <c r="B23" i="22"/>
  <c r="B24" i="22"/>
  <c r="C9" i="22"/>
  <c r="C10" i="22"/>
  <c r="C12" i="22"/>
  <c r="C13" i="22"/>
  <c r="C14" i="22"/>
  <c r="C15" i="22"/>
  <c r="C16" i="22"/>
  <c r="C17" i="22"/>
  <c r="C18" i="22"/>
  <c r="C19" i="22"/>
  <c r="C20" i="22"/>
  <c r="C21" i="22"/>
  <c r="C22" i="22"/>
  <c r="C23" i="22"/>
  <c r="C24" i="22"/>
  <c r="D9" i="22"/>
  <c r="D10" i="22"/>
  <c r="D11" i="22"/>
  <c r="D12" i="22"/>
  <c r="D13" i="22"/>
  <c r="D14" i="22"/>
  <c r="D15" i="22"/>
  <c r="D16" i="22"/>
  <c r="D17" i="22"/>
  <c r="D18" i="22"/>
  <c r="D19" i="22"/>
  <c r="D20" i="22"/>
  <c r="D21" i="22"/>
  <c r="D22" i="22"/>
  <c r="D23" i="22"/>
  <c r="D24" i="22"/>
  <c r="B9" i="21"/>
  <c r="B10" i="21"/>
  <c r="B12" i="21"/>
  <c r="B13" i="21"/>
  <c r="B14" i="21"/>
  <c r="B15" i="21"/>
  <c r="B17" i="21"/>
  <c r="B18" i="21"/>
  <c r="B20" i="21"/>
  <c r="B21" i="21"/>
  <c r="B22" i="21"/>
  <c r="B23" i="21"/>
  <c r="B24" i="21"/>
  <c r="C9" i="21"/>
  <c r="C10" i="21"/>
  <c r="C12" i="21"/>
  <c r="C13" i="21"/>
  <c r="C14" i="21"/>
  <c r="C15" i="21"/>
  <c r="C16" i="21"/>
  <c r="C17" i="21"/>
  <c r="C18" i="21"/>
  <c r="C19" i="21"/>
  <c r="C20" i="21"/>
  <c r="C21" i="21"/>
  <c r="C22" i="21"/>
  <c r="C23" i="21"/>
  <c r="C24" i="21"/>
  <c r="D9" i="21"/>
  <c r="D10" i="21"/>
  <c r="D11" i="21"/>
  <c r="D12" i="21"/>
  <c r="D13" i="21"/>
  <c r="D14" i="21"/>
  <c r="D15" i="21"/>
  <c r="D16" i="21"/>
  <c r="D17" i="21"/>
  <c r="D18" i="21"/>
  <c r="D19" i="21"/>
  <c r="D20" i="21"/>
  <c r="D21" i="21"/>
  <c r="D22" i="21"/>
  <c r="D23" i="21"/>
  <c r="D24" i="21"/>
  <c r="B9" i="20"/>
  <c r="B10" i="20"/>
  <c r="B12" i="20"/>
  <c r="B13" i="20"/>
  <c r="B14" i="20"/>
  <c r="B15" i="20"/>
  <c r="B17" i="20"/>
  <c r="B18" i="20"/>
  <c r="B20" i="20"/>
  <c r="B21" i="20"/>
  <c r="B22" i="20"/>
  <c r="B23" i="20"/>
  <c r="B24" i="20"/>
  <c r="C9" i="20"/>
  <c r="C10" i="20"/>
  <c r="C12" i="20"/>
  <c r="C13" i="20"/>
  <c r="C14" i="20"/>
  <c r="C15" i="20"/>
  <c r="C16" i="20"/>
  <c r="C17" i="20"/>
  <c r="C18" i="20"/>
  <c r="C19" i="20"/>
  <c r="C20" i="20"/>
  <c r="C21" i="20"/>
  <c r="C22" i="20"/>
  <c r="C23" i="20"/>
  <c r="C24" i="20"/>
  <c r="D9" i="20"/>
  <c r="D10" i="20"/>
  <c r="D11" i="20"/>
  <c r="D12" i="20"/>
  <c r="D13" i="20"/>
  <c r="D14" i="20"/>
  <c r="D15" i="20"/>
  <c r="D16" i="20"/>
  <c r="D17" i="20"/>
  <c r="D18" i="20"/>
  <c r="D19" i="20"/>
  <c r="D20" i="20"/>
  <c r="D21" i="20"/>
  <c r="D22" i="20"/>
  <c r="D23" i="20"/>
  <c r="D24" i="20"/>
  <c r="AT7" i="11" l="1"/>
  <c r="L9" i="19"/>
  <c r="I6" i="23"/>
  <c r="I6" i="4"/>
  <c r="X67" i="18"/>
  <c r="L67" i="18"/>
  <c r="C7" i="27"/>
  <c r="P6" i="4"/>
  <c r="AP6" i="11" s="1"/>
  <c r="M8" i="18"/>
  <c r="N8" i="18"/>
  <c r="AT54" i="11"/>
  <c r="L56" i="19"/>
  <c r="L27" i="18"/>
  <c r="AT40" i="11"/>
  <c r="AT25" i="11"/>
  <c r="X27" i="19"/>
  <c r="S6" i="4"/>
  <c r="T6" i="4"/>
  <c r="R6" i="23"/>
  <c r="T6" i="23"/>
  <c r="L6" i="23"/>
  <c r="P6" i="23"/>
  <c r="N6" i="23"/>
  <c r="M6" i="23"/>
  <c r="AI6" i="11"/>
  <c r="AS6" i="11"/>
  <c r="AR7" i="11"/>
  <c r="X42" i="19"/>
  <c r="Q6" i="4"/>
  <c r="AQ6" i="11" s="1"/>
  <c r="M6" i="4"/>
  <c r="AM6" i="11" s="1"/>
  <c r="K8" i="19"/>
  <c r="J8" i="19"/>
  <c r="I8" i="19"/>
  <c r="N8" i="19"/>
  <c r="M8" i="19"/>
  <c r="D7" i="29"/>
  <c r="D22" i="23"/>
  <c r="AD22" i="31" s="1"/>
  <c r="D14" i="23"/>
  <c r="AD14" i="31" s="1"/>
  <c r="C22" i="23"/>
  <c r="AC22" i="31" s="1"/>
  <c r="C14" i="23"/>
  <c r="AC14" i="31" s="1"/>
  <c r="B21" i="23"/>
  <c r="AB21" i="31" s="1"/>
  <c r="B10" i="23"/>
  <c r="AB10" i="31" s="1"/>
  <c r="O6" i="23"/>
  <c r="D19" i="23"/>
  <c r="AD19" i="31" s="1"/>
  <c r="D11" i="23"/>
  <c r="AD11" i="31" s="1"/>
  <c r="C19" i="23"/>
  <c r="AC19" i="31" s="1"/>
  <c r="C10" i="23"/>
  <c r="AC10" i="31" s="1"/>
  <c r="B17" i="23"/>
  <c r="F6" i="23"/>
  <c r="B15" i="23"/>
  <c r="AB15" i="31" s="1"/>
  <c r="D10" i="23"/>
  <c r="AD10" i="31" s="1"/>
  <c r="S6" i="23"/>
  <c r="D18" i="23"/>
  <c r="AD18" i="31" s="1"/>
  <c r="C18" i="23"/>
  <c r="AC18" i="31" s="1"/>
  <c r="U6" i="23"/>
  <c r="L56" i="18"/>
  <c r="AQ54" i="11"/>
  <c r="Q7" i="20"/>
  <c r="D7" i="27"/>
  <c r="B7" i="29"/>
  <c r="AJ9" i="11"/>
  <c r="J7" i="10"/>
  <c r="AJ7" i="11" s="1"/>
  <c r="D24" i="23"/>
  <c r="AD24" i="31" s="1"/>
  <c r="D16" i="23"/>
  <c r="AD16" i="31" s="1"/>
  <c r="C24" i="23"/>
  <c r="AC24" i="31" s="1"/>
  <c r="C16" i="23"/>
  <c r="AC16" i="31" s="1"/>
  <c r="C7" i="26"/>
  <c r="B23" i="23"/>
  <c r="AB23" i="31" s="1"/>
  <c r="B13" i="23"/>
  <c r="AB13" i="31" s="1"/>
  <c r="B7" i="25"/>
  <c r="R6" i="4"/>
  <c r="I27" i="19"/>
  <c r="C7" i="21"/>
  <c r="C7" i="28"/>
  <c r="D21" i="23"/>
  <c r="AD21" i="31" s="1"/>
  <c r="D13" i="23"/>
  <c r="AD13" i="31" s="1"/>
  <c r="C21" i="23"/>
  <c r="AC21" i="31" s="1"/>
  <c r="C13" i="23"/>
  <c r="AC13" i="31" s="1"/>
  <c r="C7" i="25"/>
  <c r="B20" i="23"/>
  <c r="AB20" i="31" s="1"/>
  <c r="B9" i="23"/>
  <c r="AB9" i="31" s="1"/>
  <c r="B7" i="24"/>
  <c r="N6" i="4"/>
  <c r="AN6" i="11" s="1"/>
  <c r="L6" i="4"/>
  <c r="AL6" i="11" s="1"/>
  <c r="I42" i="19"/>
  <c r="I9" i="19"/>
  <c r="X9" i="19"/>
  <c r="B7" i="26"/>
  <c r="B7" i="20"/>
  <c r="B7" i="22"/>
  <c r="D7" i="28"/>
  <c r="C15" i="23"/>
  <c r="AC15" i="31" s="1"/>
  <c r="B22" i="23"/>
  <c r="AB22" i="31" s="1"/>
  <c r="J13" i="18"/>
  <c r="Q7" i="21"/>
  <c r="O6" i="4"/>
  <c r="AO6" i="11" s="1"/>
  <c r="AB17" i="31"/>
  <c r="AE9" i="11"/>
  <c r="E7" i="10"/>
  <c r="AE7" i="11" s="1"/>
  <c r="D20" i="23"/>
  <c r="AD20" i="31" s="1"/>
  <c r="D12" i="23"/>
  <c r="AD12" i="31" s="1"/>
  <c r="D7" i="25"/>
  <c r="C20" i="23"/>
  <c r="AC20" i="31" s="1"/>
  <c r="C12" i="23"/>
  <c r="AC12" i="31" s="1"/>
  <c r="B18" i="23"/>
  <c r="AB18" i="31" s="1"/>
  <c r="K6" i="4"/>
  <c r="AK6" i="11" s="1"/>
  <c r="D7" i="21"/>
  <c r="C9" i="23"/>
  <c r="AC9" i="31" s="1"/>
  <c r="C7" i="24"/>
  <c r="D7" i="26"/>
  <c r="B7" i="27"/>
  <c r="AG9" i="31"/>
  <c r="G7" i="29"/>
  <c r="C7" i="20"/>
  <c r="C7" i="22"/>
  <c r="AH9" i="31"/>
  <c r="H7" i="29"/>
  <c r="C7" i="29"/>
  <c r="AG9" i="11"/>
  <c r="G7" i="10"/>
  <c r="AG7" i="11" s="1"/>
  <c r="AD16" i="11"/>
  <c r="D7" i="10"/>
  <c r="AD7" i="11" s="1"/>
  <c r="D17" i="23"/>
  <c r="AD17" i="31" s="1"/>
  <c r="D9" i="23"/>
  <c r="AD9" i="31" s="1"/>
  <c r="D7" i="24"/>
  <c r="C17" i="23"/>
  <c r="AC17" i="31" s="1"/>
  <c r="B24" i="23"/>
  <c r="AB24" i="31" s="1"/>
  <c r="B14" i="23"/>
  <c r="AB14" i="31" s="1"/>
  <c r="F6" i="4"/>
  <c r="AF6" i="11" s="1"/>
  <c r="U6" i="4"/>
  <c r="AU6" i="11" s="1"/>
  <c r="K6" i="23"/>
  <c r="K13" i="18"/>
  <c r="Q7" i="22"/>
  <c r="AE9" i="31"/>
  <c r="E7" i="29"/>
  <c r="D23" i="23"/>
  <c r="AD23" i="31" s="1"/>
  <c r="D15" i="23"/>
  <c r="AD15" i="31" s="1"/>
  <c r="C23" i="23"/>
  <c r="AC23" i="31" s="1"/>
  <c r="B12" i="23"/>
  <c r="AB12" i="31" s="1"/>
  <c r="D7" i="20"/>
  <c r="B7" i="21"/>
  <c r="D7" i="22"/>
  <c r="B7" i="28"/>
  <c r="AJ9" i="31"/>
  <c r="J7" i="29"/>
  <c r="AH9" i="11"/>
  <c r="H7" i="10"/>
  <c r="AH7" i="11" s="1"/>
  <c r="Q11" i="23"/>
  <c r="L13" i="18" s="1"/>
  <c r="Q7" i="24"/>
  <c r="X27" i="18"/>
  <c r="B7" i="31"/>
  <c r="D7" i="31"/>
  <c r="I56" i="18"/>
  <c r="Y56" i="18"/>
  <c r="C7" i="31"/>
  <c r="L42" i="18"/>
  <c r="N42" i="18"/>
  <c r="N9" i="18"/>
  <c r="X42" i="18"/>
  <c r="J27" i="18"/>
  <c r="J56" i="18"/>
  <c r="K27" i="18"/>
  <c r="M42" i="18"/>
  <c r="I27" i="18"/>
  <c r="Y27" i="18"/>
  <c r="N56" i="18"/>
  <c r="X56" i="18"/>
  <c r="K42" i="18"/>
  <c r="I42" i="18"/>
  <c r="Y42" i="18"/>
  <c r="J42" i="18"/>
  <c r="X18" i="18"/>
  <c r="X23" i="18"/>
  <c r="Y25" i="18"/>
  <c r="Y23" i="18"/>
  <c r="Y24" i="18"/>
  <c r="Y20" i="18"/>
  <c r="Y19" i="18"/>
  <c r="Y22" i="18"/>
  <c r="Y18" i="18"/>
  <c r="Y17" i="18"/>
  <c r="Y21" i="18"/>
  <c r="Y11" i="18"/>
  <c r="Y26" i="18"/>
  <c r="Y8" i="19"/>
  <c r="X25" i="18"/>
  <c r="X17" i="18"/>
  <c r="X26" i="18"/>
  <c r="X19" i="18"/>
  <c r="X22" i="18"/>
  <c r="X24" i="18"/>
  <c r="X11" i="18"/>
  <c r="AT6" i="11" l="1"/>
  <c r="X8" i="19"/>
  <c r="X56" i="19"/>
  <c r="L27" i="19"/>
  <c r="L42" i="19"/>
  <c r="C7" i="23"/>
  <c r="D7" i="23"/>
  <c r="AR6" i="11"/>
  <c r="K9" i="18"/>
  <c r="Q6" i="22"/>
  <c r="K8" i="18" s="1"/>
  <c r="Q6" i="20"/>
  <c r="I8" i="18" s="1"/>
  <c r="Q7" i="23"/>
  <c r="L9" i="18" s="1"/>
  <c r="Q6" i="24"/>
  <c r="Q6" i="23" s="1"/>
  <c r="AQ11" i="31"/>
  <c r="I13" i="18"/>
  <c r="X13" i="18"/>
  <c r="J9" i="18"/>
  <c r="Q6" i="21"/>
  <c r="J8" i="18" s="1"/>
  <c r="B7" i="23"/>
  <c r="L8" i="18"/>
  <c r="Y8" i="18"/>
  <c r="X21" i="18"/>
  <c r="X20" i="18"/>
  <c r="Y9" i="18"/>
  <c r="L8" i="19" l="1"/>
  <c r="I9" i="18"/>
  <c r="X9" i="18"/>
  <c r="X8"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Christiana Datubo-Brown</author>
    <author>jmarks</author>
  </authors>
  <commentList>
    <comment ref="A29" authorId="0" shapeId="0" xr:uid="{00000000-0006-0000-0100-000001000000}">
      <text>
        <r>
          <rPr>
            <b/>
            <sz val="9"/>
            <color indexed="81"/>
            <rFont val="Tahoma"/>
            <charset val="1"/>
          </rPr>
          <t>Christiana Datubo-Brown:</t>
        </r>
        <r>
          <rPr>
            <sz val="9"/>
            <color indexed="81"/>
            <rFont val="Tahoma"/>
            <charset val="1"/>
          </rPr>
          <t xml:space="preserve">
Note manual entry for Alaska
</t>
        </r>
      </text>
    </comment>
    <comment ref="C67" authorId="1" shapeId="0" xr:uid="{00000000-0006-0000-0100-000002000000}">
      <text>
        <r>
          <rPr>
            <b/>
            <sz val="10"/>
            <color indexed="81"/>
            <rFont val="Tahoma"/>
            <family val="2"/>
          </rPr>
          <t>jmarks:</t>
        </r>
        <r>
          <rPr>
            <sz val="10"/>
            <color indexed="81"/>
            <rFont val="Tahoma"/>
            <family val="2"/>
          </rPr>
          <t xml:space="preserve">
Note manual entry.</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A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M11" authorId="1" shapeId="0" xr:uid="{00000000-0006-0000-0A00-000002000000}">
      <text>
        <r>
          <rPr>
            <b/>
            <sz val="8"/>
            <color indexed="81"/>
            <rFont val="Tahoma"/>
            <family val="2"/>
          </rPr>
          <t>jmarks:</t>
        </r>
        <r>
          <rPr>
            <sz val="8"/>
            <color indexed="81"/>
            <rFont val="Tahoma"/>
            <family val="2"/>
          </rPr>
          <t xml:space="preserve">
U Del from FASB file</t>
        </r>
      </text>
    </comment>
    <comment ref="Q11" authorId="1" shapeId="0" xr:uid="{00000000-0006-0000-0A00-000003000000}">
      <text>
        <r>
          <rPr>
            <b/>
            <sz val="8"/>
            <color indexed="81"/>
            <rFont val="Tahoma"/>
            <family val="2"/>
          </rPr>
          <t>jmarks:</t>
        </r>
        <r>
          <rPr>
            <sz val="8"/>
            <color indexed="81"/>
            <rFont val="Tahoma"/>
            <family val="2"/>
          </rPr>
          <t xml:space="preserve">
U Del from FASB file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JLM</author>
  </authors>
  <commentList>
    <comment ref="A1" authorId="0" shapeId="0" xr:uid="{00000000-0006-0000-0B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C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M11" authorId="1" shapeId="0" xr:uid="{00000000-0006-0000-0C00-000002000000}">
      <text>
        <r>
          <rPr>
            <b/>
            <sz val="8"/>
            <color indexed="81"/>
            <rFont val="Tahoma"/>
            <family val="2"/>
          </rPr>
          <t>jmarks:</t>
        </r>
        <r>
          <rPr>
            <sz val="8"/>
            <color indexed="81"/>
            <rFont val="Tahoma"/>
            <family val="2"/>
          </rPr>
          <t xml:space="preserve">
U Del from FASB file</t>
        </r>
      </text>
    </comment>
    <comment ref="Q11" authorId="1" shapeId="0" xr:uid="{00000000-0006-0000-0C00-000003000000}">
      <text>
        <r>
          <rPr>
            <b/>
            <sz val="8"/>
            <color indexed="81"/>
            <rFont val="Tahoma"/>
            <family val="2"/>
          </rPr>
          <t>jmarks:</t>
        </r>
        <r>
          <rPr>
            <sz val="8"/>
            <color indexed="81"/>
            <rFont val="Tahoma"/>
            <family val="2"/>
          </rPr>
          <t xml:space="preserve">
U Del from FASB file</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D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I13" authorId="1" shapeId="0" xr:uid="{00000000-0006-0000-0D00-000002000000}">
      <text>
        <r>
          <rPr>
            <b/>
            <sz val="8"/>
            <color indexed="81"/>
            <rFont val="Tahoma"/>
            <family val="2"/>
          </rPr>
          <t>jmarks:</t>
        </r>
        <r>
          <rPr>
            <sz val="8"/>
            <color indexed="81"/>
            <rFont val="Tahoma"/>
            <family val="2"/>
          </rPr>
          <t xml:space="preserve">
revised figure from DE HEC</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E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M11" authorId="1" shapeId="0" xr:uid="{00000000-0006-0000-0E00-000002000000}">
      <text>
        <r>
          <rPr>
            <b/>
            <sz val="8"/>
            <color indexed="81"/>
            <rFont val="Tahoma"/>
            <family val="2"/>
          </rPr>
          <t>jmarks:</t>
        </r>
        <r>
          <rPr>
            <sz val="8"/>
            <color indexed="81"/>
            <rFont val="Tahoma"/>
            <family val="2"/>
          </rPr>
          <t xml:space="preserve">
U Del from FASB file</t>
        </r>
      </text>
    </comment>
    <comment ref="Q11" authorId="1" shapeId="0" xr:uid="{00000000-0006-0000-0E00-000003000000}">
      <text>
        <r>
          <rPr>
            <b/>
            <sz val="8"/>
            <color indexed="81"/>
            <rFont val="Tahoma"/>
            <family val="2"/>
          </rPr>
          <t>jmarks:</t>
        </r>
        <r>
          <rPr>
            <sz val="8"/>
            <color indexed="81"/>
            <rFont val="Tahoma"/>
            <family val="2"/>
          </rPr>
          <t xml:space="preserve">
U Del from FASB file</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JLM</author>
  </authors>
  <commentList>
    <comment ref="A1" authorId="0" shapeId="0" xr:uid="{00000000-0006-0000-0F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10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M11" authorId="1" shapeId="0" xr:uid="{00000000-0006-0000-1000-000002000000}">
      <text>
        <r>
          <rPr>
            <b/>
            <sz val="8"/>
            <color indexed="81"/>
            <rFont val="Tahoma"/>
            <family val="2"/>
          </rPr>
          <t>jmarks:</t>
        </r>
        <r>
          <rPr>
            <sz val="8"/>
            <color indexed="81"/>
            <rFont val="Tahoma"/>
            <family val="2"/>
          </rPr>
          <t xml:space="preserve">
U Del from FASB file</t>
        </r>
      </text>
    </comment>
    <comment ref="Q11" authorId="1" shapeId="0" xr:uid="{00000000-0006-0000-1000-000003000000}">
      <text>
        <r>
          <rPr>
            <b/>
            <sz val="8"/>
            <color indexed="81"/>
            <rFont val="Tahoma"/>
            <family val="2"/>
          </rPr>
          <t>jmarks:</t>
        </r>
        <r>
          <rPr>
            <sz val="8"/>
            <color indexed="81"/>
            <rFont val="Tahoma"/>
            <family val="2"/>
          </rPr>
          <t xml:space="preserve">
U Del from FASB file</t>
        </r>
      </text>
    </comment>
    <comment ref="T65" authorId="1" shapeId="0" xr:uid="{00000000-0006-0000-1000-000004000000}">
      <text>
        <r>
          <rPr>
            <b/>
            <sz val="10"/>
            <color indexed="81"/>
            <rFont val="Tahoma"/>
            <family val="2"/>
          </rPr>
          <t>jmarks:</t>
        </r>
        <r>
          <rPr>
            <sz val="10"/>
            <color indexed="81"/>
            <rFont val="Tahoma"/>
            <family val="2"/>
          </rPr>
          <t xml:space="preserve">
4,964 reported. Substituted extrapolated amount.</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JLM</author>
  </authors>
  <commentList>
    <comment ref="A1" authorId="0" shapeId="0" xr:uid="{00000000-0006-0000-11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12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M11" authorId="1" shapeId="0" xr:uid="{00000000-0006-0000-1200-000002000000}">
      <text>
        <r>
          <rPr>
            <b/>
            <sz val="8"/>
            <color indexed="81"/>
            <rFont val="Tahoma"/>
            <family val="2"/>
          </rPr>
          <t>jmarks:</t>
        </r>
        <r>
          <rPr>
            <sz val="8"/>
            <color indexed="81"/>
            <rFont val="Tahoma"/>
            <family val="2"/>
          </rPr>
          <t xml:space="preserve">
U Del from FASB fle
</t>
        </r>
      </text>
    </comment>
    <comment ref="Q11" authorId="1" shapeId="0" xr:uid="{00000000-0006-0000-1200-000003000000}">
      <text>
        <r>
          <rPr>
            <b/>
            <sz val="8"/>
            <color indexed="81"/>
            <rFont val="Tahoma"/>
            <family val="2"/>
          </rPr>
          <t>jmarks:</t>
        </r>
        <r>
          <rPr>
            <sz val="8"/>
            <color indexed="81"/>
            <rFont val="Tahoma"/>
            <family val="2"/>
          </rPr>
          <t xml:space="preserve">
U Del from FASB fle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JLM</author>
  </authors>
  <commentList>
    <comment ref="A1" authorId="0" shapeId="0" xr:uid="{00000000-0006-0000-13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2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M11" authorId="1" shapeId="0" xr:uid="{00000000-0006-0000-0200-000002000000}">
      <text>
        <r>
          <rPr>
            <b/>
            <sz val="8"/>
            <color indexed="81"/>
            <rFont val="Tahoma"/>
            <family val="2"/>
          </rPr>
          <t>jmarks:</t>
        </r>
        <r>
          <rPr>
            <sz val="8"/>
            <color indexed="81"/>
            <rFont val="Tahoma"/>
            <family val="2"/>
          </rPr>
          <t xml:space="preserve">
U Del from FASB file</t>
        </r>
      </text>
    </comment>
    <comment ref="Q11" authorId="1" shapeId="0" xr:uid="{00000000-0006-0000-0200-000003000000}">
      <text>
        <r>
          <rPr>
            <b/>
            <sz val="8"/>
            <color indexed="81"/>
            <rFont val="Tahoma"/>
            <family val="2"/>
          </rPr>
          <t>jmarks:</t>
        </r>
        <r>
          <rPr>
            <sz val="8"/>
            <color indexed="81"/>
            <rFont val="Tahoma"/>
            <family val="2"/>
          </rPr>
          <t xml:space="preserve">
U Del from FASB file</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14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1400-000002000000}">
      <text>
        <r>
          <rPr>
            <b/>
            <sz val="9"/>
            <color indexed="81"/>
            <rFont val="Tahoma"/>
            <family val="2"/>
          </rPr>
          <t>jmarks:</t>
        </r>
        <r>
          <rPr>
            <sz val="9"/>
            <color indexed="81"/>
            <rFont val="Tahoma"/>
            <family val="2"/>
          </rPr>
          <t xml:space="preserve">
Starting this year, depreciation, interest and some other non-operating expenditures are distributed in instruction, research, etc.</t>
        </r>
      </text>
    </comment>
    <comment ref="Q11" authorId="0" shapeId="0" xr:uid="{00000000-0006-0000-1400-000003000000}">
      <text>
        <r>
          <rPr>
            <b/>
            <sz val="10"/>
            <color indexed="81"/>
            <rFont val="Tahoma"/>
            <family val="2"/>
          </rPr>
          <t>JLM:</t>
        </r>
        <r>
          <rPr>
            <sz val="10"/>
            <color indexed="81"/>
            <rFont val="Tahoma"/>
            <family val="2"/>
          </rPr>
          <t xml:space="preserve">
U. Del from FASB file</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15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1500-000002000000}">
      <text>
        <r>
          <rPr>
            <b/>
            <sz val="9"/>
            <color indexed="81"/>
            <rFont val="Tahoma"/>
            <family val="2"/>
          </rPr>
          <t>jmarks:</t>
        </r>
        <r>
          <rPr>
            <sz val="9"/>
            <color indexed="81"/>
            <rFont val="Tahoma"/>
            <family val="2"/>
          </rPr>
          <t xml:space="preserve">
Starting this year, depreciation, interest and some other non-operating expenditures are distributed in instruction, research, etc.</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16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1600-00000200000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17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1700-00000200000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3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I15" authorId="1" shapeId="0" xr:uid="{00000000-0006-0000-0300-000002000000}">
      <text>
        <r>
          <rPr>
            <b/>
            <sz val="8"/>
            <color indexed="81"/>
            <rFont val="Tahoma"/>
            <family val="2"/>
          </rPr>
          <t>jmarks:</t>
        </r>
        <r>
          <rPr>
            <sz val="8"/>
            <color indexed="81"/>
            <rFont val="Tahoma"/>
            <family val="2"/>
          </rPr>
          <t xml:space="preserve">
revised figure from DE HEC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4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0400-00000200000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 ref="M11" authorId="1" shapeId="0" xr:uid="{00000000-0006-0000-0400-000003000000}">
      <text>
        <r>
          <rPr>
            <b/>
            <sz val="8"/>
            <color indexed="81"/>
            <rFont val="Tahoma"/>
            <family val="2"/>
          </rPr>
          <t>jmarks:</t>
        </r>
        <r>
          <rPr>
            <sz val="8"/>
            <color indexed="81"/>
            <rFont val="Tahoma"/>
            <family val="2"/>
          </rPr>
          <t xml:space="preserve">
U Del from FASB file</t>
        </r>
      </text>
    </comment>
    <comment ref="Q11" authorId="1" shapeId="0" xr:uid="{00000000-0006-0000-0400-000004000000}">
      <text>
        <r>
          <rPr>
            <b/>
            <sz val="8"/>
            <color indexed="81"/>
            <rFont val="Tahoma"/>
            <family val="2"/>
          </rPr>
          <t>jmarks:</t>
        </r>
        <r>
          <rPr>
            <sz val="8"/>
            <color indexed="81"/>
            <rFont val="Tahoma"/>
            <family val="2"/>
          </rPr>
          <t xml:space="preserve">
U Del from FASB file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5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0500-00000200000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 ref="I13" authorId="1" shapeId="0" xr:uid="{00000000-0006-0000-0500-000003000000}">
      <text>
        <r>
          <rPr>
            <b/>
            <sz val="8"/>
            <color indexed="81"/>
            <rFont val="Tahoma"/>
            <family val="2"/>
          </rPr>
          <t>jmarks:</t>
        </r>
        <r>
          <rPr>
            <sz val="8"/>
            <color indexed="81"/>
            <rFont val="Tahoma"/>
            <family val="2"/>
          </rPr>
          <t xml:space="preserve">
revised figure from DE HEC</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6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0600-00000200000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 ref="M11" authorId="1" shapeId="0" xr:uid="{00000000-0006-0000-0600-000003000000}">
      <text>
        <r>
          <rPr>
            <b/>
            <sz val="8"/>
            <color indexed="81"/>
            <rFont val="Tahoma"/>
            <family val="2"/>
          </rPr>
          <t>jmarks:</t>
        </r>
        <r>
          <rPr>
            <sz val="8"/>
            <color indexed="81"/>
            <rFont val="Tahoma"/>
            <family val="2"/>
          </rPr>
          <t xml:space="preserve">
U Del from FASB file</t>
        </r>
      </text>
    </comment>
    <comment ref="Q11" authorId="1" shapeId="0" xr:uid="{00000000-0006-0000-0600-000004000000}">
      <text>
        <r>
          <rPr>
            <b/>
            <sz val="8"/>
            <color indexed="81"/>
            <rFont val="Tahoma"/>
            <family val="2"/>
          </rPr>
          <t>jmarks:</t>
        </r>
        <r>
          <rPr>
            <sz val="8"/>
            <color indexed="81"/>
            <rFont val="Tahoma"/>
            <family val="2"/>
          </rPr>
          <t xml:space="preserve">
U Del from FASB file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7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0700-00000200000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8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0800-00000200000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 ref="M11" authorId="1" shapeId="0" xr:uid="{00000000-0006-0000-0800-000003000000}">
      <text>
        <r>
          <rPr>
            <b/>
            <sz val="8"/>
            <color indexed="81"/>
            <rFont val="Tahoma"/>
            <family val="2"/>
          </rPr>
          <t>jmarks:</t>
        </r>
        <r>
          <rPr>
            <sz val="8"/>
            <color indexed="81"/>
            <rFont val="Tahoma"/>
            <family val="2"/>
          </rPr>
          <t xml:space="preserve">
U Del from FASB file</t>
        </r>
      </text>
    </comment>
    <comment ref="Q11" authorId="1" shapeId="0" xr:uid="{00000000-0006-0000-0800-000004000000}">
      <text>
        <r>
          <rPr>
            <b/>
            <sz val="8"/>
            <color indexed="81"/>
            <rFont val="Tahoma"/>
            <family val="2"/>
          </rPr>
          <t>jmarks:</t>
        </r>
        <r>
          <rPr>
            <sz val="8"/>
            <color indexed="81"/>
            <rFont val="Tahoma"/>
            <family val="2"/>
          </rPr>
          <t xml:space="preserve">
U Del from FASB file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9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xr:uid="{00000000-0006-0000-0900-00000200000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List>
</comments>
</file>

<file path=xl/sharedStrings.xml><?xml version="1.0" encoding="utf-8"?>
<sst xmlns="http://schemas.openxmlformats.org/spreadsheetml/2006/main" count="2752" uniqueCount="156">
  <si>
    <t>Instruction------------</t>
  </si>
  <si>
    <t>4-yr</t>
  </si>
  <si>
    <t>2-yr</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</si>
  <si>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</si>
  <si>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</si>
  <si>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</si>
  <si>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</si>
  <si>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</si>
  <si>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</si>
  <si>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</si>
  <si>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</si>
  <si>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</si>
  <si>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</si>
  <si>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</si>
  <si>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</si>
  <si>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</si>
  <si>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</si>
  <si>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</si>
  <si>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SOURCES:</t>
  </si>
  <si>
    <t>Research---------------</t>
  </si>
  <si>
    <t>Public Service------------</t>
  </si>
  <si>
    <t>Academic Support--------</t>
  </si>
  <si>
    <t>Student Services-------</t>
  </si>
  <si>
    <t>Institutional Support-------</t>
  </si>
  <si>
    <t>Operation and Maintenance of Plant-------</t>
  </si>
  <si>
    <t>Scholarships and Fellowships-------------</t>
  </si>
  <si>
    <t>All Other (E&amp;G Mandatory and Non-Mandatory Transfers)</t>
  </si>
  <si>
    <t xml:space="preserve"> * All</t>
  </si>
  <si>
    <t>mandatory</t>
  </si>
  <si>
    <t>Other =</t>
  </si>
  <si>
    <t>transfer +</t>
  </si>
  <si>
    <t>Educational</t>
  </si>
  <si>
    <t>non</t>
  </si>
  <si>
    <t>and General</t>
  </si>
  <si>
    <t>Mandatory</t>
  </si>
  <si>
    <t>Transfers</t>
  </si>
  <si>
    <t>independent</t>
  </si>
  <si>
    <t>and</t>
  </si>
  <si>
    <t>operations</t>
  </si>
  <si>
    <t>Educational &amp; General Expenditures, Public Institutions (000s)-------------</t>
  </si>
  <si>
    <t>Total E &amp; G Expenditures +  Transfers------------</t>
  </si>
  <si>
    <t>* Subtotal: Educational Expenditures</t>
  </si>
  <si>
    <t>at Public Four-Year Colleges and Universities</t>
  </si>
  <si>
    <t>Public</t>
  </si>
  <si>
    <t>All</t>
  </si>
  <si>
    <t>Instruction</t>
  </si>
  <si>
    <t>Research</t>
  </si>
  <si>
    <t>Service</t>
  </si>
  <si>
    <t>Maintenance</t>
  </si>
  <si>
    <t>Fellowships</t>
  </si>
  <si>
    <t xml:space="preserve"> </t>
  </si>
  <si>
    <t>at Public Two-Year Colleges</t>
  </si>
  <si>
    <t>Delaware</t>
  </si>
  <si>
    <t>Mandatory + Nonmandatory transfers</t>
  </si>
  <si>
    <t xml:space="preserve">Educational and General Mandatory Transfers </t>
  </si>
  <si>
    <t>sometimes total includes indep ops why</t>
  </si>
  <si>
    <t>SREB states</t>
  </si>
  <si>
    <r>
      <t>Support</t>
    </r>
    <r>
      <rPr>
        <vertAlign val="superscript"/>
        <sz val="10"/>
        <rFont val="Arial"/>
        <family val="2"/>
      </rPr>
      <t>2</t>
    </r>
  </si>
  <si>
    <t>Indiana</t>
  </si>
  <si>
    <t>Missouri</t>
  </si>
  <si>
    <t>calculated</t>
  </si>
  <si>
    <t>(Academic Support + Student Services + Institutional Support)</t>
  </si>
  <si>
    <t>Academic &amp; Administrative Support</t>
  </si>
  <si>
    <t>Source:  SREB analysis of unpublished</t>
  </si>
  <si>
    <t>NCES finance data 91-92</t>
  </si>
  <si>
    <t>(analyzed March 2001)</t>
  </si>
  <si>
    <t>Source:  NCES unpublished</t>
  </si>
  <si>
    <t>Finance data 96-97</t>
  </si>
  <si>
    <r>
      <t>Other</t>
    </r>
    <r>
      <rPr>
        <vertAlign val="superscript"/>
        <sz val="10"/>
        <rFont val="Arial"/>
        <family val="2"/>
      </rPr>
      <t>3</t>
    </r>
  </si>
  <si>
    <t>Source: NCES unpublished</t>
  </si>
  <si>
    <t>Finance data 99-2000</t>
  </si>
  <si>
    <t>?</t>
  </si>
  <si>
    <t xml:space="preserve">WebCASPAR </t>
  </si>
  <si>
    <t xml:space="preserve">Database </t>
  </si>
  <si>
    <t>System</t>
  </si>
  <si>
    <t>*SOURCE: NSF</t>
  </si>
  <si>
    <t>DE SOURCE: NSF</t>
  </si>
  <si>
    <t>Check Figures</t>
  </si>
  <si>
    <t xml:space="preserve">SREB analysis of National Center for </t>
  </si>
  <si>
    <t xml:space="preserve">Education Statistics finance surveys — </t>
  </si>
  <si>
    <t>(www.nces.ed.gov/ipeds) and (http://caspar.nsf.gov).</t>
  </si>
  <si>
    <t>Educational &amp; General Expenditures, Public Institutions (000s)</t>
  </si>
  <si>
    <t>4yr</t>
  </si>
  <si>
    <t>Finance data 9697</t>
  </si>
  <si>
    <t>Finance data 992000</t>
  </si>
  <si>
    <t>Alaska</t>
  </si>
  <si>
    <t>Arizona</t>
  </si>
  <si>
    <t>California</t>
  </si>
  <si>
    <t>Colorado</t>
  </si>
  <si>
    <t>Connecticut</t>
  </si>
  <si>
    <t>District of Columbia</t>
  </si>
  <si>
    <t>Hawaii</t>
  </si>
  <si>
    <t>Idaho</t>
  </si>
  <si>
    <t>Illinois</t>
  </si>
  <si>
    <t>Iowa</t>
  </si>
  <si>
    <t>Kansas</t>
  </si>
  <si>
    <t>Maine</t>
  </si>
  <si>
    <t>Massachusetts</t>
  </si>
  <si>
    <t>Michigan</t>
  </si>
  <si>
    <t>Minnesota</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</si>
  <si>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</si>
  <si>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</si>
  <si>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</si>
  <si>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</si>
  <si>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</si>
  <si>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</si>
  <si>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</si>
  <si>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</si>
  <si>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</si>
  <si>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</si>
  <si>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</si>
  <si>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</si>
  <si>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</si>
  <si>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</si>
  <si>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</si>
  <si>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</si>
  <si>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</si>
  <si>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</si>
  <si>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50 states and D.C.</t>
  </si>
  <si>
    <t xml:space="preserve">   as a percent of U.S.</t>
  </si>
  <si>
    <t>West</t>
  </si>
  <si>
    <t>Midwest</t>
  </si>
  <si>
    <t>Northeast</t>
  </si>
  <si>
    <t>NA</t>
  </si>
  <si>
    <t xml:space="preserve"> "NA" indicates not applicable. There was no institution of that type.</t>
  </si>
  <si>
    <t>* Less than one-tenth of 1 percent.</t>
  </si>
  <si>
    <t>Scholarships and</t>
  </si>
  <si>
    <t>Academic and Administrative</t>
  </si>
  <si>
    <r>
      <t>Percent Distribution of Spending</t>
    </r>
    <r>
      <rPr>
        <vertAlign val="superscript"/>
        <sz val="10"/>
        <rFont val="Arial"/>
        <family val="2"/>
      </rPr>
      <t>1</t>
    </r>
  </si>
  <si>
    <t xml:space="preserve">NCES finance data </t>
  </si>
  <si>
    <r>
      <t>Instruction</t>
    </r>
    <r>
      <rPr>
        <vertAlign val="superscript"/>
        <sz val="10"/>
        <rFont val="Arial"/>
        <family val="2"/>
      </rPr>
      <t>2</t>
    </r>
  </si>
  <si>
    <r>
      <t>Research</t>
    </r>
    <r>
      <rPr>
        <vertAlign val="superscript"/>
        <sz val="10"/>
        <rFont val="Arial"/>
        <family val="2"/>
      </rPr>
      <t>2</t>
    </r>
  </si>
  <si>
    <r>
      <t>Service</t>
    </r>
    <r>
      <rPr>
        <vertAlign val="superscript"/>
        <sz val="10"/>
        <rFont val="Arial"/>
        <family val="2"/>
      </rPr>
      <t>2</t>
    </r>
  </si>
  <si>
    <r>
      <t>Support</t>
    </r>
    <r>
      <rPr>
        <vertAlign val="superscript"/>
        <sz val="10"/>
        <rFont val="Arial"/>
        <family val="2"/>
      </rPr>
      <t>3</t>
    </r>
  </si>
  <si>
    <r>
      <t>Other</t>
    </r>
    <r>
      <rPr>
        <vertAlign val="superscript"/>
        <sz val="10"/>
        <rFont val="Arial"/>
        <family val="2"/>
      </rPr>
      <t>2</t>
    </r>
  </si>
  <si>
    <t>Operation and</t>
  </si>
  <si>
    <t>Acacemic
 &amp; Administrative</t>
  </si>
  <si>
    <t>Plant
 Operation</t>
  </si>
  <si>
    <t>and Maintenance</t>
  </si>
  <si>
    <r>
      <rPr>
        <vertAlign val="superscript"/>
        <sz val="10"/>
        <rFont val="Arial"/>
        <family val="2"/>
      </rPr>
      <t>1</t>
    </r>
    <r>
      <rPr>
        <sz val="10"/>
        <rFont val="Arial"/>
        <family val="2"/>
      </rPr>
      <t xml:space="preserve"> Educational and general operating spending consists of current operating spending minus the spending of auxiliary enterprises, hospitals and independent operations. Auxiliary enterprises are essentially self-supporting operations that exist to furnish a service to students, faculty or staff and that charge a fee that is directly related to, although not necessarily equal to, the cost of the service. Examples are residence halls, food services, college stores and intercollegiate athletics. Independent operations are essentially independent institutes or centers affiliated with a college or university, such as a formally designated Federally Funded Research and Development Center.</t>
    </r>
  </si>
  <si>
    <r>
      <rPr>
        <vertAlign val="superscript"/>
        <sz val="10"/>
        <rFont val="Arial"/>
        <family val="2"/>
      </rPr>
      <t>3</t>
    </r>
    <r>
      <rPr>
        <sz val="10"/>
        <rFont val="Arial"/>
        <family val="2"/>
      </rPr>
      <t xml:space="preserve"> Includes academic support (such as libraries), student services (such as counseling and placement centers) and institutional support (such as the general administrative offices).</t>
    </r>
  </si>
  <si>
    <r>
      <rPr>
        <vertAlign val="superscript"/>
        <sz val="10"/>
        <rFont val="Arial"/>
        <family val="2"/>
      </rPr>
      <t xml:space="preserve">1 </t>
    </r>
    <r>
      <rPr>
        <sz val="10"/>
        <rFont val="Arial"/>
        <family val="2"/>
      </rPr>
      <t>Educational and general operating spending consists of current operating spending minus the spending of auxiliary enterprises, hospitals and independent operations. Auxiliary enterprises are essentially self-supporting operations that exist to furnish a service to students, faculty or staff and that charge a fee that is directly related to, although not necessarily equal to, the cost of the service. Examples are residence halls, food services, college stores and intercollegiate athletics. Independent operations are essentially independent institutes or centers affiliated with a college or university, such as a formally designated Federally Funded Research and Development Center.</t>
    </r>
  </si>
  <si>
    <t>2012</t>
  </si>
  <si>
    <t>4 yr</t>
  </si>
  <si>
    <t>2013</t>
  </si>
  <si>
    <t>2014</t>
  </si>
  <si>
    <t>2015</t>
  </si>
  <si>
    <t>2014-15</t>
  </si>
  <si>
    <t>Percentage-Point Change, 2009-10 to 2014-15</t>
  </si>
  <si>
    <t>2009-10</t>
  </si>
  <si>
    <t xml:space="preserve"> March 2017</t>
  </si>
  <si>
    <t>*</t>
  </si>
  <si>
    <t>Source: SREB analysis of National Center for Education Statistics finance survey — www.nces.ed.gov/ipeds.</t>
  </si>
  <si>
    <r>
      <rPr>
        <vertAlign val="superscript"/>
        <sz val="10"/>
        <rFont val="Arial"/>
        <family val="2"/>
      </rPr>
      <t xml:space="preserve">2 </t>
    </r>
    <r>
      <rPr>
        <sz val="10"/>
        <rFont val="Arial"/>
        <family val="2"/>
      </rPr>
      <t>Starting with the 2013 Fact Book, amounts for operation/maintenance of plant, depreciation, interest and some other non-operating expenditures formerly reported in "All Other" are distributed across instruction, research and public service.</t>
    </r>
  </si>
  <si>
    <t>Table 97 (OLD Table 98)</t>
  </si>
  <si>
    <t>Table 98 (Table OLD 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</si>
</sst>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_)"/>
    <numFmt numFmtId="165" formatCode="#,##0.0_);\(#,##0.0\)"/>
    <numFmt numFmtId="166" formatCode="0.0"/>
    <numFmt numFmtId="167" formatCode="#,##0.0"/>
  </numFmts>
  <fonts count="21">
    <font>
      <sz val="10"/>
      <name val="SWISS-C"/>
    </font>
    <font>
      <sz val="10"/>
      <name val="Arial"/>
      <family val="2"/>
    </font>
    <font>
      <b/>
      <sz val="10"/>
      <name val="Arial"/>
      <family val="2"/>
    </font>
    <font>
      <vertAlign val="superscript"/>
      <sz val="10"/>
      <name val="Arial"/>
      <family val="2"/>
    </font>
    <font>
      <sz val="10"/>
      <color indexed="10"/>
      <name val="Arial"/>
      <family val="2"/>
    </font>
    <font>
      <sz val="10"/>
      <name val="Arial"/>
      <family val="2"/>
    </font>
    <font>
      <sz val="8"/>
      <name val="SWISS-C"/>
    </font>
    <font>
      <b/>
      <sz val="10"/>
      <color indexed="10"/>
      <name val="Arial"/>
      <family val="2"/>
    </font>
    <font>
      <sz val="10"/>
      <color indexed="0"/>
      <name val="Times New Roman"/>
      <family val="1"/>
    </font>
    <font>
      <sz val="8"/>
      <color indexed="81"/>
      <name val="Tahoma"/>
      <family val="2"/>
    </font>
    <font>
      <b/>
      <sz val="8"/>
      <color indexed="81"/>
      <name val="Tahoma"/>
      <family val="2"/>
    </font>
    <font>
      <sz val="10"/>
      <name val="SWISS-C"/>
    </font>
    <font>
      <sz val="10"/>
      <color indexed="81"/>
      <name val="Tahoma"/>
      <family val="2"/>
    </font>
    <font>
      <b/>
      <sz val="10"/>
      <color indexed="81"/>
      <name val="Tahoma"/>
      <family val="2"/>
    </font>
    <font>
      <sz val="10"/>
      <color indexed="12"/>
      <name val="Arial"/>
      <family val="2"/>
    </font>
    <font>
      <sz val="10"/>
      <name val="Times New Roman"/>
      <family val="1"/>
    </font>
    <font>
      <sz val="10"/>
      <color rgb="FF0000FF"/>
      <name val="Arial"/>
      <family val="2"/>
    </font>
    <font>
      <b/>
      <sz val="9"/>
      <color indexed="81"/>
      <name val="Tahoma"/>
      <family val="2"/>
    </font>
    <font>
      <sz val="9"/>
      <color indexed="81"/>
      <name val="Tahoma"/>
      <family val="2"/>
    </font>
    <font>
      <sz val="9"/>
      <color indexed="81"/>
      <name val="Tahoma"/>
      <charset val="1"/>
    </font>
    <font>
      <b/>
      <sz val="9"/>
      <color indexed="81"/>
      <name val="Tahoma"/>
      <charset val="1"/>
    </font>
  </fonts>
  <fills count="9">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CCFF"/>
        <bgColor indexed="64"/>
      </patternFill>
    </fill>
  </fills>
  <borders count="14">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8"/>
      </top>
      <bottom style="thin">
        <color indexed="8"/>
      </bottom>
      <diagonal/>
    </border>
    <border>
      <left style="thin">
        <color indexed="64"/>
      </left>
      <right/>
      <top/>
      <bottom/>
      <diagonal/>
    </border>
    <border>
      <left style="thin">
        <color indexed="64"/>
      </left>
      <right/>
      <top/>
      <bottom style="thin">
        <color indexed="8"/>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2">
    <xf numFmtId="0" fontId="0" fillId="0" borderId="0">
      <alignment horizontal="left" wrapText="1"/>
    </xf>
    <xf numFmtId="43" fontId="11" fillId="0" borderId="0" applyFont="0" applyFill="0" applyBorder="0" applyAlignment="0" applyProtection="0"/>
  </cellStyleXfs>
  <cellXfs count="186">
    <xf numFmtId="37" fontId="0" fillId="0" borderId="0" xfId="0" applyNumberFormat="1" applyAlignment="1"/>
    <xf numFmtId="37" fontId="1" fillId="0" borderId="0" xfId="0" applyNumberFormat="1" applyFont="1" applyAlignment="1" applyProtection="1"/>
    <xf numFmtId="37" fontId="1" fillId="0" borderId="0" xfId="0" applyNumberFormat="1" applyFont="1" applyAlignment="1"/>
    <xf numFmtId="37" fontId="1" fillId="0" borderId="0" xfId="0" applyNumberFormat="1" applyFont="1" applyAlignment="1" applyProtection="1">
      <alignment horizontal="centerContinuous"/>
    </xf>
    <xf numFmtId="37" fontId="1" fillId="0" borderId="1" xfId="0" applyNumberFormat="1" applyFont="1" applyBorder="1" applyAlignment="1" applyProtection="1">
      <alignment horizontal="centerContinuous"/>
    </xf>
    <xf numFmtId="37" fontId="1" fillId="0" borderId="0" xfId="0" applyNumberFormat="1" applyFont="1" applyAlignment="1" applyProtection="1">
      <alignment horizontal="center"/>
    </xf>
    <xf numFmtId="37" fontId="2" fillId="0" borderId="0" xfId="0" applyNumberFormat="1" applyFont="1" applyAlignment="1" applyProtection="1"/>
    <xf numFmtId="37" fontId="2" fillId="0" borderId="2" xfId="0" applyNumberFormat="1" applyFont="1" applyBorder="1" applyAlignment="1" applyProtection="1"/>
    <xf numFmtId="37" fontId="1" fillId="0" borderId="0" xfId="0" applyNumberFormat="1" applyFont="1" applyAlignment="1" applyProtection="1">
      <alignment horizontal="left"/>
    </xf>
    <xf numFmtId="37" fontId="1" fillId="0" borderId="0" xfId="0" applyNumberFormat="1" applyFont="1" applyBorder="1" applyAlignment="1" applyProtection="1">
      <alignment horizontal="centerContinuous"/>
    </xf>
    <xf numFmtId="37" fontId="1" fillId="0" borderId="0" xfId="0" applyNumberFormat="1" applyFont="1" applyAlignment="1" applyProtection="1">
      <alignment horizontal="right"/>
    </xf>
    <xf numFmtId="37" fontId="1" fillId="0" borderId="0" xfId="0" applyNumberFormat="1" applyFont="1" applyAlignment="1" applyProtection="1">
      <alignment horizontal="fill"/>
    </xf>
    <xf numFmtId="37" fontId="1" fillId="0" borderId="0" xfId="0" applyNumberFormat="1" applyFont="1" applyFill="1" applyAlignment="1" applyProtection="1">
      <alignment horizontal="fill"/>
    </xf>
    <xf numFmtId="37" fontId="1" fillId="0" borderId="0" xfId="0" applyNumberFormat="1" applyFont="1" applyFill="1" applyAlignment="1" applyProtection="1"/>
    <xf numFmtId="37" fontId="1" fillId="0" borderId="0" xfId="0" applyNumberFormat="1" applyFont="1" applyFill="1" applyAlignment="1"/>
    <xf numFmtId="37" fontId="1" fillId="0" borderId="0" xfId="0" applyNumberFormat="1" applyFont="1" applyFill="1" applyAlignment="1" applyProtection="1">
      <alignment horizontal="right"/>
    </xf>
    <xf numFmtId="164" fontId="1" fillId="0" borderId="0" xfId="0" applyNumberFormat="1" applyFont="1" applyFill="1" applyAlignment="1" applyProtection="1"/>
    <xf numFmtId="37" fontId="1" fillId="0" borderId="2" xfId="0" applyNumberFormat="1" applyFont="1" applyBorder="1" applyAlignment="1"/>
    <xf numFmtId="37" fontId="4" fillId="0" borderId="0" xfId="0" applyNumberFormat="1" applyFont="1" applyFill="1" applyAlignment="1" applyProtection="1"/>
    <xf numFmtId="37" fontId="1" fillId="0" borderId="0" xfId="0" applyNumberFormat="1" applyFont="1" applyAlignment="1">
      <alignment horizontal="right"/>
    </xf>
    <xf numFmtId="37" fontId="1" fillId="0" borderId="0" xfId="0" applyNumberFormat="1" applyFont="1" applyAlignment="1">
      <alignment horizontal="left"/>
    </xf>
    <xf numFmtId="37" fontId="1" fillId="0" borderId="0" xfId="0" applyNumberFormat="1" applyFont="1" applyFill="1" applyAlignment="1" applyProtection="1">
      <alignment horizontal="left"/>
    </xf>
    <xf numFmtId="37" fontId="1" fillId="0" borderId="0" xfId="0" applyNumberFormat="1" applyFont="1" applyBorder="1" applyAlignment="1" applyProtection="1"/>
    <xf numFmtId="37" fontId="1" fillId="0" borderId="0" xfId="0" applyNumberFormat="1" applyFont="1" applyBorder="1" applyAlignment="1"/>
    <xf numFmtId="37" fontId="0" fillId="0" borderId="0" xfId="0" applyNumberFormat="1" applyBorder="1" applyAlignment="1"/>
    <xf numFmtId="37" fontId="1" fillId="2" borderId="0" xfId="0" applyNumberFormat="1" applyFont="1" applyFill="1" applyBorder="1" applyAlignment="1" applyProtection="1">
      <alignment horizontal="left"/>
    </xf>
    <xf numFmtId="37" fontId="0" fillId="0" borderId="0" xfId="0" applyNumberFormat="1" applyFill="1" applyAlignment="1">
      <alignment vertical="top"/>
    </xf>
    <xf numFmtId="3" fontId="5" fillId="0" borderId="0" xfId="0" applyNumberFormat="1" applyFont="1" applyFill="1" applyAlignment="1">
      <alignment horizontal="right" wrapText="1"/>
    </xf>
    <xf numFmtId="37" fontId="1" fillId="0" borderId="0" xfId="0" applyNumberFormat="1" applyFont="1" applyFill="1" applyBorder="1" applyAlignment="1" applyProtection="1">
      <alignment horizontal="right"/>
    </xf>
    <xf numFmtId="37" fontId="2" fillId="0" borderId="0" xfId="0" applyNumberFormat="1" applyFont="1" applyAlignment="1" applyProtection="1">
      <alignment horizontal="right"/>
    </xf>
    <xf numFmtId="164" fontId="1" fillId="0" borderId="0" xfId="0" applyNumberFormat="1" applyFont="1" applyFill="1" applyBorder="1" applyAlignment="1" applyProtection="1">
      <alignment horizontal="right"/>
    </xf>
    <xf numFmtId="37" fontId="0" fillId="0" borderId="0" xfId="0" applyNumberFormat="1" applyFill="1" applyBorder="1" applyAlignment="1">
      <alignment horizontal="right" vertical="top"/>
    </xf>
    <xf numFmtId="37" fontId="1" fillId="0" borderId="0" xfId="0" applyNumberFormat="1" applyFont="1" applyFill="1" applyBorder="1" applyAlignment="1">
      <alignment horizontal="right"/>
    </xf>
    <xf numFmtId="37" fontId="0" fillId="0" borderId="0" xfId="0" applyNumberFormat="1" applyFill="1" applyBorder="1" applyAlignment="1">
      <alignment horizontal="right"/>
    </xf>
    <xf numFmtId="0" fontId="8" fillId="0" borderId="0" xfId="0" applyNumberFormat="1" applyFont="1" applyFill="1" applyBorder="1" applyAlignment="1" applyProtection="1">
      <alignment horizontal="left"/>
    </xf>
    <xf numFmtId="37" fontId="2" fillId="0" borderId="3" xfId="0" applyNumberFormat="1" applyFont="1" applyBorder="1" applyAlignment="1" applyProtection="1"/>
    <xf numFmtId="37" fontId="1" fillId="0" borderId="0" xfId="0" applyNumberFormat="1" applyFont="1" applyFill="1" applyBorder="1" applyAlignment="1" applyProtection="1"/>
    <xf numFmtId="37" fontId="1" fillId="0" borderId="0" xfId="0" applyNumberFormat="1" applyFont="1" applyFill="1" applyBorder="1" applyAlignment="1"/>
    <xf numFmtId="37" fontId="1" fillId="0" borderId="0" xfId="0" applyNumberFormat="1" applyFont="1" applyFill="1" applyBorder="1" applyAlignment="1" applyProtection="1">
      <alignment horizontal="centerContinuous"/>
    </xf>
    <xf numFmtId="37" fontId="1" fillId="0" borderId="0" xfId="0" applyNumberFormat="1" applyFont="1" applyFill="1" applyBorder="1" applyAlignment="1" applyProtection="1">
      <alignment horizontal="center"/>
    </xf>
    <xf numFmtId="37" fontId="2" fillId="0" borderId="0" xfId="0" applyNumberFormat="1" applyFont="1" applyBorder="1" applyAlignment="1" applyProtection="1">
      <alignment horizontal="right"/>
    </xf>
    <xf numFmtId="37" fontId="1" fillId="0" borderId="0" xfId="0" applyNumberFormat="1" applyFont="1" applyBorder="1" applyAlignment="1" applyProtection="1">
      <alignment horizontal="right"/>
    </xf>
    <xf numFmtId="165" fontId="1" fillId="0" borderId="0" xfId="0" applyNumberFormat="1" applyFont="1" applyFill="1" applyBorder="1" applyAlignment="1" applyProtection="1">
      <alignment horizontal="left" vertical="top"/>
    </xf>
    <xf numFmtId="37" fontId="1" fillId="3" borderId="0" xfId="0" applyNumberFormat="1" applyFont="1" applyFill="1" applyAlignment="1" applyProtection="1">
      <alignment horizontal="right"/>
    </xf>
    <xf numFmtId="37" fontId="1" fillId="3" borderId="0" xfId="0" applyNumberFormat="1" applyFont="1" applyFill="1" applyBorder="1" applyAlignment="1" applyProtection="1">
      <alignment horizontal="right"/>
    </xf>
    <xf numFmtId="37" fontId="1" fillId="0" borderId="4" xfId="0" applyNumberFormat="1" applyFont="1" applyBorder="1" applyAlignment="1"/>
    <xf numFmtId="37" fontId="0" fillId="0" borderId="0" xfId="0" applyNumberFormat="1" applyFill="1" applyAlignment="1"/>
    <xf numFmtId="37" fontId="1" fillId="0" borderId="2" xfId="0" applyNumberFormat="1" applyFont="1" applyFill="1" applyBorder="1" applyAlignment="1" applyProtection="1">
      <alignment horizontal="centerContinuous"/>
    </xf>
    <xf numFmtId="37" fontId="1" fillId="0" borderId="0" xfId="0" applyNumberFormat="1" applyFont="1" applyFill="1" applyAlignment="1" applyProtection="1">
      <alignment horizontal="centerContinuous"/>
    </xf>
    <xf numFmtId="37" fontId="1" fillId="0" borderId="2" xfId="0" applyNumberFormat="1" applyFont="1" applyFill="1" applyBorder="1" applyAlignment="1" applyProtection="1">
      <alignment horizontal="center"/>
    </xf>
    <xf numFmtId="0" fontId="1" fillId="0" borderId="0" xfId="0" applyFont="1" applyAlignment="1"/>
    <xf numFmtId="0" fontId="1" fillId="0" borderId="0" xfId="0" applyFont="1" applyFill="1" applyBorder="1" applyAlignment="1"/>
    <xf numFmtId="164" fontId="1" fillId="2" borderId="0" xfId="0" applyNumberFormat="1" applyFont="1" applyFill="1" applyAlignment="1" applyProtection="1"/>
    <xf numFmtId="0" fontId="1" fillId="0" borderId="0" xfId="0" applyFont="1" applyAlignment="1">
      <alignment vertical="top"/>
    </xf>
    <xf numFmtId="0" fontId="1" fillId="0" borderId="0" xfId="0" applyFont="1" applyBorder="1" applyAlignment="1" applyProtection="1">
      <alignment horizontal="left"/>
    </xf>
    <xf numFmtId="0" fontId="1" fillId="0" borderId="0" xfId="0" applyFont="1" applyBorder="1" applyAlignment="1">
      <alignment horizontal="left"/>
    </xf>
    <xf numFmtId="0" fontId="5" fillId="0" borderId="0" xfId="0" applyFont="1" applyBorder="1" applyAlignment="1">
      <alignment horizontal="left"/>
    </xf>
    <xf numFmtId="37" fontId="0" fillId="0" borderId="0" xfId="0" applyNumberFormat="1" applyAlignment="1">
      <alignment vertical="top"/>
    </xf>
    <xf numFmtId="37" fontId="11" fillId="0" borderId="0" xfId="0" applyNumberFormat="1" applyFont="1" applyAlignment="1">
      <alignment vertical="top"/>
    </xf>
    <xf numFmtId="49" fontId="1" fillId="0" borderId="0" xfId="0" applyNumberFormat="1" applyFont="1" applyAlignment="1" applyProtection="1">
      <alignment horizontal="right"/>
    </xf>
    <xf numFmtId="49" fontId="1" fillId="0" borderId="0" xfId="0" applyNumberFormat="1" applyFont="1" applyFill="1" applyAlignment="1" applyProtection="1">
      <alignment horizontal="right"/>
    </xf>
    <xf numFmtId="49" fontId="1" fillId="0" borderId="0" xfId="0" applyNumberFormat="1" applyFont="1" applyAlignment="1">
      <alignment horizontal="right"/>
    </xf>
    <xf numFmtId="37" fontId="1" fillId="0" borderId="2" xfId="0" applyNumberFormat="1" applyFont="1" applyFill="1" applyBorder="1" applyAlignment="1"/>
    <xf numFmtId="37" fontId="1" fillId="0" borderId="4" xfId="0" applyNumberFormat="1" applyFont="1" applyFill="1" applyBorder="1" applyAlignment="1"/>
    <xf numFmtId="49" fontId="14" fillId="0" borderId="0" xfId="0" applyNumberFormat="1" applyFont="1" applyFill="1" applyAlignment="1" applyProtection="1">
      <alignment horizontal="right"/>
    </xf>
    <xf numFmtId="49" fontId="1" fillId="0" borderId="0" xfId="0" applyNumberFormat="1" applyFont="1" applyFill="1" applyAlignment="1">
      <alignment horizontal="right"/>
    </xf>
    <xf numFmtId="37" fontId="1" fillId="0" borderId="4" xfId="0" applyNumberFormat="1" applyFont="1" applyFill="1" applyBorder="1" applyAlignment="1" applyProtection="1"/>
    <xf numFmtId="37" fontId="7" fillId="0" borderId="0" xfId="0" quotePrefix="1" applyNumberFormat="1" applyFont="1" applyFill="1" applyAlignment="1" applyProtection="1"/>
    <xf numFmtId="37" fontId="1" fillId="0" borderId="0" xfId="0" applyNumberFormat="1" applyFont="1" applyFill="1" applyAlignment="1" applyProtection="1">
      <alignment horizontal="center"/>
    </xf>
    <xf numFmtId="166" fontId="1" fillId="0" borderId="0" xfId="0" applyNumberFormat="1" applyFont="1" applyFill="1" applyAlignment="1" applyProtection="1">
      <alignment horizontal="center"/>
    </xf>
    <xf numFmtId="166" fontId="1" fillId="4" borderId="0" xfId="0" applyNumberFormat="1" applyFont="1" applyFill="1" applyAlignment="1" applyProtection="1">
      <alignment horizontal="center"/>
    </xf>
    <xf numFmtId="164" fontId="1" fillId="4" borderId="0" xfId="0" applyNumberFormat="1" applyFont="1" applyFill="1" applyBorder="1" applyAlignment="1" applyProtection="1">
      <alignment horizontal="center"/>
    </xf>
    <xf numFmtId="164" fontId="1" fillId="4" borderId="0" xfId="0" applyNumberFormat="1" applyFont="1" applyFill="1" applyAlignment="1" applyProtection="1">
      <alignment horizontal="center"/>
    </xf>
    <xf numFmtId="164" fontId="1" fillId="4" borderId="0" xfId="0" applyNumberFormat="1" applyFont="1" applyFill="1" applyAlignment="1" applyProtection="1">
      <alignment horizontal="right"/>
    </xf>
    <xf numFmtId="0" fontId="1" fillId="0" borderId="0" xfId="0" applyNumberFormat="1" applyFont="1" applyFill="1" applyAlignment="1" applyProtection="1">
      <alignment horizontal="right"/>
    </xf>
    <xf numFmtId="0" fontId="1" fillId="0" borderId="0" xfId="0" quotePrefix="1" applyNumberFormat="1" applyFont="1" applyFill="1" applyAlignment="1" applyProtection="1">
      <alignment horizontal="right"/>
    </xf>
    <xf numFmtId="3" fontId="1" fillId="0" borderId="0" xfId="0" applyNumberFormat="1" applyFont="1" applyFill="1" applyAlignment="1">
      <alignment horizontal="right" wrapText="1"/>
    </xf>
    <xf numFmtId="3" fontId="1" fillId="0" borderId="0" xfId="0" applyNumberFormat="1" applyFont="1" applyFill="1" applyBorder="1" applyAlignment="1">
      <alignment horizontal="right" wrapText="1"/>
    </xf>
    <xf numFmtId="0" fontId="15" fillId="0" borderId="0" xfId="0" applyNumberFormat="1" applyFont="1" applyFill="1" applyBorder="1" applyAlignment="1" applyProtection="1">
      <alignment horizontal="left"/>
    </xf>
    <xf numFmtId="37" fontId="1" fillId="0" borderId="0" xfId="0" applyNumberFormat="1" applyFont="1" applyFill="1" applyBorder="1" applyAlignment="1" applyProtection="1">
      <alignment horizontal="left"/>
    </xf>
    <xf numFmtId="0" fontId="0" fillId="0" borderId="0" xfId="0" applyFill="1" applyBorder="1" applyAlignment="1"/>
    <xf numFmtId="49" fontId="1" fillId="0" borderId="0" xfId="0" applyNumberFormat="1" applyFont="1" applyFill="1" applyBorder="1" applyAlignment="1">
      <alignment horizontal="right"/>
    </xf>
    <xf numFmtId="3" fontId="1" fillId="0" borderId="4" xfId="0" applyNumberFormat="1" applyFont="1" applyFill="1" applyBorder="1" applyAlignment="1">
      <alignment horizontal="right" wrapText="1"/>
    </xf>
    <xf numFmtId="37" fontId="1" fillId="0" borderId="4" xfId="0" applyNumberFormat="1" applyFont="1" applyBorder="1" applyAlignment="1" applyProtection="1"/>
    <xf numFmtId="37" fontId="1" fillId="0" borderId="5" xfId="0" applyNumberFormat="1" applyFont="1" applyFill="1" applyBorder="1" applyAlignment="1" applyProtection="1"/>
    <xf numFmtId="3" fontId="1" fillId="0" borderId="5" xfId="0" applyNumberFormat="1" applyFont="1" applyFill="1" applyBorder="1" applyAlignment="1">
      <alignment horizontal="right" wrapText="1"/>
    </xf>
    <xf numFmtId="37" fontId="1" fillId="0" borderId="5" xfId="0" applyNumberFormat="1" applyFont="1" applyFill="1" applyBorder="1" applyAlignment="1"/>
    <xf numFmtId="37" fontId="1" fillId="0" borderId="5" xfId="0" applyNumberFormat="1" applyFont="1" applyBorder="1" applyAlignment="1"/>
    <xf numFmtId="37" fontId="1" fillId="0" borderId="5" xfId="0" applyNumberFormat="1" applyFont="1" applyBorder="1" applyAlignment="1" applyProtection="1"/>
    <xf numFmtId="37" fontId="16" fillId="0" borderId="0" xfId="0" applyNumberFormat="1" applyFont="1" applyFill="1" applyAlignment="1" applyProtection="1"/>
    <xf numFmtId="37" fontId="16" fillId="0" borderId="0" xfId="0" applyNumberFormat="1" applyFont="1" applyFill="1" applyBorder="1" applyAlignment="1"/>
    <xf numFmtId="3" fontId="16" fillId="0" borderId="4" xfId="0" applyNumberFormat="1" applyFont="1" applyFill="1" applyBorder="1" applyAlignment="1">
      <alignment horizontal="right" wrapText="1"/>
    </xf>
    <xf numFmtId="37" fontId="16" fillId="0" borderId="0" xfId="0" applyNumberFormat="1" applyFont="1" applyFill="1" applyBorder="1" applyAlignment="1" applyProtection="1"/>
    <xf numFmtId="37" fontId="16" fillId="0" borderId="4" xfId="0" applyNumberFormat="1" applyFont="1" applyFill="1" applyBorder="1" applyAlignment="1" applyProtection="1"/>
    <xf numFmtId="37" fontId="16" fillId="0" borderId="4" xfId="0" applyNumberFormat="1" applyFont="1" applyFill="1" applyBorder="1" applyAlignment="1"/>
    <xf numFmtId="37" fontId="16" fillId="0" borderId="5" xfId="0" applyNumberFormat="1" applyFont="1" applyFill="1" applyBorder="1" applyAlignment="1" applyProtection="1"/>
    <xf numFmtId="37" fontId="14" fillId="0" borderId="4" xfId="0" quotePrefix="1" applyNumberFormat="1" applyFont="1" applyFill="1" applyBorder="1" applyAlignment="1"/>
    <xf numFmtId="3" fontId="1" fillId="5" borderId="0" xfId="0" applyNumberFormat="1" applyFont="1" applyFill="1" applyAlignment="1"/>
    <xf numFmtId="3" fontId="1" fillId="0" borderId="0" xfId="0" applyNumberFormat="1" applyFont="1" applyAlignment="1"/>
    <xf numFmtId="3" fontId="1" fillId="0" borderId="0" xfId="0" applyNumberFormat="1" applyFont="1" applyBorder="1" applyAlignment="1"/>
    <xf numFmtId="3" fontId="1" fillId="0" borderId="4" xfId="0" applyNumberFormat="1" applyFont="1" applyBorder="1" applyAlignment="1"/>
    <xf numFmtId="3" fontId="1" fillId="0" borderId="0" xfId="0" applyNumberFormat="1" applyFont="1" applyFill="1" applyAlignment="1"/>
    <xf numFmtId="3" fontId="1" fillId="5" borderId="4" xfId="0" applyNumberFormat="1" applyFont="1" applyFill="1" applyBorder="1" applyAlignment="1"/>
    <xf numFmtId="3" fontId="1" fillId="0" borderId="6" xfId="0" applyNumberFormat="1" applyFont="1" applyFill="1" applyBorder="1" applyAlignment="1"/>
    <xf numFmtId="3" fontId="1" fillId="0" borderId="4" xfId="0" applyNumberFormat="1" applyFont="1" applyFill="1" applyBorder="1" applyAlignment="1"/>
    <xf numFmtId="37" fontId="16" fillId="0" borderId="5" xfId="0" applyNumberFormat="1" applyFont="1" applyBorder="1" applyAlignment="1"/>
    <xf numFmtId="37" fontId="1" fillId="0" borderId="7" xfId="0" applyNumberFormat="1" applyFont="1" applyBorder="1" applyAlignment="1" applyProtection="1">
      <alignment horizontal="centerContinuous"/>
    </xf>
    <xf numFmtId="37" fontId="1" fillId="0" borderId="8" xfId="0" applyNumberFormat="1" applyFont="1" applyFill="1" applyBorder="1" applyAlignment="1" applyProtection="1">
      <alignment horizontal="centerContinuous"/>
    </xf>
    <xf numFmtId="37" fontId="1" fillId="0" borderId="9" xfId="0" applyNumberFormat="1" applyFont="1" applyFill="1" applyBorder="1" applyAlignment="1" applyProtection="1">
      <alignment horizontal="centerContinuous"/>
    </xf>
    <xf numFmtId="167" fontId="1" fillId="0" borderId="4" xfId="0" applyNumberFormat="1" applyFont="1" applyFill="1" applyBorder="1" applyAlignment="1">
      <alignment horizontal="right"/>
    </xf>
    <xf numFmtId="167" fontId="1" fillId="0" borderId="10" xfId="0" applyNumberFormat="1" applyFont="1" applyFill="1" applyBorder="1" applyAlignment="1">
      <alignment horizontal="right"/>
    </xf>
    <xf numFmtId="167" fontId="1" fillId="0" borderId="0" xfId="0" applyNumberFormat="1" applyFont="1" applyFill="1" applyAlignment="1">
      <alignment horizontal="right"/>
    </xf>
    <xf numFmtId="167" fontId="1" fillId="0" borderId="8" xfId="0" applyNumberFormat="1" applyFont="1" applyFill="1" applyBorder="1" applyAlignment="1">
      <alignment horizontal="right"/>
    </xf>
    <xf numFmtId="167" fontId="1" fillId="5" borderId="0" xfId="0" applyNumberFormat="1" applyFont="1" applyFill="1" applyAlignment="1">
      <alignment horizontal="right"/>
    </xf>
    <xf numFmtId="167" fontId="1" fillId="5" borderId="8" xfId="0" applyNumberFormat="1" applyFont="1" applyFill="1" applyBorder="1" applyAlignment="1">
      <alignment horizontal="right"/>
    </xf>
    <xf numFmtId="167" fontId="1" fillId="0" borderId="0" xfId="0" applyNumberFormat="1" applyFont="1" applyAlignment="1">
      <alignment horizontal="right"/>
    </xf>
    <xf numFmtId="167" fontId="1" fillId="0" borderId="8" xfId="0" applyNumberFormat="1" applyFont="1" applyBorder="1" applyAlignment="1">
      <alignment horizontal="right"/>
    </xf>
    <xf numFmtId="167" fontId="1" fillId="0" borderId="0" xfId="0" applyNumberFormat="1" applyFont="1" applyBorder="1" applyAlignment="1">
      <alignment horizontal="right"/>
    </xf>
    <xf numFmtId="167" fontId="1" fillId="0" borderId="4" xfId="0" applyNumberFormat="1" applyFont="1" applyBorder="1" applyAlignment="1">
      <alignment horizontal="right"/>
    </xf>
    <xf numFmtId="167" fontId="1" fillId="0" borderId="10" xfId="0" applyNumberFormat="1" applyFont="1" applyBorder="1" applyAlignment="1">
      <alignment horizontal="right"/>
    </xf>
    <xf numFmtId="167" fontId="1" fillId="5" borderId="4" xfId="0" applyNumberFormat="1" applyFont="1" applyFill="1" applyBorder="1" applyAlignment="1">
      <alignment horizontal="right"/>
    </xf>
    <xf numFmtId="167" fontId="1" fillId="5" borderId="10" xfId="0" applyNumberFormat="1" applyFont="1" applyFill="1" applyBorder="1" applyAlignment="1">
      <alignment horizontal="right"/>
    </xf>
    <xf numFmtId="167" fontId="1" fillId="0" borderId="6" xfId="0" applyNumberFormat="1" applyFont="1" applyFill="1" applyBorder="1" applyAlignment="1">
      <alignment horizontal="right"/>
    </xf>
    <xf numFmtId="167" fontId="1" fillId="0" borderId="11" xfId="0" applyNumberFormat="1" applyFont="1" applyFill="1" applyBorder="1" applyAlignment="1">
      <alignment horizontal="right"/>
    </xf>
    <xf numFmtId="167" fontId="1" fillId="0" borderId="5" xfId="0" applyNumberFormat="1" applyFont="1" applyBorder="1" applyAlignment="1" applyProtection="1">
      <alignment horizontal="right"/>
    </xf>
    <xf numFmtId="167" fontId="1" fillId="0" borderId="12" xfId="0" applyNumberFormat="1" applyFont="1" applyBorder="1" applyAlignment="1" applyProtection="1">
      <alignment horizontal="right"/>
    </xf>
    <xf numFmtId="167" fontId="1" fillId="0" borderId="0" xfId="0" applyNumberFormat="1" applyFont="1" applyFill="1" applyBorder="1" applyAlignment="1">
      <alignment horizontal="right"/>
    </xf>
    <xf numFmtId="167" fontId="1" fillId="5" borderId="0" xfId="0" applyNumberFormat="1" applyFont="1" applyFill="1" applyBorder="1" applyAlignment="1">
      <alignment horizontal="right"/>
    </xf>
    <xf numFmtId="37" fontId="1" fillId="6" borderId="0" xfId="0" applyNumberFormat="1" applyFont="1" applyFill="1" applyBorder="1" applyAlignment="1"/>
    <xf numFmtId="37" fontId="1" fillId="0" borderId="0" xfId="0" applyNumberFormat="1" applyFont="1" applyFill="1" applyAlignment="1" applyProtection="1">
      <alignment horizontal="centerContinuous" wrapText="1"/>
    </xf>
    <xf numFmtId="37" fontId="1" fillId="7" borderId="0" xfId="0" applyNumberFormat="1" applyFont="1" applyFill="1" applyBorder="1" applyAlignment="1"/>
    <xf numFmtId="49" fontId="1" fillId="7" borderId="0" xfId="0" applyNumberFormat="1" applyFont="1" applyFill="1" applyBorder="1" applyAlignment="1">
      <alignment horizontal="right"/>
    </xf>
    <xf numFmtId="0" fontId="1" fillId="7" borderId="0" xfId="0" applyNumberFormat="1" applyFont="1" applyFill="1" applyBorder="1" applyAlignment="1"/>
    <xf numFmtId="167" fontId="1" fillId="0" borderId="0" xfId="0" applyNumberFormat="1" applyFont="1" applyFill="1" applyAlignment="1">
      <alignment horizontal="center"/>
    </xf>
    <xf numFmtId="37" fontId="1" fillId="0" borderId="0" xfId="0" applyNumberFormat="1" applyFont="1" applyFill="1" applyAlignment="1" applyProtection="1">
      <alignment horizontal="center" wrapText="1"/>
    </xf>
    <xf numFmtId="37" fontId="0" fillId="0" borderId="0" xfId="0" applyNumberFormat="1" applyAlignment="1">
      <alignment horizontal="right"/>
    </xf>
    <xf numFmtId="37" fontId="1" fillId="0" borderId="0" xfId="0" applyNumberFormat="1" applyFont="1" applyAlignment="1" applyProtection="1">
      <alignment horizontal="centerContinuous" wrapText="1"/>
    </xf>
    <xf numFmtId="37" fontId="1" fillId="0" borderId="4" xfId="0" applyNumberFormat="1" applyFont="1" applyBorder="1" applyAlignment="1" applyProtection="1">
      <alignment horizontal="centerContinuous"/>
    </xf>
    <xf numFmtId="3" fontId="0" fillId="0" borderId="0" xfId="1" applyNumberFormat="1" applyFont="1" applyAlignment="1"/>
    <xf numFmtId="3" fontId="1" fillId="0" borderId="0" xfId="1" applyNumberFormat="1" applyFont="1" applyFill="1" applyAlignment="1" applyProtection="1">
      <alignment horizontal="right"/>
    </xf>
    <xf numFmtId="3" fontId="16" fillId="0" borderId="4" xfId="1" applyNumberFormat="1" applyFont="1" applyFill="1" applyBorder="1" applyAlignment="1">
      <alignment horizontal="right" wrapText="1"/>
    </xf>
    <xf numFmtId="3" fontId="16" fillId="0" borderId="0" xfId="1" applyNumberFormat="1" applyFont="1" applyFill="1" applyAlignment="1" applyProtection="1"/>
    <xf numFmtId="3" fontId="1" fillId="0" borderId="0" xfId="1" applyNumberFormat="1" applyFont="1" applyAlignment="1"/>
    <xf numFmtId="3" fontId="1" fillId="0" borderId="0" xfId="1" applyNumberFormat="1" applyFont="1" applyBorder="1" applyAlignment="1"/>
    <xf numFmtId="3" fontId="1" fillId="0" borderId="4" xfId="1" applyNumberFormat="1" applyFont="1" applyBorder="1" applyAlignment="1"/>
    <xf numFmtId="3" fontId="16" fillId="0" borderId="0" xfId="1" applyNumberFormat="1" applyFont="1" applyFill="1" applyBorder="1" applyAlignment="1"/>
    <xf numFmtId="3" fontId="1" fillId="0" borderId="5" xfId="1" applyNumberFormat="1" applyFont="1" applyBorder="1" applyAlignment="1"/>
    <xf numFmtId="3" fontId="1" fillId="0" borderId="0" xfId="1" applyNumberFormat="1" applyFont="1" applyFill="1" applyAlignment="1"/>
    <xf numFmtId="3" fontId="1" fillId="0" borderId="0" xfId="1" applyNumberFormat="1" applyFont="1" applyFill="1" applyAlignment="1" applyProtection="1"/>
    <xf numFmtId="3" fontId="1" fillId="0" borderId="0" xfId="1" applyNumberFormat="1" applyFont="1" applyFill="1" applyAlignment="1">
      <alignment horizontal="right" wrapText="1"/>
    </xf>
    <xf numFmtId="3" fontId="1" fillId="0" borderId="0" xfId="1" applyNumberFormat="1" applyFont="1" applyFill="1" applyBorder="1" applyAlignment="1" applyProtection="1"/>
    <xf numFmtId="3" fontId="1" fillId="0" borderId="0" xfId="1" applyNumberFormat="1" applyFont="1" applyFill="1" applyBorder="1" applyAlignment="1">
      <alignment horizontal="right" wrapText="1"/>
    </xf>
    <xf numFmtId="3" fontId="1" fillId="0" borderId="0" xfId="1" applyNumberFormat="1" applyFont="1" applyFill="1" applyBorder="1" applyAlignment="1"/>
    <xf numFmtId="3" fontId="1" fillId="0" borderId="4" xfId="1" applyNumberFormat="1" applyFont="1" applyFill="1" applyBorder="1" applyAlignment="1" applyProtection="1"/>
    <xf numFmtId="3" fontId="1" fillId="0" borderId="4" xfId="1" applyNumberFormat="1" applyFont="1" applyFill="1" applyBorder="1" applyAlignment="1">
      <alignment horizontal="right" wrapText="1"/>
    </xf>
    <xf numFmtId="3" fontId="1" fillId="0" borderId="4" xfId="1" applyNumberFormat="1" applyFont="1" applyFill="1" applyBorder="1" applyAlignment="1"/>
    <xf numFmtId="3" fontId="1" fillId="0" borderId="5" xfId="1" applyNumberFormat="1" applyFont="1" applyFill="1" applyBorder="1" applyAlignment="1" applyProtection="1"/>
    <xf numFmtId="3" fontId="1" fillId="0" borderId="5" xfId="1" applyNumberFormat="1" applyFont="1" applyFill="1" applyBorder="1" applyAlignment="1">
      <alignment horizontal="right" wrapText="1"/>
    </xf>
    <xf numFmtId="3" fontId="1" fillId="0" borderId="5" xfId="1" applyNumberFormat="1" applyFont="1" applyFill="1" applyBorder="1" applyAlignment="1"/>
    <xf numFmtId="3" fontId="1" fillId="0" borderId="4" xfId="0" applyNumberFormat="1" applyFont="1" applyFill="1" applyBorder="1" applyAlignment="1" applyProtection="1"/>
    <xf numFmtId="3" fontId="16" fillId="0" borderId="0" xfId="0" applyNumberFormat="1" applyFont="1" applyFill="1" applyAlignment="1" applyProtection="1"/>
    <xf numFmtId="3" fontId="1" fillId="0" borderId="0" xfId="0" applyNumberFormat="1" applyFont="1" applyFill="1" applyAlignment="1" applyProtection="1"/>
    <xf numFmtId="3" fontId="1" fillId="0" borderId="0" xfId="0" applyNumberFormat="1" applyFont="1" applyFill="1" applyBorder="1" applyAlignment="1" applyProtection="1"/>
    <xf numFmtId="3" fontId="1" fillId="0" borderId="0" xfId="0" applyNumberFormat="1" applyFont="1" applyFill="1" applyBorder="1" applyAlignment="1"/>
    <xf numFmtId="3" fontId="16" fillId="0" borderId="0" xfId="0" applyNumberFormat="1" applyFont="1" applyFill="1" applyBorder="1" applyAlignment="1"/>
    <xf numFmtId="3" fontId="1" fillId="0" borderId="5" xfId="0" applyNumberFormat="1" applyFont="1" applyFill="1" applyBorder="1" applyAlignment="1" applyProtection="1"/>
    <xf numFmtId="3" fontId="1" fillId="0" borderId="5" xfId="0" applyNumberFormat="1" applyFont="1" applyFill="1" applyBorder="1" applyAlignment="1"/>
    <xf numFmtId="3" fontId="1" fillId="0" borderId="5" xfId="0" applyNumberFormat="1" applyFont="1" applyBorder="1" applyAlignment="1"/>
    <xf numFmtId="49" fontId="1" fillId="0" borderId="4" xfId="0" applyNumberFormat="1" applyFont="1" applyFill="1" applyBorder="1" applyAlignment="1">
      <alignment horizontal="right"/>
    </xf>
    <xf numFmtId="49" fontId="1" fillId="0" borderId="4" xfId="0" applyNumberFormat="1" applyFont="1" applyFill="1" applyBorder="1" applyAlignment="1" applyProtection="1">
      <alignment horizontal="right"/>
    </xf>
    <xf numFmtId="0" fontId="1" fillId="0" borderId="4" xfId="0" applyNumberFormat="1" applyFont="1" applyFill="1" applyBorder="1" applyAlignment="1" applyProtection="1">
      <alignment horizontal="right"/>
    </xf>
    <xf numFmtId="0" fontId="1" fillId="7" borderId="4" xfId="0" applyNumberFormat="1" applyFont="1" applyFill="1" applyBorder="1" applyAlignment="1"/>
    <xf numFmtId="37" fontId="1" fillId="0" borderId="0" xfId="0" applyNumberFormat="1" applyFont="1" applyFill="1" applyAlignment="1">
      <alignment horizontal="right"/>
    </xf>
    <xf numFmtId="49" fontId="1" fillId="8" borderId="0" xfId="0" applyNumberFormat="1" applyFont="1" applyFill="1" applyAlignment="1">
      <alignment horizontal="right"/>
    </xf>
    <xf numFmtId="49" fontId="1" fillId="8" borderId="0" xfId="0" applyNumberFormat="1" applyFont="1" applyFill="1" applyAlignment="1" applyProtection="1">
      <alignment horizontal="right"/>
    </xf>
    <xf numFmtId="0" fontId="1" fillId="8" borderId="0" xfId="0" applyNumberFormat="1" applyFont="1" applyFill="1" applyAlignment="1" applyProtection="1">
      <alignment horizontal="right"/>
    </xf>
    <xf numFmtId="0" fontId="1" fillId="8" borderId="0" xfId="0" applyNumberFormat="1" applyFont="1" applyFill="1" applyBorder="1" applyAlignment="1" applyProtection="1">
      <alignment horizontal="right"/>
    </xf>
    <xf numFmtId="167" fontId="1" fillId="0" borderId="13" xfId="0" applyNumberFormat="1" applyFont="1" applyFill="1" applyBorder="1" applyAlignment="1">
      <alignment horizontal="right"/>
    </xf>
    <xf numFmtId="167" fontId="1" fillId="5" borderId="13" xfId="0" applyNumberFormat="1" applyFont="1" applyFill="1" applyBorder="1" applyAlignment="1">
      <alignment horizontal="right"/>
    </xf>
    <xf numFmtId="37" fontId="1" fillId="7" borderId="0" xfId="0" applyNumberFormat="1" applyFont="1" applyFill="1" applyAlignment="1"/>
    <xf numFmtId="49" fontId="1" fillId="7" borderId="0" xfId="0" applyNumberFormat="1" applyFont="1" applyFill="1" applyAlignment="1">
      <alignment horizontal="right"/>
    </xf>
    <xf numFmtId="0" fontId="1" fillId="7" borderId="0" xfId="0" applyNumberFormat="1" applyFont="1" applyFill="1" applyBorder="1" applyAlignment="1">
      <alignment horizontal="right"/>
    </xf>
    <xf numFmtId="165" fontId="3" fillId="0" borderId="0" xfId="0" applyNumberFormat="1" applyFont="1" applyFill="1" applyBorder="1" applyAlignment="1" applyProtection="1">
      <alignment horizontal="left" vertical="top" wrapText="1"/>
    </xf>
    <xf numFmtId="37" fontId="0" fillId="0" borderId="0" xfId="0" applyNumberFormat="1" applyAlignment="1">
      <alignment wrapText="1"/>
    </xf>
    <xf numFmtId="165" fontId="1" fillId="0" borderId="0" xfId="0" applyNumberFormat="1" applyFont="1" applyFill="1" applyBorder="1" applyAlignment="1" applyProtection="1">
      <alignment horizontal="left" vertical="top" wrapText="1"/>
    </xf>
    <xf numFmtId="37" fontId="0" fillId="0" borderId="0" xfId="0" applyNumberFormat="1" applyAlignment="1">
      <alignment vertical="top" wrapText="1"/>
    </xf>
  </cellXfs>
  <cellStyles count="2">
    <cellStyle name="Comma" xfId="1" builtinId="3"/>
    <cellStyle name="Normal" xfId="0" builtinId="0"/>
  </cellStyles>
  <dxfs count="2">
    <dxf>
      <font>
        <condense val="0"/>
        <extend val="0"/>
        <color indexed="10"/>
      </font>
    </dxf>
    <dxf>
      <font>
        <condense val="0"/>
        <extend val="0"/>
        <color auto="1"/>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FF"/>
      <color rgb="FF0099FF"/>
      <color rgb="FF990033"/>
      <color rgb="FF0033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Distribution of Spending at Public Four-Year Colleges and Universities, 2012-13</a:t>
            </a:r>
          </a:p>
        </c:rich>
      </c:tx>
      <c:overlay val="0"/>
    </c:title>
    <c:autoTitleDeleted val="0"/>
    <c:plotArea>
      <c:layout/>
      <c:barChart>
        <c:barDir val="col"/>
        <c:grouping val="clustered"/>
        <c:varyColors val="0"/>
        <c:ser>
          <c:idx val="0"/>
          <c:order val="0"/>
          <c:tx>
            <c:strRef>
              <c:f>'TABLE 97 (98)'!$A$8</c:f>
              <c:strCache>
                <c:ptCount val="1"/>
                <c:pt idx="0">
                  <c:v>50 states and D.C.</c:v>
                </c:pt>
              </c:strCache>
            </c:strRef>
          </c:tx>
          <c:spPr>
            <a:solidFill>
              <a:srgbClr val="003399"/>
            </a:solidFill>
            <a:ln>
              <a:solidFill>
                <a:prstClr val="black"/>
              </a:solidFill>
            </a:ln>
          </c:spPr>
          <c:invertIfNegative val="0"/>
          <c:dLbls>
            <c:spPr>
              <a:noFill/>
              <a:ln>
                <a:noFill/>
              </a:ln>
              <a:effectLst/>
            </c:spPr>
            <c:txPr>
              <a:bodyPr/>
              <a:lstStyle/>
              <a:p>
                <a:pPr>
                  <a:defRPr b="1" i="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97 (98)'!$C$6:$H$7</c:f>
              <c:multiLvlStrCache>
                <c:ptCount val="6"/>
                <c:lvl>
                  <c:pt idx="0">
                    <c:v>Instruction2</c:v>
                  </c:pt>
                  <c:pt idx="1">
                    <c:v>Research2</c:v>
                  </c:pt>
                  <c:pt idx="2">
                    <c:v>Service2</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97 (98)'!$C$8:$H$8</c:f>
              <c:numCache>
                <c:formatCode>#,##0.0</c:formatCode>
                <c:ptCount val="6"/>
                <c:pt idx="0">
                  <c:v>36.170284061488559</c:v>
                </c:pt>
                <c:pt idx="1">
                  <c:v>15.96914958298245</c:v>
                </c:pt>
                <c:pt idx="2">
                  <c:v>6.094044672120325</c:v>
                </c:pt>
                <c:pt idx="3">
                  <c:v>25.635496675230229</c:v>
                </c:pt>
                <c:pt idx="4">
                  <c:v>14.740197251484924</c:v>
                </c:pt>
                <c:pt idx="5">
                  <c:v>1.3908277566934917</c:v>
                </c:pt>
              </c:numCache>
            </c:numRef>
          </c:val>
          <c:extLst>
            <c:ext xmlns:c16="http://schemas.microsoft.com/office/drawing/2014/chart" uri="{C3380CC4-5D6E-409C-BE32-E72D297353CC}">
              <c16:uniqueId val="{00000000-4D6F-46F8-BA6B-F073B38F9A4F}"/>
            </c:ext>
          </c:extLst>
        </c:ser>
        <c:ser>
          <c:idx val="1"/>
          <c:order val="1"/>
          <c:tx>
            <c:strRef>
              <c:f>'TABLE 97 (98)'!$A$9</c:f>
              <c:strCache>
                <c:ptCount val="1"/>
                <c:pt idx="0">
                  <c:v>SREB states</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97 (98)'!$C$6:$H$7</c:f>
              <c:multiLvlStrCache>
                <c:ptCount val="6"/>
                <c:lvl>
                  <c:pt idx="0">
                    <c:v>Instruction2</c:v>
                  </c:pt>
                  <c:pt idx="1">
                    <c:v>Research2</c:v>
                  </c:pt>
                  <c:pt idx="2">
                    <c:v>Service2</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97 (98)'!$C$9:$H$9</c:f>
              <c:numCache>
                <c:formatCode>#,##0.0</c:formatCode>
                <c:ptCount val="6"/>
                <c:pt idx="0">
                  <c:v>34.79810911839499</c:v>
                </c:pt>
                <c:pt idx="1">
                  <c:v>16.127087642969926</c:v>
                </c:pt>
                <c:pt idx="2">
                  <c:v>6.8869921080728647</c:v>
                </c:pt>
                <c:pt idx="3">
                  <c:v>24.54059056615073</c:v>
                </c:pt>
                <c:pt idx="4">
                  <c:v>15.593299171233516</c:v>
                </c:pt>
                <c:pt idx="5">
                  <c:v>2.0539213931779656</c:v>
                </c:pt>
              </c:numCache>
            </c:numRef>
          </c:val>
          <c:extLst>
            <c:ext xmlns:c16="http://schemas.microsoft.com/office/drawing/2014/chart" uri="{C3380CC4-5D6E-409C-BE32-E72D297353CC}">
              <c16:uniqueId val="{00000001-4D6F-46F8-BA6B-F073B38F9A4F}"/>
            </c:ext>
          </c:extLst>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97 (98)'!$C$6:$H$7</c:f>
              <c:multiLvlStrCache>
                <c:ptCount val="6"/>
                <c:lvl>
                  <c:pt idx="0">
                    <c:v>Instruction2</c:v>
                  </c:pt>
                  <c:pt idx="1">
                    <c:v>Research2</c:v>
                  </c:pt>
                  <c:pt idx="2">
                    <c:v>Service2</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97 (98)'!$C$11:$H$11</c:f>
              <c:numCache>
                <c:formatCode>#,##0.0</c:formatCode>
                <c:ptCount val="6"/>
                <c:pt idx="0">
                  <c:v>32.7340564323937</c:v>
                </c:pt>
                <c:pt idx="1">
                  <c:v>12.645048609593273</c:v>
                </c:pt>
                <c:pt idx="2">
                  <c:v>9.6523947596598632</c:v>
                </c:pt>
                <c:pt idx="3">
                  <c:v>29.056818935175961</c:v>
                </c:pt>
                <c:pt idx="4">
                  <c:v>15.30247721219213</c:v>
                </c:pt>
                <c:pt idx="5">
                  <c:v>0.60920405098508412</c:v>
                </c:pt>
              </c:numCache>
            </c:numRef>
          </c:val>
          <c:extLst>
            <c:ext xmlns:c16="http://schemas.microsoft.com/office/drawing/2014/chart" uri="{C3380CC4-5D6E-409C-BE32-E72D297353CC}">
              <c16:uniqueId val="{00000002-4D6F-46F8-BA6B-F073B38F9A4F}"/>
            </c:ext>
          </c:extLst>
        </c:ser>
        <c:dLbls>
          <c:showLegendKey val="0"/>
          <c:showVal val="1"/>
          <c:showCatName val="0"/>
          <c:showSerName val="0"/>
          <c:showPercent val="0"/>
          <c:showBubbleSize val="0"/>
        </c:dLbls>
        <c:gapWidth val="150"/>
        <c:axId val="181724728"/>
        <c:axId val="182575944"/>
      </c:barChart>
      <c:catAx>
        <c:axId val="181724728"/>
        <c:scaling>
          <c:orientation val="minMax"/>
        </c:scaling>
        <c:delete val="0"/>
        <c:axPos val="b"/>
        <c:numFmt formatCode="General" sourceLinked="0"/>
        <c:majorTickMark val="out"/>
        <c:minorTickMark val="none"/>
        <c:tickLblPos val="nextTo"/>
        <c:txPr>
          <a:bodyPr/>
          <a:lstStyle/>
          <a:p>
            <a:pPr>
              <a:defRPr b="1"/>
            </a:pPr>
            <a:endParaRPr lang="en-US"/>
          </a:p>
        </c:txPr>
        <c:crossAx val="182575944"/>
        <c:crosses val="autoZero"/>
        <c:auto val="1"/>
        <c:lblAlgn val="ctr"/>
        <c:lblOffset val="100"/>
        <c:noMultiLvlLbl val="0"/>
      </c:catAx>
      <c:valAx>
        <c:axId val="182575944"/>
        <c:scaling>
          <c:orientation val="minMax"/>
        </c:scaling>
        <c:delete val="1"/>
        <c:axPos val="l"/>
        <c:numFmt formatCode="#,##0.0" sourceLinked="1"/>
        <c:majorTickMark val="out"/>
        <c:minorTickMark val="none"/>
        <c:tickLblPos val="none"/>
        <c:crossAx val="181724728"/>
        <c:crosses val="autoZero"/>
        <c:crossBetween val="between"/>
      </c:valAx>
    </c:plotArea>
    <c:legend>
      <c:legendPos val="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Percentage-Point Change 2007-08 to 2012-13</a:t>
            </a:r>
          </a:p>
        </c:rich>
      </c:tx>
      <c:overlay val="0"/>
    </c:title>
    <c:autoTitleDeleted val="0"/>
    <c:plotArea>
      <c:layout>
        <c:manualLayout>
          <c:layoutTarget val="inner"/>
          <c:xMode val="edge"/>
          <c:yMode val="edge"/>
          <c:x val="0.14604848736013296"/>
          <c:y val="8.8977295962011219E-2"/>
          <c:w val="0.71984182898190363"/>
          <c:h val="0.9089029372123395"/>
        </c:manualLayout>
      </c:layout>
      <c:barChart>
        <c:barDir val="bar"/>
        <c:grouping val="clustered"/>
        <c:varyColors val="0"/>
        <c:ser>
          <c:idx val="0"/>
          <c:order val="0"/>
          <c:tx>
            <c:strRef>
              <c:f>'TABLE 97 (98)'!$A$8</c:f>
              <c:strCache>
                <c:ptCount val="1"/>
                <c:pt idx="0">
                  <c:v>50 states and D.C.</c:v>
                </c:pt>
              </c:strCache>
            </c:strRef>
          </c:tx>
          <c:spPr>
            <a:solidFill>
              <a:srgbClr val="003399"/>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97 (98)'!$I$6:$N$7</c:f>
              <c:multiLvlStrCache>
                <c:ptCount val="6"/>
                <c:lvl>
                  <c:pt idx="0">
                    <c:v>Instruction</c:v>
                  </c:pt>
                  <c:pt idx="1">
                    <c:v>Research</c:v>
                  </c:pt>
                  <c:pt idx="2">
                    <c:v>Service</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97 (98)'!$I$8:$N$8</c:f>
              <c:numCache>
                <c:formatCode>#,##0.0</c:formatCode>
                <c:ptCount val="6"/>
                <c:pt idx="0">
                  <c:v>-0.23625586973444967</c:v>
                </c:pt>
                <c:pt idx="1">
                  <c:v>-1.6242608897304436</c:v>
                </c:pt>
                <c:pt idx="2">
                  <c:v>-0.55038789064911864</c:v>
                </c:pt>
                <c:pt idx="3">
                  <c:v>1.1779784393010928</c:v>
                </c:pt>
                <c:pt idx="4">
                  <c:v>1.5183859637202115</c:v>
                </c:pt>
                <c:pt idx="5">
                  <c:v>-0.28545975290731151</c:v>
                </c:pt>
              </c:numCache>
            </c:numRef>
          </c:val>
          <c:extLst>
            <c:ext xmlns:c16="http://schemas.microsoft.com/office/drawing/2014/chart" uri="{C3380CC4-5D6E-409C-BE32-E72D297353CC}">
              <c16:uniqueId val="{00000000-32D0-414D-9BA4-1414354F4F6E}"/>
            </c:ext>
          </c:extLst>
        </c:ser>
        <c:ser>
          <c:idx val="1"/>
          <c:order val="1"/>
          <c:tx>
            <c:strRef>
              <c:f>'TABLE 97 (98)'!$A$9</c:f>
              <c:strCache>
                <c:ptCount val="1"/>
                <c:pt idx="0">
                  <c:v>SREB states</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97 (98)'!$I$6:$N$7</c:f>
              <c:multiLvlStrCache>
                <c:ptCount val="6"/>
                <c:lvl>
                  <c:pt idx="0">
                    <c:v>Instruction</c:v>
                  </c:pt>
                  <c:pt idx="1">
                    <c:v>Research</c:v>
                  </c:pt>
                  <c:pt idx="2">
                    <c:v>Service</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97 (98)'!$I$9:$N$9</c:f>
              <c:numCache>
                <c:formatCode>#,##0.0</c:formatCode>
                <c:ptCount val="6"/>
                <c:pt idx="0">
                  <c:v>-1.3842290458611188</c:v>
                </c:pt>
                <c:pt idx="1">
                  <c:v>-1.300738168966884</c:v>
                </c:pt>
                <c:pt idx="2">
                  <c:v>-0.38312582696261721</c:v>
                </c:pt>
                <c:pt idx="3">
                  <c:v>0.92861280088347442</c:v>
                </c:pt>
                <c:pt idx="4">
                  <c:v>2.0530909602633471</c:v>
                </c:pt>
                <c:pt idx="5">
                  <c:v>8.6389280643785371E-2</c:v>
                </c:pt>
              </c:numCache>
            </c:numRef>
          </c:val>
          <c:extLst>
            <c:ext xmlns:c16="http://schemas.microsoft.com/office/drawing/2014/chart" uri="{C3380CC4-5D6E-409C-BE32-E72D297353CC}">
              <c16:uniqueId val="{00000001-32D0-414D-9BA4-1414354F4F6E}"/>
            </c:ext>
          </c:extLst>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97 (98)'!$I$6:$N$7</c:f>
              <c:multiLvlStrCache>
                <c:ptCount val="6"/>
                <c:lvl>
                  <c:pt idx="0">
                    <c:v>Instruction</c:v>
                  </c:pt>
                  <c:pt idx="1">
                    <c:v>Research</c:v>
                  </c:pt>
                  <c:pt idx="2">
                    <c:v>Service</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97 (98)'!$I$11:$N$11</c:f>
              <c:numCache>
                <c:formatCode>#,##0.0</c:formatCode>
                <c:ptCount val="6"/>
                <c:pt idx="0">
                  <c:v>2.3908829107039793</c:v>
                </c:pt>
                <c:pt idx="1">
                  <c:v>-2.6960833618007509</c:v>
                </c:pt>
                <c:pt idx="2">
                  <c:v>1.7288198063990166</c:v>
                </c:pt>
                <c:pt idx="3">
                  <c:v>-3.6440110404999899</c:v>
                </c:pt>
                <c:pt idx="4">
                  <c:v>3.3614526784327339</c:v>
                </c:pt>
                <c:pt idx="5">
                  <c:v>-1.1410609932349747</c:v>
                </c:pt>
              </c:numCache>
            </c:numRef>
          </c:val>
          <c:extLst>
            <c:ext xmlns:c16="http://schemas.microsoft.com/office/drawing/2014/chart" uri="{C3380CC4-5D6E-409C-BE32-E72D297353CC}">
              <c16:uniqueId val="{00000002-32D0-414D-9BA4-1414354F4F6E}"/>
            </c:ext>
          </c:extLst>
        </c:ser>
        <c:dLbls>
          <c:showLegendKey val="0"/>
          <c:showVal val="1"/>
          <c:showCatName val="0"/>
          <c:showSerName val="0"/>
          <c:showPercent val="0"/>
          <c:showBubbleSize val="0"/>
        </c:dLbls>
        <c:gapWidth val="150"/>
        <c:axId val="182665736"/>
        <c:axId val="182666120"/>
      </c:barChart>
      <c:catAx>
        <c:axId val="182665736"/>
        <c:scaling>
          <c:orientation val="maxMin"/>
        </c:scaling>
        <c:delete val="0"/>
        <c:axPos val="l"/>
        <c:numFmt formatCode="General" sourceLinked="0"/>
        <c:majorTickMark val="out"/>
        <c:minorTickMark val="none"/>
        <c:tickLblPos val="low"/>
        <c:txPr>
          <a:bodyPr/>
          <a:lstStyle/>
          <a:p>
            <a:pPr>
              <a:defRPr b="1"/>
            </a:pPr>
            <a:endParaRPr lang="en-US"/>
          </a:p>
        </c:txPr>
        <c:crossAx val="182666120"/>
        <c:crosses val="autoZero"/>
        <c:auto val="1"/>
        <c:lblAlgn val="ctr"/>
        <c:lblOffset val="100"/>
        <c:noMultiLvlLbl val="0"/>
      </c:catAx>
      <c:valAx>
        <c:axId val="182666120"/>
        <c:scaling>
          <c:orientation val="minMax"/>
        </c:scaling>
        <c:delete val="1"/>
        <c:axPos val="t"/>
        <c:numFmt formatCode="#,##0.0" sourceLinked="1"/>
        <c:majorTickMark val="out"/>
        <c:minorTickMark val="none"/>
        <c:tickLblPos val="none"/>
        <c:crossAx val="182665736"/>
        <c:crosses val="autoZero"/>
        <c:crossBetween val="between"/>
      </c:valAx>
    </c:plotArea>
    <c:legend>
      <c:legendPos val="r"/>
      <c:layout>
        <c:manualLayout>
          <c:xMode val="edge"/>
          <c:yMode val="edge"/>
          <c:x val="0.87967477749491918"/>
          <c:y val="0.34287361933494476"/>
          <c:w val="0.11280642551260039"/>
          <c:h val="0.37784576609958764"/>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Distribution of Spending at Public Two-Year Colleges, 2012-13</a:t>
            </a:r>
          </a:p>
        </c:rich>
      </c:tx>
      <c:overlay val="0"/>
    </c:title>
    <c:autoTitleDeleted val="0"/>
    <c:plotArea>
      <c:layout/>
      <c:barChart>
        <c:barDir val="col"/>
        <c:grouping val="clustered"/>
        <c:varyColors val="0"/>
        <c:ser>
          <c:idx val="0"/>
          <c:order val="0"/>
          <c:tx>
            <c:strRef>
              <c:f>'TABLE 98 (99)'!$A$8</c:f>
              <c:strCache>
                <c:ptCount val="1"/>
                <c:pt idx="0">
                  <c:v>50 states and D.C.</c:v>
                </c:pt>
              </c:strCache>
            </c:strRef>
          </c:tx>
          <c:spPr>
            <a:solidFill>
              <a:srgbClr val="003399"/>
            </a:solidFill>
            <a:ln>
              <a:solidFill>
                <a:prstClr val="black"/>
              </a:solidFill>
            </a:ln>
          </c:spPr>
          <c:invertIfNegative val="0"/>
          <c:dLbls>
            <c:spPr>
              <a:noFill/>
              <a:ln>
                <a:noFill/>
              </a:ln>
              <a:effectLst/>
            </c:spPr>
            <c:txPr>
              <a:bodyPr/>
              <a:lstStyle/>
              <a:p>
                <a:pPr>
                  <a:defRPr b="1" i="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97 (98)'!$C$6:$H$7</c:f>
              <c:multiLvlStrCache>
                <c:ptCount val="6"/>
                <c:lvl>
                  <c:pt idx="0">
                    <c:v>Instruction2</c:v>
                  </c:pt>
                  <c:pt idx="1">
                    <c:v>Research2</c:v>
                  </c:pt>
                  <c:pt idx="2">
                    <c:v>Service2</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98 (99)'!$C$8:$H$8</c:f>
              <c:numCache>
                <c:formatCode>#,##0.0</c:formatCode>
                <c:ptCount val="6"/>
                <c:pt idx="0">
                  <c:v>40.32317454085446</c:v>
                </c:pt>
                <c:pt idx="1">
                  <c:v>0</c:v>
                </c:pt>
                <c:pt idx="2">
                  <c:v>1.3569697845518027</c:v>
                </c:pt>
                <c:pt idx="3">
                  <c:v>32.446318974078103</c:v>
                </c:pt>
                <c:pt idx="4">
                  <c:v>22.771820672350035</c:v>
                </c:pt>
                <c:pt idx="5">
                  <c:v>3.059329764989315</c:v>
                </c:pt>
              </c:numCache>
            </c:numRef>
          </c:val>
          <c:extLst>
            <c:ext xmlns:c16="http://schemas.microsoft.com/office/drawing/2014/chart" uri="{C3380CC4-5D6E-409C-BE32-E72D297353CC}">
              <c16:uniqueId val="{00000000-6A1C-4AAA-9C73-5D86C1A601CC}"/>
            </c:ext>
          </c:extLst>
        </c:ser>
        <c:ser>
          <c:idx val="1"/>
          <c:order val="1"/>
          <c:tx>
            <c:strRef>
              <c:f>'TABLE 98 (99)'!$A$9</c:f>
              <c:strCache>
                <c:ptCount val="1"/>
                <c:pt idx="0">
                  <c:v>SREB states</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97 (98)'!$C$6:$H$7</c:f>
              <c:multiLvlStrCache>
                <c:ptCount val="6"/>
                <c:lvl>
                  <c:pt idx="0">
                    <c:v>Instruction2</c:v>
                  </c:pt>
                  <c:pt idx="1">
                    <c:v>Research2</c:v>
                  </c:pt>
                  <c:pt idx="2">
                    <c:v>Service2</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98 (99)'!$C$9:$H$9</c:f>
              <c:numCache>
                <c:formatCode>#,##0.0</c:formatCode>
                <c:ptCount val="6"/>
                <c:pt idx="0">
                  <c:v>39.721979107080344</c:v>
                </c:pt>
                <c:pt idx="1">
                  <c:v>0</c:v>
                </c:pt>
                <c:pt idx="2">
                  <c:v>1.0318139365575008</c:v>
                </c:pt>
                <c:pt idx="3">
                  <c:v>31.85922967350071</c:v>
                </c:pt>
                <c:pt idx="4">
                  <c:v>25.338180849637716</c:v>
                </c:pt>
                <c:pt idx="5">
                  <c:v>2.0435564571545624</c:v>
                </c:pt>
              </c:numCache>
            </c:numRef>
          </c:val>
          <c:extLst>
            <c:ext xmlns:c16="http://schemas.microsoft.com/office/drawing/2014/chart" uri="{C3380CC4-5D6E-409C-BE32-E72D297353CC}">
              <c16:uniqueId val="{00000001-6A1C-4AAA-9C73-5D86C1A601CC}"/>
            </c:ext>
          </c:extLst>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97 (98)'!$C$6:$H$7</c:f>
              <c:multiLvlStrCache>
                <c:ptCount val="6"/>
                <c:lvl>
                  <c:pt idx="0">
                    <c:v>Instruction2</c:v>
                  </c:pt>
                  <c:pt idx="1">
                    <c:v>Research2</c:v>
                  </c:pt>
                  <c:pt idx="2">
                    <c:v>Service2</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98 (99)'!$C$11:$H$11</c:f>
              <c:numCache>
                <c:formatCode>#,##0.0</c:formatCode>
                <c:ptCount val="6"/>
                <c:pt idx="0">
                  <c:v>38.952116220717571</c:v>
                </c:pt>
                <c:pt idx="1">
                  <c:v>0</c:v>
                </c:pt>
                <c:pt idx="2">
                  <c:v>0.64497206364429238</c:v>
                </c:pt>
                <c:pt idx="3">
                  <c:v>32.655350257354847</c:v>
                </c:pt>
                <c:pt idx="4">
                  <c:v>26.742475284090773</c:v>
                </c:pt>
                <c:pt idx="5">
                  <c:v>1.0050861741925141</c:v>
                </c:pt>
              </c:numCache>
            </c:numRef>
          </c:val>
          <c:extLst>
            <c:ext xmlns:c16="http://schemas.microsoft.com/office/drawing/2014/chart" uri="{C3380CC4-5D6E-409C-BE32-E72D297353CC}">
              <c16:uniqueId val="{00000002-6A1C-4AAA-9C73-5D86C1A601CC}"/>
            </c:ext>
          </c:extLst>
        </c:ser>
        <c:dLbls>
          <c:showLegendKey val="0"/>
          <c:showVal val="1"/>
          <c:showCatName val="0"/>
          <c:showSerName val="0"/>
          <c:showPercent val="0"/>
          <c:showBubbleSize val="0"/>
        </c:dLbls>
        <c:gapWidth val="150"/>
        <c:axId val="362622496"/>
        <c:axId val="182689744"/>
      </c:barChart>
      <c:catAx>
        <c:axId val="362622496"/>
        <c:scaling>
          <c:orientation val="minMax"/>
        </c:scaling>
        <c:delete val="0"/>
        <c:axPos val="b"/>
        <c:numFmt formatCode="General" sourceLinked="0"/>
        <c:majorTickMark val="out"/>
        <c:minorTickMark val="none"/>
        <c:tickLblPos val="nextTo"/>
        <c:txPr>
          <a:bodyPr/>
          <a:lstStyle/>
          <a:p>
            <a:pPr>
              <a:defRPr b="1"/>
            </a:pPr>
            <a:endParaRPr lang="en-US"/>
          </a:p>
        </c:txPr>
        <c:crossAx val="182689744"/>
        <c:crosses val="autoZero"/>
        <c:auto val="1"/>
        <c:lblAlgn val="ctr"/>
        <c:lblOffset val="100"/>
        <c:noMultiLvlLbl val="0"/>
      </c:catAx>
      <c:valAx>
        <c:axId val="182689744"/>
        <c:scaling>
          <c:orientation val="minMax"/>
        </c:scaling>
        <c:delete val="1"/>
        <c:axPos val="l"/>
        <c:numFmt formatCode="#,##0.0" sourceLinked="1"/>
        <c:majorTickMark val="out"/>
        <c:minorTickMark val="none"/>
        <c:tickLblPos val="none"/>
        <c:crossAx val="362622496"/>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Percentage-Point Change 2007-08 to 2012-13</a:t>
            </a:r>
          </a:p>
        </c:rich>
      </c:tx>
      <c:overlay val="0"/>
    </c:title>
    <c:autoTitleDeleted val="0"/>
    <c:plotArea>
      <c:layout>
        <c:manualLayout>
          <c:layoutTarget val="inner"/>
          <c:xMode val="edge"/>
          <c:yMode val="edge"/>
          <c:x val="0.14604848736013307"/>
          <c:y val="8.8977295962011246E-2"/>
          <c:w val="0.71984182898190363"/>
          <c:h val="0.9089029372123395"/>
        </c:manualLayout>
      </c:layout>
      <c:barChart>
        <c:barDir val="bar"/>
        <c:grouping val="clustered"/>
        <c:varyColors val="0"/>
        <c:ser>
          <c:idx val="0"/>
          <c:order val="0"/>
          <c:tx>
            <c:strRef>
              <c:f>'TABLE 98 (99)'!$A$8</c:f>
              <c:strCache>
                <c:ptCount val="1"/>
                <c:pt idx="0">
                  <c:v>50 states and D.C.</c:v>
                </c:pt>
              </c:strCache>
            </c:strRef>
          </c:tx>
          <c:spPr>
            <a:solidFill>
              <a:srgbClr val="003399"/>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97 (98)'!$I$6:$N$7</c:f>
              <c:multiLvlStrCache>
                <c:ptCount val="6"/>
                <c:lvl>
                  <c:pt idx="0">
                    <c:v>Instruction</c:v>
                  </c:pt>
                  <c:pt idx="1">
                    <c:v>Research</c:v>
                  </c:pt>
                  <c:pt idx="2">
                    <c:v>Service</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98 (99)'!$I$8:$N$8</c:f>
              <c:numCache>
                <c:formatCode>#,##0.0</c:formatCode>
                <c:ptCount val="6"/>
                <c:pt idx="0">
                  <c:v>-0.3235018525950295</c:v>
                </c:pt>
                <c:pt idx="1">
                  <c:v>0</c:v>
                </c:pt>
                <c:pt idx="2">
                  <c:v>-0.21662708308202139</c:v>
                </c:pt>
                <c:pt idx="3">
                  <c:v>1.4807799908556234</c:v>
                </c:pt>
                <c:pt idx="4">
                  <c:v>-0.38792598344785745</c:v>
                </c:pt>
                <c:pt idx="5">
                  <c:v>-0.54828610247112053</c:v>
                </c:pt>
              </c:numCache>
            </c:numRef>
          </c:val>
          <c:extLst>
            <c:ext xmlns:c16="http://schemas.microsoft.com/office/drawing/2014/chart" uri="{C3380CC4-5D6E-409C-BE32-E72D297353CC}">
              <c16:uniqueId val="{00000000-3CBF-45FE-BCA1-05EEEFB6FFC5}"/>
            </c:ext>
          </c:extLst>
        </c:ser>
        <c:ser>
          <c:idx val="1"/>
          <c:order val="1"/>
          <c:tx>
            <c:strRef>
              <c:f>'TABLE 98 (99)'!$A$9</c:f>
              <c:strCache>
                <c:ptCount val="1"/>
                <c:pt idx="0">
                  <c:v>SREB states</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97 (98)'!$I$6:$N$7</c:f>
              <c:multiLvlStrCache>
                <c:ptCount val="6"/>
                <c:lvl>
                  <c:pt idx="0">
                    <c:v>Instruction</c:v>
                  </c:pt>
                  <c:pt idx="1">
                    <c:v>Research</c:v>
                  </c:pt>
                  <c:pt idx="2">
                    <c:v>Service</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98 (99)'!$I$9:$N$9</c:f>
              <c:numCache>
                <c:formatCode>#,##0.0</c:formatCode>
                <c:ptCount val="6"/>
                <c:pt idx="0">
                  <c:v>-0.3623671139355622</c:v>
                </c:pt>
                <c:pt idx="1">
                  <c:v>0</c:v>
                </c:pt>
                <c:pt idx="2">
                  <c:v>-0.16384419091636349</c:v>
                </c:pt>
                <c:pt idx="3">
                  <c:v>2.7497934783394307</c:v>
                </c:pt>
                <c:pt idx="4">
                  <c:v>-1.8684996195665136</c:v>
                </c:pt>
                <c:pt idx="5">
                  <c:v>-0.34289054415203069</c:v>
                </c:pt>
              </c:numCache>
            </c:numRef>
          </c:val>
          <c:extLst>
            <c:ext xmlns:c16="http://schemas.microsoft.com/office/drawing/2014/chart" uri="{C3380CC4-5D6E-409C-BE32-E72D297353CC}">
              <c16:uniqueId val="{00000001-3CBF-45FE-BCA1-05EEEFB6FFC5}"/>
            </c:ext>
          </c:extLst>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97 (98)'!$I$6:$N$7</c:f>
              <c:multiLvlStrCache>
                <c:ptCount val="6"/>
                <c:lvl>
                  <c:pt idx="0">
                    <c:v>Instruction</c:v>
                  </c:pt>
                  <c:pt idx="1">
                    <c:v>Research</c:v>
                  </c:pt>
                  <c:pt idx="2">
                    <c:v>Service</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98 (99)'!$I$11:$N$11</c:f>
              <c:numCache>
                <c:formatCode>#,##0.0</c:formatCode>
                <c:ptCount val="6"/>
                <c:pt idx="0">
                  <c:v>2.2221627917790343</c:v>
                </c:pt>
                <c:pt idx="1">
                  <c:v>0</c:v>
                </c:pt>
                <c:pt idx="2">
                  <c:v>-0.95191754804034256</c:v>
                </c:pt>
                <c:pt idx="3">
                  <c:v>4.3375135837373335</c:v>
                </c:pt>
                <c:pt idx="4">
                  <c:v>-4.8759347250046936</c:v>
                </c:pt>
                <c:pt idx="5">
                  <c:v>-0.73182410247133411</c:v>
                </c:pt>
              </c:numCache>
            </c:numRef>
          </c:val>
          <c:extLst>
            <c:ext xmlns:c16="http://schemas.microsoft.com/office/drawing/2014/chart" uri="{C3380CC4-5D6E-409C-BE32-E72D297353CC}">
              <c16:uniqueId val="{00000002-3CBF-45FE-BCA1-05EEEFB6FFC5}"/>
            </c:ext>
          </c:extLst>
        </c:ser>
        <c:dLbls>
          <c:showLegendKey val="0"/>
          <c:showVal val="1"/>
          <c:showCatName val="0"/>
          <c:showSerName val="0"/>
          <c:showPercent val="0"/>
          <c:showBubbleSize val="0"/>
        </c:dLbls>
        <c:gapWidth val="150"/>
        <c:axId val="362270416"/>
        <c:axId val="362241272"/>
      </c:barChart>
      <c:catAx>
        <c:axId val="362270416"/>
        <c:scaling>
          <c:orientation val="maxMin"/>
        </c:scaling>
        <c:delete val="0"/>
        <c:axPos val="l"/>
        <c:numFmt formatCode="General" sourceLinked="0"/>
        <c:majorTickMark val="out"/>
        <c:minorTickMark val="none"/>
        <c:tickLblPos val="low"/>
        <c:txPr>
          <a:bodyPr/>
          <a:lstStyle/>
          <a:p>
            <a:pPr>
              <a:defRPr b="1"/>
            </a:pPr>
            <a:endParaRPr lang="en-US"/>
          </a:p>
        </c:txPr>
        <c:crossAx val="362241272"/>
        <c:crosses val="autoZero"/>
        <c:auto val="1"/>
        <c:lblAlgn val="ctr"/>
        <c:lblOffset val="100"/>
        <c:noMultiLvlLbl val="0"/>
      </c:catAx>
      <c:valAx>
        <c:axId val="362241272"/>
        <c:scaling>
          <c:orientation val="minMax"/>
        </c:scaling>
        <c:delete val="1"/>
        <c:axPos val="t"/>
        <c:numFmt formatCode="#,##0.0" sourceLinked="1"/>
        <c:majorTickMark val="out"/>
        <c:minorTickMark val="none"/>
        <c:tickLblPos val="none"/>
        <c:crossAx val="362270416"/>
        <c:crosses val="autoZero"/>
        <c:crossBetween val="between"/>
      </c:valAx>
    </c:plotArea>
    <c:legend>
      <c:legendPos val="r"/>
      <c:layout>
        <c:manualLayout>
          <c:xMode val="edge"/>
          <c:yMode val="edge"/>
          <c:x val="0.87967477749491962"/>
          <c:y val="0.34287361933494503"/>
          <c:w val="0.11280642551260039"/>
          <c:h val="0.37784576609958787"/>
        </c:manualLayout>
      </c:layou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26</xdr:col>
      <xdr:colOff>276224</xdr:colOff>
      <xdr:row>5</xdr:row>
      <xdr:rowOff>0</xdr:rowOff>
    </xdr:from>
    <xdr:to>
      <xdr:col>42</xdr:col>
      <xdr:colOff>66675</xdr:colOff>
      <xdr:row>31</xdr:row>
      <xdr:rowOff>114300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276225</xdr:colOff>
      <xdr:row>32</xdr:row>
      <xdr:rowOff>104774</xdr:rowOff>
    </xdr:from>
    <xdr:to>
      <xdr:col>42</xdr:col>
      <xdr:colOff>47625</xdr:colOff>
      <xdr:row>68</xdr:row>
      <xdr:rowOff>276225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42</xdr:col>
      <xdr:colOff>247650</xdr:colOff>
      <xdr:row>4</xdr:row>
      <xdr:rowOff>76200</xdr:rowOff>
    </xdr:from>
    <xdr:to>
      <xdr:col>44</xdr:col>
      <xdr:colOff>561975</xdr:colOff>
      <xdr:row>13</xdr:row>
      <xdr:rowOff>110065</xdr:rowOff>
    </xdr:to>
    <xdr:sp macro="" textlink="">
      <xdr:nvSpPr>
        <xdr:cNvPr id="4" name="Oval Callout 3">
          <a:extLst>
            <a:ext uri="{FF2B5EF4-FFF2-40B4-BE49-F238E27FC236}">
              <a16:creationId xmlns:a16="http://schemas.microsoft.com/office/drawing/2014/main" id="{00000000-0008-0000-0000-000004000000}"/>
            </a:ext>
          </a:extLst>
        </xdr:cNvPr>
        <xdr:cNvSpPr/>
      </xdr:nvSpPr>
      <xdr:spPr>
        <a:xfrm>
          <a:off x="28889325" y="742950"/>
          <a:ext cx="1609725" cy="1853140"/>
        </a:xfrm>
        <a:prstGeom prst="wedgeEllipseCallout">
          <a:avLst>
            <a:gd name="adj1" fmla="val -170568"/>
            <a:gd name="adj2" fmla="val 123574"/>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7</xdr:row>
      <xdr:rowOff>0</xdr:rowOff>
    </xdr:from>
    <xdr:to>
      <xdr:col>39</xdr:col>
      <xdr:colOff>209551</xdr:colOff>
      <xdr:row>34</xdr:row>
      <xdr:rowOff>133350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819150</xdr:colOff>
      <xdr:row>36</xdr:row>
      <xdr:rowOff>47625</xdr:rowOff>
    </xdr:from>
    <xdr:to>
      <xdr:col>39</xdr:col>
      <xdr:colOff>180975</xdr:colOff>
      <xdr:row>70</xdr:row>
      <xdr:rowOff>657226</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39</xdr:col>
      <xdr:colOff>419100</xdr:colOff>
      <xdr:row>3</xdr:row>
      <xdr:rowOff>85725</xdr:rowOff>
    </xdr:from>
    <xdr:to>
      <xdr:col>41</xdr:col>
      <xdr:colOff>371475</xdr:colOff>
      <xdr:row>12</xdr:row>
      <xdr:rowOff>138640</xdr:rowOff>
    </xdr:to>
    <xdr:sp macro="" textlink="">
      <xdr:nvSpPr>
        <xdr:cNvPr id="4" name="Oval Callout 3">
          <a:extLst>
            <a:ext uri="{FF2B5EF4-FFF2-40B4-BE49-F238E27FC236}">
              <a16:creationId xmlns:a16="http://schemas.microsoft.com/office/drawing/2014/main" id="{00000000-0008-0000-0100-000004000000}"/>
            </a:ext>
          </a:extLst>
        </xdr:cNvPr>
        <xdr:cNvSpPr/>
      </xdr:nvSpPr>
      <xdr:spPr>
        <a:xfrm>
          <a:off x="30470475" y="590550"/>
          <a:ext cx="1609725" cy="1853140"/>
        </a:xfrm>
        <a:prstGeom prst="wedgeEllipseCallout">
          <a:avLst>
            <a:gd name="adj1" fmla="val -170568"/>
            <a:gd name="adj2" fmla="val 11689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tabColor indexed="16"/>
  </sheetPr>
  <dimension ref="A1:AD85"/>
  <sheetViews>
    <sheetView showGridLines="0" view="pageBreakPreview" zoomScale="90" zoomScaleNormal="75" zoomScaleSheetLayoutView="90" workbookViewId="0">
      <selection activeCell="A2" sqref="A2"/>
    </sheetView>
  </sheetViews>
  <sheetFormatPr defaultColWidth="9.7109375" defaultRowHeight="12.75"/>
  <cols>
    <col min="1" max="1" width="8.7109375" customWidth="1"/>
    <col min="2" max="2" width="9.5703125" customWidth="1"/>
    <col min="3" max="3" width="10.140625" customWidth="1"/>
    <col min="4" max="4" width="9.42578125" bestFit="1" customWidth="1"/>
    <col min="5" max="5" width="7.7109375" bestFit="1" customWidth="1"/>
    <col min="6" max="6" width="13.28515625" customWidth="1"/>
    <col min="7" max="7" width="12.5703125" bestFit="1" customWidth="1"/>
    <col min="8" max="8" width="7" bestFit="1" customWidth="1"/>
    <col min="9" max="9" width="9.7109375" bestFit="1" customWidth="1"/>
    <col min="10" max="10" width="8.85546875" bestFit="1" customWidth="1"/>
    <col min="11" max="11" width="7.140625" bestFit="1" customWidth="1"/>
    <col min="12" max="12" width="13.28515625" customWidth="1"/>
    <col min="13" max="13" width="12.42578125" customWidth="1"/>
    <col min="14" max="14" width="11.85546875" bestFit="1" customWidth="1"/>
    <col min="15" max="15" width="7.140625" style="33" customWidth="1"/>
    <col min="16" max="18" width="10.140625" style="33" customWidth="1"/>
    <col min="19" max="19" width="17" style="33" customWidth="1"/>
    <col min="20" max="20" width="15.42578125" style="33" customWidth="1"/>
    <col min="21" max="21" width="17.140625" style="33" customWidth="1"/>
    <col min="22" max="22" width="10.140625" style="33" customWidth="1"/>
    <col min="23" max="23" width="2.5703125" style="33" customWidth="1"/>
    <col min="24" max="24" width="9.7109375" customWidth="1"/>
    <col min="25" max="25" width="10.42578125" customWidth="1"/>
  </cols>
  <sheetData>
    <row r="1" spans="1:30">
      <c r="A1" s="8" t="s">
        <v>154</v>
      </c>
      <c r="B1" s="8"/>
      <c r="C1" s="3"/>
      <c r="D1" s="3"/>
      <c r="E1" s="3"/>
      <c r="F1" s="3"/>
      <c r="G1" s="3"/>
      <c r="I1" s="3"/>
      <c r="J1" s="5"/>
      <c r="K1" s="5"/>
      <c r="L1" s="5"/>
      <c r="M1" s="5"/>
      <c r="N1" s="5"/>
      <c r="O1" s="10"/>
      <c r="P1" s="10"/>
      <c r="Q1" s="10"/>
      <c r="R1" s="10"/>
      <c r="S1" s="10"/>
      <c r="T1" s="10"/>
      <c r="U1" s="10"/>
      <c r="V1" s="10"/>
      <c r="W1" s="10"/>
      <c r="X1" s="1"/>
      <c r="Y1" s="3"/>
      <c r="Z1" s="1"/>
      <c r="AA1" s="1"/>
      <c r="AB1" s="1"/>
      <c r="AC1" s="2"/>
      <c r="AD1" s="2"/>
    </row>
    <row r="2" spans="1:30" ht="14.25">
      <c r="A2" s="8" t="s">
        <v>128</v>
      </c>
      <c r="B2" s="8"/>
      <c r="C2" s="3"/>
      <c r="D2" s="3"/>
      <c r="E2" s="3"/>
      <c r="F2" s="3"/>
      <c r="G2" s="3"/>
      <c r="H2" s="3"/>
      <c r="I2" s="3"/>
      <c r="J2" s="5"/>
      <c r="K2" s="5"/>
      <c r="L2" s="5"/>
      <c r="M2" s="5"/>
      <c r="N2" s="5"/>
      <c r="O2" s="28"/>
      <c r="P2" s="28"/>
      <c r="Q2" s="28"/>
      <c r="R2" s="28"/>
      <c r="S2" s="28"/>
      <c r="T2" s="28"/>
      <c r="U2" s="28"/>
      <c r="V2" s="28"/>
      <c r="W2" s="28"/>
      <c r="X2" s="1"/>
      <c r="Y2" s="3"/>
      <c r="Z2" s="1"/>
      <c r="AA2" s="1"/>
      <c r="AB2" s="1"/>
      <c r="AC2" s="2"/>
      <c r="AD2" s="2"/>
    </row>
    <row r="3" spans="1:30">
      <c r="A3" s="1" t="s">
        <v>42</v>
      </c>
      <c r="B3" s="8"/>
      <c r="C3" s="3"/>
      <c r="D3" s="1"/>
      <c r="E3" s="1"/>
      <c r="F3" s="1"/>
      <c r="G3" s="1"/>
      <c r="H3" s="1"/>
      <c r="I3" s="3"/>
      <c r="J3" s="5"/>
      <c r="K3" s="5"/>
      <c r="L3" s="5"/>
      <c r="M3" s="5"/>
      <c r="N3" s="5"/>
      <c r="O3" s="28"/>
      <c r="P3" s="28"/>
      <c r="Q3" s="28"/>
      <c r="R3" s="28"/>
      <c r="S3" s="28"/>
      <c r="T3" s="28"/>
      <c r="U3" s="28"/>
      <c r="V3" s="28"/>
      <c r="W3" s="28"/>
      <c r="X3" s="1"/>
      <c r="Y3" s="1"/>
      <c r="Z3" s="1"/>
      <c r="AA3" s="1"/>
      <c r="AB3" s="1"/>
      <c r="AC3" s="2"/>
      <c r="AD3" s="2"/>
    </row>
    <row r="4" spans="1:30">
      <c r="A4" s="1"/>
      <c r="B4" s="1"/>
      <c r="C4" s="1"/>
      <c r="D4" s="1"/>
      <c r="E4" s="1"/>
      <c r="F4" s="1"/>
      <c r="G4" s="1"/>
      <c r="H4" s="1"/>
      <c r="I4" s="1"/>
      <c r="J4" s="1"/>
      <c r="K4" s="1"/>
      <c r="L4" s="1"/>
      <c r="M4" s="1"/>
      <c r="N4" s="1"/>
      <c r="O4" s="28"/>
      <c r="X4" s="1"/>
      <c r="Y4" s="1"/>
      <c r="Z4" s="1"/>
      <c r="AA4" s="1"/>
      <c r="AB4" s="1"/>
      <c r="AC4" s="2"/>
      <c r="AD4" s="2"/>
    </row>
    <row r="5" spans="1:30">
      <c r="A5" s="35"/>
      <c r="B5" s="35"/>
      <c r="C5" s="4" t="s">
        <v>147</v>
      </c>
      <c r="D5" s="4"/>
      <c r="E5" s="4"/>
      <c r="F5" s="4"/>
      <c r="G5" s="4"/>
      <c r="H5" s="4"/>
      <c r="I5" s="106" t="s">
        <v>148</v>
      </c>
      <c r="J5" s="4"/>
      <c r="K5" s="4"/>
      <c r="L5" s="4"/>
      <c r="M5" s="4"/>
      <c r="N5" s="4"/>
      <c r="O5" s="40"/>
      <c r="P5" s="4" t="s">
        <v>149</v>
      </c>
      <c r="Q5" s="4"/>
      <c r="R5" s="4"/>
      <c r="S5" s="4"/>
      <c r="T5" s="4"/>
      <c r="U5" s="4"/>
      <c r="V5" s="4"/>
      <c r="W5" s="9"/>
      <c r="X5" s="1" t="s">
        <v>50</v>
      </c>
      <c r="Y5" s="22"/>
      <c r="Z5" s="3"/>
      <c r="AA5" s="3"/>
      <c r="AB5" s="1"/>
      <c r="AC5" s="2"/>
      <c r="AD5" s="2"/>
    </row>
    <row r="6" spans="1:30" ht="25.5">
      <c r="A6" s="6"/>
      <c r="B6" s="6"/>
      <c r="C6" s="48"/>
      <c r="D6" s="48"/>
      <c r="E6" s="48" t="s">
        <v>43</v>
      </c>
      <c r="F6" s="134" t="s">
        <v>127</v>
      </c>
      <c r="G6" s="129" t="s">
        <v>126</v>
      </c>
      <c r="H6" s="68" t="s">
        <v>44</v>
      </c>
      <c r="I6" s="107"/>
      <c r="J6" s="68"/>
      <c r="K6" s="129" t="s">
        <v>43</v>
      </c>
      <c r="L6" s="134" t="s">
        <v>127</v>
      </c>
      <c r="M6" s="129" t="s">
        <v>126</v>
      </c>
      <c r="N6" s="68" t="s">
        <v>44</v>
      </c>
      <c r="O6" s="29"/>
      <c r="P6" s="38"/>
      <c r="Q6" s="48"/>
      <c r="R6" s="48" t="s">
        <v>43</v>
      </c>
      <c r="S6" s="129" t="s">
        <v>136</v>
      </c>
      <c r="T6" s="48" t="s">
        <v>135</v>
      </c>
      <c r="U6" s="48" t="s">
        <v>126</v>
      </c>
      <c r="V6" s="68" t="s">
        <v>44</v>
      </c>
      <c r="W6" s="68"/>
      <c r="X6" s="1" t="s">
        <v>50</v>
      </c>
      <c r="Y6" s="1"/>
      <c r="Z6" s="3"/>
      <c r="AA6" s="3"/>
      <c r="AB6" s="1"/>
      <c r="AC6" s="2"/>
      <c r="AD6" s="2"/>
    </row>
    <row r="7" spans="1:30" ht="14.25">
      <c r="A7" s="7"/>
      <c r="B7" s="7"/>
      <c r="C7" s="47" t="s">
        <v>130</v>
      </c>
      <c r="D7" s="47" t="s">
        <v>131</v>
      </c>
      <c r="E7" s="47" t="s">
        <v>132</v>
      </c>
      <c r="F7" s="47" t="s">
        <v>133</v>
      </c>
      <c r="G7" s="47" t="s">
        <v>49</v>
      </c>
      <c r="H7" s="49" t="s">
        <v>134</v>
      </c>
      <c r="I7" s="108" t="s">
        <v>45</v>
      </c>
      <c r="J7" s="49" t="s">
        <v>46</v>
      </c>
      <c r="K7" s="47" t="s">
        <v>47</v>
      </c>
      <c r="L7" s="47" t="s">
        <v>133</v>
      </c>
      <c r="M7" s="47" t="s">
        <v>49</v>
      </c>
      <c r="N7" s="49" t="s">
        <v>134</v>
      </c>
      <c r="O7" s="40"/>
      <c r="P7" s="47" t="s">
        <v>45</v>
      </c>
      <c r="Q7" s="47" t="s">
        <v>46</v>
      </c>
      <c r="R7" s="47" t="s">
        <v>47</v>
      </c>
      <c r="S7" s="47" t="s">
        <v>57</v>
      </c>
      <c r="T7" s="47" t="s">
        <v>48</v>
      </c>
      <c r="U7" s="47" t="s">
        <v>49</v>
      </c>
      <c r="V7" s="49" t="s">
        <v>68</v>
      </c>
      <c r="W7" s="39"/>
      <c r="X7" s="25" t="s">
        <v>77</v>
      </c>
      <c r="Y7" s="25"/>
      <c r="Z7" s="3"/>
      <c r="AA7" s="3"/>
      <c r="AB7" s="1"/>
      <c r="AC7" s="2"/>
      <c r="AD7" s="2"/>
    </row>
    <row r="8" spans="1:30">
      <c r="A8" s="104" t="s">
        <v>118</v>
      </c>
      <c r="B8" s="104"/>
      <c r="C8" s="109">
        <f>'Instruction-4YR'!AA6/'T E&amp;G 4YR'!AA6*100</f>
        <v>36.170284061488559</v>
      </c>
      <c r="D8" s="109">
        <f>'RESEARCH 4yr'!AA6/'T E&amp;G 4YR'!AA6*100</f>
        <v>15.96914958298245</v>
      </c>
      <c r="E8" s="109">
        <f>'PUBLIC SERVICE 4yr'!AA6/'T E&amp;G 4YR'!AA6*100</f>
        <v>6.094044672120325</v>
      </c>
      <c r="F8" s="109">
        <f>'ASptISptSSv 4yr'!AA6/'T E&amp;G 4YR'!AA6*100</f>
        <v>25.635496675230229</v>
      </c>
      <c r="G8" s="109">
        <f>'SCHOLAR FELLOW 4yr'!AA6/'T E&amp;G 4YR'!AA6*100</f>
        <v>14.740197251484924</v>
      </c>
      <c r="H8" s="109">
        <f>('All Other 4yr'!AA6/'T E&amp;G 4YR'!AA6)*100</f>
        <v>1.3908277566934917</v>
      </c>
      <c r="I8" s="110">
        <f t="shared" ref="I8:L9" si="0">IF((C8-P8)=0,(C8-P8),IF((C8-P8)&gt;=0.05,(C8-P8),IF((C8-P8&lt;=-0.05),(C8-P8),"*")))</f>
        <v>-0.23625586973444967</v>
      </c>
      <c r="J8" s="109">
        <f t="shared" si="0"/>
        <v>-1.6242608897304436</v>
      </c>
      <c r="K8" s="109">
        <f t="shared" si="0"/>
        <v>-0.55038789064911864</v>
      </c>
      <c r="L8" s="109">
        <f t="shared" si="0"/>
        <v>1.1779784393010928</v>
      </c>
      <c r="M8" s="109">
        <f>IF((G8-U8)=0,(G8-U8),IF((G8-U8)&gt;=0.05,(G8-U8),IF((G8-U8&lt;=-0.05),(G8-U8),"*")))</f>
        <v>1.5183859637202115</v>
      </c>
      <c r="N8" s="109">
        <f>IF((H8-V8)=0,(H8-V8),IF((H8-V8)&gt;=0.05,(H8-V8),IF((H8-V8&lt;=-0.05),(H8-V8),"*")))</f>
        <v>-0.28545975290731151</v>
      </c>
      <c r="O8" s="43"/>
      <c r="P8" s="71">
        <f>('Instruction-4YR'!V6)/'T E&amp;G 4YR'!V6*100</f>
        <v>36.406539931223008</v>
      </c>
      <c r="Q8" s="72">
        <f>('RESEARCH 4yr'!V6)/('T E&amp;G 4YR'!V6)*100</f>
        <v>17.593410472712893</v>
      </c>
      <c r="R8" s="72">
        <f>('PUBLIC SERVICE 4yr'!V6)/('T E&amp;G 4YR'!V6)*100</f>
        <v>6.6444325627694436</v>
      </c>
      <c r="S8" s="72">
        <f>('ASptISptSSv 4yr'!V6)/('T E&amp;G 4YR'!V6)*100</f>
        <v>24.457518235929136</v>
      </c>
      <c r="T8" s="73">
        <f>('PLANT OPER MAIN 4yr'!V6)/('T E&amp;G 4YR'!V6)*100</f>
        <v>0</v>
      </c>
      <c r="U8" s="72">
        <f>('SCHOLAR FELLOW 4yr'!V6)/('T E&amp;G 4YR'!V6)*100</f>
        <v>13.221811287764712</v>
      </c>
      <c r="V8" s="70">
        <f>IF((('All Other 4yr'!V6/'T E&amp;G 4YR'!V6)*100)&gt;=0.05,('All Other 4yr'!V6/'T E&amp;G 4YR'!V6)*100,"*")</f>
        <v>1.6762875096008032</v>
      </c>
      <c r="W8" s="70"/>
      <c r="X8" s="52">
        <f>SUM(P8:V8)</f>
        <v>99.999999999999986</v>
      </c>
      <c r="Y8" s="52">
        <f>SUM(C8:H8)</f>
        <v>100</v>
      </c>
      <c r="Z8" s="1"/>
      <c r="AA8" s="1"/>
      <c r="AB8" s="1"/>
      <c r="AC8" s="2"/>
      <c r="AD8" s="2"/>
    </row>
    <row r="9" spans="1:30">
      <c r="A9" s="101" t="s">
        <v>56</v>
      </c>
      <c r="B9" s="101"/>
      <c r="C9" s="111">
        <f>'Instruction-4YR'!AA7/'T E&amp;G 4YR'!AA7*100</f>
        <v>34.79810911839499</v>
      </c>
      <c r="D9" s="111">
        <f>'RESEARCH 4yr'!AA7/'T E&amp;G 4YR'!AA7*100</f>
        <v>16.127087642969926</v>
      </c>
      <c r="E9" s="111">
        <f>'PUBLIC SERVICE 4yr'!AA7/'T E&amp;G 4YR'!AA7*100</f>
        <v>6.8869921080728647</v>
      </c>
      <c r="F9" s="111">
        <f>'ASptISptSSv 4yr'!AA7/'T E&amp;G 4YR'!AA7*100</f>
        <v>24.54059056615073</v>
      </c>
      <c r="G9" s="111">
        <f>'SCHOLAR FELLOW 4yr'!AA7/'T E&amp;G 4YR'!AA7*100</f>
        <v>15.593299171233516</v>
      </c>
      <c r="H9" s="111">
        <f>('All Other 4yr'!AA7/'T E&amp;G 4YR'!AA7)*100</f>
        <v>2.0539213931779656</v>
      </c>
      <c r="I9" s="112">
        <f t="shared" si="0"/>
        <v>-1.3842290458611188</v>
      </c>
      <c r="J9" s="111">
        <f t="shared" si="0"/>
        <v>-1.300738168966884</v>
      </c>
      <c r="K9" s="111">
        <f t="shared" si="0"/>
        <v>-0.38312582696261721</v>
      </c>
      <c r="L9" s="111">
        <f t="shared" si="0"/>
        <v>0.92861280088347442</v>
      </c>
      <c r="M9" s="111">
        <f>IF((G9-U9)=0,(G9-U9),IF((G9-U9)&gt;=0.05,(G9-U9),IF((G9-U9&lt;=-0.05),(G9-U9),"*")))</f>
        <v>2.0530909602633471</v>
      </c>
      <c r="N9" s="111">
        <f>IF((H9-V9)=0,(H9-V9),IF((H9-V9)&gt;=0.05,(H9-V9),IF((H9-V9&lt;=-0.05),(H9-V9),"*")))</f>
        <v>8.6389280643785371E-2</v>
      </c>
      <c r="O9" s="43"/>
      <c r="P9" s="71">
        <f>('Instruction-4YR'!V7)/'T E&amp;G 4YR'!V7*100</f>
        <v>36.182338164256109</v>
      </c>
      <c r="Q9" s="72">
        <f>('RESEARCH 4yr'!V7)/('T E&amp;G 4YR'!V7)*100</f>
        <v>17.42782581193681</v>
      </c>
      <c r="R9" s="72">
        <f>('PUBLIC SERVICE 4yr'!V7)/('T E&amp;G 4YR'!V7)*100</f>
        <v>7.2701179350354819</v>
      </c>
      <c r="S9" s="72">
        <f>('ASptISptSSv 4yr'!V7)/('T E&amp;G 4YR'!V7)*100</f>
        <v>23.611977765267255</v>
      </c>
      <c r="T9" s="73">
        <f>('PLANT OPER MAIN 4yr'!V7)/('T E&amp;G 4YR'!V7)*100</f>
        <v>0</v>
      </c>
      <c r="U9" s="72">
        <f>('SCHOLAR FELLOW 4yr'!V7)/('T E&amp;G 4YR'!V7)*100</f>
        <v>13.540208210970169</v>
      </c>
      <c r="V9" s="70">
        <f>IF((('All Other 4yr'!V7/'T E&amp;G 4YR'!V7)*100)&gt;=0.05,('All Other 4yr'!V7/'T E&amp;G 4YR'!V7)*100,"*")</f>
        <v>1.9675321125341803</v>
      </c>
      <c r="W9" s="70"/>
      <c r="X9" s="52">
        <f>SUM(P9:V9)</f>
        <v>100</v>
      </c>
      <c r="Y9" s="52">
        <f>SUM(C9:H9)</f>
        <v>100</v>
      </c>
      <c r="Z9" s="1"/>
      <c r="AA9" s="1"/>
      <c r="AB9" s="1"/>
      <c r="AC9" s="2"/>
      <c r="AD9" s="2"/>
    </row>
    <row r="10" spans="1:30" s="46" customFormat="1">
      <c r="A10" s="101"/>
      <c r="B10" s="101"/>
      <c r="C10" s="111"/>
      <c r="D10" s="111"/>
      <c r="E10" s="111"/>
      <c r="F10" s="111"/>
      <c r="G10" s="111"/>
      <c r="H10" s="111"/>
      <c r="I10" s="112"/>
      <c r="J10" s="111"/>
      <c r="K10" s="111"/>
      <c r="L10" s="133"/>
      <c r="M10" s="111"/>
      <c r="N10" s="111"/>
      <c r="O10" s="15"/>
      <c r="P10" s="71"/>
      <c r="Q10" s="72"/>
      <c r="R10" s="72"/>
      <c r="S10" s="72"/>
      <c r="T10" s="73"/>
      <c r="U10" s="72"/>
      <c r="V10" s="70"/>
      <c r="W10" s="69"/>
      <c r="X10" s="16"/>
      <c r="Y10" s="16"/>
      <c r="Z10" s="13"/>
      <c r="AA10" s="13"/>
      <c r="AB10" s="13"/>
      <c r="AC10" s="14"/>
      <c r="AD10" s="14"/>
    </row>
    <row r="11" spans="1:30">
      <c r="A11" s="97" t="s">
        <v>3</v>
      </c>
      <c r="B11" s="97"/>
      <c r="C11" s="113">
        <f>'Instruction-4YR'!AA9/'T E&amp;G 4YR'!AA9*100</f>
        <v>32.7340564323937</v>
      </c>
      <c r="D11" s="113">
        <f>'RESEARCH 4yr'!AA9/'T E&amp;G 4YR'!AA9*100</f>
        <v>12.645048609593273</v>
      </c>
      <c r="E11" s="113">
        <f>'PUBLIC SERVICE 4yr'!AA9/'T E&amp;G 4YR'!AA9*100</f>
        <v>9.6523947596598632</v>
      </c>
      <c r="F11" s="113">
        <f>'ASptISptSSv 4yr'!AA9/'T E&amp;G 4YR'!AA9*100</f>
        <v>29.056818935175961</v>
      </c>
      <c r="G11" s="113">
        <f>'SCHOLAR FELLOW 4yr'!AA9/'T E&amp;G 4YR'!AA9*100</f>
        <v>15.30247721219213</v>
      </c>
      <c r="H11" s="113">
        <f>('All Other 4yr'!AA9/'T E&amp;G 4YR'!AA9)*100</f>
        <v>0.60920405098508412</v>
      </c>
      <c r="I11" s="114">
        <f t="shared" ref="I11:I27" si="1">IF((C11-P11)=0,(C11-P11),IF((C11-P11)&gt;=0.05,(C11-P11),IF((C11-P11&lt;=-0.05),(C11-P11),"*")))</f>
        <v>2.3908829107039793</v>
      </c>
      <c r="J11" s="113">
        <f t="shared" ref="J11:J27" si="2">IF((D11-Q11)=0,(D11-Q11),IF((D11-Q11)&gt;=0.05,(D11-Q11),IF((D11-Q11&lt;=-0.05),(D11-Q11),"*")))</f>
        <v>-2.6960833618007509</v>
      </c>
      <c r="K11" s="113">
        <f t="shared" ref="K11:K27" si="3">IF((E11-R11)=0,(E11-R11),IF((E11-R11)&gt;=0.05,(E11-R11),IF((E11-R11&lt;=-0.05),(E11-R11),"*")))</f>
        <v>1.7288198063990166</v>
      </c>
      <c r="L11" s="113">
        <f t="shared" ref="L11:L27" si="4">IF((F11-S11)=0,(F11-S11),IF((F11-S11)&gt;=0.05,(F11-S11),IF((F11-S11&lt;=-0.05),(F11-S11),"*")))</f>
        <v>-3.6440110404999899</v>
      </c>
      <c r="M11" s="113">
        <f t="shared" ref="M11:M27" si="5">IF((G11-U11)=0,(G11-U11),IF((G11-U11)&gt;=0.05,(G11-U11),IF((G11-U11&lt;=-0.05),(G11-U11),"*")))</f>
        <v>3.3614526784327339</v>
      </c>
      <c r="N11" s="113">
        <f t="shared" ref="N11:N27" si="6">IF((H11-V11)=0,(H11-V11),IF((H11-V11)&gt;=0.05,(H11-V11),IF((H11-V11&lt;=-0.05),(H11-V11),"*")))</f>
        <v>-1.1410609932349747</v>
      </c>
      <c r="O11" s="10"/>
      <c r="P11" s="71">
        <f>('Instruction-4YR'!V9)/'T E&amp;G 4YR'!V9*100</f>
        <v>30.343173521689721</v>
      </c>
      <c r="Q11" s="72">
        <f>('RESEARCH 4yr'!V9)/('T E&amp;G 4YR'!V9)*100</f>
        <v>15.341131971394024</v>
      </c>
      <c r="R11" s="72">
        <f>('PUBLIC SERVICE 4yr'!V9)/('T E&amp;G 4YR'!V9)*100</f>
        <v>7.9235749532608466</v>
      </c>
      <c r="S11" s="72">
        <f>('ASptISptSSv 4yr'!V9)/('T E&amp;G 4YR'!V9)*100</f>
        <v>32.700829975675951</v>
      </c>
      <c r="T11" s="73">
        <f>('PLANT OPER MAIN 4yr'!V9)/('T E&amp;G 4YR'!V9)*100</f>
        <v>0</v>
      </c>
      <c r="U11" s="72">
        <f>('SCHOLAR FELLOW 4yr'!V9)/('T E&amp;G 4YR'!V9)*100</f>
        <v>11.941024533759396</v>
      </c>
      <c r="V11" s="70">
        <f>IF((('All Other 4yr'!V9/'T E&amp;G 4YR'!V9)*100)&gt;=0.05,('All Other 4yr'!V9/'T E&amp;G 4YR'!V9)*100,"*")</f>
        <v>1.7502650442200589</v>
      </c>
      <c r="W11" s="69"/>
      <c r="X11" s="52">
        <f t="shared" ref="X11:X26" si="7">SUM(P11:V11)</f>
        <v>99.999999999999986</v>
      </c>
      <c r="Y11" s="52">
        <f>SUM(C11:H11)</f>
        <v>100.00000000000001</v>
      </c>
      <c r="Z11" s="1"/>
      <c r="AA11" s="1"/>
      <c r="AB11" s="1"/>
      <c r="AC11" s="2"/>
      <c r="AD11" s="2"/>
    </row>
    <row r="12" spans="1:30">
      <c r="A12" s="97" t="s">
        <v>4</v>
      </c>
      <c r="B12" s="97"/>
      <c r="C12" s="113">
        <f>'Instruction-4YR'!AA10/'T E&amp;G 4YR'!AA10*100</f>
        <v>32.713678923986301</v>
      </c>
      <c r="D12" s="113">
        <f>'RESEARCH 4yr'!AA10/'T E&amp;G 4YR'!AA10*100</f>
        <v>12.825404615140727</v>
      </c>
      <c r="E12" s="113">
        <f>'PUBLIC SERVICE 4yr'!AA10/'T E&amp;G 4YR'!AA10*100</f>
        <v>8.0510643334531924</v>
      </c>
      <c r="F12" s="113">
        <f>'ASptISptSSv 4yr'!AA10/'T E&amp;G 4YR'!AA10*100</f>
        <v>25.6853314791333</v>
      </c>
      <c r="G12" s="113">
        <f>'SCHOLAR FELLOW 4yr'!AA10/'T E&amp;G 4YR'!AA10*100</f>
        <v>18.326582283005514</v>
      </c>
      <c r="H12" s="113">
        <f>('All Other 4yr'!AA10/'T E&amp;G 4YR'!AA10)*100</f>
        <v>2.397938365280976</v>
      </c>
      <c r="I12" s="114">
        <f t="shared" si="1"/>
        <v>-0.42032675235006423</v>
      </c>
      <c r="J12" s="113">
        <f t="shared" si="2"/>
        <v>-1.4405991998281173</v>
      </c>
      <c r="K12" s="113">
        <f t="shared" si="3"/>
        <v>-0.76547417882776081</v>
      </c>
      <c r="L12" s="113">
        <f t="shared" si="4"/>
        <v>0.33586562416236987</v>
      </c>
      <c r="M12" s="113">
        <f t="shared" si="5"/>
        <v>1.8431468209183635</v>
      </c>
      <c r="N12" s="113">
        <f t="shared" si="6"/>
        <v>0.44738768592521905</v>
      </c>
      <c r="O12" s="10"/>
      <c r="P12" s="71">
        <f>('Instruction-4YR'!V10)/'T E&amp;G 4YR'!V10*100</f>
        <v>33.134005676336365</v>
      </c>
      <c r="Q12" s="72">
        <f>('RESEARCH 4yr'!V10)/('T E&amp;G 4YR'!V10)*100</f>
        <v>14.266003814968844</v>
      </c>
      <c r="R12" s="72">
        <f>('PUBLIC SERVICE 4yr'!V10)/('T E&amp;G 4YR'!V10)*100</f>
        <v>8.8165385122809532</v>
      </c>
      <c r="S12" s="72">
        <f>('ASptISptSSv 4yr'!V10)/('T E&amp;G 4YR'!V10)*100</f>
        <v>25.34946585497093</v>
      </c>
      <c r="T12" s="73">
        <f>('PLANT OPER MAIN 4yr'!V10)/('T E&amp;G 4YR'!V10)*100</f>
        <v>0</v>
      </c>
      <c r="U12" s="72">
        <f>('SCHOLAR FELLOW 4yr'!V10)/('T E&amp;G 4YR'!V10)*100</f>
        <v>16.483435462087151</v>
      </c>
      <c r="V12" s="70">
        <f>IF((('All Other 4yr'!V10/'T E&amp;G 4YR'!V10)*100)&gt;=0.05,('All Other 4yr'!V10/'T E&amp;G 4YR'!V10)*100,"*")</f>
        <v>1.950550679355757</v>
      </c>
      <c r="W12" s="69"/>
      <c r="X12" s="52">
        <f t="shared" ref="X12:X16" si="8">SUM(P12:V12)</f>
        <v>100</v>
      </c>
      <c r="Y12" s="52">
        <f t="shared" ref="Y12:Y16" si="9">SUM(C12:H12)</f>
        <v>100.00000000000001</v>
      </c>
      <c r="Z12" s="1"/>
      <c r="AA12" s="1"/>
      <c r="AB12" s="1"/>
      <c r="AC12" s="2"/>
      <c r="AD12" s="2"/>
    </row>
    <row r="13" spans="1:30" s="46" customFormat="1">
      <c r="A13" s="97" t="s">
        <v>52</v>
      </c>
      <c r="B13" s="97"/>
      <c r="C13" s="113">
        <f>'Instruction-4YR'!AA11/'T E&amp;G 4YR'!AA11*100</f>
        <v>40.83041817328251</v>
      </c>
      <c r="D13" s="113">
        <f>'RESEARCH 4yr'!AA11/'T E&amp;G 4YR'!AA11*100</f>
        <v>13.982052488584436</v>
      </c>
      <c r="E13" s="113">
        <f>'PUBLIC SERVICE 4yr'!AA11/'T E&amp;G 4YR'!AA11*100</f>
        <v>4.884735304912331</v>
      </c>
      <c r="F13" s="113">
        <f>'ASptISptSSv 4yr'!AA11/'T E&amp;G 4YR'!AA11*100</f>
        <v>23.012474984392217</v>
      </c>
      <c r="G13" s="113">
        <f>'SCHOLAR FELLOW 4yr'!AA11/'T E&amp;G 4YR'!AA11*100</f>
        <v>16.888709092264044</v>
      </c>
      <c r="H13" s="113">
        <f>('All Other 4yr'!AA11/'T E&amp;G 4YR'!AA11)*100</f>
        <v>0.40160995656447795</v>
      </c>
      <c r="I13" s="114">
        <f t="shared" si="1"/>
        <v>-1.0700275433416735</v>
      </c>
      <c r="J13" s="113">
        <f t="shared" si="2"/>
        <v>-1.9604758733880967</v>
      </c>
      <c r="K13" s="113">
        <f t="shared" si="3"/>
        <v>-0.61534059611900993</v>
      </c>
      <c r="L13" s="113">
        <f t="shared" si="4"/>
        <v>0.55276897487605225</v>
      </c>
      <c r="M13" s="113">
        <f t="shared" si="5"/>
        <v>2.8338331791021698</v>
      </c>
      <c r="N13" s="113">
        <f t="shared" si="6"/>
        <v>0.25924185887057571</v>
      </c>
      <c r="O13" s="15"/>
      <c r="P13" s="71">
        <f>('Instruction-4YR'!V11)/'T E&amp;G 4YR'!V11*100</f>
        <v>41.900445716624183</v>
      </c>
      <c r="Q13" s="72">
        <f>('RESEARCH 4yr'!V11)/('T E&amp;G 4YR'!V11)*100</f>
        <v>15.942528361972533</v>
      </c>
      <c r="R13" s="72">
        <f>('PUBLIC SERVICE 4yr'!V11)/('T E&amp;G 4YR'!V11)*100</f>
        <v>5.5000759010313409</v>
      </c>
      <c r="S13" s="72">
        <f>('ASptISptSSv 4yr'!V11)/('T E&amp;G 4YR'!V11)*100</f>
        <v>22.459706009516164</v>
      </c>
      <c r="T13" s="73">
        <f>('PLANT OPER MAIN 4yr'!V11)/('T E&amp;G 4YR'!V11)*100</f>
        <v>0</v>
      </c>
      <c r="U13" s="72">
        <f>('SCHOLAR FELLOW 4yr'!V11)/('T E&amp;G 4YR'!V11)*100</f>
        <v>14.054875913161874</v>
      </c>
      <c r="V13" s="70">
        <f>IF((('All Other 4yr'!V11/'T E&amp;G 4YR'!V11)*100)&gt;=0.05,('All Other 4yr'!V11/'T E&amp;G 4YR'!V11)*100,"*")</f>
        <v>0.14236809769390227</v>
      </c>
      <c r="W13" s="69"/>
      <c r="X13" s="52">
        <f>SUM(P13:V13)</f>
        <v>100.00000000000001</v>
      </c>
      <c r="Y13" s="52">
        <f>SUM(C13:H13)</f>
        <v>100</v>
      </c>
      <c r="Z13" s="13"/>
      <c r="AA13" s="13"/>
      <c r="AB13" s="13"/>
      <c r="AC13" s="14"/>
      <c r="AD13" s="14"/>
    </row>
    <row r="14" spans="1:30">
      <c r="A14" s="97" t="s">
        <v>5</v>
      </c>
      <c r="B14" s="97"/>
      <c r="C14" s="113">
        <f>'Instruction-4YR'!AA12/'T E&amp;G 4YR'!AA12*100</f>
        <v>33.243120582491848</v>
      </c>
      <c r="D14" s="113">
        <f>'RESEARCH 4yr'!AA12/'T E&amp;G 4YR'!AA12*100</f>
        <v>17.632587611325118</v>
      </c>
      <c r="E14" s="113">
        <f>'PUBLIC SERVICE 4yr'!AA12/'T E&amp;G 4YR'!AA12*100</f>
        <v>8.1469992125230597</v>
      </c>
      <c r="F14" s="113">
        <f>'ASptISptSSv 4yr'!AA12/'T E&amp;G 4YR'!AA12*100</f>
        <v>22.926290883969788</v>
      </c>
      <c r="G14" s="113">
        <f>'SCHOLAR FELLOW 4yr'!AA12/'T E&amp;G 4YR'!AA12*100</f>
        <v>15.966199982256047</v>
      </c>
      <c r="H14" s="113">
        <f>('All Other 4yr'!AA12/'T E&amp;G 4YR'!AA12)*100</f>
        <v>2.084801727434145</v>
      </c>
      <c r="I14" s="114">
        <f t="shared" si="1"/>
        <v>-0.19194933308008899</v>
      </c>
      <c r="J14" s="113">
        <f t="shared" si="2"/>
        <v>-1.180780670814336</v>
      </c>
      <c r="K14" s="113">
        <f t="shared" si="3"/>
        <v>0.72889975326978274</v>
      </c>
      <c r="L14" s="113">
        <f t="shared" si="4"/>
        <v>1.2364415086189808</v>
      </c>
      <c r="M14" s="113">
        <f t="shared" si="5"/>
        <v>-0.8607799786133441</v>
      </c>
      <c r="N14" s="113">
        <f t="shared" si="6"/>
        <v>0.26816872061899621</v>
      </c>
      <c r="O14" s="10"/>
      <c r="P14" s="71">
        <f>('Instruction-4YR'!V12)/'T E&amp;G 4YR'!V12*100</f>
        <v>33.435069915571937</v>
      </c>
      <c r="Q14" s="72">
        <f>('RESEARCH 4yr'!V12)/('T E&amp;G 4YR'!V12)*100</f>
        <v>18.813368282139454</v>
      </c>
      <c r="R14" s="72">
        <f>('PUBLIC SERVICE 4yr'!V12)/('T E&amp;G 4YR'!V12)*100</f>
        <v>7.418099459253277</v>
      </c>
      <c r="S14" s="72">
        <f>('ASptISptSSv 4yr'!V12)/('T E&amp;G 4YR'!V12)*100</f>
        <v>21.689849375350807</v>
      </c>
      <c r="T14" s="73">
        <f>('PLANT OPER MAIN 4yr'!V12)/('T E&amp;G 4YR'!V12)*100</f>
        <v>0</v>
      </c>
      <c r="U14" s="72">
        <f>('SCHOLAR FELLOW 4yr'!V12)/('T E&amp;G 4YR'!V12)*100</f>
        <v>16.826979960869391</v>
      </c>
      <c r="V14" s="70">
        <f>IF((('All Other 4yr'!V12/'T E&amp;G 4YR'!V12)*100)&gt;=0.05,('All Other 4yr'!V12/'T E&amp;G 4YR'!V12)*100,"*")</f>
        <v>1.8166330068151488</v>
      </c>
      <c r="W14" s="69"/>
      <c r="X14" s="52">
        <f>SUM(P14:V14)</f>
        <v>100.00000000000003</v>
      </c>
      <c r="Y14" s="52">
        <f t="shared" si="9"/>
        <v>99.999999999999986</v>
      </c>
      <c r="Z14" s="1"/>
      <c r="AA14" s="1"/>
      <c r="AB14" s="1"/>
      <c r="AC14" s="2"/>
      <c r="AD14" s="2"/>
    </row>
    <row r="15" spans="1:30">
      <c r="A15" s="98" t="s">
        <v>6</v>
      </c>
      <c r="B15" s="98"/>
      <c r="C15" s="111">
        <f>'Instruction-4YR'!AA13/'T E&amp;G 4YR'!AA13*100</f>
        <v>32.570317563898286</v>
      </c>
      <c r="D15" s="111">
        <f>'RESEARCH 4yr'!AA13/'T E&amp;G 4YR'!AA13*100</f>
        <v>23.207577196820729</v>
      </c>
      <c r="E15" s="111">
        <f>'PUBLIC SERVICE 4yr'!AA13/'T E&amp;G 4YR'!AA13*100</f>
        <v>5.5516259276626467</v>
      </c>
      <c r="F15" s="111">
        <f>'ASptISptSSv 4yr'!AA13/'T E&amp;G 4YR'!AA13*100</f>
        <v>25.406769765253973</v>
      </c>
      <c r="G15" s="111">
        <f>'SCHOLAR FELLOW 4yr'!AA13/'T E&amp;G 4YR'!AA13*100</f>
        <v>12.822295018983734</v>
      </c>
      <c r="H15" s="111">
        <f>('All Other 4yr'!AA13/'T E&amp;G 4YR'!AA13)*100</f>
        <v>0.44141452738062947</v>
      </c>
      <c r="I15" s="116">
        <f t="shared" si="1"/>
        <v>-0.35210072184363383</v>
      </c>
      <c r="J15" s="115">
        <f t="shared" si="2"/>
        <v>0.50937664734990307</v>
      </c>
      <c r="K15" s="115">
        <f t="shared" si="3"/>
        <v>-2.6322380579851377</v>
      </c>
      <c r="L15" s="115">
        <f t="shared" si="4"/>
        <v>1.8415893752693719</v>
      </c>
      <c r="M15" s="115">
        <f t="shared" si="5"/>
        <v>0.87732168314005499</v>
      </c>
      <c r="N15" s="115">
        <f t="shared" si="6"/>
        <v>-0.24394892593055717</v>
      </c>
      <c r="O15" s="43"/>
      <c r="P15" s="71">
        <f>('Instruction-4YR'!V13)/'T E&amp;G 4YR'!V13*100</f>
        <v>32.922418285741919</v>
      </c>
      <c r="Q15" s="72">
        <f>('RESEARCH 4yr'!V13)/('T E&amp;G 4YR'!V13)*100</f>
        <v>22.698200549470826</v>
      </c>
      <c r="R15" s="72">
        <f>('PUBLIC SERVICE 4yr'!V13)/('T E&amp;G 4YR'!V13)*100</f>
        <v>8.1838639856477844</v>
      </c>
      <c r="S15" s="72">
        <f>('ASptISptSSv 4yr'!V13)/('T E&amp;G 4YR'!V13)*100</f>
        <v>23.565180389984601</v>
      </c>
      <c r="T15" s="73">
        <f>('PLANT OPER MAIN 4yr'!V13)/('T E&amp;G 4YR'!V13)*100</f>
        <v>0</v>
      </c>
      <c r="U15" s="72">
        <f>('SCHOLAR FELLOW 4yr'!V13)/('T E&amp;G 4YR'!V13)*100</f>
        <v>11.944973335843679</v>
      </c>
      <c r="V15" s="70">
        <f>IF((('All Other 4yr'!V13/'T E&amp;G 4YR'!V13)*100)&gt;=0.05,('All Other 4yr'!V13/'T E&amp;G 4YR'!V13)*100,"*")</f>
        <v>0.68536345331118664</v>
      </c>
      <c r="W15" s="70"/>
      <c r="X15" s="52">
        <f t="shared" si="8"/>
        <v>100</v>
      </c>
      <c r="Y15" s="52">
        <f t="shared" si="9"/>
        <v>100</v>
      </c>
      <c r="Z15" s="1"/>
      <c r="AA15" s="1"/>
      <c r="AB15" s="1"/>
      <c r="AC15" s="2"/>
      <c r="AD15" s="2"/>
    </row>
    <row r="16" spans="1:30">
      <c r="A16" s="98" t="s">
        <v>7</v>
      </c>
      <c r="B16" s="98"/>
      <c r="C16" s="111">
        <f>'Instruction-4YR'!AA14/'T E&amp;G 4YR'!AA14*100</f>
        <v>28.754912342421886</v>
      </c>
      <c r="D16" s="111">
        <f>'RESEARCH 4yr'!AA14/'T E&amp;G 4YR'!AA14*100</f>
        <v>12.105178462689349</v>
      </c>
      <c r="E16" s="111">
        <f>'PUBLIC SERVICE 4yr'!AA14/'T E&amp;G 4YR'!AA14*100</f>
        <v>18.576923347388043</v>
      </c>
      <c r="F16" s="111">
        <f>'ASptISptSSv 4yr'!AA14/'T E&amp;G 4YR'!AA14*100</f>
        <v>24.032680719686851</v>
      </c>
      <c r="G16" s="111">
        <f>'SCHOLAR FELLOW 4yr'!AA14/'T E&amp;G 4YR'!AA14*100</f>
        <v>16.127172396698604</v>
      </c>
      <c r="H16" s="111">
        <f>('All Other 4yr'!AA14/'T E&amp;G 4YR'!AA14)*100</f>
        <v>0.40313273111526454</v>
      </c>
      <c r="I16" s="116">
        <f t="shared" si="1"/>
        <v>-0.33079580195023794</v>
      </c>
      <c r="J16" s="115">
        <f t="shared" si="2"/>
        <v>-2.2213066211147794</v>
      </c>
      <c r="K16" s="115">
        <f t="shared" si="3"/>
        <v>0.39652785814261549</v>
      </c>
      <c r="L16" s="115">
        <f t="shared" si="4"/>
        <v>0.15612802126019076</v>
      </c>
      <c r="M16" s="115">
        <f t="shared" si="5"/>
        <v>2.0689402478171885</v>
      </c>
      <c r="N16" s="115">
        <f t="shared" si="6"/>
        <v>-6.9493704154976021E-2</v>
      </c>
      <c r="O16" s="43"/>
      <c r="P16" s="71">
        <f>('Instruction-4YR'!V14)/'T E&amp;G 4YR'!V14*100</f>
        <v>29.085708144372123</v>
      </c>
      <c r="Q16" s="72">
        <f>('RESEARCH 4yr'!V14)/('T E&amp;G 4YR'!V14)*100</f>
        <v>14.326485083804128</v>
      </c>
      <c r="R16" s="72">
        <f>('PUBLIC SERVICE 4yr'!V14)/('T E&amp;G 4YR'!V14)*100</f>
        <v>18.180395489245427</v>
      </c>
      <c r="S16" s="72">
        <f>('ASptISptSSv 4yr'!V14)/('T E&amp;G 4YR'!V14)*100</f>
        <v>23.876552698426661</v>
      </c>
      <c r="T16" s="73">
        <f>('PLANT OPER MAIN 4yr'!V14)/('T E&amp;G 4YR'!V14)*100</f>
        <v>0</v>
      </c>
      <c r="U16" s="72">
        <f>('SCHOLAR FELLOW 4yr'!V14)/('T E&amp;G 4YR'!V14)*100</f>
        <v>14.058232148881416</v>
      </c>
      <c r="V16" s="70">
        <f>IF((('All Other 4yr'!V14/'T E&amp;G 4YR'!V14)*100)&gt;=0.05,('All Other 4yr'!V14/'T E&amp;G 4YR'!V14)*100,"*")</f>
        <v>0.47262643527024056</v>
      </c>
      <c r="W16" s="70"/>
      <c r="X16" s="52">
        <f t="shared" si="8"/>
        <v>100</v>
      </c>
      <c r="Y16" s="52">
        <f t="shared" si="9"/>
        <v>99.999999999999986</v>
      </c>
      <c r="Z16" s="1"/>
      <c r="AA16" s="1"/>
      <c r="AB16" s="1"/>
      <c r="AC16" s="2"/>
      <c r="AD16" s="2"/>
    </row>
    <row r="17" spans="1:30">
      <c r="A17" s="98" t="s">
        <v>8</v>
      </c>
      <c r="B17" s="98"/>
      <c r="C17" s="111">
        <f>'Instruction-4YR'!AA15/'T E&amp;G 4YR'!AA15*100</f>
        <v>34.042884441976575</v>
      </c>
      <c r="D17" s="111">
        <f>'RESEARCH 4yr'!AA15/'T E&amp;G 4YR'!AA15*100</f>
        <v>14.651619619100423</v>
      </c>
      <c r="E17" s="111">
        <f>'PUBLIC SERVICE 4yr'!AA15/'T E&amp;G 4YR'!AA15*100</f>
        <v>12.123822375062852</v>
      </c>
      <c r="F17" s="111">
        <f>'ASptISptSSv 4yr'!AA15/'T E&amp;G 4YR'!AA15*100</f>
        <v>24.595149853450071</v>
      </c>
      <c r="G17" s="111">
        <f>'SCHOLAR FELLOW 4yr'!AA15/'T E&amp;G 4YR'!AA15*100</f>
        <v>13.516440481896074</v>
      </c>
      <c r="H17" s="111">
        <f>('All Other 4yr'!AA15/'T E&amp;G 4YR'!AA15)*100</f>
        <v>1.0700832285140034</v>
      </c>
      <c r="I17" s="116">
        <f t="shared" si="1"/>
        <v>-1.4788108782945173</v>
      </c>
      <c r="J17" s="115">
        <f t="shared" si="2"/>
        <v>-2.1236579047772643</v>
      </c>
      <c r="K17" s="115">
        <f t="shared" si="3"/>
        <v>0.12363388405355913</v>
      </c>
      <c r="L17" s="115">
        <f t="shared" si="4"/>
        <v>1.5984132969037788</v>
      </c>
      <c r="M17" s="115">
        <f t="shared" si="5"/>
        <v>2.1277975394387827</v>
      </c>
      <c r="N17" s="115">
        <f t="shared" si="6"/>
        <v>-0.24737593732433982</v>
      </c>
      <c r="O17" s="43"/>
      <c r="P17" s="71">
        <f>('Instruction-4YR'!V15)/'T E&amp;G 4YR'!V15*100</f>
        <v>35.521695320271093</v>
      </c>
      <c r="Q17" s="72">
        <f>('RESEARCH 4yr'!V15)/('T E&amp;G 4YR'!V15)*100</f>
        <v>16.775277523877687</v>
      </c>
      <c r="R17" s="72">
        <f>('PUBLIC SERVICE 4yr'!V15)/('T E&amp;G 4YR'!V15)*100</f>
        <v>12.000188491009293</v>
      </c>
      <c r="S17" s="72">
        <f>('ASptISptSSv 4yr'!V15)/('T E&amp;G 4YR'!V15)*100</f>
        <v>22.996736556546292</v>
      </c>
      <c r="T17" s="73">
        <f>('PLANT OPER MAIN 4yr'!V15)/('T E&amp;G 4YR'!V15)*100</f>
        <v>0</v>
      </c>
      <c r="U17" s="72">
        <f>('SCHOLAR FELLOW 4yr'!V15)/('T E&amp;G 4YR'!V15)*100</f>
        <v>11.388642942457292</v>
      </c>
      <c r="V17" s="70">
        <f>IF((('All Other 4yr'!V15/'T E&amp;G 4YR'!V15)*100)&gt;=0.05,('All Other 4yr'!V15/'T E&amp;G 4YR'!V15)*100,"*")</f>
        <v>1.3174591658383432</v>
      </c>
      <c r="W17" s="70"/>
      <c r="X17" s="52">
        <f t="shared" si="7"/>
        <v>100.00000000000001</v>
      </c>
      <c r="Y17" s="52">
        <f t="shared" ref="Y17:Y26" si="10">SUM(C17:H17)</f>
        <v>100</v>
      </c>
      <c r="Z17" s="1"/>
      <c r="AA17" s="1"/>
      <c r="AB17" s="1"/>
      <c r="AC17" s="2"/>
      <c r="AD17" s="2"/>
    </row>
    <row r="18" spans="1:30">
      <c r="A18" s="98" t="s">
        <v>9</v>
      </c>
      <c r="B18" s="98"/>
      <c r="C18" s="111">
        <f>'Instruction-4YR'!AA16/'T E&amp;G 4YR'!AA16*100</f>
        <v>32.832730810342817</v>
      </c>
      <c r="D18" s="111">
        <f>'RESEARCH 4yr'!AA16/'T E&amp;G 4YR'!AA16*100</f>
        <v>23.237135845324318</v>
      </c>
      <c r="E18" s="111">
        <f>'PUBLIC SERVICE 4yr'!AA16/'T E&amp;G 4YR'!AA16*100</f>
        <v>3.8957327983449654</v>
      </c>
      <c r="F18" s="111">
        <f>'ASptISptSSv 4yr'!AA16/'T E&amp;G 4YR'!AA16*100</f>
        <v>28.883258415551417</v>
      </c>
      <c r="G18" s="111">
        <f>'SCHOLAR FELLOW 4yr'!AA16/'T E&amp;G 4YR'!AA16*100</f>
        <v>10.38178202088565</v>
      </c>
      <c r="H18" s="111">
        <f>('All Other 4yr'!AA16/'T E&amp;G 4YR'!AA16)*100</f>
        <v>0.76936010955083634</v>
      </c>
      <c r="I18" s="116">
        <f t="shared" si="1"/>
        <v>0.47084585728723027</v>
      </c>
      <c r="J18" s="115">
        <f t="shared" si="2"/>
        <v>-2.6481605588454649</v>
      </c>
      <c r="K18" s="115">
        <f t="shared" si="3"/>
        <v>-0.45005514469740371</v>
      </c>
      <c r="L18" s="115">
        <f t="shared" si="4"/>
        <v>1.6377217804855846</v>
      </c>
      <c r="M18" s="115">
        <f t="shared" si="5"/>
        <v>0.85933411252143088</v>
      </c>
      <c r="N18" s="115">
        <f t="shared" si="6"/>
        <v>0.13031395324862571</v>
      </c>
      <c r="O18" s="43"/>
      <c r="P18" s="71">
        <f>('Instruction-4YR'!V16)/'T E&amp;G 4YR'!V16*100</f>
        <v>32.361884953055586</v>
      </c>
      <c r="Q18" s="72">
        <f>('RESEARCH 4yr'!V16)/('T E&amp;G 4YR'!V16)*100</f>
        <v>25.885296404169782</v>
      </c>
      <c r="R18" s="72">
        <f>('PUBLIC SERVICE 4yr'!V16)/('T E&amp;G 4YR'!V16)*100</f>
        <v>4.3457879430423692</v>
      </c>
      <c r="S18" s="72">
        <f>('ASptISptSSv 4yr'!V16)/('T E&amp;G 4YR'!V16)*100</f>
        <v>27.245536635065832</v>
      </c>
      <c r="T18" s="73">
        <f>('PLANT OPER MAIN 4yr'!V16)/('T E&amp;G 4YR'!V16)*100</f>
        <v>0</v>
      </c>
      <c r="U18" s="72">
        <f>('SCHOLAR FELLOW 4yr'!V16)/('T E&amp;G 4YR'!V16)*100</f>
        <v>9.5224479083642191</v>
      </c>
      <c r="V18" s="70">
        <f>IF((('All Other 4yr'!V16/'T E&amp;G 4YR'!V16)*100)&gt;=0.05,('All Other 4yr'!V16/'T E&amp;G 4YR'!V16)*100,"*")</f>
        <v>0.63904615630221062</v>
      </c>
      <c r="W18" s="70"/>
      <c r="X18" s="52">
        <f t="shared" si="7"/>
        <v>100</v>
      </c>
      <c r="Y18" s="52">
        <f t="shared" si="10"/>
        <v>100</v>
      </c>
      <c r="Z18" s="1"/>
      <c r="AA18" s="1"/>
      <c r="AB18" s="1"/>
      <c r="AC18" s="2"/>
      <c r="AD18" s="2"/>
    </row>
    <row r="19" spans="1:30">
      <c r="A19" s="97" t="s">
        <v>10</v>
      </c>
      <c r="B19" s="97"/>
      <c r="C19" s="113">
        <f>'Instruction-4YR'!AA17/'T E&amp;G 4YR'!AA17*100</f>
        <v>32.850378282087455</v>
      </c>
      <c r="D19" s="113">
        <f>'RESEARCH 4yr'!AA17/'T E&amp;G 4YR'!AA17*100</f>
        <v>14.412448792137308</v>
      </c>
      <c r="E19" s="113">
        <f>'PUBLIC SERVICE 4yr'!AA17/'T E&amp;G 4YR'!AA17*100</f>
        <v>7.5092378159303346</v>
      </c>
      <c r="F19" s="113">
        <f>'ASptISptSSv 4yr'!AA17/'T E&amp;G 4YR'!AA17*100</f>
        <v>25.713325947261655</v>
      </c>
      <c r="G19" s="113">
        <f>'SCHOLAR FELLOW 4yr'!AA17/'T E&amp;G 4YR'!AA17*100</f>
        <v>18.720910196985987</v>
      </c>
      <c r="H19" s="113">
        <f>('All Other 4yr'!AA17/'T E&amp;G 4YR'!AA17)*100</f>
        <v>0.79369896559725572</v>
      </c>
      <c r="I19" s="114">
        <f t="shared" si="1"/>
        <v>5.9913725478651259E-2</v>
      </c>
      <c r="J19" s="113">
        <f t="shared" si="2"/>
        <v>-4.5611823305813246</v>
      </c>
      <c r="K19" s="113">
        <f t="shared" si="3"/>
        <v>-0.87996414505578624</v>
      </c>
      <c r="L19" s="113">
        <f t="shared" si="4"/>
        <v>2.4636730864737366</v>
      </c>
      <c r="M19" s="113">
        <f t="shared" si="5"/>
        <v>3.9837436136721234</v>
      </c>
      <c r="N19" s="113">
        <f t="shared" si="6"/>
        <v>-1.066183949987402</v>
      </c>
      <c r="O19" s="10"/>
      <c r="P19" s="71">
        <f>('Instruction-4YR'!V17)/'T E&amp;G 4YR'!V17*100</f>
        <v>32.790464556608804</v>
      </c>
      <c r="Q19" s="72">
        <f>('RESEARCH 4yr'!V17)/('T E&amp;G 4YR'!V17)*100</f>
        <v>18.973631122718633</v>
      </c>
      <c r="R19" s="72">
        <f>('PUBLIC SERVICE 4yr'!V17)/('T E&amp;G 4YR'!V17)*100</f>
        <v>8.3892019609861208</v>
      </c>
      <c r="S19" s="72">
        <f>('ASptISptSSv 4yr'!V17)/('T E&amp;G 4YR'!V17)*100</f>
        <v>23.249652860787918</v>
      </c>
      <c r="T19" s="73">
        <f>('PLANT OPER MAIN 4yr'!V17)/('T E&amp;G 4YR'!V17)*100</f>
        <v>0</v>
      </c>
      <c r="U19" s="72">
        <f>('SCHOLAR FELLOW 4yr'!V17)/('T E&amp;G 4YR'!V17)*100</f>
        <v>14.737166583313863</v>
      </c>
      <c r="V19" s="70">
        <f>IF((('All Other 4yr'!V17/'T E&amp;G 4YR'!V17)*100)&gt;=0.05,('All Other 4yr'!V17/'T E&amp;G 4YR'!V17)*100,"*")</f>
        <v>1.8598829155846577</v>
      </c>
      <c r="W19" s="69"/>
      <c r="X19" s="52">
        <f t="shared" si="7"/>
        <v>100.00000000000001</v>
      </c>
      <c r="Y19" s="52">
        <f t="shared" si="10"/>
        <v>99.999999999999986</v>
      </c>
      <c r="Z19" s="1"/>
      <c r="AA19" s="1"/>
      <c r="AB19" s="1"/>
      <c r="AC19" s="2"/>
      <c r="AD19" s="2"/>
    </row>
    <row r="20" spans="1:30">
      <c r="A20" s="97" t="s">
        <v>11</v>
      </c>
      <c r="B20" s="97"/>
      <c r="C20" s="113">
        <f>'Instruction-4YR'!AA18/'T E&amp;G 4YR'!AA18*100</f>
        <v>38.703691913706301</v>
      </c>
      <c r="D20" s="113">
        <f>'RESEARCH 4yr'!AA18/'T E&amp;G 4YR'!AA18*100</f>
        <v>18.614163239566594</v>
      </c>
      <c r="E20" s="113">
        <f>'PUBLIC SERVICE 4yr'!AA18/'T E&amp;G 4YR'!AA18*100</f>
        <v>5.7192238087947125</v>
      </c>
      <c r="F20" s="113">
        <f>'ASptISptSSv 4yr'!AA18/'T E&amp;G 4YR'!AA18*100</f>
        <v>21.120615881842312</v>
      </c>
      <c r="G20" s="113">
        <f>'SCHOLAR FELLOW 4yr'!AA18/'T E&amp;G 4YR'!AA18*100</f>
        <v>15.12070781065562</v>
      </c>
      <c r="H20" s="113">
        <f>('All Other 4yr'!AA18/'T E&amp;G 4YR'!AA18)*100</f>
        <v>0.72159734543445986</v>
      </c>
      <c r="I20" s="114">
        <f t="shared" si="1"/>
        <v>-3.8012454668269697</v>
      </c>
      <c r="J20" s="113">
        <f t="shared" si="2"/>
        <v>3.0737518380206925</v>
      </c>
      <c r="K20" s="113">
        <f t="shared" si="3"/>
        <v>-0.56498350570365385</v>
      </c>
      <c r="L20" s="113">
        <f t="shared" si="4"/>
        <v>-0.39576642295040898</v>
      </c>
      <c r="M20" s="113">
        <f t="shared" si="5"/>
        <v>1.7212740253699703</v>
      </c>
      <c r="N20" s="113" t="str">
        <f t="shared" si="6"/>
        <v>*</v>
      </c>
      <c r="O20" s="10"/>
      <c r="P20" s="71">
        <f>('Instruction-4YR'!V18)/'T E&amp;G 4YR'!V18*100</f>
        <v>42.504937380533271</v>
      </c>
      <c r="Q20" s="72">
        <f>('RESEARCH 4yr'!V18)/('T E&amp;G 4YR'!V18)*100</f>
        <v>15.540411401545901</v>
      </c>
      <c r="R20" s="72">
        <f>('PUBLIC SERVICE 4yr'!V18)/('T E&amp;G 4YR'!V18)*100</f>
        <v>6.2842073144983663</v>
      </c>
      <c r="S20" s="72">
        <f>('ASptISptSSv 4yr'!V18)/('T E&amp;G 4YR'!V18)*100</f>
        <v>21.516382304792721</v>
      </c>
      <c r="T20" s="73">
        <f>('PLANT OPER MAIN 4yr'!V18)/('T E&amp;G 4YR'!V18)*100</f>
        <v>0</v>
      </c>
      <c r="U20" s="72">
        <f>('SCHOLAR FELLOW 4yr'!V18)/('T E&amp;G 4YR'!V18)*100</f>
        <v>13.39943378528565</v>
      </c>
      <c r="V20" s="70">
        <f>IF((('All Other 4yr'!V18/'T E&amp;G 4YR'!V18)*100)&gt;=0.05,('All Other 4yr'!V18/'T E&amp;G 4YR'!V18)*100,"*")</f>
        <v>0.75462781334409479</v>
      </c>
      <c r="W20" s="69"/>
      <c r="X20" s="52">
        <f t="shared" si="7"/>
        <v>100.00000000000001</v>
      </c>
      <c r="Y20" s="52">
        <f t="shared" si="10"/>
        <v>100</v>
      </c>
      <c r="Z20" s="1"/>
      <c r="AA20" s="1"/>
      <c r="AB20" s="1"/>
      <c r="AC20" s="2"/>
      <c r="AD20" s="2"/>
    </row>
    <row r="21" spans="1:30">
      <c r="A21" s="97" t="s">
        <v>12</v>
      </c>
      <c r="B21" s="97"/>
      <c r="C21" s="113">
        <f>'Instruction-4YR'!AA19/'T E&amp;G 4YR'!AA19*100</f>
        <v>40.68678663137959</v>
      </c>
      <c r="D21" s="113">
        <f>'RESEARCH 4yr'!AA19/'T E&amp;G 4YR'!AA19*100</f>
        <v>12.789281537449693</v>
      </c>
      <c r="E21" s="113">
        <f>'PUBLIC SERVICE 4yr'!AA19/'T E&amp;G 4YR'!AA19*100</f>
        <v>7.0073137289584055</v>
      </c>
      <c r="F21" s="113">
        <f>'ASptISptSSv 4yr'!AA19/'T E&amp;G 4YR'!AA19*100</f>
        <v>22.030560178677263</v>
      </c>
      <c r="G21" s="113">
        <f>'SCHOLAR FELLOW 4yr'!AA19/'T E&amp;G 4YR'!AA19*100</f>
        <v>16.746761345578275</v>
      </c>
      <c r="H21" s="113">
        <f>('All Other 4yr'!AA19/'T E&amp;G 4YR'!AA19)*100</f>
        <v>0.73929657795678971</v>
      </c>
      <c r="I21" s="114">
        <f t="shared" si="1"/>
        <v>1.0593644187554077</v>
      </c>
      <c r="J21" s="113">
        <f t="shared" si="2"/>
        <v>-0.42277924066989314</v>
      </c>
      <c r="K21" s="113">
        <f t="shared" si="3"/>
        <v>-1.4736830397193748</v>
      </c>
      <c r="L21" s="113">
        <f t="shared" si="4"/>
        <v>-1.0535597769597871</v>
      </c>
      <c r="M21" s="113">
        <f t="shared" si="5"/>
        <v>1.7666694330760997</v>
      </c>
      <c r="N21" s="113">
        <f t="shared" si="6"/>
        <v>0.12398820551755918</v>
      </c>
      <c r="O21" s="10"/>
      <c r="P21" s="71">
        <f>('Instruction-4YR'!V19)/'T E&amp;G 4YR'!V19*100</f>
        <v>39.627422212624182</v>
      </c>
      <c r="Q21" s="72">
        <f>('RESEARCH 4yr'!V19)/('T E&amp;G 4YR'!V19)*100</f>
        <v>13.212060778119586</v>
      </c>
      <c r="R21" s="72">
        <f>('PUBLIC SERVICE 4yr'!V19)/('T E&amp;G 4YR'!V19)*100</f>
        <v>8.4809967686777803</v>
      </c>
      <c r="S21" s="72">
        <f>('ASptISptSSv 4yr'!V19)/('T E&amp;G 4YR'!V19)*100</f>
        <v>23.08411995563705</v>
      </c>
      <c r="T21" s="73">
        <f>('PLANT OPER MAIN 4yr'!V19)/('T E&amp;G 4YR'!V19)*100</f>
        <v>0</v>
      </c>
      <c r="U21" s="72">
        <f>('SCHOLAR FELLOW 4yr'!V19)/('T E&amp;G 4YR'!V19)*100</f>
        <v>14.980091912502175</v>
      </c>
      <c r="V21" s="70">
        <f>IF((('All Other 4yr'!V19/'T E&amp;G 4YR'!V19)*100)&gt;=0.05,('All Other 4yr'!V19/'T E&amp;G 4YR'!V19)*100,"*")</f>
        <v>0.61530837243923053</v>
      </c>
      <c r="W21" s="69"/>
      <c r="X21" s="52">
        <f t="shared" si="7"/>
        <v>100</v>
      </c>
      <c r="Y21" s="52">
        <f t="shared" si="10"/>
        <v>100.00000000000003</v>
      </c>
      <c r="Z21" s="1"/>
      <c r="AA21" s="1"/>
      <c r="AB21" s="1"/>
      <c r="AC21" s="2"/>
      <c r="AD21" s="2"/>
    </row>
    <row r="22" spans="1:30">
      <c r="A22" s="97" t="s">
        <v>13</v>
      </c>
      <c r="B22" s="97"/>
      <c r="C22" s="113">
        <f>'Instruction-4YR'!AA20/'T E&amp;G 4YR'!AA20*100</f>
        <v>35.647240557623526</v>
      </c>
      <c r="D22" s="113">
        <f>'RESEARCH 4yr'!AA20/'T E&amp;G 4YR'!AA20*100</f>
        <v>15.272889385299452</v>
      </c>
      <c r="E22" s="113">
        <f>'PUBLIC SERVICE 4yr'!AA20/'T E&amp;G 4YR'!AA20*100</f>
        <v>7.336265576851833</v>
      </c>
      <c r="F22" s="113">
        <f>'ASptISptSSv 4yr'!AA20/'T E&amp;G 4YR'!AA20*100</f>
        <v>23.843107073729243</v>
      </c>
      <c r="G22" s="113">
        <f>'SCHOLAR FELLOW 4yr'!AA20/'T E&amp;G 4YR'!AA20*100</f>
        <v>17.39515505324179</v>
      </c>
      <c r="H22" s="113">
        <f>('All Other 4yr'!AA20/'T E&amp;G 4YR'!AA20)*100</f>
        <v>0.50534235325416288</v>
      </c>
      <c r="I22" s="114">
        <f t="shared" si="1"/>
        <v>-0.94321483986368548</v>
      </c>
      <c r="J22" s="113">
        <f t="shared" si="2"/>
        <v>-1.5117942562792575</v>
      </c>
      <c r="K22" s="113">
        <f t="shared" si="3"/>
        <v>0.35308994479251066</v>
      </c>
      <c r="L22" s="113">
        <f t="shared" si="4"/>
        <v>2.0570900872468627</v>
      </c>
      <c r="M22" s="113" t="str">
        <f t="shared" si="5"/>
        <v>*</v>
      </c>
      <c r="N22" s="113" t="str">
        <f t="shared" si="6"/>
        <v>*</v>
      </c>
      <c r="O22" s="10"/>
      <c r="P22" s="71">
        <f>('Instruction-4YR'!V20)/'T E&amp;G 4YR'!V20*100</f>
        <v>36.590455397487212</v>
      </c>
      <c r="Q22" s="72">
        <f>('RESEARCH 4yr'!V20)/('T E&amp;G 4YR'!V20)*100</f>
        <v>16.78468364157871</v>
      </c>
      <c r="R22" s="72">
        <f>('PUBLIC SERVICE 4yr'!V20)/('T E&amp;G 4YR'!V20)*100</f>
        <v>6.9831756320593223</v>
      </c>
      <c r="S22" s="72">
        <f>('ASptISptSSv 4yr'!V20)/('T E&amp;G 4YR'!V20)*100</f>
        <v>21.78601698648238</v>
      </c>
      <c r="T22" s="73">
        <f>('PLANT OPER MAIN 4yr'!V20)/('T E&amp;G 4YR'!V20)*100</f>
        <v>0</v>
      </c>
      <c r="U22" s="72">
        <f>('SCHOLAR FELLOW 4yr'!V20)/('T E&amp;G 4YR'!V20)*100</f>
        <v>17.358651517512339</v>
      </c>
      <c r="V22" s="70">
        <f>IF((('All Other 4yr'!V20/'T E&amp;G 4YR'!V20)*100)&gt;=0.05,('All Other 4yr'!V20/'T E&amp;G 4YR'!V20)*100,"*")</f>
        <v>0.4970168248800399</v>
      </c>
      <c r="W22" s="69"/>
      <c r="X22" s="52">
        <f t="shared" si="7"/>
        <v>100</v>
      </c>
      <c r="Y22" s="52">
        <f t="shared" si="10"/>
        <v>100.00000000000001</v>
      </c>
      <c r="Z22" s="1"/>
      <c r="AA22" s="1"/>
      <c r="AB22" s="1"/>
      <c r="AC22" s="2"/>
      <c r="AD22" s="2"/>
    </row>
    <row r="23" spans="1:30">
      <c r="A23" s="99" t="s">
        <v>14</v>
      </c>
      <c r="B23" s="99"/>
      <c r="C23" s="111">
        <f>'Instruction-4YR'!AA21/'T E&amp;G 4YR'!AA21*100</f>
        <v>39.908393791865834</v>
      </c>
      <c r="D23" s="111">
        <f>'RESEARCH 4yr'!AA21/'T E&amp;G 4YR'!AA21*100</f>
        <v>10.261760583892968</v>
      </c>
      <c r="E23" s="111">
        <f>'PUBLIC SERVICE 4yr'!AA21/'T E&amp;G 4YR'!AA21*100</f>
        <v>5.7718952347300672</v>
      </c>
      <c r="F23" s="111">
        <f>'ASptISptSSv 4yr'!AA21/'T E&amp;G 4YR'!AA21*100</f>
        <v>24.324604517305414</v>
      </c>
      <c r="G23" s="111">
        <f>'SCHOLAR FELLOW 4yr'!AA21/'T E&amp;G 4YR'!AA21*100</f>
        <v>19.624188114922163</v>
      </c>
      <c r="H23" s="111">
        <f>('All Other 4yr'!AA21/'T E&amp;G 4YR'!AA21)*100</f>
        <v>0.10915775728355362</v>
      </c>
      <c r="I23" s="116">
        <f t="shared" si="1"/>
        <v>1.1535698868421917</v>
      </c>
      <c r="J23" s="117">
        <f t="shared" si="2"/>
        <v>-1.3604223976105789</v>
      </c>
      <c r="K23" s="117">
        <f t="shared" si="3"/>
        <v>-1.5016342641165865</v>
      </c>
      <c r="L23" s="117">
        <f t="shared" si="4"/>
        <v>1.2812060646647616</v>
      </c>
      <c r="M23" s="117">
        <f t="shared" si="5"/>
        <v>0.63973030063229785</v>
      </c>
      <c r="N23" s="117">
        <f t="shared" si="6"/>
        <v>-0.21244959041209502</v>
      </c>
      <c r="O23" s="43"/>
      <c r="P23" s="71">
        <f>('Instruction-4YR'!V21)/'T E&amp;G 4YR'!V21*100</f>
        <v>38.754823905023642</v>
      </c>
      <c r="Q23" s="72">
        <f>('RESEARCH 4yr'!V21)/('T E&amp;G 4YR'!V21)*100</f>
        <v>11.622182981503547</v>
      </c>
      <c r="R23" s="72">
        <f>('PUBLIC SERVICE 4yr'!V21)/('T E&amp;G 4YR'!V21)*100</f>
        <v>7.2735294988466537</v>
      </c>
      <c r="S23" s="72">
        <f>('ASptISptSSv 4yr'!V21)/('T E&amp;G 4YR'!V21)*100</f>
        <v>23.043398452640652</v>
      </c>
      <c r="T23" s="73">
        <f>('PLANT OPER MAIN 4yr'!V21)/('T E&amp;G 4YR'!V21)*100</f>
        <v>0</v>
      </c>
      <c r="U23" s="72">
        <f>('SCHOLAR FELLOW 4yr'!V21)/('T E&amp;G 4YR'!V21)*100</f>
        <v>18.984457814289865</v>
      </c>
      <c r="V23" s="70">
        <f>IF((('All Other 4yr'!V21/'T E&amp;G 4YR'!V21)*100)&gt;=0.05,('All Other 4yr'!V21/'T E&amp;G 4YR'!V21)*100,"*")</f>
        <v>0.32160734769564864</v>
      </c>
      <c r="W23" s="70"/>
      <c r="X23" s="52">
        <f t="shared" si="7"/>
        <v>100.00000000000001</v>
      </c>
      <c r="Y23" s="52">
        <f t="shared" si="10"/>
        <v>100</v>
      </c>
      <c r="Z23" s="1"/>
      <c r="AA23" s="1"/>
      <c r="AB23" s="1"/>
      <c r="AC23" s="2"/>
      <c r="AD23" s="2"/>
    </row>
    <row r="24" spans="1:30">
      <c r="A24" s="99" t="s">
        <v>15</v>
      </c>
      <c r="B24" s="99"/>
      <c r="C24" s="111">
        <f>'Instruction-4YR'!AA22/'T E&amp;G 4YR'!AA22*100</f>
        <v>33.06668841005321</v>
      </c>
      <c r="D24" s="111">
        <f>'RESEARCH 4yr'!AA22/'T E&amp;G 4YR'!AA22*100</f>
        <v>14.62186437287995</v>
      </c>
      <c r="E24" s="111">
        <f>'PUBLIC SERVICE 4yr'!AA22/'T E&amp;G 4YR'!AA22*100</f>
        <v>4.2839895859830248</v>
      </c>
      <c r="F24" s="111">
        <f>'ASptISptSSv 4yr'!AA22/'T E&amp;G 4YR'!AA22*100</f>
        <v>24.521817699769755</v>
      </c>
      <c r="G24" s="111">
        <f>'SCHOLAR FELLOW 4yr'!AA22/'T E&amp;G 4YR'!AA22*100</f>
        <v>16.703250820099818</v>
      </c>
      <c r="H24" s="111">
        <f>('All Other 4yr'!AA22/'T E&amp;G 4YR'!AA22)*100</f>
        <v>6.8023891112142421</v>
      </c>
      <c r="I24" s="116">
        <f t="shared" si="1"/>
        <v>-5.5396108102049055</v>
      </c>
      <c r="J24" s="117">
        <f t="shared" si="2"/>
        <v>-2.7338758789842945</v>
      </c>
      <c r="K24" s="117">
        <f t="shared" si="3"/>
        <v>-0.9058163727531241</v>
      </c>
      <c r="L24" s="117">
        <f t="shared" si="4"/>
        <v>2.2959059821704351</v>
      </c>
      <c r="M24" s="117">
        <f t="shared" si="5"/>
        <v>4.8108611171493294</v>
      </c>
      <c r="N24" s="117">
        <f t="shared" si="6"/>
        <v>2.0725359626225588</v>
      </c>
      <c r="O24" s="43"/>
      <c r="P24" s="71">
        <f>('Instruction-4YR'!V22)/'T E&amp;G 4YR'!V22*100</f>
        <v>38.606299220258116</v>
      </c>
      <c r="Q24" s="72">
        <f>('RESEARCH 4yr'!V22)/('T E&amp;G 4YR'!V22)*100</f>
        <v>17.355740251864244</v>
      </c>
      <c r="R24" s="72">
        <f>('PUBLIC SERVICE 4yr'!V22)/('T E&amp;G 4YR'!V22)*100</f>
        <v>5.1898059587361489</v>
      </c>
      <c r="S24" s="72">
        <f>('ASptISptSSv 4yr'!V22)/('T E&amp;G 4YR'!V22)*100</f>
        <v>22.22591171759932</v>
      </c>
      <c r="T24" s="73">
        <f>('PLANT OPER MAIN 4yr'!V22)/('T E&amp;G 4YR'!V22)*100</f>
        <v>0</v>
      </c>
      <c r="U24" s="72">
        <f>('SCHOLAR FELLOW 4yr'!V22)/('T E&amp;G 4YR'!V22)*100</f>
        <v>11.892389702950489</v>
      </c>
      <c r="V24" s="70">
        <f>IF((('All Other 4yr'!V22/'T E&amp;G 4YR'!V22)*100)&gt;=0.05,('All Other 4yr'!V22/'T E&amp;G 4YR'!V22)*100,"*")</f>
        <v>4.7298531485916833</v>
      </c>
      <c r="W24" s="70"/>
      <c r="X24" s="52">
        <f t="shared" si="7"/>
        <v>100.00000000000001</v>
      </c>
      <c r="Y24" s="52">
        <f t="shared" si="10"/>
        <v>100</v>
      </c>
      <c r="Z24" s="1"/>
      <c r="AA24" s="1"/>
      <c r="AB24" s="1"/>
      <c r="AC24" s="2"/>
      <c r="AD24" s="2"/>
    </row>
    <row r="25" spans="1:30">
      <c r="A25" s="99" t="s">
        <v>16</v>
      </c>
      <c r="B25" s="99"/>
      <c r="C25" s="111">
        <f>'Instruction-4YR'!AA23/'T E&amp;G 4YR'!AA23*100</f>
        <v>39.421598838231503</v>
      </c>
      <c r="D25" s="111">
        <f>'RESEARCH 4yr'!AA23/'T E&amp;G 4YR'!AA23*100</f>
        <v>18.012771780930709</v>
      </c>
      <c r="E25" s="111">
        <f>'PUBLIC SERVICE 4yr'!AA23/'T E&amp;G 4YR'!AA23*100</f>
        <v>3.9989105070504816</v>
      </c>
      <c r="F25" s="111">
        <f>'ASptISptSSv 4yr'!AA23/'T E&amp;G 4YR'!AA23*100</f>
        <v>24.083153288643626</v>
      </c>
      <c r="G25" s="111">
        <f>'SCHOLAR FELLOW 4yr'!AA23/'T E&amp;G 4YR'!AA23*100</f>
        <v>13.646991544403186</v>
      </c>
      <c r="H25" s="111">
        <f>('All Other 4yr'!AA23/'T E&amp;G 4YR'!AA23)*100</f>
        <v>0.83657404074050068</v>
      </c>
      <c r="I25" s="116">
        <f t="shared" si="1"/>
        <v>0.18688237599748447</v>
      </c>
      <c r="J25" s="117">
        <f t="shared" si="2"/>
        <v>-0.97762157055366927</v>
      </c>
      <c r="K25" s="117">
        <f t="shared" si="3"/>
        <v>0.27015702908810146</v>
      </c>
      <c r="L25" s="117">
        <f t="shared" si="4"/>
        <v>0.51828587174124152</v>
      </c>
      <c r="M25" s="117">
        <f t="shared" si="5"/>
        <v>0.90508963830359512</v>
      </c>
      <c r="N25" s="117">
        <f t="shared" si="6"/>
        <v>-0.90279334457673333</v>
      </c>
      <c r="O25" s="43"/>
      <c r="P25" s="71">
        <f>('Instruction-4YR'!V23)/'T E&amp;G 4YR'!V23*100</f>
        <v>39.234716462234019</v>
      </c>
      <c r="Q25" s="72">
        <f>('RESEARCH 4yr'!V23)/('T E&amp;G 4YR'!V23)*100</f>
        <v>18.990393351484379</v>
      </c>
      <c r="R25" s="72">
        <f>('PUBLIC SERVICE 4yr'!V23)/('T E&amp;G 4YR'!V23)*100</f>
        <v>3.7287534779623801</v>
      </c>
      <c r="S25" s="72">
        <f>('ASptISptSSv 4yr'!V23)/('T E&amp;G 4YR'!V23)*100</f>
        <v>23.564867416902384</v>
      </c>
      <c r="T25" s="73">
        <f>('PLANT OPER MAIN 4yr'!V23)/('T E&amp;G 4YR'!V23)*100</f>
        <v>0</v>
      </c>
      <c r="U25" s="72">
        <f>('SCHOLAR FELLOW 4yr'!V23)/('T E&amp;G 4YR'!V23)*100</f>
        <v>12.74190190609959</v>
      </c>
      <c r="V25" s="70">
        <f>IF((('All Other 4yr'!V23/'T E&amp;G 4YR'!V23)*100)&gt;=0.05,('All Other 4yr'!V23/'T E&amp;G 4YR'!V23)*100,"*")</f>
        <v>1.739367385317234</v>
      </c>
      <c r="W25" s="70"/>
      <c r="X25" s="52">
        <f t="shared" si="7"/>
        <v>99.999999999999986</v>
      </c>
      <c r="Y25" s="52">
        <f t="shared" si="10"/>
        <v>100.00000000000001</v>
      </c>
      <c r="Z25" s="1"/>
      <c r="AA25" s="1"/>
      <c r="AB25" s="1"/>
      <c r="AC25" s="2"/>
      <c r="AD25" s="2"/>
    </row>
    <row r="26" spans="1:30">
      <c r="A26" s="100" t="s">
        <v>17</v>
      </c>
      <c r="B26" s="100"/>
      <c r="C26" s="109">
        <f>'Instruction-4YR'!AA24/'T E&amp;G 4YR'!AA24*100</f>
        <v>38.250496583853923</v>
      </c>
      <c r="D26" s="109">
        <f>'RESEARCH 4yr'!AA24/'T E&amp;G 4YR'!AA24*100</f>
        <v>11.299548451477499</v>
      </c>
      <c r="E26" s="109">
        <f>'PUBLIC SERVICE 4yr'!AA24/'T E&amp;G 4YR'!AA24*100</f>
        <v>6.3109202064284009</v>
      </c>
      <c r="F26" s="109">
        <f>'ASptISptSSv 4yr'!AA24/'T E&amp;G 4YR'!AA24*100</f>
        <v>26.079115830932935</v>
      </c>
      <c r="G26" s="109">
        <f>'SCHOLAR FELLOW 4yr'!AA24/'T E&amp;G 4YR'!AA24*100</f>
        <v>16.48924508237274</v>
      </c>
      <c r="H26" s="177">
        <f>('All Other 4yr'!AA24/'T E&amp;G 4YR'!AA24)*100</f>
        <v>1.5706738449345052</v>
      </c>
      <c r="I26" s="119">
        <f t="shared" si="1"/>
        <v>0.91878897146351335</v>
      </c>
      <c r="J26" s="118">
        <f t="shared" si="2"/>
        <v>-2.5023297683766152</v>
      </c>
      <c r="K26" s="118">
        <f t="shared" si="3"/>
        <v>-1.471946365412407</v>
      </c>
      <c r="L26" s="118">
        <f t="shared" si="4"/>
        <v>1.3769161670398375</v>
      </c>
      <c r="M26" s="118">
        <f t="shared" si="5"/>
        <v>1.6930960232148191</v>
      </c>
      <c r="N26" s="118" t="str">
        <f t="shared" si="6"/>
        <v>*</v>
      </c>
      <c r="O26" s="44"/>
      <c r="P26" s="71">
        <f>('Instruction-4YR'!V24)/'T E&amp;G 4YR'!V24*100</f>
        <v>37.33170761239041</v>
      </c>
      <c r="Q26" s="72">
        <f>('RESEARCH 4yr'!V24)/('T E&amp;G 4YR'!V24)*100</f>
        <v>13.801878219854114</v>
      </c>
      <c r="R26" s="72">
        <f>('PUBLIC SERVICE 4yr'!V24)/('T E&amp;G 4YR'!V24)*100</f>
        <v>7.7828665718408079</v>
      </c>
      <c r="S26" s="72">
        <f>('ASptISptSSv 4yr'!V24)/('T E&amp;G 4YR'!V24)*100</f>
        <v>24.702199663893097</v>
      </c>
      <c r="T26" s="73">
        <f>('PLANT OPER MAIN 4yr'!V24)/('T E&amp;G 4YR'!V24)*100</f>
        <v>0</v>
      </c>
      <c r="U26" s="72">
        <f>('SCHOLAR FELLOW 4yr'!V24)/('T E&amp;G 4YR'!V24)*100</f>
        <v>14.796149059157921</v>
      </c>
      <c r="V26" s="70">
        <f>IF((('All Other 4yr'!V24/'T E&amp;G 4YR'!V24)*100)&gt;=0.05,('All Other 4yr'!V24/'T E&amp;G 4YR'!V24)*100,"*")</f>
        <v>1.5851988728636519</v>
      </c>
      <c r="W26" s="70"/>
      <c r="X26" s="52">
        <f t="shared" si="7"/>
        <v>100</v>
      </c>
      <c r="Y26" s="52">
        <f t="shared" si="10"/>
        <v>100</v>
      </c>
      <c r="Z26" s="1"/>
      <c r="AA26" s="1"/>
      <c r="AB26" s="1"/>
      <c r="AC26" s="2"/>
      <c r="AD26" s="2"/>
    </row>
    <row r="27" spans="1:30" s="24" customFormat="1">
      <c r="A27" s="101" t="s">
        <v>120</v>
      </c>
      <c r="B27" s="101"/>
      <c r="C27" s="111">
        <f>'Instruction-4YR'!AA25/'T E&amp;G 4YR'!AA25*100</f>
        <v>34.93602977917827</v>
      </c>
      <c r="D27" s="111">
        <f>'RESEARCH 4yr'!AA25/'T E&amp;G 4YR'!AA25*100</f>
        <v>18.68856939318642</v>
      </c>
      <c r="E27" s="111">
        <f>'PUBLIC SERVICE 4yr'!AA25/'T E&amp;G 4YR'!AA25*100</f>
        <v>5.3025735857891245</v>
      </c>
      <c r="F27" s="111">
        <f>'ASptISptSSv 4yr'!AA25/'T E&amp;G 4YR'!AA25*100</f>
        <v>25.309442299326285</v>
      </c>
      <c r="G27" s="111">
        <f>'SCHOLAR FELLOW 4yr'!AA25/'T E&amp;G 4YR'!AA25*100</f>
        <v>14.866880397867874</v>
      </c>
      <c r="H27" s="111">
        <f>('All Other 4yr'!AA25/'T E&amp;G 4YR'!AA25)*100</f>
        <v>0.89650454465201923</v>
      </c>
      <c r="I27" s="112">
        <f t="shared" si="1"/>
        <v>0.75207206201839938</v>
      </c>
      <c r="J27" s="111">
        <f t="shared" si="2"/>
        <v>-3.3220139163008824</v>
      </c>
      <c r="K27" s="111">
        <f t="shared" si="3"/>
        <v>-0.35514086035340942</v>
      </c>
      <c r="L27" s="111">
        <f t="shared" si="4"/>
        <v>1.8605975877011929</v>
      </c>
      <c r="M27" s="111">
        <f t="shared" si="5"/>
        <v>1.668830750872246</v>
      </c>
      <c r="N27" s="111">
        <f t="shared" si="6"/>
        <v>-0.60434562393754532</v>
      </c>
      <c r="O27" s="41"/>
      <c r="P27" s="71">
        <f>('Instruction-4YR'!V25)/'T E&amp;G 4YR'!V25*100</f>
        <v>34.183957717159871</v>
      </c>
      <c r="Q27" s="72">
        <f>('RESEARCH 4yr'!V25)/('T E&amp;G 4YR'!V25)*100</f>
        <v>22.010583309487302</v>
      </c>
      <c r="R27" s="72">
        <f>('PUBLIC SERVICE 4yr'!V25)/('T E&amp;G 4YR'!V25)*100</f>
        <v>5.6577144461425339</v>
      </c>
      <c r="S27" s="72">
        <f>('ASptISptSSv 4yr'!V25)/('T E&amp;G 4YR'!V25)*100</f>
        <v>23.448844711625092</v>
      </c>
      <c r="T27" s="73">
        <f>('PLANT OPER MAIN 4yr'!V25)/('T E&amp;G 4YR'!V25)*100</f>
        <v>0</v>
      </c>
      <c r="U27" s="72">
        <f>('SCHOLAR FELLOW 4yr'!V25)/('T E&amp;G 4YR'!V25)*100</f>
        <v>13.198049646995628</v>
      </c>
      <c r="V27" s="70">
        <f>IF((('All Other 4yr'!V25/'T E&amp;G 4YR'!V25)*100)&gt;=0.05,('All Other 4yr'!V25/'T E&amp;G 4YR'!V25)*100,"*")</f>
        <v>1.5008501685895645</v>
      </c>
      <c r="W27" s="41"/>
      <c r="X27" s="52">
        <f t="shared" ref="X27:X67" si="11">SUM(P27:V27)</f>
        <v>99.999999999999986</v>
      </c>
      <c r="Y27" s="52">
        <f t="shared" ref="Y27:Y67" si="12">SUM(C27:H27)</f>
        <v>99.999999999999986</v>
      </c>
      <c r="Z27" s="22"/>
      <c r="AA27" s="22"/>
      <c r="AB27" s="22"/>
      <c r="AC27" s="23"/>
      <c r="AD27" s="23"/>
    </row>
    <row r="28" spans="1:30" s="56" customFormat="1">
      <c r="A28" s="101"/>
      <c r="B28" s="101"/>
      <c r="C28" s="111"/>
      <c r="D28" s="111"/>
      <c r="E28" s="111"/>
      <c r="F28" s="111"/>
      <c r="G28" s="111"/>
      <c r="H28" s="111"/>
      <c r="I28" s="112"/>
      <c r="J28" s="111"/>
      <c r="K28" s="111"/>
      <c r="L28" s="111"/>
      <c r="M28" s="111"/>
      <c r="N28" s="111"/>
      <c r="O28" s="30"/>
      <c r="P28" s="71"/>
      <c r="Q28" s="72"/>
      <c r="R28" s="72"/>
      <c r="S28" s="72"/>
      <c r="T28" s="73"/>
      <c r="U28" s="72"/>
      <c r="V28" s="70"/>
      <c r="W28" s="30"/>
      <c r="X28" s="52"/>
      <c r="Y28" s="52"/>
      <c r="Z28" s="55"/>
    </row>
    <row r="29" spans="1:30" s="56" customFormat="1">
      <c r="A29" s="97" t="s">
        <v>85</v>
      </c>
      <c r="B29" s="97"/>
      <c r="C29" s="113">
        <f>'Instruction-4YR'!AA27/'T E&amp;G 4YR'!AA27*100</f>
        <v>35.553557304726098</v>
      </c>
      <c r="D29" s="113">
        <f>'RESEARCH 4yr'!AA27/'T E&amp;G 4YR'!AA27*100</f>
        <v>21.290408706906057</v>
      </c>
      <c r="E29" s="113">
        <f>'PUBLIC SERVICE 4yr'!AA27/'T E&amp;G 4YR'!AA27*100</f>
        <v>7.2122418685479834</v>
      </c>
      <c r="F29" s="113">
        <f>'ASptISptSSv 4yr'!AA27/'T E&amp;G 4YR'!AA27*100</f>
        <v>29.89534909754969</v>
      </c>
      <c r="G29" s="113">
        <f>'SCHOLAR FELLOW 4yr'!AA27/'T E&amp;G 4YR'!AA27*100</f>
        <v>6.0279161174732092</v>
      </c>
      <c r="H29" s="113">
        <f>('All Other 4yr'!AA27/'T E&amp;G 4YR'!AA27)*100</f>
        <v>2.0526904796967595E-2</v>
      </c>
      <c r="I29" s="114">
        <f t="shared" ref="I29:I42" si="13">IF((C29-P29)=0,(C29-P29),IF((C29-P29)&gt;=0.05,(C29-P29),IF((C29-P29&lt;=-0.05),(C29-P29),"*")))</f>
        <v>0.48390628499686272</v>
      </c>
      <c r="J29" s="113">
        <f t="shared" ref="J29:J42" si="14">IF((D29-Q29)=0,(D29-Q29),IF((D29-Q29)&gt;=0.05,(D29-Q29),IF((D29-Q29&lt;=-0.05),(D29-Q29),"*")))</f>
        <v>-2.7007238509771554</v>
      </c>
      <c r="K29" s="113">
        <f t="shared" ref="K29:K42" si="15">IF((E29-R29)=0,(E29-R29),IF((E29-R29)&gt;=0.05,(E29-R29),IF((E29-R29&lt;=-0.05),(E29-R29),"*")))</f>
        <v>0.60915399668125403</v>
      </c>
      <c r="L29" s="113">
        <f t="shared" ref="L29:L42" si="16">IF((F29-S29)=0,(F29-S29),IF((F29-S29)&gt;=0.05,(F29-S29),IF((F29-S29&lt;=-0.05),(F29-S29),"*")))</f>
        <v>1.5916435032442244</v>
      </c>
      <c r="M29" s="113">
        <f t="shared" ref="M29:M42" si="17">IF((G29-U29)=0,(G29-U29),IF((G29-U29)&gt;=0.05,(G29-U29),IF((G29-U29&lt;=-0.05),(G29-U29),"*")))</f>
        <v>0.65936872366457067</v>
      </c>
      <c r="N29" s="113">
        <f t="shared" ref="N29:N42" si="18">IF((H29-V29)=0,(H29-V29),IF((H29-V29)&gt;=0.05,(H29-V29),IF((H29-V29&lt;=-0.05),(H29-V29),"*")))</f>
        <v>-0.64334865760974536</v>
      </c>
      <c r="O29" s="30"/>
      <c r="P29" s="71">
        <f>('Instruction-4YR'!V27)/'T E&amp;G 4YR'!V27*100</f>
        <v>35.069651019729235</v>
      </c>
      <c r="Q29" s="72">
        <f>('RESEARCH 4yr'!V27)/('T E&amp;G 4YR'!V27)*100</f>
        <v>23.991132557883212</v>
      </c>
      <c r="R29" s="72">
        <f>('PUBLIC SERVICE 4yr'!V27)/('T E&amp;G 4YR'!V27)*100</f>
        <v>6.6030878718667294</v>
      </c>
      <c r="S29" s="72">
        <f>('ASptISptSSv 4yr'!V27)/('T E&amp;G 4YR'!V27)*100</f>
        <v>28.303705594305466</v>
      </c>
      <c r="T29" s="73">
        <f>('PLANT OPER MAIN 4yr'!V27)/('T E&amp;G 4YR'!V27)*100</f>
        <v>0</v>
      </c>
      <c r="U29" s="72">
        <f>('SCHOLAR FELLOW 4yr'!V27)/('T E&amp;G 4YR'!V27)*100</f>
        <v>5.3685473938086385</v>
      </c>
      <c r="V29" s="70">
        <f>IF((('All Other 4yr'!V27/'T E&amp;G 4YR'!V27)*100)&gt;=0.05,('All Other 4yr'!V27/'T E&amp;G 4YR'!V27)*100,"*")</f>
        <v>0.66387556240671297</v>
      </c>
      <c r="W29" s="30"/>
      <c r="X29" s="52">
        <f t="shared" si="11"/>
        <v>100</v>
      </c>
      <c r="Y29" s="52">
        <f t="shared" si="12"/>
        <v>100.00000000000001</v>
      </c>
      <c r="Z29" s="55"/>
    </row>
    <row r="30" spans="1:30" s="56" customFormat="1">
      <c r="A30" s="97" t="s">
        <v>86</v>
      </c>
      <c r="B30" s="97"/>
      <c r="C30" s="113">
        <f>'Instruction-4YR'!AA28/'T E&amp;G 4YR'!AA28*100</f>
        <v>32.490580694413232</v>
      </c>
      <c r="D30" s="113">
        <f>'RESEARCH 4yr'!AA28/'T E&amp;G 4YR'!AA28*100</f>
        <v>17.803303044820016</v>
      </c>
      <c r="E30" s="113">
        <f>'PUBLIC SERVICE 4yr'!AA28/'T E&amp;G 4YR'!AA28*100</f>
        <v>3.5129309766848666</v>
      </c>
      <c r="F30" s="113">
        <f>'ASptISptSSv 4yr'!AA28/'T E&amp;G 4YR'!AA28*100</f>
        <v>28.122649229760221</v>
      </c>
      <c r="G30" s="113">
        <f>'SCHOLAR FELLOW 4yr'!AA28/'T E&amp;G 4YR'!AA28*100</f>
        <v>17.847896388594236</v>
      </c>
      <c r="H30" s="113">
        <f>('All Other 4yr'!AA28/'T E&amp;G 4YR'!AA28)*100</f>
        <v>0.22263966572744087</v>
      </c>
      <c r="I30" s="114">
        <f t="shared" si="13"/>
        <v>-1.8081191101932177</v>
      </c>
      <c r="J30" s="113">
        <f t="shared" si="14"/>
        <v>-3.130485074716912</v>
      </c>
      <c r="K30" s="113">
        <f t="shared" si="15"/>
        <v>-1.1824963094395167</v>
      </c>
      <c r="L30" s="113">
        <f t="shared" si="16"/>
        <v>4.7657997556540401</v>
      </c>
      <c r="M30" s="113">
        <f t="shared" si="17"/>
        <v>1.4839020891530375</v>
      </c>
      <c r="N30" s="113">
        <f t="shared" si="18"/>
        <v>-0.12860135045742099</v>
      </c>
      <c r="O30" s="30"/>
      <c r="P30" s="71">
        <f>('Instruction-4YR'!V28)/'T E&amp;G 4YR'!V28*100</f>
        <v>34.29869980460645</v>
      </c>
      <c r="Q30" s="72">
        <f>('RESEARCH 4yr'!V28)/('T E&amp;G 4YR'!V28)*100</f>
        <v>20.933788119536928</v>
      </c>
      <c r="R30" s="72">
        <f>('PUBLIC SERVICE 4yr'!V28)/('T E&amp;G 4YR'!V28)*100</f>
        <v>4.6954272861243833</v>
      </c>
      <c r="S30" s="72">
        <f>('ASptISptSSv 4yr'!V28)/('T E&amp;G 4YR'!V28)*100</f>
        <v>23.356849474106181</v>
      </c>
      <c r="T30" s="73">
        <f>('PLANT OPER MAIN 4yr'!V28)/('T E&amp;G 4YR'!V28)*100</f>
        <v>0</v>
      </c>
      <c r="U30" s="72">
        <f>('SCHOLAR FELLOW 4yr'!V28)/('T E&amp;G 4YR'!V28)*100</f>
        <v>16.363994299441199</v>
      </c>
      <c r="V30" s="70">
        <f>IF((('All Other 4yr'!V28/'T E&amp;G 4YR'!V28)*100)&gt;=0.05,('All Other 4yr'!V28/'T E&amp;G 4YR'!V28)*100,"*")</f>
        <v>0.35124101618486187</v>
      </c>
      <c r="W30" s="30"/>
      <c r="X30" s="52">
        <f t="shared" si="11"/>
        <v>100</v>
      </c>
      <c r="Y30" s="52">
        <f t="shared" si="12"/>
        <v>100.00000000000001</v>
      </c>
      <c r="Z30" s="55"/>
    </row>
    <row r="31" spans="1:30" s="56" customFormat="1">
      <c r="A31" s="97" t="s">
        <v>87</v>
      </c>
      <c r="B31" s="97"/>
      <c r="C31" s="113">
        <f>'Instruction-4YR'!AA29/'T E&amp;G 4YR'!AA29*100</f>
        <v>34.720208141263861</v>
      </c>
      <c r="D31" s="113">
        <f>'RESEARCH 4yr'!AA29/'T E&amp;G 4YR'!AA29*100</f>
        <v>18.654008670237207</v>
      </c>
      <c r="E31" s="113">
        <f>'PUBLIC SERVICE 4yr'!AA29/'T E&amp;G 4YR'!AA29*100</f>
        <v>2.1141800463817439</v>
      </c>
      <c r="F31" s="113">
        <f>'ASptISptSSv 4yr'!AA29/'T E&amp;G 4YR'!AA29*100</f>
        <v>27.196579170586116</v>
      </c>
      <c r="G31" s="113">
        <f>'SCHOLAR FELLOW 4yr'!AA29/'T E&amp;G 4YR'!AA29*100</f>
        <v>16.703026934949232</v>
      </c>
      <c r="H31" s="113">
        <f>('All Other 4yr'!AA29/'T E&amp;G 4YR'!AA29)*100</f>
        <v>0.61199703658184879</v>
      </c>
      <c r="I31" s="114">
        <f t="shared" si="13"/>
        <v>0.88704392040722979</v>
      </c>
      <c r="J31" s="113">
        <f t="shared" si="14"/>
        <v>-3.3590856565109277</v>
      </c>
      <c r="K31" s="113">
        <f t="shared" si="15"/>
        <v>-0.37793504134699463</v>
      </c>
      <c r="L31" s="113">
        <f t="shared" si="16"/>
        <v>1.3779426227782317</v>
      </c>
      <c r="M31" s="113">
        <f t="shared" si="17"/>
        <v>1.8969270464991315</v>
      </c>
      <c r="N31" s="113">
        <f t="shared" si="18"/>
        <v>-0.42489289182667034</v>
      </c>
      <c r="O31" s="30"/>
      <c r="P31" s="71">
        <f>('Instruction-4YR'!V29)/'T E&amp;G 4YR'!V29*100</f>
        <v>33.833164220856631</v>
      </c>
      <c r="Q31" s="72">
        <f>('RESEARCH 4yr'!V29)/('T E&amp;G 4YR'!V29)*100</f>
        <v>22.013094326748135</v>
      </c>
      <c r="R31" s="72">
        <f>('PUBLIC SERVICE 4yr'!V29)/('T E&amp;G 4YR'!V29)*100</f>
        <v>2.4921150877287386</v>
      </c>
      <c r="S31" s="72">
        <f>('ASptISptSSv 4yr'!V29)/('T E&amp;G 4YR'!V29)*100</f>
        <v>25.818636547807884</v>
      </c>
      <c r="T31" s="73">
        <f>('PLANT OPER MAIN 4yr'!V29)/('T E&amp;G 4YR'!V29)*100</f>
        <v>0</v>
      </c>
      <c r="U31" s="72">
        <f>('SCHOLAR FELLOW 4yr'!V29)/('T E&amp;G 4YR'!V29)*100</f>
        <v>14.806099888450101</v>
      </c>
      <c r="V31" s="70">
        <f>IF((('All Other 4yr'!V29/'T E&amp;G 4YR'!V29)*100)&gt;=0.05,('All Other 4yr'!V29/'T E&amp;G 4YR'!V29)*100,"*")</f>
        <v>1.0368899284085191</v>
      </c>
      <c r="W31" s="30"/>
      <c r="X31" s="52">
        <f t="shared" si="11"/>
        <v>100</v>
      </c>
      <c r="Y31" s="52">
        <f t="shared" si="12"/>
        <v>100.00000000000003</v>
      </c>
      <c r="Z31" s="55"/>
    </row>
    <row r="32" spans="1:30" s="56" customFormat="1">
      <c r="A32" s="97" t="s">
        <v>88</v>
      </c>
      <c r="B32" s="97"/>
      <c r="C32" s="113">
        <f>'Instruction-4YR'!AA30/'T E&amp;G 4YR'!AA30*100</f>
        <v>39.56144651211568</v>
      </c>
      <c r="D32" s="113">
        <f>'RESEARCH 4yr'!AA30/'T E&amp;G 4YR'!AA30*100</f>
        <v>21.194182811987837</v>
      </c>
      <c r="E32" s="113">
        <f>'PUBLIC SERVICE 4yr'!AA30/'T E&amp;G 4YR'!AA30*100</f>
        <v>4.9519565744285554</v>
      </c>
      <c r="F32" s="113">
        <f>'ASptISptSSv 4yr'!AA30/'T E&amp;G 4YR'!AA30*100</f>
        <v>21.736955413526637</v>
      </c>
      <c r="G32" s="113">
        <f>'SCHOLAR FELLOW 4yr'!AA30/'T E&amp;G 4YR'!AA30*100</f>
        <v>12.24335589911836</v>
      </c>
      <c r="H32" s="113">
        <f>('All Other 4yr'!AA30/'T E&amp;G 4YR'!AA30)*100</f>
        <v>0.31210278882291759</v>
      </c>
      <c r="I32" s="114">
        <f t="shared" si="13"/>
        <v>2.0005579481307478</v>
      </c>
      <c r="J32" s="113">
        <f t="shared" si="14"/>
        <v>-1.6884327920945665</v>
      </c>
      <c r="K32" s="113">
        <f t="shared" si="15"/>
        <v>-0.78339392031885691</v>
      </c>
      <c r="L32" s="113">
        <f t="shared" si="16"/>
        <v>3.6048528544959275</v>
      </c>
      <c r="M32" s="113">
        <f t="shared" si="17"/>
        <v>0.66043608929090958</v>
      </c>
      <c r="N32" s="113">
        <f t="shared" si="18"/>
        <v>-3.794020179504189</v>
      </c>
      <c r="O32" s="30"/>
      <c r="P32" s="71">
        <f>('Instruction-4YR'!V30)/'T E&amp;G 4YR'!V30*100</f>
        <v>37.560888563984932</v>
      </c>
      <c r="Q32" s="72">
        <f>('RESEARCH 4yr'!V30)/('T E&amp;G 4YR'!V30)*100</f>
        <v>22.882615604082403</v>
      </c>
      <c r="R32" s="72">
        <f>('PUBLIC SERVICE 4yr'!V30)/('T E&amp;G 4YR'!V30)*100</f>
        <v>5.7353504947474123</v>
      </c>
      <c r="S32" s="72">
        <f>('ASptISptSSv 4yr'!V30)/('T E&amp;G 4YR'!V30)*100</f>
        <v>18.132102559030709</v>
      </c>
      <c r="T32" s="73">
        <f>('PLANT OPER MAIN 4yr'!V30)/('T E&amp;G 4YR'!V30)*100</f>
        <v>0</v>
      </c>
      <c r="U32" s="72">
        <f>('SCHOLAR FELLOW 4yr'!V30)/('T E&amp;G 4YR'!V30)*100</f>
        <v>11.58291980982745</v>
      </c>
      <c r="V32" s="70">
        <f>IF((('All Other 4yr'!V30/'T E&amp;G 4YR'!V30)*100)&gt;=0.05,('All Other 4yr'!V30/'T E&amp;G 4YR'!V30)*100,"*")</f>
        <v>4.1061229683271065</v>
      </c>
      <c r="W32" s="30"/>
      <c r="X32" s="52">
        <f t="shared" si="11"/>
        <v>100</v>
      </c>
      <c r="Y32" s="52">
        <f t="shared" si="12"/>
        <v>99.999999999999972</v>
      </c>
      <c r="Z32" s="55"/>
    </row>
    <row r="33" spans="1:26" s="56" customFormat="1">
      <c r="A33" s="98" t="s">
        <v>91</v>
      </c>
      <c r="B33" s="98"/>
      <c r="C33" s="111">
        <f>'Instruction-4YR'!AA31/'T E&amp;G 4YR'!AA31*100</f>
        <v>44.625816495926223</v>
      </c>
      <c r="D33" s="111">
        <f>'RESEARCH 4yr'!AA31/'T E&amp;G 4YR'!AA31*100</f>
        <v>22.856545038475986</v>
      </c>
      <c r="E33" s="111">
        <f>'PUBLIC SERVICE 4yr'!AA31/'T E&amp;G 4YR'!AA31*100</f>
        <v>4.150657270779825</v>
      </c>
      <c r="F33" s="111">
        <f>'ASptISptSSv 4yr'!AA31/'T E&amp;G 4YR'!AA31*100</f>
        <v>15.494677120331044</v>
      </c>
      <c r="G33" s="111">
        <f>'SCHOLAR FELLOW 4yr'!AA31/'T E&amp;G 4YR'!AA31*100</f>
        <v>10.805560294587925</v>
      </c>
      <c r="H33" s="111">
        <f>('All Other 4yr'!AA31/'T E&amp;G 4YR'!AA31)*100</f>
        <v>2.0667437798989918</v>
      </c>
      <c r="I33" s="116">
        <f t="shared" si="13"/>
        <v>8.6648782568587492</v>
      </c>
      <c r="J33" s="115">
        <f t="shared" si="14"/>
        <v>-13.823239688430021</v>
      </c>
      <c r="K33" s="115">
        <f t="shared" si="15"/>
        <v>-1.1389503274440349</v>
      </c>
      <c r="L33" s="115">
        <f t="shared" si="16"/>
        <v>-1.1811469772728174</v>
      </c>
      <c r="M33" s="115">
        <f t="shared" si="17"/>
        <v>3.4969537505375561</v>
      </c>
      <c r="N33" s="115">
        <f t="shared" si="18"/>
        <v>2.0667437798989918</v>
      </c>
      <c r="O33" s="30"/>
      <c r="P33" s="71">
        <f>('Instruction-4YR'!V31)/'T E&amp;G 4YR'!V31*100</f>
        <v>35.960938239067474</v>
      </c>
      <c r="Q33" s="72">
        <f>('RESEARCH 4yr'!V31)/('T E&amp;G 4YR'!V31)*100</f>
        <v>36.679784726906007</v>
      </c>
      <c r="R33" s="72">
        <f>('PUBLIC SERVICE 4yr'!V31)/('T E&amp;G 4YR'!V31)*100</f>
        <v>5.28960759822386</v>
      </c>
      <c r="S33" s="72">
        <f>('ASptISptSSv 4yr'!V31)/('T E&amp;G 4YR'!V31)*100</f>
        <v>16.675824097603861</v>
      </c>
      <c r="T33" s="73">
        <f>('PLANT OPER MAIN 4yr'!V31)/('T E&amp;G 4YR'!V31)*100</f>
        <v>0</v>
      </c>
      <c r="U33" s="72">
        <f>('SCHOLAR FELLOW 4yr'!V31)/('T E&amp;G 4YR'!V31)*100</f>
        <v>7.3086065440503694</v>
      </c>
      <c r="V33" s="70" t="str">
        <f>IF((('All Other 4yr'!V31/'T E&amp;G 4YR'!V31)*100)&gt;=0.05,('All Other 4yr'!V31/'T E&amp;G 4YR'!V31)*100,"*")</f>
        <v>*</v>
      </c>
      <c r="W33" s="30"/>
      <c r="X33" s="52">
        <f t="shared" si="11"/>
        <v>101.91476120585156</v>
      </c>
      <c r="Y33" s="52">
        <f t="shared" si="12"/>
        <v>99.999999999999986</v>
      </c>
      <c r="Z33" s="55"/>
    </row>
    <row r="34" spans="1:26" s="56" customFormat="1">
      <c r="A34" s="98" t="s">
        <v>92</v>
      </c>
      <c r="B34" s="98"/>
      <c r="C34" s="111">
        <f>'Instruction-4YR'!AA32/'T E&amp;G 4YR'!AA32*100</f>
        <v>38.960649322706296</v>
      </c>
      <c r="D34" s="111">
        <f>'RESEARCH 4yr'!AA32/'T E&amp;G 4YR'!AA32*100</f>
        <v>13.301665924023276</v>
      </c>
      <c r="E34" s="111">
        <f>'PUBLIC SERVICE 4yr'!AA32/'T E&amp;G 4YR'!AA32*100</f>
        <v>6.4401451793351425</v>
      </c>
      <c r="F34" s="111">
        <f>'ASptISptSSv 4yr'!AA32/'T E&amp;G 4YR'!AA32*100</f>
        <v>24.513397300139342</v>
      </c>
      <c r="G34" s="111">
        <f>'SCHOLAR FELLOW 4yr'!AA32/'T E&amp;G 4YR'!AA32*100</f>
        <v>14.762400180614598</v>
      </c>
      <c r="H34" s="111">
        <f>('All Other 4yr'!AA32/'T E&amp;G 4YR'!AA32)*100</f>
        <v>2.021742093181353</v>
      </c>
      <c r="I34" s="116">
        <f t="shared" si="13"/>
        <v>0.86045174446778105</v>
      </c>
      <c r="J34" s="115">
        <f t="shared" si="14"/>
        <v>-0.91162445163210926</v>
      </c>
      <c r="K34" s="115">
        <f t="shared" si="15"/>
        <v>-8.4260684891683368E-2</v>
      </c>
      <c r="L34" s="115">
        <f t="shared" si="16"/>
        <v>1.9927117563702907</v>
      </c>
      <c r="M34" s="115">
        <f t="shared" si="17"/>
        <v>-1.3170069427036744</v>
      </c>
      <c r="N34" s="115">
        <f t="shared" si="18"/>
        <v>-0.54027142161060127</v>
      </c>
      <c r="O34" s="30"/>
      <c r="P34" s="71">
        <f>('Instruction-4YR'!V32)/'T E&amp;G 4YR'!V32*100</f>
        <v>38.100197578238514</v>
      </c>
      <c r="Q34" s="72">
        <f>('RESEARCH 4yr'!V32)/('T E&amp;G 4YR'!V32)*100</f>
        <v>14.213290375655385</v>
      </c>
      <c r="R34" s="72">
        <f>('PUBLIC SERVICE 4yr'!V32)/('T E&amp;G 4YR'!V32)*100</f>
        <v>6.5244058642268259</v>
      </c>
      <c r="S34" s="72">
        <f>('ASptISptSSv 4yr'!V32)/('T E&amp;G 4YR'!V32)*100</f>
        <v>22.520685543769051</v>
      </c>
      <c r="T34" s="73">
        <f>('PLANT OPER MAIN 4yr'!V32)/('T E&amp;G 4YR'!V32)*100</f>
        <v>0</v>
      </c>
      <c r="U34" s="72">
        <f>('SCHOLAR FELLOW 4yr'!V32)/('T E&amp;G 4YR'!V32)*100</f>
        <v>16.079407123318273</v>
      </c>
      <c r="V34" s="70">
        <f>IF((('All Other 4yr'!V32/'T E&amp;G 4YR'!V32)*100)&gt;=0.05,('All Other 4yr'!V32/'T E&amp;G 4YR'!V32)*100,"*")</f>
        <v>2.5620135147919543</v>
      </c>
      <c r="W34" s="30"/>
      <c r="X34" s="52">
        <f t="shared" si="11"/>
        <v>100.00000000000001</v>
      </c>
      <c r="Y34" s="52">
        <f t="shared" si="12"/>
        <v>100</v>
      </c>
      <c r="Z34" s="55"/>
    </row>
    <row r="35" spans="1:26" s="56" customFormat="1">
      <c r="A35" s="98" t="s">
        <v>100</v>
      </c>
      <c r="B35" s="98"/>
      <c r="C35" s="111">
        <f>'Instruction-4YR'!AA33/'T E&amp;G 4YR'!AA33*100</f>
        <v>31.731692228105434</v>
      </c>
      <c r="D35" s="111">
        <f>'RESEARCH 4yr'!AA33/'T E&amp;G 4YR'!AA33*100</f>
        <v>20.23908182011062</v>
      </c>
      <c r="E35" s="111">
        <f>'PUBLIC SERVICE 4yr'!AA33/'T E&amp;G 4YR'!AA33*100</f>
        <v>6.8687130378026486</v>
      </c>
      <c r="F35" s="111">
        <f>'ASptISptSSv 4yr'!AA33/'T E&amp;G 4YR'!AA33*100</f>
        <v>26.953080708719725</v>
      </c>
      <c r="G35" s="111">
        <f>'SCHOLAR FELLOW 4yr'!AA33/'T E&amp;G 4YR'!AA33*100</f>
        <v>13.762413504892571</v>
      </c>
      <c r="H35" s="111">
        <f>('All Other 4yr'!AA33/'T E&amp;G 4YR'!AA33)*100</f>
        <v>0.44501870036901259</v>
      </c>
      <c r="I35" s="116">
        <f t="shared" si="13"/>
        <v>1.5348155356608721</v>
      </c>
      <c r="J35" s="115">
        <f t="shared" si="14"/>
        <v>-4.7465313060280039</v>
      </c>
      <c r="K35" s="115">
        <f t="shared" si="15"/>
        <v>0.80633455358517825</v>
      </c>
      <c r="L35" s="115">
        <f t="shared" si="16"/>
        <v>2.0296921971813475</v>
      </c>
      <c r="M35" s="115">
        <f t="shared" si="17"/>
        <v>0.36089765641897387</v>
      </c>
      <c r="N35" s="115" t="str">
        <f t="shared" si="18"/>
        <v>*</v>
      </c>
      <c r="O35" s="30"/>
      <c r="P35" s="71">
        <f>('Instruction-4YR'!V33)/'T E&amp;G 4YR'!V33*100</f>
        <v>30.196876692444562</v>
      </c>
      <c r="Q35" s="72">
        <f>('RESEARCH 4yr'!V33)/('T E&amp;G 4YR'!V33)*100</f>
        <v>24.985613126138624</v>
      </c>
      <c r="R35" s="72">
        <f>('PUBLIC SERVICE 4yr'!V33)/('T E&amp;G 4YR'!V33)*100</f>
        <v>6.0623784842174704</v>
      </c>
      <c r="S35" s="72">
        <f>('ASptISptSSv 4yr'!V33)/('T E&amp;G 4YR'!V33)*100</f>
        <v>24.923388511538377</v>
      </c>
      <c r="T35" s="73">
        <f>('PLANT OPER MAIN 4yr'!V33)/('T E&amp;G 4YR'!V33)*100</f>
        <v>0</v>
      </c>
      <c r="U35" s="72">
        <f>('SCHOLAR FELLOW 4yr'!V33)/('T E&amp;G 4YR'!V33)*100</f>
        <v>13.401515848473597</v>
      </c>
      <c r="V35" s="70">
        <f>IF((('All Other 4yr'!V33/'T E&amp;G 4YR'!V33)*100)&gt;=0.05,('All Other 4yr'!V33/'T E&amp;G 4YR'!V33)*100,"*")</f>
        <v>0.43022733718735778</v>
      </c>
      <c r="W35" s="30"/>
      <c r="X35" s="52">
        <f t="shared" si="11"/>
        <v>99.999999999999986</v>
      </c>
      <c r="Y35" s="52">
        <f t="shared" si="12"/>
        <v>100.00000000000003</v>
      </c>
      <c r="Z35" s="55"/>
    </row>
    <row r="36" spans="1:26" s="56" customFormat="1">
      <c r="A36" s="98" t="s">
        <v>102</v>
      </c>
      <c r="B36" s="98"/>
      <c r="C36" s="111">
        <f>'Instruction-4YR'!AA34/'T E&amp;G 4YR'!AA34*100</f>
        <v>41.538522658810159</v>
      </c>
      <c r="D36" s="111">
        <f>'RESEARCH 4yr'!AA34/'T E&amp;G 4YR'!AA34*100</f>
        <v>9.7240426892554446</v>
      </c>
      <c r="E36" s="111">
        <f>'PUBLIC SERVICE 4yr'!AA34/'T E&amp;G 4YR'!AA34*100</f>
        <v>4.9840885349696631</v>
      </c>
      <c r="F36" s="111">
        <f>'ASptISptSSv 4yr'!AA34/'T E&amp;G 4YR'!AA34*100</f>
        <v>30.312982633961504</v>
      </c>
      <c r="G36" s="111">
        <f>'SCHOLAR FELLOW 4yr'!AA34/'T E&amp;G 4YR'!AA34*100</f>
        <v>13.164091145384146</v>
      </c>
      <c r="H36" s="111">
        <f>('All Other 4yr'!AA34/'T E&amp;G 4YR'!AA34)*100</f>
        <v>0.27627233761907821</v>
      </c>
      <c r="I36" s="116">
        <f t="shared" si="13"/>
        <v>-1.9205241188619198</v>
      </c>
      <c r="J36" s="115">
        <f t="shared" si="14"/>
        <v>-2.0800888328259575</v>
      </c>
      <c r="K36" s="115">
        <f t="shared" si="15"/>
        <v>-1.4977344036298721</v>
      </c>
      <c r="L36" s="115">
        <f t="shared" si="16"/>
        <v>5.2235045357058922</v>
      </c>
      <c r="M36" s="115">
        <f t="shared" si="17"/>
        <v>3.0565502514705614</v>
      </c>
      <c r="N36" s="115">
        <f t="shared" si="18"/>
        <v>-2.7817074318587043</v>
      </c>
      <c r="O36" s="30"/>
      <c r="P36" s="71">
        <f>('Instruction-4YR'!V34)/'T E&amp;G 4YR'!V34*100</f>
        <v>43.459046777672079</v>
      </c>
      <c r="Q36" s="72">
        <f>('RESEARCH 4yr'!V34)/('T E&amp;G 4YR'!V34)*100</f>
        <v>11.804131522081402</v>
      </c>
      <c r="R36" s="72">
        <f>('PUBLIC SERVICE 4yr'!V34)/('T E&amp;G 4YR'!V34)*100</f>
        <v>6.4818229385995352</v>
      </c>
      <c r="S36" s="72">
        <f>('ASptISptSSv 4yr'!V34)/('T E&amp;G 4YR'!V34)*100</f>
        <v>25.089478098255611</v>
      </c>
      <c r="T36" s="73">
        <f>('PLANT OPER MAIN 4yr'!V34)/('T E&amp;G 4YR'!V34)*100</f>
        <v>0</v>
      </c>
      <c r="U36" s="72">
        <f>('SCHOLAR FELLOW 4yr'!V34)/('T E&amp;G 4YR'!V34)*100</f>
        <v>10.107540893913585</v>
      </c>
      <c r="V36" s="70">
        <f>IF((('All Other 4yr'!V34/'T E&amp;G 4YR'!V34)*100)&gt;=0.05,('All Other 4yr'!V34/'T E&amp;G 4YR'!V34)*100,"*")</f>
        <v>3.0579797694777824</v>
      </c>
      <c r="W36" s="30"/>
      <c r="X36" s="52">
        <f t="shared" si="11"/>
        <v>99.999999999999986</v>
      </c>
      <c r="Y36" s="52">
        <f t="shared" si="12"/>
        <v>100</v>
      </c>
      <c r="Z36" s="55"/>
    </row>
    <row r="37" spans="1:26" s="56" customFormat="1">
      <c r="A37" s="97" t="s">
        <v>105</v>
      </c>
      <c r="B37" s="97"/>
      <c r="C37" s="113">
        <f>'Instruction-4YR'!AA35/'T E&amp;G 4YR'!AA35*100</f>
        <v>26.132113183123877</v>
      </c>
      <c r="D37" s="113">
        <f>'RESEARCH 4yr'!AA35/'T E&amp;G 4YR'!AA35*100</f>
        <v>19.201723569576103</v>
      </c>
      <c r="E37" s="113">
        <f>'PUBLIC SERVICE 4yr'!AA35/'T E&amp;G 4YR'!AA35*100</f>
        <v>22.937572560097287</v>
      </c>
      <c r="F37" s="113">
        <f>'ASptISptSSv 4yr'!AA35/'T E&amp;G 4YR'!AA35*100</f>
        <v>14.299623727100888</v>
      </c>
      <c r="G37" s="113">
        <f>'SCHOLAR FELLOW 4yr'!AA35/'T E&amp;G 4YR'!AA35*100</f>
        <v>10.665283053364764</v>
      </c>
      <c r="H37" s="113">
        <f>('All Other 4yr'!AA35/'T E&amp;G 4YR'!AA35)*100</f>
        <v>6.7636839067370866</v>
      </c>
      <c r="I37" s="114">
        <f t="shared" si="13"/>
        <v>9.6436664985855458E-2</v>
      </c>
      <c r="J37" s="113">
        <f t="shared" si="14"/>
        <v>-4.75304616892452</v>
      </c>
      <c r="K37" s="113">
        <f t="shared" si="15"/>
        <v>6.0477582587198633</v>
      </c>
      <c r="L37" s="113">
        <f t="shared" si="16"/>
        <v>5.307537481890634E-2</v>
      </c>
      <c r="M37" s="113">
        <f t="shared" si="17"/>
        <v>0.13947717981574392</v>
      </c>
      <c r="N37" s="113">
        <f t="shared" si="18"/>
        <v>-1.5837013094158392</v>
      </c>
      <c r="O37" s="30"/>
      <c r="P37" s="71">
        <f>('Instruction-4YR'!V35)/'T E&amp;G 4YR'!V35*100</f>
        <v>26.035676518138022</v>
      </c>
      <c r="Q37" s="72">
        <f>('RESEARCH 4yr'!V35)/('T E&amp;G 4YR'!V35)*100</f>
        <v>23.954769738500623</v>
      </c>
      <c r="R37" s="72">
        <f>('PUBLIC SERVICE 4yr'!V35)/('T E&amp;G 4YR'!V35)*100</f>
        <v>16.889814301377424</v>
      </c>
      <c r="S37" s="72">
        <f>('ASptISptSSv 4yr'!V35)/('T E&amp;G 4YR'!V35)*100</f>
        <v>14.246548352281982</v>
      </c>
      <c r="T37" s="73">
        <f>('PLANT OPER MAIN 4yr'!V35)/('T E&amp;G 4YR'!V35)*100</f>
        <v>0</v>
      </c>
      <c r="U37" s="72">
        <f>('SCHOLAR FELLOW 4yr'!V35)/('T E&amp;G 4YR'!V35)*100</f>
        <v>10.52580587354902</v>
      </c>
      <c r="V37" s="70">
        <f>IF((('All Other 4yr'!V35/'T E&amp;G 4YR'!V35)*100)&gt;=0.05,('All Other 4yr'!V35/'T E&amp;G 4YR'!V35)*100,"*")</f>
        <v>8.3473852161529258</v>
      </c>
      <c r="W37" s="30"/>
      <c r="X37" s="52">
        <f t="shared" si="11"/>
        <v>100</v>
      </c>
      <c r="Y37" s="52">
        <f t="shared" si="12"/>
        <v>100</v>
      </c>
      <c r="Z37" s="55"/>
    </row>
    <row r="38" spans="1:26" s="56" customFormat="1">
      <c r="A38" s="97" t="s">
        <v>109</v>
      </c>
      <c r="B38" s="97"/>
      <c r="C38" s="113">
        <f>'Instruction-4YR'!AA36/'T E&amp;G 4YR'!AA36*100</f>
        <v>33.858714991922106</v>
      </c>
      <c r="D38" s="113">
        <f>'RESEARCH 4yr'!AA36/'T E&amp;G 4YR'!AA36*100</f>
        <v>18.450393548014226</v>
      </c>
      <c r="E38" s="113">
        <f>'PUBLIC SERVICE 4yr'!AA36/'T E&amp;G 4YR'!AA36*100</f>
        <v>7.3036055399079496</v>
      </c>
      <c r="F38" s="113">
        <f>'ASptISptSSv 4yr'!AA36/'T E&amp;G 4YR'!AA36*100</f>
        <v>26.861584621396094</v>
      </c>
      <c r="G38" s="113">
        <f>'SCHOLAR FELLOW 4yr'!AA36/'T E&amp;G 4YR'!AA36*100</f>
        <v>11.131476524169233</v>
      </c>
      <c r="H38" s="113">
        <f>('All Other 4yr'!AA36/'T E&amp;G 4YR'!AA36)*100</f>
        <v>2.3942247745903851</v>
      </c>
      <c r="I38" s="114">
        <f t="shared" si="13"/>
        <v>2.1633174024054327</v>
      </c>
      <c r="J38" s="113">
        <f t="shared" si="14"/>
        <v>-5.926785276401791</v>
      </c>
      <c r="K38" s="113">
        <f t="shared" si="15"/>
        <v>0.68316360627586104</v>
      </c>
      <c r="L38" s="113">
        <f t="shared" si="16"/>
        <v>1.1332651382246546</v>
      </c>
      <c r="M38" s="113">
        <f t="shared" si="17"/>
        <v>0.96558137858499116</v>
      </c>
      <c r="N38" s="113">
        <f t="shared" si="18"/>
        <v>0.98145775091085374</v>
      </c>
      <c r="O38" s="30"/>
      <c r="P38" s="71">
        <f>('Instruction-4YR'!V36)/'T E&amp;G 4YR'!V36*100</f>
        <v>31.695397589516674</v>
      </c>
      <c r="Q38" s="72">
        <f>('RESEARCH 4yr'!V36)/('T E&amp;G 4YR'!V36)*100</f>
        <v>24.377178824416017</v>
      </c>
      <c r="R38" s="72">
        <f>('PUBLIC SERVICE 4yr'!V36)/('T E&amp;G 4YR'!V36)*100</f>
        <v>6.6204419336320885</v>
      </c>
      <c r="S38" s="72">
        <f>('ASptISptSSv 4yr'!V36)/('T E&amp;G 4YR'!V36)*100</f>
        <v>25.72831948317144</v>
      </c>
      <c r="T38" s="73">
        <f>('PLANT OPER MAIN 4yr'!V36)/('T E&amp;G 4YR'!V36)*100</f>
        <v>0</v>
      </c>
      <c r="U38" s="72">
        <f>('SCHOLAR FELLOW 4yr'!V36)/('T E&amp;G 4YR'!V36)*100</f>
        <v>10.165895145584242</v>
      </c>
      <c r="V38" s="70">
        <f>IF((('All Other 4yr'!V36/'T E&amp;G 4YR'!V36)*100)&gt;=0.05,('All Other 4yr'!V36/'T E&amp;G 4YR'!V36)*100,"*")</f>
        <v>1.4127670236795313</v>
      </c>
      <c r="W38" s="30"/>
      <c r="X38" s="52">
        <f t="shared" si="11"/>
        <v>100</v>
      </c>
      <c r="Y38" s="52">
        <f t="shared" si="12"/>
        <v>99.999999999999986</v>
      </c>
      <c r="Z38" s="55"/>
    </row>
    <row r="39" spans="1:26" s="56" customFormat="1">
      <c r="A39" s="97" t="s">
        <v>113</v>
      </c>
      <c r="B39" s="97"/>
      <c r="C39" s="113">
        <f>'Instruction-4YR'!AA37/'T E&amp;G 4YR'!AA37*100</f>
        <v>27.58984603048733</v>
      </c>
      <c r="D39" s="113">
        <f>'RESEARCH 4yr'!AA37/'T E&amp;G 4YR'!AA37*100</f>
        <v>13.655310413564983</v>
      </c>
      <c r="E39" s="113">
        <f>'PUBLIC SERVICE 4yr'!AA37/'T E&amp;G 4YR'!AA37*100</f>
        <v>25.63821008900004</v>
      </c>
      <c r="F39" s="113">
        <f>'ASptISptSSv 4yr'!AA37/'T E&amp;G 4YR'!AA37*100</f>
        <v>20.055978542838204</v>
      </c>
      <c r="G39" s="113">
        <f>'SCHOLAR FELLOW 4yr'!AA37/'T E&amp;G 4YR'!AA37*100</f>
        <v>11.914518596084243</v>
      </c>
      <c r="H39" s="113">
        <f>('All Other 4yr'!AA37/'T E&amp;G 4YR'!AA37)*100</f>
        <v>1.1461363280251935</v>
      </c>
      <c r="I39" s="114">
        <f t="shared" si="13"/>
        <v>1.2586049359528104</v>
      </c>
      <c r="J39" s="113">
        <f t="shared" si="14"/>
        <v>-2.066075176159945</v>
      </c>
      <c r="K39" s="113">
        <f t="shared" si="15"/>
        <v>1.8728162033322171</v>
      </c>
      <c r="L39" s="113">
        <f t="shared" si="16"/>
        <v>-0.83401159208032283</v>
      </c>
      <c r="M39" s="113">
        <f t="shared" si="17"/>
        <v>0.35207665728597171</v>
      </c>
      <c r="N39" s="113">
        <f t="shared" si="18"/>
        <v>-0.58341102833073855</v>
      </c>
      <c r="O39" s="30"/>
      <c r="P39" s="71">
        <f>('Instruction-4YR'!V37)/'T E&amp;G 4YR'!V37*100</f>
        <v>26.331241094534519</v>
      </c>
      <c r="Q39" s="72">
        <f>('RESEARCH 4yr'!V37)/('T E&amp;G 4YR'!V37)*100</f>
        <v>15.721385589724928</v>
      </c>
      <c r="R39" s="72">
        <f>('PUBLIC SERVICE 4yr'!V37)/('T E&amp;G 4YR'!V37)*100</f>
        <v>23.765393885667823</v>
      </c>
      <c r="S39" s="72">
        <f>('ASptISptSSv 4yr'!V37)/('T E&amp;G 4YR'!V37)*100</f>
        <v>20.889990134918527</v>
      </c>
      <c r="T39" s="73">
        <f>('PLANT OPER MAIN 4yr'!V37)/('T E&amp;G 4YR'!V37)*100</f>
        <v>0</v>
      </c>
      <c r="U39" s="72">
        <f>('SCHOLAR FELLOW 4yr'!V37)/('T E&amp;G 4YR'!V37)*100</f>
        <v>11.562441938798271</v>
      </c>
      <c r="V39" s="70">
        <f>IF((('All Other 4yr'!V37/'T E&amp;G 4YR'!V37)*100)&gt;=0.05,('All Other 4yr'!V37/'T E&amp;G 4YR'!V37)*100,"*")</f>
        <v>1.729547356355932</v>
      </c>
      <c r="W39" s="30"/>
      <c r="X39" s="52">
        <f t="shared" si="11"/>
        <v>100.00000000000001</v>
      </c>
      <c r="Y39" s="52">
        <f t="shared" si="12"/>
        <v>100</v>
      </c>
      <c r="Z39" s="55"/>
    </row>
    <row r="40" spans="1:26" s="56" customFormat="1">
      <c r="A40" s="97" t="s">
        <v>115</v>
      </c>
      <c r="B40" s="97"/>
      <c r="C40" s="113">
        <f>'Instruction-4YR'!AA38/'T E&amp;G 4YR'!AA38*100</f>
        <v>38.807775998798299</v>
      </c>
      <c r="D40" s="113">
        <f>'RESEARCH 4yr'!AA38/'T E&amp;G 4YR'!AA38*100</f>
        <v>22.031507201202981</v>
      </c>
      <c r="E40" s="113">
        <f>'PUBLIC SERVICE 4yr'!AA38/'T E&amp;G 4YR'!AA38*100</f>
        <v>2.1223628250518227</v>
      </c>
      <c r="F40" s="113">
        <f>'ASptISptSSv 4yr'!AA38/'T E&amp;G 4YR'!AA38*100</f>
        <v>23.288632962855932</v>
      </c>
      <c r="G40" s="113">
        <f>'SCHOLAR FELLOW 4yr'!AA38/'T E&amp;G 4YR'!AA38*100</f>
        <v>13.749720991916417</v>
      </c>
      <c r="H40" s="113">
        <f>('All Other 4yr'!AA38/'T E&amp;G 4YR'!AA38)*100</f>
        <v>2.0174539678995844E-8</v>
      </c>
      <c r="I40" s="114">
        <f t="shared" si="13"/>
        <v>-0.59108485337102934</v>
      </c>
      <c r="J40" s="113">
        <f t="shared" si="14"/>
        <v>-1.7419779443608618</v>
      </c>
      <c r="K40" s="113">
        <f t="shared" si="15"/>
        <v>-2.2845084558509119</v>
      </c>
      <c r="L40" s="113">
        <f t="shared" si="16"/>
        <v>2.1086941296601367</v>
      </c>
      <c r="M40" s="113">
        <f t="shared" si="17"/>
        <v>2.541063508945987</v>
      </c>
      <c r="N40" s="113" t="str">
        <f t="shared" si="18"/>
        <v>*</v>
      </c>
      <c r="O40" s="30"/>
      <c r="P40" s="71">
        <f>('Instruction-4YR'!V38)/'T E&amp;G 4YR'!V38*100</f>
        <v>39.398860852169328</v>
      </c>
      <c r="Q40" s="72">
        <f>('RESEARCH 4yr'!V38)/('T E&amp;G 4YR'!V38)*100</f>
        <v>23.773485145563843</v>
      </c>
      <c r="R40" s="72">
        <f>('PUBLIC SERVICE 4yr'!V38)/('T E&amp;G 4YR'!V38)*100</f>
        <v>4.4068712809027346</v>
      </c>
      <c r="S40" s="72">
        <f>('ASptISptSSv 4yr'!V38)/('T E&amp;G 4YR'!V38)*100</f>
        <v>21.179938833195795</v>
      </c>
      <c r="T40" s="73">
        <f>('PLANT OPER MAIN 4yr'!V38)/('T E&amp;G 4YR'!V38)*100</f>
        <v>0</v>
      </c>
      <c r="U40" s="72">
        <f>('SCHOLAR FELLOW 4yr'!V38)/('T E&amp;G 4YR'!V38)*100</f>
        <v>11.20865748297043</v>
      </c>
      <c r="V40" s="70" t="str">
        <f>IF((('All Other 4yr'!V38/'T E&amp;G 4YR'!V38)*100)&gt;=0.05,('All Other 4yr'!V38/'T E&amp;G 4YR'!V38)*100,"*")</f>
        <v>*</v>
      </c>
      <c r="W40" s="30"/>
      <c r="X40" s="52">
        <f t="shared" si="11"/>
        <v>99.967813594802124</v>
      </c>
      <c r="Y40" s="52">
        <f t="shared" si="12"/>
        <v>99.999999999999986</v>
      </c>
      <c r="Z40" s="55"/>
    </row>
    <row r="41" spans="1:26" s="56" customFormat="1">
      <c r="A41" s="102" t="s">
        <v>117</v>
      </c>
      <c r="B41" s="102"/>
      <c r="C41" s="120">
        <f>'Instruction-4YR'!AA39/'T E&amp;G 4YR'!AA39*100</f>
        <v>35.577387955762795</v>
      </c>
      <c r="D41" s="120">
        <f>'RESEARCH 4yr'!AA39/'T E&amp;G 4YR'!AA39*100</f>
        <v>18.466701414338488</v>
      </c>
      <c r="E41" s="120">
        <f>'PUBLIC SERVICE 4yr'!AA39/'T E&amp;G 4YR'!AA39*100</f>
        <v>9.178971404486802</v>
      </c>
      <c r="F41" s="120">
        <f>'ASptISptSSv 4yr'!AA39/'T E&amp;G 4YR'!AA39*100</f>
        <v>23.819976730087479</v>
      </c>
      <c r="G41" s="120">
        <f>'SCHOLAR FELLOW 4yr'!AA39/'T E&amp;G 4YR'!AA39*100</f>
        <v>12.476135601729055</v>
      </c>
      <c r="H41" s="178">
        <f>('All Other 4yr'!AA39/'T E&amp;G 4YR'!AA39)*100</f>
        <v>0.48082689359537495</v>
      </c>
      <c r="I41" s="121">
        <f t="shared" si="13"/>
        <v>-1.4539598535768192</v>
      </c>
      <c r="J41" s="120">
        <f t="shared" si="14"/>
        <v>-0.53741283153107133</v>
      </c>
      <c r="K41" s="120">
        <f t="shared" si="15"/>
        <v>-0.59820133200088321</v>
      </c>
      <c r="L41" s="120">
        <f t="shared" si="16"/>
        <v>1.8074562385478714</v>
      </c>
      <c r="M41" s="120">
        <f t="shared" si="17"/>
        <v>0.30129088496552292</v>
      </c>
      <c r="N41" s="120">
        <f t="shared" si="18"/>
        <v>0.48082689359537495</v>
      </c>
      <c r="O41" s="30"/>
      <c r="P41" s="71">
        <f>('Instruction-4YR'!V39)/'T E&amp;G 4YR'!V39*100</f>
        <v>37.031347809339614</v>
      </c>
      <c r="Q41" s="72">
        <f>('RESEARCH 4yr'!V39)/('T E&amp;G 4YR'!V39)*100</f>
        <v>19.004114245869559</v>
      </c>
      <c r="R41" s="72">
        <f>('PUBLIC SERVICE 4yr'!V39)/('T E&amp;G 4YR'!V39)*100</f>
        <v>9.7771727364876853</v>
      </c>
      <c r="S41" s="72">
        <f>('ASptISptSSv 4yr'!V39)/('T E&amp;G 4YR'!V39)*100</f>
        <v>22.012520491539608</v>
      </c>
      <c r="T41" s="73">
        <f>('PLANT OPER MAIN 4yr'!V39)/('T E&amp;G 4YR'!V39)*100</f>
        <v>0</v>
      </c>
      <c r="U41" s="72">
        <f>('SCHOLAR FELLOW 4yr'!V39)/('T E&amp;G 4YR'!V39)*100</f>
        <v>12.174844716763532</v>
      </c>
      <c r="V41" s="70" t="str">
        <f>IF((('All Other 4yr'!V39/'T E&amp;G 4YR'!V39)*100)&gt;=0.05,('All Other 4yr'!V39/'T E&amp;G 4YR'!V39)*100,"*")</f>
        <v>*</v>
      </c>
      <c r="W41" s="30"/>
      <c r="X41" s="52">
        <f t="shared" si="11"/>
        <v>100</v>
      </c>
      <c r="Y41" s="52">
        <f t="shared" si="12"/>
        <v>100</v>
      </c>
      <c r="Z41" s="55"/>
    </row>
    <row r="42" spans="1:26" s="56" customFormat="1">
      <c r="A42" s="101" t="s">
        <v>121</v>
      </c>
      <c r="B42" s="101"/>
      <c r="C42" s="111">
        <f>'Instruction-4YR'!AA40/'T E&amp;G 4YR'!AA40*100</f>
        <v>37.095003006775514</v>
      </c>
      <c r="D42" s="111">
        <f>'RESEARCH 4yr'!AA40/'T E&amp;G 4YR'!AA40*100</f>
        <v>15.769224177078597</v>
      </c>
      <c r="E42" s="111">
        <f>'PUBLIC SERVICE 4yr'!AA40/'T E&amp;G 4YR'!AA40*100</f>
        <v>6.9125593367177984</v>
      </c>
      <c r="F42" s="111">
        <f>'ASptISptSSv 4yr'!AA40/'T E&amp;G 4YR'!AA40*100</f>
        <v>25.797267954995363</v>
      </c>
      <c r="G42" s="111">
        <f>'SCHOLAR FELLOW 4yr'!AA40/'T E&amp;G 4YR'!AA40*100</f>
        <v>13.35496534276156</v>
      </c>
      <c r="H42" s="111">
        <f>('All Other 4yr'!AA40/'T E&amp;G 4YR'!AA40)*100</f>
        <v>1.0709801816711635</v>
      </c>
      <c r="I42" s="112">
        <f t="shared" si="13"/>
        <v>-0.35065718734856688</v>
      </c>
      <c r="J42" s="111">
        <f t="shared" si="14"/>
        <v>-1.3613895177952688</v>
      </c>
      <c r="K42" s="111">
        <f t="shared" si="15"/>
        <v>-0.36963698305857928</v>
      </c>
      <c r="L42" s="111">
        <f t="shared" si="16"/>
        <v>1.7069052297771385</v>
      </c>
      <c r="M42" s="111">
        <f t="shared" si="17"/>
        <v>0.81458466531800688</v>
      </c>
      <c r="N42" s="111">
        <f t="shared" si="18"/>
        <v>-0.43980620689272665</v>
      </c>
      <c r="O42" s="30"/>
      <c r="P42" s="71">
        <f>('Instruction-4YR'!V40)/'T E&amp;G 4YR'!V40*100</f>
        <v>37.445660194124081</v>
      </c>
      <c r="Q42" s="72">
        <f>('RESEARCH 4yr'!V40)/('T E&amp;G 4YR'!V40)*100</f>
        <v>17.130613694873865</v>
      </c>
      <c r="R42" s="72">
        <f>('PUBLIC SERVICE 4yr'!V40)/('T E&amp;G 4YR'!V40)*100</f>
        <v>7.2821963197763777</v>
      </c>
      <c r="S42" s="72">
        <f>('ASptISptSSv 4yr'!V40)/('T E&amp;G 4YR'!V40)*100</f>
        <v>24.090362725218224</v>
      </c>
      <c r="T42" s="73">
        <f>('PLANT OPER MAIN 4yr'!V40)/('T E&amp;G 4YR'!V40)*100</f>
        <v>0</v>
      </c>
      <c r="U42" s="72">
        <f>('SCHOLAR FELLOW 4yr'!V40)/('T E&amp;G 4YR'!V40)*100</f>
        <v>12.540380677443553</v>
      </c>
      <c r="V42" s="70">
        <f>IF((('All Other 4yr'!V40/'T E&amp;G 4YR'!V40)*100)&gt;=0.05,('All Other 4yr'!V40/'T E&amp;G 4YR'!V40)*100,"*")</f>
        <v>1.5107863885638901</v>
      </c>
      <c r="W42" s="30"/>
      <c r="X42" s="52">
        <f t="shared" si="11"/>
        <v>99.999999999999986</v>
      </c>
      <c r="Y42" s="52">
        <f t="shared" si="12"/>
        <v>99.999999999999986</v>
      </c>
      <c r="Z42" s="55"/>
    </row>
    <row r="43" spans="1:26" s="56" customFormat="1">
      <c r="A43" s="101"/>
      <c r="B43" s="101"/>
      <c r="C43" s="111"/>
      <c r="D43" s="111"/>
      <c r="E43" s="111"/>
      <c r="F43" s="111"/>
      <c r="G43" s="111"/>
      <c r="H43" s="111"/>
      <c r="I43" s="112"/>
      <c r="J43" s="111"/>
      <c r="K43" s="111"/>
      <c r="L43" s="111"/>
      <c r="M43" s="111"/>
      <c r="N43" s="111"/>
      <c r="O43" s="30"/>
      <c r="P43" s="71"/>
      <c r="Q43" s="72"/>
      <c r="R43" s="72"/>
      <c r="S43" s="72"/>
      <c r="T43" s="73"/>
      <c r="U43" s="72"/>
      <c r="V43" s="70"/>
      <c r="W43" s="30"/>
      <c r="X43" s="52"/>
      <c r="Y43" s="52"/>
      <c r="Z43" s="55"/>
    </row>
    <row r="44" spans="1:26" s="56" customFormat="1">
      <c r="A44" s="97" t="s">
        <v>93</v>
      </c>
      <c r="B44" s="97"/>
      <c r="C44" s="113">
        <f>'Instruction-4YR'!AA42/'T E&amp;G 4YR'!AA42*100</f>
        <v>37.300972281467757</v>
      </c>
      <c r="D44" s="113">
        <f>'RESEARCH 4yr'!AA42/'T E&amp;G 4YR'!AA42*100</f>
        <v>12.485548535301371</v>
      </c>
      <c r="E44" s="113">
        <f>'PUBLIC SERVICE 4yr'!AA42/'T E&amp;G 4YR'!AA42*100</f>
        <v>9.6780193286443179</v>
      </c>
      <c r="F44" s="113">
        <f>'ASptISptSSv 4yr'!AA42/'T E&amp;G 4YR'!AA42*100</f>
        <v>25.752862600016524</v>
      </c>
      <c r="G44" s="113">
        <f>'SCHOLAR FELLOW 4yr'!AA42/'T E&amp;G 4YR'!AA42*100</f>
        <v>14.473748919047964</v>
      </c>
      <c r="H44" s="113">
        <f>('All Other 4yr'!AA42/'T E&amp;G 4YR'!AA42)*100</f>
        <v>0.30884833552206703</v>
      </c>
      <c r="I44" s="114">
        <f t="shared" ref="I44:I56" si="19">IF((C44-P44)=0,(C44-P44),IF((C44-P44)&gt;=0.05,(C44-P44),IF((C44-P44&lt;=-0.05),(C44-P44),"*")))</f>
        <v>-0.79796030097431725</v>
      </c>
      <c r="J44" s="113">
        <f t="shared" ref="J44:J56" si="20">IF((D44-Q44)=0,(D44-Q44),IF((D44-Q44)&gt;=0.05,(D44-Q44),IF((D44-Q44&lt;=-0.05),(D44-Q44),"*")))</f>
        <v>-2.1482106141839079</v>
      </c>
      <c r="K44" s="113">
        <f t="shared" ref="K44:K56" si="21">IF((E44-R44)=0,(E44-R44),IF((E44-R44)&gt;=0.05,(E44-R44),IF((E44-R44&lt;=-0.05),(E44-R44),"*")))</f>
        <v>-0.69945256992395954</v>
      </c>
      <c r="L44" s="113">
        <f t="shared" ref="L44:L56" si="22">IF((F44-S44)=0,(F44-S44),IF((F44-S44)&gt;=0.05,(F44-S44),IF((F44-S44&lt;=-0.05),(F44-S44),"*")))</f>
        <v>1.3464471007898453</v>
      </c>
      <c r="M44" s="113">
        <f t="shared" ref="M44:M56" si="23">IF((G44-U44)=0,(G44-U44),IF((G44-U44)&gt;=0.05,(G44-U44),IF((G44-U44&lt;=-0.05),(G44-U44),"*")))</f>
        <v>2.3173534437908732</v>
      </c>
      <c r="N44" s="113" t="str">
        <f t="shared" ref="N44:N56" si="24">IF((H44-V44)=0,(H44-V44),IF((H44-V44)&gt;=0.05,(H44-V44),IF((H44-V44&lt;=-0.05),(H44-V44),"*")))</f>
        <v>*</v>
      </c>
      <c r="O44" s="30"/>
      <c r="P44" s="71">
        <f>('Instruction-4YR'!V42)/'T E&amp;G 4YR'!V42*100</f>
        <v>38.098932582442075</v>
      </c>
      <c r="Q44" s="72">
        <f>('RESEARCH 4yr'!V42)/('T E&amp;G 4YR'!V42)*100</f>
        <v>14.633759149485279</v>
      </c>
      <c r="R44" s="72">
        <f>('PUBLIC SERVICE 4yr'!V42)/('T E&amp;G 4YR'!V42)*100</f>
        <v>10.377471898568277</v>
      </c>
      <c r="S44" s="72">
        <f>('ASptISptSSv 4yr'!V42)/('T E&amp;G 4YR'!V42)*100</f>
        <v>24.406415499226679</v>
      </c>
      <c r="T44" s="73">
        <f>('PLANT OPER MAIN 4yr'!V42)/('T E&amp;G 4YR'!V42)*100</f>
        <v>0</v>
      </c>
      <c r="U44" s="72">
        <f>('SCHOLAR FELLOW 4yr'!V42)/('T E&amp;G 4YR'!V42)*100</f>
        <v>12.15639547525709</v>
      </c>
      <c r="V44" s="70">
        <f>IF((('All Other 4yr'!V42/'T E&amp;G 4YR'!V42)*100)&gt;=0.05,('All Other 4yr'!V42/'T E&amp;G 4YR'!V42)*100,"*")</f>
        <v>0.32702539502060174</v>
      </c>
      <c r="W44" s="30"/>
      <c r="X44" s="52">
        <f t="shared" si="11"/>
        <v>100</v>
      </c>
      <c r="Y44" s="52">
        <f t="shared" si="12"/>
        <v>100</v>
      </c>
      <c r="Z44" s="55"/>
    </row>
    <row r="45" spans="1:26" s="56" customFormat="1">
      <c r="A45" s="97" t="s">
        <v>58</v>
      </c>
      <c r="B45" s="97"/>
      <c r="C45" s="113">
        <f>'Instruction-4YR'!AA43/'T E&amp;G 4YR'!AA43*100</f>
        <v>41.996607577858178</v>
      </c>
      <c r="D45" s="113">
        <f>'RESEARCH 4yr'!AA43/'T E&amp;G 4YR'!AA43*100</f>
        <v>10.708337656866609</v>
      </c>
      <c r="E45" s="113">
        <f>'PUBLIC SERVICE 4yr'!AA43/'T E&amp;G 4YR'!AA43*100</f>
        <v>5.9669803974651225</v>
      </c>
      <c r="F45" s="113">
        <f>'ASptISptSSv 4yr'!AA43/'T E&amp;G 4YR'!AA43*100</f>
        <v>26.46604560363609</v>
      </c>
      <c r="G45" s="113">
        <f>'SCHOLAR FELLOW 4yr'!AA43/'T E&amp;G 4YR'!AA43*100</f>
        <v>14.630100113500772</v>
      </c>
      <c r="H45" s="113">
        <f>('All Other 4yr'!AA43/'T E&amp;G 4YR'!AA43)*100</f>
        <v>0.23192865067323118</v>
      </c>
      <c r="I45" s="114">
        <f t="shared" si="19"/>
        <v>-2.1964137057679594</v>
      </c>
      <c r="J45" s="113">
        <f t="shared" si="20"/>
        <v>-0.79805869957541553</v>
      </c>
      <c r="K45" s="113">
        <f t="shared" si="21"/>
        <v>-1.3028110760232865</v>
      </c>
      <c r="L45" s="113">
        <f t="shared" si="22"/>
        <v>3.5977058517165297</v>
      </c>
      <c r="M45" s="113">
        <f t="shared" si="23"/>
        <v>1.1923187682735676</v>
      </c>
      <c r="N45" s="113">
        <f t="shared" si="24"/>
        <v>-0.49274113862344293</v>
      </c>
      <c r="O45" s="30"/>
      <c r="P45" s="71">
        <f>('Instruction-4YR'!V43)/'T E&amp;G 4YR'!V43*100</f>
        <v>44.193021283626138</v>
      </c>
      <c r="Q45" s="72">
        <f>('RESEARCH 4yr'!V43)/('T E&amp;G 4YR'!V43)*100</f>
        <v>11.506396356442025</v>
      </c>
      <c r="R45" s="72">
        <f>('PUBLIC SERVICE 4yr'!V43)/('T E&amp;G 4YR'!V43)*100</f>
        <v>7.269791473488409</v>
      </c>
      <c r="S45" s="72">
        <f>('ASptISptSSv 4yr'!V43)/('T E&amp;G 4YR'!V43)*100</f>
        <v>22.86833975191956</v>
      </c>
      <c r="T45" s="73">
        <f>('PLANT OPER MAIN 4yr'!V43)/('T E&amp;G 4YR'!V43)*100</f>
        <v>0</v>
      </c>
      <c r="U45" s="72">
        <f>('SCHOLAR FELLOW 4yr'!V43)/('T E&amp;G 4YR'!V43)*100</f>
        <v>13.437781345227204</v>
      </c>
      <c r="V45" s="70">
        <f>IF((('All Other 4yr'!V43/'T E&amp;G 4YR'!V43)*100)&gt;=0.05,('All Other 4yr'!V43/'T E&amp;G 4YR'!V43)*100,"*")</f>
        <v>0.72466978929667414</v>
      </c>
      <c r="W45" s="30"/>
      <c r="X45" s="52">
        <f t="shared" si="11"/>
        <v>100.00000000000001</v>
      </c>
      <c r="Y45" s="52">
        <f t="shared" si="12"/>
        <v>100</v>
      </c>
      <c r="Z45" s="55"/>
    </row>
    <row r="46" spans="1:26" s="56" customFormat="1">
      <c r="A46" s="97" t="s">
        <v>94</v>
      </c>
      <c r="B46" s="97"/>
      <c r="C46" s="113">
        <f>'Instruction-4YR'!AA44/'T E&amp;G 4YR'!AA44*100</f>
        <v>31.174023775139542</v>
      </c>
      <c r="D46" s="113">
        <f>'RESEARCH 4yr'!AA44/'T E&amp;G 4YR'!AA44*100</f>
        <v>20.849037401073982</v>
      </c>
      <c r="E46" s="113">
        <f>'PUBLIC SERVICE 4yr'!AA44/'T E&amp;G 4YR'!AA44*100</f>
        <v>8.0589692112115934</v>
      </c>
      <c r="F46" s="113">
        <f>'ASptISptSSv 4yr'!AA44/'T E&amp;G 4YR'!AA44*100</f>
        <v>26.176190836938527</v>
      </c>
      <c r="G46" s="113">
        <f>'SCHOLAR FELLOW 4yr'!AA44/'T E&amp;G 4YR'!AA44*100</f>
        <v>11.881877322593535</v>
      </c>
      <c r="H46" s="113">
        <f>('All Other 4yr'!AA44/'T E&amp;G 4YR'!AA44)*100</f>
        <v>1.8599014530428151</v>
      </c>
      <c r="I46" s="114">
        <f t="shared" si="19"/>
        <v>-0.43803919214299114</v>
      </c>
      <c r="J46" s="113">
        <f t="shared" si="20"/>
        <v>-3.5229659608168902</v>
      </c>
      <c r="K46" s="113">
        <f t="shared" si="21"/>
        <v>-0.76096182599902917</v>
      </c>
      <c r="L46" s="113">
        <f t="shared" si="22"/>
        <v>1.8770745691128745</v>
      </c>
      <c r="M46" s="113">
        <f t="shared" si="23"/>
        <v>1.5838314447057122</v>
      </c>
      <c r="N46" s="113">
        <f t="shared" si="24"/>
        <v>1.2610609651403295</v>
      </c>
      <c r="O46" s="30"/>
      <c r="P46" s="71">
        <f>('Instruction-4YR'!V44)/'T E&amp;G 4YR'!V44*100</f>
        <v>31.612062967282533</v>
      </c>
      <c r="Q46" s="72">
        <f>('RESEARCH 4yr'!V44)/('T E&amp;G 4YR'!V44)*100</f>
        <v>24.372003361890872</v>
      </c>
      <c r="R46" s="72">
        <f>('PUBLIC SERVICE 4yr'!V44)/('T E&amp;G 4YR'!V44)*100</f>
        <v>8.8199310372106225</v>
      </c>
      <c r="S46" s="72">
        <f>('ASptISptSSv 4yr'!V44)/('T E&amp;G 4YR'!V44)*100</f>
        <v>24.299116267825653</v>
      </c>
      <c r="T46" s="73">
        <f>('PLANT OPER MAIN 4yr'!V44)/('T E&amp;G 4YR'!V44)*100</f>
        <v>0</v>
      </c>
      <c r="U46" s="72">
        <f>('SCHOLAR FELLOW 4yr'!V44)/('T E&amp;G 4YR'!V44)*100</f>
        <v>10.298045877887823</v>
      </c>
      <c r="V46" s="70">
        <f>IF((('All Other 4yr'!V44/'T E&amp;G 4YR'!V44)*100)&gt;=0.05,('All Other 4yr'!V44/'T E&amp;G 4YR'!V44)*100,"*")</f>
        <v>0.59884048790248556</v>
      </c>
      <c r="W46" s="30"/>
      <c r="X46" s="52">
        <f t="shared" si="11"/>
        <v>100</v>
      </c>
      <c r="Y46" s="52">
        <f t="shared" si="12"/>
        <v>100</v>
      </c>
      <c r="Z46" s="55"/>
    </row>
    <row r="47" spans="1:26" s="56" customFormat="1">
      <c r="A47" s="97" t="s">
        <v>95</v>
      </c>
      <c r="B47" s="97"/>
      <c r="C47" s="113">
        <f>'Instruction-4YR'!AA45/'T E&amp;G 4YR'!AA45*100</f>
        <v>38.244690121646528</v>
      </c>
      <c r="D47" s="113">
        <f>'RESEARCH 4yr'!AA45/'T E&amp;G 4YR'!AA45*100</f>
        <v>20.695676262831828</v>
      </c>
      <c r="E47" s="113">
        <f>'PUBLIC SERVICE 4yr'!AA45/'T E&amp;G 4YR'!AA45*100</f>
        <v>6.9561253878852867</v>
      </c>
      <c r="F47" s="113">
        <f>'ASptISptSSv 4yr'!AA45/'T E&amp;G 4YR'!AA45*100</f>
        <v>24.105489548443238</v>
      </c>
      <c r="G47" s="113">
        <f>'SCHOLAR FELLOW 4yr'!AA45/'T E&amp;G 4YR'!AA45*100</f>
        <v>8.7639600114971827</v>
      </c>
      <c r="H47" s="113">
        <f>('All Other 4yr'!AA45/'T E&amp;G 4YR'!AA45)*100</f>
        <v>1.2340586676959331</v>
      </c>
      <c r="I47" s="114">
        <f t="shared" si="19"/>
        <v>2.0508011751497648</v>
      </c>
      <c r="J47" s="113">
        <f t="shared" si="20"/>
        <v>-1.3226582731958096</v>
      </c>
      <c r="K47" s="113">
        <f t="shared" si="21"/>
        <v>-0.12482530197792574</v>
      </c>
      <c r="L47" s="113">
        <f t="shared" si="22"/>
        <v>-0.54394256654216733</v>
      </c>
      <c r="M47" s="113">
        <f t="shared" si="23"/>
        <v>-0.80407673767884447</v>
      </c>
      <c r="N47" s="113">
        <f t="shared" si="24"/>
        <v>0.7447017042449805</v>
      </c>
      <c r="O47" s="30"/>
      <c r="P47" s="71">
        <f>('Instruction-4YR'!V45)/'T E&amp;G 4YR'!V45*100</f>
        <v>36.193888946496763</v>
      </c>
      <c r="Q47" s="72">
        <f>('RESEARCH 4yr'!V45)/('T E&amp;G 4YR'!V45)*100</f>
        <v>22.018334536027638</v>
      </c>
      <c r="R47" s="72">
        <f>('PUBLIC SERVICE 4yr'!V45)/('T E&amp;G 4YR'!V45)*100</f>
        <v>7.0809506898632124</v>
      </c>
      <c r="S47" s="72">
        <f>('ASptISptSSv 4yr'!V45)/('T E&amp;G 4YR'!V45)*100</f>
        <v>24.649432114985405</v>
      </c>
      <c r="T47" s="73">
        <f>('PLANT OPER MAIN 4yr'!V45)/('T E&amp;G 4YR'!V45)*100</f>
        <v>0</v>
      </c>
      <c r="U47" s="72">
        <f>('SCHOLAR FELLOW 4yr'!V45)/('T E&amp;G 4YR'!V45)*100</f>
        <v>9.5680367491760272</v>
      </c>
      <c r="V47" s="70">
        <f>IF((('All Other 4yr'!V45/'T E&amp;G 4YR'!V45)*100)&gt;=0.05,('All Other 4yr'!V45/'T E&amp;G 4YR'!V45)*100,"*")</f>
        <v>0.48935696345095259</v>
      </c>
      <c r="W47" s="30"/>
      <c r="X47" s="52">
        <f t="shared" si="11"/>
        <v>100</v>
      </c>
      <c r="Y47" s="52">
        <f t="shared" si="12"/>
        <v>100</v>
      </c>
      <c r="Z47" s="55"/>
    </row>
    <row r="48" spans="1:26" s="56" customFormat="1">
      <c r="A48" s="98" t="s">
        <v>98</v>
      </c>
      <c r="B48" s="98"/>
      <c r="C48" s="111">
        <f>'Instruction-4YR'!AA46/'T E&amp;G 4YR'!AA46*100</f>
        <v>37.383889517985381</v>
      </c>
      <c r="D48" s="111">
        <f>'RESEARCH 4yr'!AA46/'T E&amp;G 4YR'!AA46*100</f>
        <v>16.471507062326445</v>
      </c>
      <c r="E48" s="111">
        <f>'PUBLIC SERVICE 4yr'!AA46/'T E&amp;G 4YR'!AA46*100</f>
        <v>6.8661031726903188</v>
      </c>
      <c r="F48" s="111">
        <f>'ASptISptSSv 4yr'!AA46/'T E&amp;G 4YR'!AA46*100</f>
        <v>23.888927863198678</v>
      </c>
      <c r="G48" s="111">
        <f>'SCHOLAR FELLOW 4yr'!AA46/'T E&amp;G 4YR'!AA46*100</f>
        <v>14.762686479300113</v>
      </c>
      <c r="H48" s="111">
        <f>('All Other 4yr'!AA46/'T E&amp;G 4YR'!AA46)*100</f>
        <v>0.62688590449906667</v>
      </c>
      <c r="I48" s="116">
        <f t="shared" si="19"/>
        <v>-0.62870563812668934</v>
      </c>
      <c r="J48" s="115">
        <f t="shared" si="20"/>
        <v>-1.4380921914136024</v>
      </c>
      <c r="K48" s="115">
        <f t="shared" si="21"/>
        <v>-8.4777782834871473E-2</v>
      </c>
      <c r="L48" s="115">
        <f t="shared" si="22"/>
        <v>0.91602300921451629</v>
      </c>
      <c r="M48" s="115">
        <f t="shared" si="23"/>
        <v>1.1728434206005502</v>
      </c>
      <c r="N48" s="115">
        <f t="shared" si="24"/>
        <v>6.2709182560101162E-2</v>
      </c>
      <c r="O48" s="30"/>
      <c r="P48" s="71">
        <f>('Instruction-4YR'!V46)/'T E&amp;G 4YR'!V46*100</f>
        <v>38.01259515611207</v>
      </c>
      <c r="Q48" s="72">
        <f>('RESEARCH 4yr'!V46)/('T E&amp;G 4YR'!V46)*100</f>
        <v>17.909599253740048</v>
      </c>
      <c r="R48" s="72">
        <f>('PUBLIC SERVICE 4yr'!V46)/('T E&amp;G 4YR'!V46)*100</f>
        <v>6.9508809555251903</v>
      </c>
      <c r="S48" s="72">
        <f>('ASptISptSSv 4yr'!V46)/('T E&amp;G 4YR'!V46)*100</f>
        <v>22.972904853984161</v>
      </c>
      <c r="T48" s="73">
        <f>('PLANT OPER MAIN 4yr'!V46)/('T E&amp;G 4YR'!V46)*100</f>
        <v>0</v>
      </c>
      <c r="U48" s="72">
        <f>('SCHOLAR FELLOW 4yr'!V46)/('T E&amp;G 4YR'!V46)*100</f>
        <v>13.589843058699563</v>
      </c>
      <c r="V48" s="70">
        <f>IF((('All Other 4yr'!V46/'T E&amp;G 4YR'!V46)*100)&gt;=0.05,('All Other 4yr'!V46/'T E&amp;G 4YR'!V46)*100,"*")</f>
        <v>0.56417672193896551</v>
      </c>
      <c r="W48" s="30"/>
      <c r="X48" s="52">
        <f t="shared" si="11"/>
        <v>100</v>
      </c>
      <c r="Y48" s="52">
        <f t="shared" si="12"/>
        <v>100</v>
      </c>
      <c r="Z48" s="55"/>
    </row>
    <row r="49" spans="1:26" s="56" customFormat="1">
      <c r="A49" s="98" t="s">
        <v>99</v>
      </c>
      <c r="B49" s="98"/>
      <c r="C49" s="111">
        <f>'Instruction-4YR'!AA47/'T E&amp;G 4YR'!AA47*100</f>
        <v>29.328120962825277</v>
      </c>
      <c r="D49" s="111">
        <f>'RESEARCH 4yr'!AA47/'T E&amp;G 4YR'!AA47*100</f>
        <v>21.224459011491469</v>
      </c>
      <c r="E49" s="111">
        <f>'PUBLIC SERVICE 4yr'!AA47/'T E&amp;G 4YR'!AA47*100</f>
        <v>6.8287418142516989</v>
      </c>
      <c r="F49" s="111">
        <f>'ASptISptSSv 4yr'!AA47/'T E&amp;G 4YR'!AA47*100</f>
        <v>30.724435125204497</v>
      </c>
      <c r="G49" s="111">
        <f>'SCHOLAR FELLOW 4yr'!AA47/'T E&amp;G 4YR'!AA47*100</f>
        <v>10.989099314443864</v>
      </c>
      <c r="H49" s="111">
        <f>('All Other 4yr'!AA47/'T E&amp;G 4YR'!AA47)*100</f>
        <v>0.90514377178319183</v>
      </c>
      <c r="I49" s="116" t="str">
        <f t="shared" si="19"/>
        <v>*</v>
      </c>
      <c r="J49" s="115">
        <f t="shared" si="20"/>
        <v>0.52677396883119698</v>
      </c>
      <c r="K49" s="115">
        <f t="shared" si="21"/>
        <v>0.45134727696994936</v>
      </c>
      <c r="L49" s="115" t="str">
        <f t="shared" si="22"/>
        <v>*</v>
      </c>
      <c r="M49" s="115">
        <f t="shared" si="23"/>
        <v>0.31664456121011675</v>
      </c>
      <c r="N49" s="115">
        <f t="shared" si="24"/>
        <v>-1.3349763372222729</v>
      </c>
      <c r="O49" s="30"/>
      <c r="P49" s="71">
        <f>('Instruction-4YR'!V47)/'T E&amp;G 4YR'!V47*100</f>
        <v>29.296149191119959</v>
      </c>
      <c r="Q49" s="72">
        <f>('RESEARCH 4yr'!V47)/('T E&amp;G 4YR'!V47)*100</f>
        <v>20.697685042660272</v>
      </c>
      <c r="R49" s="72">
        <f>('PUBLIC SERVICE 4yr'!V47)/('T E&amp;G 4YR'!V47)*100</f>
        <v>6.3773945372817495</v>
      </c>
      <c r="S49" s="72">
        <f>('ASptISptSSv 4yr'!V47)/('T E&amp;G 4YR'!V47)*100</f>
        <v>30.716196366698806</v>
      </c>
      <c r="T49" s="73">
        <f>('PLANT OPER MAIN 4yr'!V47)/('T E&amp;G 4YR'!V47)*100</f>
        <v>0</v>
      </c>
      <c r="U49" s="72">
        <f>('SCHOLAR FELLOW 4yr'!V47)/('T E&amp;G 4YR'!V47)*100</f>
        <v>10.672454753233747</v>
      </c>
      <c r="V49" s="70">
        <f>IF((('All Other 4yr'!V47/'T E&amp;G 4YR'!V47)*100)&gt;=0.05,('All Other 4yr'!V47/'T E&amp;G 4YR'!V47)*100,"*")</f>
        <v>2.2401201090054648</v>
      </c>
      <c r="W49" s="30"/>
      <c r="X49" s="52">
        <f t="shared" si="11"/>
        <v>100</v>
      </c>
      <c r="Y49" s="52">
        <f t="shared" si="12"/>
        <v>99.999999999999986</v>
      </c>
      <c r="Z49" s="55"/>
    </row>
    <row r="50" spans="1:26" s="56" customFormat="1">
      <c r="A50" s="98" t="s">
        <v>59</v>
      </c>
      <c r="B50" s="98"/>
      <c r="C50" s="111">
        <f>'Instruction-4YR'!AA48/'T E&amp;G 4YR'!AA48*100</f>
        <v>41.464682545044852</v>
      </c>
      <c r="D50" s="111">
        <f>'RESEARCH 4yr'!AA48/'T E&amp;G 4YR'!AA48*100</f>
        <v>8.1572967328215995</v>
      </c>
      <c r="E50" s="111">
        <f>'PUBLIC SERVICE 4yr'!AA48/'T E&amp;G 4YR'!AA48*100</f>
        <v>7.2843457859870249</v>
      </c>
      <c r="F50" s="111">
        <f>'ASptISptSSv 4yr'!AA48/'T E&amp;G 4YR'!AA48*100</f>
        <v>24.160673220143845</v>
      </c>
      <c r="G50" s="111">
        <f>'SCHOLAR FELLOW 4yr'!AA48/'T E&amp;G 4YR'!AA48*100</f>
        <v>18.39028009240165</v>
      </c>
      <c r="H50" s="111">
        <f>('All Other 4yr'!AA48/'T E&amp;G 4YR'!AA48)*100</f>
        <v>0.54272162360101583</v>
      </c>
      <c r="I50" s="116">
        <f t="shared" si="19"/>
        <v>1.1801558317615459</v>
      </c>
      <c r="J50" s="115">
        <f t="shared" si="20"/>
        <v>-2.6811831370568964</v>
      </c>
      <c r="K50" s="115">
        <f t="shared" si="21"/>
        <v>-0.18379357143158082</v>
      </c>
      <c r="L50" s="115">
        <f t="shared" si="22"/>
        <v>2.0547793901560354</v>
      </c>
      <c r="M50" s="115">
        <f t="shared" si="23"/>
        <v>0.55495342635289191</v>
      </c>
      <c r="N50" s="115">
        <f t="shared" si="24"/>
        <v>-0.92491193978201325</v>
      </c>
      <c r="O50" s="30"/>
      <c r="P50" s="71">
        <f>('Instruction-4YR'!V48)/'T E&amp;G 4YR'!V48*100</f>
        <v>40.284526713283306</v>
      </c>
      <c r="Q50" s="72">
        <f>('RESEARCH 4yr'!V48)/('T E&amp;G 4YR'!V48)*100</f>
        <v>10.838479869878496</v>
      </c>
      <c r="R50" s="72">
        <f>('PUBLIC SERVICE 4yr'!V48)/('T E&amp;G 4YR'!V48)*100</f>
        <v>7.4681393574186057</v>
      </c>
      <c r="S50" s="72">
        <f>('ASptISptSSv 4yr'!V48)/('T E&amp;G 4YR'!V48)*100</f>
        <v>22.10589382998781</v>
      </c>
      <c r="T50" s="73">
        <f>('PLANT OPER MAIN 4yr'!V48)/('T E&amp;G 4YR'!V48)*100</f>
        <v>0</v>
      </c>
      <c r="U50" s="72">
        <f>('SCHOLAR FELLOW 4yr'!V48)/('T E&amp;G 4YR'!V48)*100</f>
        <v>17.835326666048758</v>
      </c>
      <c r="V50" s="70">
        <f>IF((('All Other 4yr'!V48/'T E&amp;G 4YR'!V48)*100)&gt;=0.05,('All Other 4yr'!V48/'T E&amp;G 4YR'!V48)*100,"*")</f>
        <v>1.4676335633830291</v>
      </c>
      <c r="W50" s="30"/>
      <c r="X50" s="52">
        <f t="shared" si="11"/>
        <v>100.00000000000001</v>
      </c>
      <c r="Y50" s="52">
        <f t="shared" si="12"/>
        <v>99.999999999999986</v>
      </c>
      <c r="Z50" s="55"/>
    </row>
    <row r="51" spans="1:26" s="56" customFormat="1">
      <c r="A51" s="98" t="s">
        <v>101</v>
      </c>
      <c r="B51" s="98"/>
      <c r="C51" s="111">
        <f>'Instruction-4YR'!AA49/'T E&amp;G 4YR'!AA49*100</f>
        <v>35.373113774755623</v>
      </c>
      <c r="D51" s="111">
        <f>'RESEARCH 4yr'!AA49/'T E&amp;G 4YR'!AA49*100</f>
        <v>20.437099293255976</v>
      </c>
      <c r="E51" s="111">
        <f>'PUBLIC SERVICE 4yr'!AA49/'T E&amp;G 4YR'!AA49*100</f>
        <v>8.023362797764694</v>
      </c>
      <c r="F51" s="111">
        <f>'ASptISptSSv 4yr'!AA49/'T E&amp;G 4YR'!AA49*100</f>
        <v>21.318807650043507</v>
      </c>
      <c r="G51" s="111">
        <f>'SCHOLAR FELLOW 4yr'!AA49/'T E&amp;G 4YR'!AA49*100</f>
        <v>12.175576546802704</v>
      </c>
      <c r="H51" s="111">
        <f>('All Other 4yr'!AA49/'T E&amp;G 4YR'!AA49)*100</f>
        <v>2.6720399373775043</v>
      </c>
      <c r="I51" s="116">
        <f t="shared" si="19"/>
        <v>-1.5216864525787202</v>
      </c>
      <c r="J51" s="115">
        <f t="shared" si="20"/>
        <v>-0.51340181471715951</v>
      </c>
      <c r="K51" s="115">
        <f t="shared" si="21"/>
        <v>-1.2334602520287579</v>
      </c>
      <c r="L51" s="115">
        <f t="shared" si="22"/>
        <v>2.2181273204731298</v>
      </c>
      <c r="M51" s="115">
        <f t="shared" si="23"/>
        <v>0.7107848688459022</v>
      </c>
      <c r="N51" s="115">
        <f t="shared" si="24"/>
        <v>0.33963633000561355</v>
      </c>
      <c r="O51" s="30"/>
      <c r="P51" s="71">
        <f>('Instruction-4YR'!V49)/'T E&amp;G 4YR'!V49*100</f>
        <v>36.894800227334343</v>
      </c>
      <c r="Q51" s="72">
        <f>('RESEARCH 4yr'!V49)/('T E&amp;G 4YR'!V49)*100</f>
        <v>20.950501107973135</v>
      </c>
      <c r="R51" s="72">
        <f>('PUBLIC SERVICE 4yr'!V49)/('T E&amp;G 4YR'!V49)*100</f>
        <v>9.2568230497934518</v>
      </c>
      <c r="S51" s="72">
        <f>('ASptISptSSv 4yr'!V49)/('T E&amp;G 4YR'!V49)*100</f>
        <v>19.100680329570377</v>
      </c>
      <c r="T51" s="73">
        <f>('PLANT OPER MAIN 4yr'!V49)/('T E&amp;G 4YR'!V49)*100</f>
        <v>0</v>
      </c>
      <c r="U51" s="72">
        <f>('SCHOLAR FELLOW 4yr'!V49)/('T E&amp;G 4YR'!V49)*100</f>
        <v>11.464791677956802</v>
      </c>
      <c r="V51" s="70">
        <f>IF((('All Other 4yr'!V49/'T E&amp;G 4YR'!V49)*100)&gt;=0.05,('All Other 4yr'!V49/'T E&amp;G 4YR'!V49)*100,"*")</f>
        <v>2.3324036073718908</v>
      </c>
      <c r="W51" s="30"/>
      <c r="X51" s="52">
        <f t="shared" si="11"/>
        <v>100</v>
      </c>
      <c r="Y51" s="52">
        <f t="shared" si="12"/>
        <v>100.00000000000001</v>
      </c>
      <c r="Z51" s="55"/>
    </row>
    <row r="52" spans="1:26" s="56" customFormat="1">
      <c r="A52" s="97" t="s">
        <v>107</v>
      </c>
      <c r="B52" s="97"/>
      <c r="C52" s="113">
        <f>'Instruction-4YR'!AA50/'T E&amp;G 4YR'!AA50*100</f>
        <v>42.323950066137961</v>
      </c>
      <c r="D52" s="113">
        <f>'RESEARCH 4yr'!AA50/'T E&amp;G 4YR'!AA50*100</f>
        <v>16.749220707058889</v>
      </c>
      <c r="E52" s="113">
        <f>'PUBLIC SERVICE 4yr'!AA50/'T E&amp;G 4YR'!AA50*100</f>
        <v>7.7124212862626313</v>
      </c>
      <c r="F52" s="113">
        <f>'ASptISptSSv 4yr'!AA50/'T E&amp;G 4YR'!AA50*100</f>
        <v>26.372182295333818</v>
      </c>
      <c r="G52" s="113">
        <f>'SCHOLAR FELLOW 4yr'!AA50/'T E&amp;G 4YR'!AA50*100</f>
        <v>6.5909719547067533</v>
      </c>
      <c r="H52" s="113">
        <f>('All Other 4yr'!AA50/'T E&amp;G 4YR'!AA50)*100</f>
        <v>0.25125369049994895</v>
      </c>
      <c r="I52" s="114">
        <f t="shared" si="19"/>
        <v>3.6112933068418798</v>
      </c>
      <c r="J52" s="113">
        <f t="shared" si="20"/>
        <v>-2.2622572657103248</v>
      </c>
      <c r="K52" s="113">
        <f t="shared" si="21"/>
        <v>0.54787209778660984</v>
      </c>
      <c r="L52" s="113">
        <f t="shared" si="22"/>
        <v>4.3089889563293475</v>
      </c>
      <c r="M52" s="113">
        <f t="shared" si="23"/>
        <v>-1.7374437275815682</v>
      </c>
      <c r="N52" s="113">
        <f t="shared" si="24"/>
        <v>-4.4684533676659397</v>
      </c>
      <c r="O52" s="30"/>
      <c r="P52" s="71">
        <f>('Instruction-4YR'!V50)/'T E&amp;G 4YR'!V50*100</f>
        <v>38.712656759296081</v>
      </c>
      <c r="Q52" s="72">
        <f>('RESEARCH 4yr'!V50)/('T E&amp;G 4YR'!V50)*100</f>
        <v>19.011477972769214</v>
      </c>
      <c r="R52" s="72">
        <f>('PUBLIC SERVICE 4yr'!V50)/('T E&amp;G 4YR'!V50)*100</f>
        <v>7.1645491884760215</v>
      </c>
      <c r="S52" s="72">
        <f>('ASptISptSSv 4yr'!V50)/('T E&amp;G 4YR'!V50)*100</f>
        <v>22.063193339004471</v>
      </c>
      <c r="T52" s="73">
        <f>('PLANT OPER MAIN 4yr'!V50)/('T E&amp;G 4YR'!V50)*100</f>
        <v>0</v>
      </c>
      <c r="U52" s="72">
        <f>('SCHOLAR FELLOW 4yr'!V50)/('T E&amp;G 4YR'!V50)*100</f>
        <v>8.3284156822883215</v>
      </c>
      <c r="V52" s="70">
        <f>IF((('All Other 4yr'!V50/'T E&amp;G 4YR'!V50)*100)&gt;=0.05,('All Other 4yr'!V50/'T E&amp;G 4YR'!V50)*100,"*")</f>
        <v>4.7197070581658886</v>
      </c>
      <c r="W52" s="30"/>
      <c r="X52" s="52">
        <f t="shared" si="11"/>
        <v>100</v>
      </c>
      <c r="Y52" s="52">
        <f t="shared" si="12"/>
        <v>100</v>
      </c>
      <c r="Z52" s="55"/>
    </row>
    <row r="53" spans="1:26" s="56" customFormat="1">
      <c r="A53" s="97" t="s">
        <v>108</v>
      </c>
      <c r="B53" s="97"/>
      <c r="C53" s="113">
        <f>'Instruction-4YR'!AA51/'T E&amp;G 4YR'!AA51*100</f>
        <v>40.081213323445532</v>
      </c>
      <c r="D53" s="113">
        <f>'RESEARCH 4yr'!AA51/'T E&amp;G 4YR'!AA51*100</f>
        <v>12.54395281410415</v>
      </c>
      <c r="E53" s="113">
        <f>'PUBLIC SERVICE 4yr'!AA51/'T E&amp;G 4YR'!AA51*100</f>
        <v>4.4708627033209725</v>
      </c>
      <c r="F53" s="113">
        <f>'ASptISptSSv 4yr'!AA51/'T E&amp;G 4YR'!AA51*100</f>
        <v>26.993007309440024</v>
      </c>
      <c r="G53" s="113">
        <f>'SCHOLAR FELLOW 4yr'!AA51/'T E&amp;G 4YR'!AA51*100</f>
        <v>14.992860989014501</v>
      </c>
      <c r="H53" s="113">
        <f>('All Other 4yr'!AA51/'T E&amp;G 4YR'!AA51)*100</f>
        <v>0.91810286067481539</v>
      </c>
      <c r="I53" s="114">
        <f t="shared" si="19"/>
        <v>-0.60292082524524204</v>
      </c>
      <c r="J53" s="113">
        <f t="shared" si="20"/>
        <v>-0.90311336880452942</v>
      </c>
      <c r="K53" s="113">
        <f t="shared" si="21"/>
        <v>-0.21598747430890164</v>
      </c>
      <c r="L53" s="113">
        <f t="shared" si="22"/>
        <v>2.5540812757067037</v>
      </c>
      <c r="M53" s="113">
        <f t="shared" si="23"/>
        <v>-0.60076028688744465</v>
      </c>
      <c r="N53" s="113">
        <f t="shared" si="24"/>
        <v>-0.23129932046058599</v>
      </c>
      <c r="O53" s="30"/>
      <c r="P53" s="71">
        <f>('Instruction-4YR'!V51)/'T E&amp;G 4YR'!V51*100</f>
        <v>40.684134148690774</v>
      </c>
      <c r="Q53" s="72">
        <f>('RESEARCH 4yr'!V51)/('T E&amp;G 4YR'!V51)*100</f>
        <v>13.44706618290868</v>
      </c>
      <c r="R53" s="72">
        <f>('PUBLIC SERVICE 4yr'!V51)/('T E&amp;G 4YR'!V51)*100</f>
        <v>4.6868501776298741</v>
      </c>
      <c r="S53" s="72">
        <f>('ASptISptSSv 4yr'!V51)/('T E&amp;G 4YR'!V51)*100</f>
        <v>24.438926033733321</v>
      </c>
      <c r="T53" s="73">
        <f>('PLANT OPER MAIN 4yr'!V51)/('T E&amp;G 4YR'!V51)*100</f>
        <v>0</v>
      </c>
      <c r="U53" s="72">
        <f>('SCHOLAR FELLOW 4yr'!V51)/('T E&amp;G 4YR'!V51)*100</f>
        <v>15.593621275901945</v>
      </c>
      <c r="V53" s="70">
        <f>IF((('All Other 4yr'!V51/'T E&amp;G 4YR'!V51)*100)&gt;=0.05,('All Other 4yr'!V51/'T E&amp;G 4YR'!V51)*100,"*")</f>
        <v>1.1494021811354014</v>
      </c>
      <c r="W53" s="30"/>
      <c r="X53" s="52">
        <f t="shared" si="11"/>
        <v>100</v>
      </c>
      <c r="Y53" s="52">
        <f t="shared" si="12"/>
        <v>100</v>
      </c>
      <c r="Z53" s="55"/>
    </row>
    <row r="54" spans="1:26" s="56" customFormat="1">
      <c r="A54" s="97" t="s">
        <v>112</v>
      </c>
      <c r="B54" s="97"/>
      <c r="C54" s="113">
        <f>'Instruction-4YR'!AA52/'T E&amp;G 4YR'!AA52*100</f>
        <v>37.454369889700239</v>
      </c>
      <c r="D54" s="113">
        <f>'RESEARCH 4yr'!AA52/'T E&amp;G 4YR'!AA52*100</f>
        <v>13.649666950846809</v>
      </c>
      <c r="E54" s="113">
        <f>'PUBLIC SERVICE 4yr'!AA52/'T E&amp;G 4YR'!AA52*100</f>
        <v>7.0317054621333117</v>
      </c>
      <c r="F54" s="113">
        <f>'ASptISptSSv 4yr'!AA52/'T E&amp;G 4YR'!AA52*100</f>
        <v>29.74280337653688</v>
      </c>
      <c r="G54" s="113">
        <f>'SCHOLAR FELLOW 4yr'!AA52/'T E&amp;G 4YR'!AA52*100</f>
        <v>11.00933795614683</v>
      </c>
      <c r="H54" s="113">
        <f>('All Other 4yr'!AA52/'T E&amp;G 4YR'!AA52)*100</f>
        <v>1.1121163646359269</v>
      </c>
      <c r="I54" s="114">
        <f t="shared" si="19"/>
        <v>5.0573648558715547</v>
      </c>
      <c r="J54" s="113">
        <f t="shared" si="20"/>
        <v>-3.7070164549400193</v>
      </c>
      <c r="K54" s="113">
        <f t="shared" si="21"/>
        <v>-1.13286155386138</v>
      </c>
      <c r="L54" s="113">
        <f t="shared" si="22"/>
        <v>2.6454420306748432</v>
      </c>
      <c r="M54" s="113">
        <f t="shared" si="23"/>
        <v>-0.90195655641735328</v>
      </c>
      <c r="N54" s="113">
        <f t="shared" si="24"/>
        <v>-1.9609723213276358</v>
      </c>
      <c r="O54" s="30"/>
      <c r="P54" s="71">
        <f>('Instruction-4YR'!V52)/'T E&amp;G 4YR'!V52*100</f>
        <v>32.397005033828684</v>
      </c>
      <c r="Q54" s="72">
        <f>('RESEARCH 4yr'!V52)/('T E&amp;G 4YR'!V52)*100</f>
        <v>17.356683405786828</v>
      </c>
      <c r="R54" s="72">
        <f>('PUBLIC SERVICE 4yr'!V52)/('T E&amp;G 4YR'!V52)*100</f>
        <v>8.1645670159946917</v>
      </c>
      <c r="S54" s="72">
        <f>('ASptISptSSv 4yr'!V52)/('T E&amp;G 4YR'!V52)*100</f>
        <v>27.097361345862037</v>
      </c>
      <c r="T54" s="73">
        <f>('PLANT OPER MAIN 4yr'!V52)/('T E&amp;G 4YR'!V52)*100</f>
        <v>0</v>
      </c>
      <c r="U54" s="72">
        <f>('SCHOLAR FELLOW 4yr'!V52)/('T E&amp;G 4YR'!V52)*100</f>
        <v>11.911294512564183</v>
      </c>
      <c r="V54" s="70">
        <f>IF((('All Other 4yr'!V52/'T E&amp;G 4YR'!V52)*100)&gt;=0.05,('All Other 4yr'!V52/'T E&amp;G 4YR'!V52)*100,"*")</f>
        <v>3.0730886859635627</v>
      </c>
      <c r="W54" s="30"/>
      <c r="X54" s="52">
        <f t="shared" si="11"/>
        <v>100</v>
      </c>
      <c r="Y54" s="52">
        <f t="shared" si="12"/>
        <v>99.999999999999986</v>
      </c>
      <c r="Z54" s="55"/>
    </row>
    <row r="55" spans="1:26" s="56" customFormat="1">
      <c r="A55" s="97" t="s">
        <v>116</v>
      </c>
      <c r="B55" s="97"/>
      <c r="C55" s="113">
        <f>'Instruction-4YR'!AA53/'T E&amp;G 4YR'!AA53*100</f>
        <v>31.62907988111926</v>
      </c>
      <c r="D55" s="113">
        <f>'RESEARCH 4yr'!AA53/'T E&amp;G 4YR'!AA53*100</f>
        <v>24.228582554472126</v>
      </c>
      <c r="E55" s="113">
        <f>'PUBLIC SERVICE 4yr'!AA53/'T E&amp;G 4YR'!AA53*100</f>
        <v>6.0296385609619367</v>
      </c>
      <c r="F55" s="113">
        <f>'ASptISptSSv 4yr'!AA53/'T E&amp;G 4YR'!AA53*100</f>
        <v>25.326119389274464</v>
      </c>
      <c r="G55" s="113">
        <f>'SCHOLAR FELLOW 4yr'!AA53/'T E&amp;G 4YR'!AA53*100</f>
        <v>8.6535605953388703</v>
      </c>
      <c r="H55" s="113">
        <f>('All Other 4yr'!AA53/'T E&amp;G 4YR'!AA53)*100</f>
        <v>4.1330190188333411</v>
      </c>
      <c r="I55" s="114">
        <f t="shared" si="19"/>
        <v>-0.40836049030326649</v>
      </c>
      <c r="J55" s="113">
        <f t="shared" si="20"/>
        <v>-0.54229697632823815</v>
      </c>
      <c r="K55" s="113">
        <f t="shared" si="21"/>
        <v>-0.80054029743957056</v>
      </c>
      <c r="L55" s="113">
        <f t="shared" si="22"/>
        <v>2.2579817813662579</v>
      </c>
      <c r="M55" s="113">
        <f t="shared" si="23"/>
        <v>1.5058641223056473</v>
      </c>
      <c r="N55" s="113">
        <f t="shared" si="24"/>
        <v>-2.0126481396008389</v>
      </c>
      <c r="O55" s="30"/>
      <c r="P55" s="71">
        <f>('Instruction-4YR'!V53)/'T E&amp;G 4YR'!V53*100</f>
        <v>32.037440371422527</v>
      </c>
      <c r="Q55" s="72">
        <f>('RESEARCH 4yr'!V53)/('T E&amp;G 4YR'!V53)*100</f>
        <v>24.770879530800364</v>
      </c>
      <c r="R55" s="72">
        <f>('PUBLIC SERVICE 4yr'!V53)/('T E&amp;G 4YR'!V53)*100</f>
        <v>6.8301788584015073</v>
      </c>
      <c r="S55" s="72">
        <f>('ASptISptSSv 4yr'!V53)/('T E&amp;G 4YR'!V53)*100</f>
        <v>23.068137607908206</v>
      </c>
      <c r="T55" s="73">
        <f>('PLANT OPER MAIN 4yr'!V53)/('T E&amp;G 4YR'!V53)*100</f>
        <v>0</v>
      </c>
      <c r="U55" s="72">
        <f>('SCHOLAR FELLOW 4yr'!V53)/('T E&amp;G 4YR'!V53)*100</f>
        <v>7.1476964730332231</v>
      </c>
      <c r="V55" s="70">
        <f>IF((('All Other 4yr'!V53/'T E&amp;G 4YR'!V53)*100)&gt;=0.05,('All Other 4yr'!V53/'T E&amp;G 4YR'!V53)*100,"*")</f>
        <v>6.14566715843418</v>
      </c>
      <c r="W55" s="30"/>
      <c r="X55" s="52">
        <f t="shared" si="11"/>
        <v>100</v>
      </c>
      <c r="Y55" s="52">
        <f t="shared" si="12"/>
        <v>100</v>
      </c>
      <c r="Z55" s="55"/>
    </row>
    <row r="56" spans="1:26" s="56" customFormat="1">
      <c r="A56" s="103" t="s">
        <v>122</v>
      </c>
      <c r="B56" s="103"/>
      <c r="C56" s="122">
        <f>'Instruction-4YR'!AA54/'T E&amp;G 4YR'!AA54*100</f>
        <v>40.976854841156054</v>
      </c>
      <c r="D56" s="122">
        <f>'RESEARCH 4yr'!AA54/'T E&amp;G 4YR'!AA54*100</f>
        <v>10.263836739964184</v>
      </c>
      <c r="E56" s="122">
        <f>'PUBLIC SERVICE 4yr'!AA54/'T E&amp;G 4YR'!AA54*100</f>
        <v>3.9066793367770609</v>
      </c>
      <c r="F56" s="122">
        <f>'ASptISptSSv 4yr'!AA54/'T E&amp;G 4YR'!AA54*100</f>
        <v>29.131664829652753</v>
      </c>
      <c r="G56" s="122">
        <f>'SCHOLAR FELLOW 4yr'!AA54/'T E&amp;G 4YR'!AA54*100</f>
        <v>14.679249832022615</v>
      </c>
      <c r="H56" s="122">
        <f>('All Other 4yr'!AA54/'T E&amp;G 4YR'!AA54)*100</f>
        <v>1.0417144204273254</v>
      </c>
      <c r="I56" s="123">
        <f t="shared" si="19"/>
        <v>1.7426267309805397</v>
      </c>
      <c r="J56" s="122">
        <f t="shared" si="20"/>
        <v>-0.55766136254071341</v>
      </c>
      <c r="K56" s="122">
        <f t="shared" si="21"/>
        <v>-1.4973904339230586</v>
      </c>
      <c r="L56" s="122">
        <f t="shared" si="22"/>
        <v>-0.35548050743203774</v>
      </c>
      <c r="M56" s="122">
        <f t="shared" si="23"/>
        <v>1.0939548577619362</v>
      </c>
      <c r="N56" s="122">
        <f t="shared" si="24"/>
        <v>-0.42604928484667948</v>
      </c>
      <c r="O56" s="30"/>
      <c r="P56" s="71">
        <f>('Instruction-4YR'!V54)/'T E&amp;G 4YR'!V54*100</f>
        <v>39.234228110175515</v>
      </c>
      <c r="Q56" s="72">
        <f>('RESEARCH 4yr'!V54)/('T E&amp;G 4YR'!V54)*100</f>
        <v>10.821498102504897</v>
      </c>
      <c r="R56" s="72">
        <f>('PUBLIC SERVICE 4yr'!V54)/('T E&amp;G 4YR'!V54)*100</f>
        <v>5.4040697707001195</v>
      </c>
      <c r="S56" s="72">
        <f>('ASptISptSSv 4yr'!V54)/('T E&amp;G 4YR'!V54)*100</f>
        <v>29.48714533708479</v>
      </c>
      <c r="T56" s="73">
        <f>('PLANT OPER MAIN 4yr'!V54)/('T E&amp;G 4YR'!V54)*100</f>
        <v>0</v>
      </c>
      <c r="U56" s="72">
        <f>('SCHOLAR FELLOW 4yr'!V54)/('T E&amp;G 4YR'!V54)*100</f>
        <v>13.585294974260679</v>
      </c>
      <c r="V56" s="70">
        <f>IF((('All Other 4yr'!V54/'T E&amp;G 4YR'!V54)*100)&gt;=0.05,('All Other 4yr'!V54/'T E&amp;G 4YR'!V54)*100,"*")</f>
        <v>1.4677637052740049</v>
      </c>
      <c r="W56" s="30"/>
      <c r="X56" s="52">
        <f t="shared" si="11"/>
        <v>100.00000000000001</v>
      </c>
      <c r="Y56" s="52">
        <f t="shared" si="12"/>
        <v>100</v>
      </c>
      <c r="Z56" s="55"/>
    </row>
    <row r="57" spans="1:26" s="56" customFormat="1">
      <c r="A57" s="98"/>
      <c r="B57" s="98"/>
      <c r="C57" s="115"/>
      <c r="D57" s="115"/>
      <c r="E57" s="115"/>
      <c r="F57" s="115"/>
      <c r="G57" s="115"/>
      <c r="H57" s="115"/>
      <c r="I57" s="112"/>
      <c r="J57" s="111"/>
      <c r="K57" s="111"/>
      <c r="L57" s="111"/>
      <c r="M57" s="111"/>
      <c r="N57" s="111"/>
      <c r="O57" s="30"/>
      <c r="P57" s="71"/>
      <c r="Q57" s="72"/>
      <c r="R57" s="72"/>
      <c r="S57" s="72"/>
      <c r="T57" s="73"/>
      <c r="U57" s="72"/>
      <c r="V57" s="70"/>
      <c r="W57" s="30"/>
      <c r="X57" s="52"/>
      <c r="Y57" s="52"/>
      <c r="Z57" s="55"/>
    </row>
    <row r="58" spans="1:26" s="56" customFormat="1">
      <c r="A58" s="97" t="s">
        <v>89</v>
      </c>
      <c r="B58" s="97"/>
      <c r="C58" s="113">
        <f>'Instruction-4YR'!AA56/'T E&amp;G 4YR'!AA56*100</f>
        <v>41.833572429573394</v>
      </c>
      <c r="D58" s="113">
        <f>'RESEARCH 4yr'!AA56/'T E&amp;G 4YR'!AA56*100</f>
        <v>7.7389133561892587</v>
      </c>
      <c r="E58" s="113">
        <f>'PUBLIC SERVICE 4yr'!AA56/'T E&amp;G 4YR'!AA56*100</f>
        <v>4.1393275205402462</v>
      </c>
      <c r="F58" s="113">
        <f>'ASptISptSSv 4yr'!AA56/'T E&amp;G 4YR'!AA56*100</f>
        <v>32.707450107327595</v>
      </c>
      <c r="G58" s="113">
        <f>'SCHOLAR FELLOW 4yr'!AA56/'T E&amp;G 4YR'!AA56*100</f>
        <v>13.515709492973791</v>
      </c>
      <c r="H58" s="113">
        <f>('All Other 4yr'!AA56/'T E&amp;G 4YR'!AA56)*100</f>
        <v>6.5027093395713179E-2</v>
      </c>
      <c r="I58" s="114">
        <f t="shared" ref="I58:I67" si="25">IF((C58-P58)=0,(C58-P58),IF((C58-P58)&gt;=0.05,(C58-P58),IF((C58-P58&lt;=-0.05),(C58-P58),"*")))</f>
        <v>3.6852517649196272</v>
      </c>
      <c r="J58" s="113">
        <f t="shared" ref="J58:J67" si="26">IF((D58-Q58)=0,(D58-Q58),IF((D58-Q58)&gt;=0.05,(D58-Q58),IF((D58-Q58&lt;=-0.05),(D58-Q58),"*")))</f>
        <v>-1.5139231013718986</v>
      </c>
      <c r="K58" s="113">
        <f t="shared" ref="K58:K67" si="27">IF((E58-R58)=0,(E58-R58),IF((E58-R58)&gt;=0.05,(E58-R58),IF((E58-R58&lt;=-0.05),(E58-R58),"*")))</f>
        <v>0.41046565520333012</v>
      </c>
      <c r="L58" s="113">
        <f t="shared" ref="L58:L67" si="28">IF((F58-S58)=0,(F58-S58),IF((F58-S58)&gt;=0.05,(F58-S58),IF((F58-S58&lt;=-0.05),(F58-S58),"*")))</f>
        <v>-0.87130686443752126</v>
      </c>
      <c r="M58" s="113">
        <f t="shared" ref="M58:M67" si="29">IF((G58-U58)=0,(G58-U58),IF((G58-U58)&gt;=0.05,(G58-U58),IF((G58-U58&lt;=-0.05),(G58-U58),"*")))</f>
        <v>0.68951312812759546</v>
      </c>
      <c r="N58" s="113">
        <f t="shared" ref="N58:N67" si="30">IF((H58-V58)=0,(H58-V58),IF((H58-V58)&gt;=0.05,(H58-V58),IF((H58-V58&lt;=-0.05),(H58-V58),"*")))</f>
        <v>-2.4000005824411317</v>
      </c>
      <c r="O58" s="30"/>
      <c r="P58" s="71">
        <f>('Instruction-4YR'!V56)/'T E&amp;G 4YR'!V56*100</f>
        <v>38.148320664653767</v>
      </c>
      <c r="Q58" s="72">
        <f>('RESEARCH 4yr'!V56)/('T E&amp;G 4YR'!V56)*100</f>
        <v>9.2528364575611572</v>
      </c>
      <c r="R58" s="72">
        <f>('PUBLIC SERVICE 4yr'!V56)/('T E&amp;G 4YR'!V56)*100</f>
        <v>3.7288618653369161</v>
      </c>
      <c r="S58" s="72">
        <f>('ASptISptSSv 4yr'!V56)/('T E&amp;G 4YR'!V56)*100</f>
        <v>33.578756971765117</v>
      </c>
      <c r="T58" s="73">
        <f>('PLANT OPER MAIN 4yr'!V56)/('T E&amp;G 4YR'!V56)*100</f>
        <v>0</v>
      </c>
      <c r="U58" s="72">
        <f>('SCHOLAR FELLOW 4yr'!V56)/('T E&amp;G 4YR'!V56)*100</f>
        <v>12.826196364846195</v>
      </c>
      <c r="V58" s="70">
        <f>IF((('All Other 4yr'!V56/'T E&amp;G 4YR'!V56)*100)&gt;=0.05,('All Other 4yr'!V56/'T E&amp;G 4YR'!V56)*100,"*")</f>
        <v>2.4650276758368448</v>
      </c>
      <c r="W58" s="30"/>
      <c r="X58" s="52">
        <f t="shared" si="11"/>
        <v>100.00000000000001</v>
      </c>
      <c r="Y58" s="52">
        <f t="shared" si="12"/>
        <v>100</v>
      </c>
      <c r="Z58" s="55"/>
    </row>
    <row r="59" spans="1:26" s="56" customFormat="1">
      <c r="A59" s="97" t="s">
        <v>96</v>
      </c>
      <c r="B59" s="97"/>
      <c r="C59" s="113">
        <f>'Instruction-4YR'!AA57/'T E&amp;G 4YR'!AA57*100</f>
        <v>31.744041275278168</v>
      </c>
      <c r="D59" s="113">
        <f>'RESEARCH 4yr'!AA57/'T E&amp;G 4YR'!AA57*100</f>
        <v>11.126079654687821</v>
      </c>
      <c r="E59" s="113">
        <f>'PUBLIC SERVICE 4yr'!AA57/'T E&amp;G 4YR'!AA57*100</f>
        <v>10.130821783244299</v>
      </c>
      <c r="F59" s="113">
        <f>'ASptISptSSv 4yr'!AA57/'T E&amp;G 4YR'!AA57*100</f>
        <v>29.649457865545386</v>
      </c>
      <c r="G59" s="113">
        <f>'SCHOLAR FELLOW 4yr'!AA57/'T E&amp;G 4YR'!AA57*100</f>
        <v>17.349599421244314</v>
      </c>
      <c r="H59" s="113">
        <f>('All Other 4yr'!AA57/'T E&amp;G 4YR'!AA57)*100</f>
        <v>0</v>
      </c>
      <c r="I59" s="114">
        <f t="shared" si="25"/>
        <v>-1.1237044116842974</v>
      </c>
      <c r="J59" s="113">
        <f t="shared" si="26"/>
        <v>-1.714961197371883</v>
      </c>
      <c r="K59" s="113">
        <f t="shared" si="27"/>
        <v>-8.7416431283083185E-2</v>
      </c>
      <c r="L59" s="113">
        <f t="shared" si="28"/>
        <v>0.99361837173800893</v>
      </c>
      <c r="M59" s="113">
        <f t="shared" si="29"/>
        <v>2.0192731249860092</v>
      </c>
      <c r="N59" s="113">
        <f t="shared" si="30"/>
        <v>-8.6809456384766462E-2</v>
      </c>
      <c r="O59" s="30"/>
      <c r="P59" s="71">
        <f>('Instruction-4YR'!V57)/'T E&amp;G 4YR'!V57*100</f>
        <v>32.867745686962465</v>
      </c>
      <c r="Q59" s="72">
        <f>('RESEARCH 4yr'!V57)/('T E&amp;G 4YR'!V57)*100</f>
        <v>12.841040852059704</v>
      </c>
      <c r="R59" s="72">
        <f>('PUBLIC SERVICE 4yr'!V57)/('T E&amp;G 4YR'!V57)*100</f>
        <v>10.218238214527382</v>
      </c>
      <c r="S59" s="72">
        <f>('ASptISptSSv 4yr'!V57)/('T E&amp;G 4YR'!V57)*100</f>
        <v>28.655839493807377</v>
      </c>
      <c r="T59" s="73">
        <f>('PLANT OPER MAIN 4yr'!V57)/('T E&amp;G 4YR'!V57)*100</f>
        <v>0</v>
      </c>
      <c r="U59" s="72">
        <f>('SCHOLAR FELLOW 4yr'!V57)/('T E&amp;G 4YR'!V57)*100</f>
        <v>15.330326296258304</v>
      </c>
      <c r="V59" s="70">
        <f>IF((('All Other 4yr'!V57/'T E&amp;G 4YR'!V57)*100)&gt;=0.05,('All Other 4yr'!V57/'T E&amp;G 4YR'!V57)*100,"*")</f>
        <v>8.6809456384766462E-2</v>
      </c>
      <c r="W59" s="30"/>
      <c r="X59" s="52">
        <f t="shared" si="11"/>
        <v>100</v>
      </c>
      <c r="Y59" s="52">
        <f t="shared" si="12"/>
        <v>100</v>
      </c>
      <c r="Z59" s="55"/>
    </row>
    <row r="60" spans="1:26" s="56" customFormat="1">
      <c r="A60" s="97" t="s">
        <v>97</v>
      </c>
      <c r="B60" s="97"/>
      <c r="C60" s="113">
        <f>'Instruction-4YR'!AA58/'T E&amp;G 4YR'!AA58*100</f>
        <v>35.099638810359444</v>
      </c>
      <c r="D60" s="113">
        <f>'RESEARCH 4yr'!AA58/'T E&amp;G 4YR'!AA58*100</f>
        <v>14.714876486598339</v>
      </c>
      <c r="E60" s="113">
        <f>'PUBLIC SERVICE 4yr'!AA58/'T E&amp;G 4YR'!AA58*100</f>
        <v>10.245074549478399</v>
      </c>
      <c r="F60" s="113">
        <f>'ASptISptSSv 4yr'!AA58/'T E&amp;G 4YR'!AA58*100</f>
        <v>28.066431343357618</v>
      </c>
      <c r="G60" s="113">
        <f>'SCHOLAR FELLOW 4yr'!AA58/'T E&amp;G 4YR'!AA58*100</f>
        <v>10.576929759397817</v>
      </c>
      <c r="H60" s="113">
        <f>('All Other 4yr'!AA58/'T E&amp;G 4YR'!AA58)*100</f>
        <v>1.297049050808381</v>
      </c>
      <c r="I60" s="114">
        <f t="shared" si="25"/>
        <v>3.3594582656759044</v>
      </c>
      <c r="J60" s="113">
        <f t="shared" si="26"/>
        <v>-1.1762796636351602</v>
      </c>
      <c r="K60" s="113">
        <f t="shared" si="27"/>
        <v>-5.9776834318092291</v>
      </c>
      <c r="L60" s="113">
        <f t="shared" si="28"/>
        <v>3.9287372728957628</v>
      </c>
      <c r="M60" s="113">
        <f t="shared" si="29"/>
        <v>1.0872320411463079</v>
      </c>
      <c r="N60" s="113">
        <f t="shared" si="30"/>
        <v>-1.2214644842735844</v>
      </c>
      <c r="O60" s="30"/>
      <c r="P60" s="71">
        <f>('Instruction-4YR'!V58)/'T E&amp;G 4YR'!V58*100</f>
        <v>31.74018054468354</v>
      </c>
      <c r="Q60" s="72">
        <f>('RESEARCH 4yr'!V58)/('T E&amp;G 4YR'!V58)*100</f>
        <v>15.891156150233499</v>
      </c>
      <c r="R60" s="72">
        <f>('PUBLIC SERVICE 4yr'!V58)/('T E&amp;G 4YR'!V58)*100</f>
        <v>16.222757981287629</v>
      </c>
      <c r="S60" s="72">
        <f>('ASptISptSSv 4yr'!V58)/('T E&amp;G 4YR'!V58)*100</f>
        <v>24.137694070461855</v>
      </c>
      <c r="T60" s="73">
        <f>('PLANT OPER MAIN 4yr'!V58)/('T E&amp;G 4YR'!V58)*100</f>
        <v>0</v>
      </c>
      <c r="U60" s="72">
        <f>('SCHOLAR FELLOW 4yr'!V58)/('T E&amp;G 4YR'!V58)*100</f>
        <v>9.4896977182515094</v>
      </c>
      <c r="V60" s="70">
        <f>IF((('All Other 4yr'!V58/'T E&amp;G 4YR'!V58)*100)&gt;=0.05,('All Other 4yr'!V58/'T E&amp;G 4YR'!V58)*100,"*")</f>
        <v>2.5185135350819654</v>
      </c>
      <c r="W60" s="30"/>
      <c r="X60" s="52">
        <f t="shared" si="11"/>
        <v>99.999999999999986</v>
      </c>
      <c r="Y60" s="52">
        <f t="shared" si="12"/>
        <v>100</v>
      </c>
      <c r="Z60" s="55"/>
    </row>
    <row r="61" spans="1:26" s="56" customFormat="1">
      <c r="A61" s="97" t="s">
        <v>103</v>
      </c>
      <c r="B61" s="97"/>
      <c r="C61" s="113">
        <f>'Instruction-4YR'!AA59/'T E&amp;G 4YR'!AA59*100</f>
        <v>37.010841253362742</v>
      </c>
      <c r="D61" s="113">
        <f>'RESEARCH 4yr'!AA59/'T E&amp;G 4YR'!AA59*100</f>
        <v>16.989673375424317</v>
      </c>
      <c r="E61" s="113">
        <f>'PUBLIC SERVICE 4yr'!AA59/'T E&amp;G 4YR'!AA59*100</f>
        <v>1.5136916890141974</v>
      </c>
      <c r="F61" s="113">
        <f>'ASptISptSSv 4yr'!AA59/'T E&amp;G 4YR'!AA59*100</f>
        <v>24.400682176746404</v>
      </c>
      <c r="G61" s="113">
        <f>'SCHOLAR FELLOW 4yr'!AA59/'T E&amp;G 4YR'!AA59*100</f>
        <v>19.563681049040206</v>
      </c>
      <c r="H61" s="113">
        <f>('All Other 4yr'!AA59/'T E&amp;G 4YR'!AA59)*100</f>
        <v>0.52143045641213592</v>
      </c>
      <c r="I61" s="114">
        <f t="shared" si="25"/>
        <v>-0.6555583488355694</v>
      </c>
      <c r="J61" s="113">
        <f t="shared" si="26"/>
        <v>-1.5688507088721515</v>
      </c>
      <c r="K61" s="113">
        <f t="shared" si="27"/>
        <v>-0.28164963618566485</v>
      </c>
      <c r="L61" s="113" t="str">
        <f t="shared" si="28"/>
        <v>*</v>
      </c>
      <c r="M61" s="113">
        <f t="shared" si="29"/>
        <v>2.2665487536596842</v>
      </c>
      <c r="N61" s="113">
        <f t="shared" si="30"/>
        <v>0.23152482927080004</v>
      </c>
      <c r="O61" s="30"/>
      <c r="P61" s="71">
        <f>('Instruction-4YR'!V59)/'T E&amp;G 4YR'!V59*100</f>
        <v>37.666399602198311</v>
      </c>
      <c r="Q61" s="72">
        <f>('RESEARCH 4yr'!V59)/('T E&amp;G 4YR'!V59)*100</f>
        <v>18.558524084296469</v>
      </c>
      <c r="R61" s="72">
        <f>('PUBLIC SERVICE 4yr'!V59)/('T E&amp;G 4YR'!V59)*100</f>
        <v>1.7953413251998622</v>
      </c>
      <c r="S61" s="72">
        <f>('ASptISptSSv 4yr'!V59)/('T E&amp;G 4YR'!V59)*100</f>
        <v>24.392697065783516</v>
      </c>
      <c r="T61" s="73">
        <f>('PLANT OPER MAIN 4yr'!V59)/('T E&amp;G 4YR'!V59)*100</f>
        <v>0</v>
      </c>
      <c r="U61" s="72">
        <f>('SCHOLAR FELLOW 4yr'!V59)/('T E&amp;G 4YR'!V59)*100</f>
        <v>17.297132295380521</v>
      </c>
      <c r="V61" s="70">
        <f>IF((('All Other 4yr'!V59/'T E&amp;G 4YR'!V59)*100)&gt;=0.05,('All Other 4yr'!V59/'T E&amp;G 4YR'!V59)*100,"*")</f>
        <v>0.28990562714133589</v>
      </c>
      <c r="W61" s="30"/>
      <c r="X61" s="52">
        <f t="shared" si="11"/>
        <v>100.00000000000001</v>
      </c>
      <c r="Y61" s="52">
        <f t="shared" si="12"/>
        <v>100</v>
      </c>
      <c r="Z61" s="55"/>
    </row>
    <row r="62" spans="1:26" s="56" customFormat="1">
      <c r="A62" s="98" t="s">
        <v>104</v>
      </c>
      <c r="B62" s="98"/>
      <c r="C62" s="111">
        <f>'Instruction-4YR'!AA60/'T E&amp;G 4YR'!AA60*100</f>
        <v>40.391028471452486</v>
      </c>
      <c r="D62" s="111">
        <f>'RESEARCH 4yr'!AA60/'T E&amp;G 4YR'!AA60*100</f>
        <v>14.976343176557034</v>
      </c>
      <c r="E62" s="111">
        <f>'PUBLIC SERVICE 4yr'!AA60/'T E&amp;G 4YR'!AA60*100</f>
        <v>2.2161028807886636</v>
      </c>
      <c r="F62" s="111">
        <f>'ASptISptSSv 4yr'!AA60/'T E&amp;G 4YR'!AA60*100</f>
        <v>27.349504229737803</v>
      </c>
      <c r="G62" s="111">
        <f>'SCHOLAR FELLOW 4yr'!AA60/'T E&amp;G 4YR'!AA60*100</f>
        <v>13.477308252322329</v>
      </c>
      <c r="H62" s="111">
        <f>('All Other 4yr'!AA60/'T E&amp;G 4YR'!AA60)*100</f>
        <v>1.5897129891416808</v>
      </c>
      <c r="I62" s="116">
        <f t="shared" si="25"/>
        <v>0.57960147155446151</v>
      </c>
      <c r="J62" s="115">
        <f t="shared" si="26"/>
        <v>0.22775804824921053</v>
      </c>
      <c r="K62" s="115">
        <f t="shared" si="27"/>
        <v>-2.7878827156024659</v>
      </c>
      <c r="L62" s="115">
        <f t="shared" si="28"/>
        <v>1.559786290276076</v>
      </c>
      <c r="M62" s="115">
        <f t="shared" si="29"/>
        <v>0.35836331066116678</v>
      </c>
      <c r="N62" s="115">
        <f t="shared" si="30"/>
        <v>6.2373594861550918E-2</v>
      </c>
      <c r="O62" s="30"/>
      <c r="P62" s="71">
        <f>('Instruction-4YR'!V60)/'T E&amp;G 4YR'!V60*100</f>
        <v>39.811426999898025</v>
      </c>
      <c r="Q62" s="72">
        <f>('RESEARCH 4yr'!V60)/('T E&amp;G 4YR'!V60)*100</f>
        <v>14.748585128307823</v>
      </c>
      <c r="R62" s="72">
        <f>('PUBLIC SERVICE 4yr'!V60)/('T E&amp;G 4YR'!V60)*100</f>
        <v>5.0039855963911295</v>
      </c>
      <c r="S62" s="72">
        <f>('ASptISptSSv 4yr'!V60)/('T E&amp;G 4YR'!V60)*100</f>
        <v>25.789717939461728</v>
      </c>
      <c r="T62" s="73">
        <f>('PLANT OPER MAIN 4yr'!V60)/('T E&amp;G 4YR'!V60)*100</f>
        <v>0</v>
      </c>
      <c r="U62" s="72">
        <f>('SCHOLAR FELLOW 4yr'!V60)/('T E&amp;G 4YR'!V60)*100</f>
        <v>13.118944941661162</v>
      </c>
      <c r="V62" s="70">
        <f>IF((('All Other 4yr'!V60/'T E&amp;G 4YR'!V60)*100)&gt;=0.05,('All Other 4yr'!V60/'T E&amp;G 4YR'!V60)*100,"*")</f>
        <v>1.5273393942801299</v>
      </c>
      <c r="W62" s="30"/>
      <c r="X62" s="52">
        <f t="shared" si="11"/>
        <v>100.00000000000001</v>
      </c>
      <c r="Y62" s="52">
        <f t="shared" si="12"/>
        <v>100</v>
      </c>
      <c r="Z62" s="55"/>
    </row>
    <row r="63" spans="1:26" s="56" customFormat="1">
      <c r="A63" s="98" t="s">
        <v>106</v>
      </c>
      <c r="B63" s="98"/>
      <c r="C63" s="111">
        <f>'Instruction-4YR'!AA61/'T E&amp;G 4YR'!AA61*100</f>
        <v>44.864908466306602</v>
      </c>
      <c r="D63" s="111">
        <f>'RESEARCH 4yr'!AA61/'T E&amp;G 4YR'!AA61*100</f>
        <v>7.5795309665599175</v>
      </c>
      <c r="E63" s="111">
        <f>'PUBLIC SERVICE 4yr'!AA61/'T E&amp;G 4YR'!AA61*100</f>
        <v>2.2389250421020366</v>
      </c>
      <c r="F63" s="111">
        <f>'ASptISptSSv 4yr'!AA61/'T E&amp;G 4YR'!AA61*100</f>
        <v>28.541206155779381</v>
      </c>
      <c r="G63" s="111">
        <f>'SCHOLAR FELLOW 4yr'!AA61/'T E&amp;G 4YR'!AA61*100</f>
        <v>15.656376853553555</v>
      </c>
      <c r="H63" s="111">
        <f>('All Other 4yr'!AA61/'T E&amp;G 4YR'!AA61)*100</f>
        <v>1.1190525156985034</v>
      </c>
      <c r="I63" s="116">
        <f t="shared" si="25"/>
        <v>2.3457786897694319</v>
      </c>
      <c r="J63" s="115">
        <f t="shared" si="26"/>
        <v>-0.37088543626449155</v>
      </c>
      <c r="K63" s="115">
        <f t="shared" si="27"/>
        <v>-0.53343972399687711</v>
      </c>
      <c r="L63" s="115">
        <f t="shared" si="28"/>
        <v>-2.4795698769958747</v>
      </c>
      <c r="M63" s="115">
        <f t="shared" si="29"/>
        <v>1.4838836811351612</v>
      </c>
      <c r="N63" s="115">
        <f t="shared" si="30"/>
        <v>-0.4457673336473611</v>
      </c>
      <c r="O63" s="30"/>
      <c r="P63" s="71">
        <f>('Instruction-4YR'!V61)/'T E&amp;G 4YR'!V61*100</f>
        <v>42.51912977653717</v>
      </c>
      <c r="Q63" s="72">
        <f>('RESEARCH 4yr'!V61)/('T E&amp;G 4YR'!V61)*100</f>
        <v>7.9504164028244091</v>
      </c>
      <c r="R63" s="72">
        <f>('PUBLIC SERVICE 4yr'!V61)/('T E&amp;G 4YR'!V61)*100</f>
        <v>2.7723647660989137</v>
      </c>
      <c r="S63" s="72">
        <f>('ASptISptSSv 4yr'!V61)/('T E&amp;G 4YR'!V61)*100</f>
        <v>31.020776032775256</v>
      </c>
      <c r="T63" s="73">
        <f>('PLANT OPER MAIN 4yr'!V61)/('T E&amp;G 4YR'!V61)*100</f>
        <v>0</v>
      </c>
      <c r="U63" s="72">
        <f>('SCHOLAR FELLOW 4yr'!V61)/('T E&amp;G 4YR'!V61)*100</f>
        <v>14.172493172418394</v>
      </c>
      <c r="V63" s="70">
        <f>IF((('All Other 4yr'!V61/'T E&amp;G 4YR'!V61)*100)&gt;=0.05,('All Other 4yr'!V61/'T E&amp;G 4YR'!V61)*100,"*")</f>
        <v>1.5648198493458645</v>
      </c>
      <c r="W63" s="30"/>
      <c r="X63" s="52">
        <f t="shared" si="11"/>
        <v>100.00000000000001</v>
      </c>
      <c r="Y63" s="52">
        <f t="shared" si="12"/>
        <v>99.999999999999986</v>
      </c>
      <c r="Z63" s="55"/>
    </row>
    <row r="64" spans="1:26" s="56" customFormat="1">
      <c r="A64" s="98" t="s">
        <v>110</v>
      </c>
      <c r="B64" s="98"/>
      <c r="C64" s="111">
        <f>'Instruction-4YR'!AA62/'T E&amp;G 4YR'!AA62*100</f>
        <v>45.080683859728438</v>
      </c>
      <c r="D64" s="111">
        <f>'RESEARCH 4yr'!AA62/'T E&amp;G 4YR'!AA62*100</f>
        <v>0.3503706123683995</v>
      </c>
      <c r="E64" s="111">
        <f>'PUBLIC SERVICE 4yr'!AA62/'T E&amp;G 4YR'!AA62*100</f>
        <v>2.2844571055382867</v>
      </c>
      <c r="F64" s="111">
        <f>'ASptISptSSv 4yr'!AA62/'T E&amp;G 4YR'!AA62*100</f>
        <v>36.926484417810222</v>
      </c>
      <c r="G64" s="111">
        <f>'SCHOLAR FELLOW 4yr'!AA62/'T E&amp;G 4YR'!AA62*100</f>
        <v>15.349429273518398</v>
      </c>
      <c r="H64" s="111">
        <f>('All Other 4yr'!AA62/'T E&amp;G 4YR'!AA62)*100</f>
        <v>8.5747310362522429E-3</v>
      </c>
      <c r="I64" s="116">
        <f t="shared" si="25"/>
        <v>0.63600442989295658</v>
      </c>
      <c r="J64" s="115">
        <f t="shared" si="26"/>
        <v>-0.12399401581694458</v>
      </c>
      <c r="K64" s="115">
        <f t="shared" si="27"/>
        <v>-0.12860065299224654</v>
      </c>
      <c r="L64" s="115">
        <f t="shared" si="28"/>
        <v>-0.21387823238185888</v>
      </c>
      <c r="M64" s="115">
        <f t="shared" si="29"/>
        <v>-0.17810620375371577</v>
      </c>
      <c r="N64" s="115" t="str">
        <f t="shared" si="30"/>
        <v>*</v>
      </c>
      <c r="O64" s="30"/>
      <c r="P64" s="71">
        <f>('Instruction-4YR'!V62)/'T E&amp;G 4YR'!V62*100</f>
        <v>44.444679429835482</v>
      </c>
      <c r="Q64" s="72">
        <f>('RESEARCH 4yr'!V62)/('T E&amp;G 4YR'!V62)*100</f>
        <v>0.47436462818534408</v>
      </c>
      <c r="R64" s="72">
        <f>('PUBLIC SERVICE 4yr'!V62)/('T E&amp;G 4YR'!V62)*100</f>
        <v>2.4130577585305333</v>
      </c>
      <c r="S64" s="72">
        <f>('ASptISptSSv 4yr'!V62)/('T E&amp;G 4YR'!V62)*100</f>
        <v>37.140362650192081</v>
      </c>
      <c r="T64" s="73">
        <f>('PLANT OPER MAIN 4yr'!V62)/('T E&amp;G 4YR'!V62)*100</f>
        <v>0</v>
      </c>
      <c r="U64" s="72">
        <f>('SCHOLAR FELLOW 4yr'!V62)/('T E&amp;G 4YR'!V62)*100</f>
        <v>15.527535477272114</v>
      </c>
      <c r="V64" s="70" t="str">
        <f>IF((('All Other 4yr'!V62/'T E&amp;G 4YR'!V62)*100)&gt;=0.05,('All Other 4yr'!V62/'T E&amp;G 4YR'!V62)*100,"*")</f>
        <v>*</v>
      </c>
      <c r="W64" s="30"/>
      <c r="X64" s="52">
        <f t="shared" si="11"/>
        <v>99.999999944015556</v>
      </c>
      <c r="Y64" s="52">
        <f t="shared" si="12"/>
        <v>99.999999999999986</v>
      </c>
      <c r="Z64" s="55"/>
    </row>
    <row r="65" spans="1:30" s="56" customFormat="1">
      <c r="A65" s="98" t="s">
        <v>111</v>
      </c>
      <c r="B65" s="98"/>
      <c r="C65" s="111">
        <f>'Instruction-4YR'!AA63/'T E&amp;G 4YR'!AA63*100</f>
        <v>29.848657394721091</v>
      </c>
      <c r="D65" s="111">
        <f>'RESEARCH 4yr'!AA63/'T E&amp;G 4YR'!AA63*100</f>
        <v>16.283203228750036</v>
      </c>
      <c r="E65" s="111">
        <f>'PUBLIC SERVICE 4yr'!AA63/'T E&amp;G 4YR'!AA63*100</f>
        <v>1.851485277806332</v>
      </c>
      <c r="F65" s="111">
        <f>'ASptISptSSv 4yr'!AA63/'T E&amp;G 4YR'!AA63*100</f>
        <v>28.2432643461716</v>
      </c>
      <c r="G65" s="111">
        <f>'SCHOLAR FELLOW 4yr'!AA63/'T E&amp;G 4YR'!AA63*100</f>
        <v>23.773389752550941</v>
      </c>
      <c r="H65" s="111">
        <f>('All Other 4yr'!AA63/'T E&amp;G 4YR'!AA63)*100</f>
        <v>0</v>
      </c>
      <c r="I65" s="116">
        <f t="shared" si="25"/>
        <v>-0.33543754879441323</v>
      </c>
      <c r="J65" s="115">
        <f t="shared" si="26"/>
        <v>-2.7926559054374245</v>
      </c>
      <c r="K65" s="115">
        <f t="shared" si="27"/>
        <v>0.18986405709735465</v>
      </c>
      <c r="L65" s="115">
        <f t="shared" si="28"/>
        <v>-3.1857565071446459</v>
      </c>
      <c r="M65" s="115">
        <f t="shared" si="29"/>
        <v>6.1239859042791416</v>
      </c>
      <c r="N65" s="115">
        <f t="shared" si="30"/>
        <v>0</v>
      </c>
      <c r="O65" s="30"/>
      <c r="P65" s="71">
        <f>('Instruction-4YR'!V63)/'T E&amp;G 4YR'!V63*100</f>
        <v>30.184094943515504</v>
      </c>
      <c r="Q65" s="72">
        <f>('RESEARCH 4yr'!V63)/('T E&amp;G 4YR'!V63)*100</f>
        <v>19.075859134187461</v>
      </c>
      <c r="R65" s="72">
        <f>('PUBLIC SERVICE 4yr'!V63)/('T E&amp;G 4YR'!V63)*100</f>
        <v>1.6616212207089773</v>
      </c>
      <c r="S65" s="72">
        <f>('ASptISptSSv 4yr'!V63)/('T E&amp;G 4YR'!V63)*100</f>
        <v>31.429020853316246</v>
      </c>
      <c r="T65" s="73">
        <f>('PLANT OPER MAIN 4yr'!V63)/('T E&amp;G 4YR'!V63)*100</f>
        <v>0</v>
      </c>
      <c r="U65" s="72">
        <f>('SCHOLAR FELLOW 4yr'!V63)/('T E&amp;G 4YR'!V63)*100</f>
        <v>17.649403848271799</v>
      </c>
      <c r="V65" s="70" t="str">
        <f>IF((('All Other 4yr'!V63/'T E&amp;G 4YR'!V63)*100)&gt;=0.05,('All Other 4yr'!V63/'T E&amp;G 4YR'!V63)*100,"*")</f>
        <v>*</v>
      </c>
      <c r="W65" s="30"/>
      <c r="X65" s="52">
        <f t="shared" si="11"/>
        <v>99.999999999999986</v>
      </c>
      <c r="Y65" s="52">
        <f t="shared" si="12"/>
        <v>100</v>
      </c>
      <c r="Z65" s="55"/>
    </row>
    <row r="66" spans="1:30" s="56" customFormat="1">
      <c r="A66" s="104" t="s">
        <v>114</v>
      </c>
      <c r="B66" s="104"/>
      <c r="C66" s="109">
        <f>'Instruction-4YR'!AA64/'T E&amp;G 4YR'!AA64*100</f>
        <v>30.851231978614663</v>
      </c>
      <c r="D66" s="109">
        <f>'RESEARCH 4yr'!AA64/'T E&amp;G 4YR'!AA64*100</f>
        <v>12.696460613819252</v>
      </c>
      <c r="E66" s="109">
        <f>'PUBLIC SERVICE 4yr'!AA64/'T E&amp;G 4YR'!AA64*100</f>
        <v>9.0756268276984926</v>
      </c>
      <c r="F66" s="109">
        <f>'ASptISptSSv 4yr'!AA64/'T E&amp;G 4YR'!AA64*100</f>
        <v>27.851277360602069</v>
      </c>
      <c r="G66" s="109">
        <f>'SCHOLAR FELLOW 4yr'!AA64/'T E&amp;G 4YR'!AA64*100</f>
        <v>16.568994860932268</v>
      </c>
      <c r="H66" s="177">
        <f>('All Other 4yr'!AA64/'T E&amp;G 4YR'!AA64)*100</f>
        <v>2.9564083583332614</v>
      </c>
      <c r="I66" s="110">
        <f t="shared" si="25"/>
        <v>-0.39246205268915801</v>
      </c>
      <c r="J66" s="109">
        <f t="shared" si="26"/>
        <v>-3.1014935101684546</v>
      </c>
      <c r="K66" s="109">
        <f t="shared" si="27"/>
        <v>1.2133223659110266</v>
      </c>
      <c r="L66" s="109">
        <f t="shared" si="28"/>
        <v>-1.6733417663134382</v>
      </c>
      <c r="M66" s="109">
        <f t="shared" si="29"/>
        <v>1.1395268514082453</v>
      </c>
      <c r="N66" s="109">
        <f t="shared" si="30"/>
        <v>2.814448111851787</v>
      </c>
      <c r="O66" s="30"/>
      <c r="P66" s="71">
        <f>('Instruction-4YR'!V64)/'T E&amp;G 4YR'!V64*100</f>
        <v>31.243694031303821</v>
      </c>
      <c r="Q66" s="72">
        <f>('RESEARCH 4yr'!V64)/('T E&amp;G 4YR'!V64)*100</f>
        <v>15.797954123987706</v>
      </c>
      <c r="R66" s="72">
        <f>('PUBLIC SERVICE 4yr'!V64)/('T E&amp;G 4YR'!V64)*100</f>
        <v>7.862304461787466</v>
      </c>
      <c r="S66" s="72">
        <f>('ASptISptSSv 4yr'!V64)/('T E&amp;G 4YR'!V64)*100</f>
        <v>29.524619126915507</v>
      </c>
      <c r="T66" s="73">
        <f>('PLANT OPER MAIN 4yr'!V64)/('T E&amp;G 4YR'!V64)*100</f>
        <v>0</v>
      </c>
      <c r="U66" s="72">
        <f>('SCHOLAR FELLOW 4yr'!V64)/('T E&amp;G 4YR'!V64)*100</f>
        <v>15.429468009524022</v>
      </c>
      <c r="V66" s="70">
        <f>IF((('All Other 4yr'!V64/'T E&amp;G 4YR'!V64)*100)&gt;=0.05,('All Other 4yr'!V64/'T E&amp;G 4YR'!V64)*100,"*")</f>
        <v>0.14196024648147426</v>
      </c>
      <c r="W66" s="30"/>
      <c r="X66" s="52">
        <f t="shared" si="11"/>
        <v>99.999999999999986</v>
      </c>
      <c r="Y66" s="52">
        <f t="shared" si="12"/>
        <v>100.00000000000001</v>
      </c>
      <c r="Z66" s="55"/>
    </row>
    <row r="67" spans="1:30" s="56" customFormat="1">
      <c r="A67" s="88" t="s">
        <v>90</v>
      </c>
      <c r="B67" s="88"/>
      <c r="C67" s="109">
        <f>'Instruction-4YR'!AA65/'T E&amp;G 4YR'!AA65*100</f>
        <v>30.343116122376664</v>
      </c>
      <c r="D67" s="109">
        <f>'RESEARCH 4yr'!AA65/'T E&amp;G 4YR'!AA65*100</f>
        <v>3.4006763235959787</v>
      </c>
      <c r="E67" s="109">
        <f>'PUBLIC SERVICE 4yr'!AA65/'T E&amp;G 4YR'!AA65*100</f>
        <v>1.6425761500547198</v>
      </c>
      <c r="F67" s="109">
        <f>'ASptISptSSv 4yr'!AA65/'T E&amp;G 4YR'!AA65*100</f>
        <v>33.10457780072047</v>
      </c>
      <c r="G67" s="109">
        <f>'SCHOLAR FELLOW 4yr'!AA65/'T E&amp;G 4YR'!AA65*100</f>
        <v>15.013164019165808</v>
      </c>
      <c r="H67" s="177">
        <f>('All Other 4yr'!AA65/'T E&amp;G 4YR'!AA65)*100</f>
        <v>16.495889584086363</v>
      </c>
      <c r="I67" s="125">
        <f t="shared" si="25"/>
        <v>-0.78908535724845663</v>
      </c>
      <c r="J67" s="124">
        <f t="shared" si="26"/>
        <v>-0.76504368071357076</v>
      </c>
      <c r="K67" s="124">
        <f t="shared" si="27"/>
        <v>-1.7663111961028504</v>
      </c>
      <c r="L67" s="124">
        <f t="shared" si="28"/>
        <v>-5.3588512326631417</v>
      </c>
      <c r="M67" s="124">
        <f t="shared" si="29"/>
        <v>-7.8166766269701835</v>
      </c>
      <c r="N67" s="124">
        <f t="shared" si="30"/>
        <v>16.495889584086363</v>
      </c>
      <c r="O67" s="30"/>
      <c r="P67" s="71">
        <f>('Instruction-4YR'!V65)/'T E&amp;G 4YR'!V65*100</f>
        <v>31.13220147962512</v>
      </c>
      <c r="Q67" s="72">
        <f>('RESEARCH 4yr'!V65)/('T E&amp;G 4YR'!V65)*100</f>
        <v>4.1657200043095495</v>
      </c>
      <c r="R67" s="72">
        <f>('PUBLIC SERVICE 4yr'!V65)/('T E&amp;G 4YR'!V65)*100</f>
        <v>3.4088873461575702</v>
      </c>
      <c r="S67" s="72">
        <f>('ASptISptSSv 4yr'!V65)/('T E&amp;G 4YR'!V65)*100</f>
        <v>38.463429033383612</v>
      </c>
      <c r="T67" s="73">
        <f>('PLANT OPER MAIN 4yr'!V65)/('T E&amp;G 4YR'!V65)*100</f>
        <v>0</v>
      </c>
      <c r="U67" s="72">
        <f>('SCHOLAR FELLOW 4yr'!V65)/('T E&amp;G 4YR'!V65)*100</f>
        <v>22.829840646135992</v>
      </c>
      <c r="V67" s="70" t="str">
        <f>IF((('All Other 4yr'!V65/'T E&amp;G 4YR'!V65)*100)&gt;=0.05,('All Other 4yr'!V65/'T E&amp;G 4YR'!V65)*100,"*")</f>
        <v>*</v>
      </c>
      <c r="W67" s="30"/>
      <c r="X67" s="52">
        <f t="shared" si="11"/>
        <v>100.00007850961184</v>
      </c>
      <c r="Y67" s="52">
        <f t="shared" si="12"/>
        <v>100</v>
      </c>
      <c r="Z67" s="55"/>
    </row>
    <row r="68" spans="1:30" s="56" customFormat="1">
      <c r="A68" s="42"/>
      <c r="B68" s="24"/>
      <c r="C68" s="24"/>
      <c r="D68" s="24"/>
      <c r="E68" s="24"/>
      <c r="F68" s="24"/>
      <c r="G68" s="24"/>
      <c r="H68" s="24"/>
      <c r="K68" s="53"/>
      <c r="L68" s="53"/>
      <c r="M68" s="53"/>
      <c r="N68" s="53"/>
      <c r="O68" s="30"/>
      <c r="P68" s="71"/>
      <c r="Q68" s="72"/>
      <c r="R68" s="72"/>
      <c r="S68" s="72"/>
      <c r="T68" s="73"/>
      <c r="U68" s="72"/>
      <c r="V68" s="70"/>
      <c r="W68" s="30"/>
      <c r="X68" s="54"/>
      <c r="Y68" s="54"/>
      <c r="Z68" s="55"/>
    </row>
    <row r="69" spans="1:30" ht="109.5" customHeight="1">
      <c r="A69" s="184" t="s">
        <v>141</v>
      </c>
      <c r="B69" s="183"/>
      <c r="C69" s="183"/>
      <c r="D69" s="183"/>
      <c r="E69" s="183"/>
      <c r="F69" s="183"/>
      <c r="G69" s="183"/>
      <c r="H69" s="183"/>
      <c r="I69" s="184" t="s">
        <v>152</v>
      </c>
      <c r="J69" s="185"/>
      <c r="K69" s="185"/>
      <c r="L69" s="185"/>
      <c r="M69" s="185"/>
      <c r="N69" s="185"/>
      <c r="O69" s="31"/>
      <c r="P69" s="71"/>
      <c r="Q69" s="72"/>
      <c r="R69" s="72"/>
      <c r="S69" s="72"/>
      <c r="T69" s="73"/>
      <c r="U69" s="72"/>
      <c r="V69" s="70"/>
      <c r="W69" s="31"/>
      <c r="X69" s="13"/>
      <c r="Y69" s="26"/>
      <c r="Z69" s="1"/>
      <c r="AA69" s="1"/>
      <c r="AB69" s="1"/>
      <c r="AC69" s="2"/>
      <c r="AD69" s="2"/>
    </row>
    <row r="70" spans="1:30" ht="48" customHeight="1">
      <c r="A70" s="184" t="s">
        <v>153</v>
      </c>
      <c r="B70" s="183"/>
      <c r="C70" s="183"/>
      <c r="D70" s="183"/>
      <c r="E70" s="183"/>
      <c r="F70" s="183"/>
      <c r="G70" s="183"/>
      <c r="H70" s="183"/>
      <c r="I70" s="58"/>
      <c r="J70" s="57"/>
      <c r="K70" s="57"/>
      <c r="L70" s="57"/>
      <c r="M70" s="57"/>
      <c r="N70" s="57"/>
      <c r="O70" s="31"/>
      <c r="P70" s="71"/>
      <c r="Q70" s="72"/>
      <c r="R70" s="72"/>
      <c r="S70" s="72"/>
      <c r="T70" s="73"/>
      <c r="U70" s="72"/>
      <c r="V70" s="70"/>
      <c r="W70" s="31"/>
      <c r="X70" s="13"/>
      <c r="Y70" s="26"/>
      <c r="Z70" s="1"/>
      <c r="AA70" s="1"/>
      <c r="AB70" s="1"/>
      <c r="AC70" s="2"/>
      <c r="AD70" s="2"/>
    </row>
    <row r="71" spans="1:30" ht="47.25" customHeight="1">
      <c r="A71" s="184" t="s">
        <v>140</v>
      </c>
      <c r="B71" s="183"/>
      <c r="C71" s="183"/>
      <c r="D71" s="183"/>
      <c r="E71" s="183"/>
      <c r="F71" s="183"/>
      <c r="G71" s="183"/>
      <c r="H71" s="183"/>
      <c r="I71" s="58"/>
      <c r="J71" s="57"/>
      <c r="K71" s="57"/>
      <c r="L71" s="57"/>
      <c r="M71" s="57"/>
      <c r="N71" s="57"/>
      <c r="O71" s="31"/>
      <c r="P71" s="31"/>
      <c r="Q71" s="31"/>
      <c r="R71" s="31"/>
      <c r="S71" s="31"/>
      <c r="T71" s="31"/>
      <c r="U71" s="31"/>
      <c r="V71" s="31"/>
      <c r="W71" s="31"/>
      <c r="X71" s="13"/>
      <c r="Y71" s="26"/>
      <c r="Z71" s="1"/>
      <c r="AA71" s="1"/>
      <c r="AB71" s="1"/>
      <c r="AC71" s="2"/>
      <c r="AD71" s="2"/>
    </row>
    <row r="72" spans="1:30" ht="14.25">
      <c r="A72" s="182"/>
      <c r="B72" s="183"/>
      <c r="C72" s="183"/>
      <c r="D72" s="183"/>
      <c r="E72" s="183"/>
      <c r="F72" s="183"/>
      <c r="G72" s="183"/>
      <c r="H72" s="183"/>
      <c r="I72" s="58"/>
      <c r="J72" s="57"/>
      <c r="K72" s="57"/>
      <c r="L72" s="57"/>
      <c r="M72" s="57"/>
      <c r="N72" s="57" t="s">
        <v>150</v>
      </c>
      <c r="O72" s="31"/>
      <c r="P72" s="31"/>
      <c r="Q72" s="31"/>
      <c r="R72" s="31"/>
      <c r="S72" s="31"/>
      <c r="T72" s="31"/>
      <c r="U72" s="31"/>
      <c r="V72" s="31"/>
      <c r="W72" s="31"/>
      <c r="X72" s="13"/>
      <c r="Y72" s="26"/>
      <c r="Z72" s="1"/>
      <c r="AA72" s="1"/>
      <c r="AB72" s="1"/>
      <c r="AC72" s="2"/>
      <c r="AD72" s="2"/>
    </row>
    <row r="73" spans="1:30">
      <c r="A73" s="50"/>
      <c r="B73" s="50"/>
      <c r="C73" s="50"/>
      <c r="D73" s="50"/>
      <c r="E73" s="50"/>
      <c r="F73" s="50"/>
      <c r="G73" s="50"/>
      <c r="H73" s="51"/>
      <c r="I73" s="50"/>
      <c r="J73" s="50"/>
      <c r="K73" s="50"/>
      <c r="L73" s="50"/>
      <c r="M73" s="26"/>
      <c r="N73" s="135"/>
      <c r="O73"/>
      <c r="P73"/>
      <c r="Q73"/>
      <c r="R73"/>
      <c r="S73"/>
      <c r="T73"/>
      <c r="U73"/>
      <c r="V73"/>
      <c r="W73"/>
    </row>
    <row r="74" spans="1:30">
      <c r="A74" s="1"/>
      <c r="B74" s="1"/>
      <c r="C74" s="1"/>
      <c r="D74" s="1"/>
      <c r="E74" s="1"/>
      <c r="F74" s="1"/>
      <c r="G74" s="1"/>
      <c r="H74" s="1"/>
      <c r="I74" s="1"/>
      <c r="J74" s="1"/>
      <c r="K74" s="1"/>
      <c r="L74" s="1"/>
      <c r="M74" s="1"/>
      <c r="N74" s="1"/>
      <c r="O74" s="28"/>
      <c r="P74" s="28"/>
      <c r="Q74" s="28"/>
      <c r="R74" s="28"/>
      <c r="S74" s="28"/>
      <c r="T74" s="28"/>
      <c r="U74" s="28"/>
      <c r="V74" s="28"/>
      <c r="W74" s="28"/>
      <c r="X74" s="1"/>
      <c r="Y74" s="1"/>
      <c r="Z74" s="1"/>
      <c r="AA74" s="1"/>
      <c r="AB74" s="1"/>
      <c r="AC74" s="2"/>
      <c r="AD74" s="2"/>
    </row>
    <row r="75" spans="1:30">
      <c r="A75" s="1"/>
      <c r="B75" s="1"/>
      <c r="C75" s="1"/>
      <c r="D75" s="1"/>
      <c r="E75" s="1"/>
      <c r="F75" s="1"/>
      <c r="G75" s="1"/>
      <c r="H75" s="1"/>
      <c r="I75" s="1"/>
      <c r="J75" s="1"/>
      <c r="K75" s="1"/>
      <c r="L75" s="1"/>
      <c r="M75" s="1"/>
      <c r="N75" s="1"/>
      <c r="O75" s="28"/>
      <c r="P75" s="28"/>
      <c r="Q75" s="28"/>
      <c r="R75" s="28"/>
      <c r="S75" s="28"/>
      <c r="T75" s="28"/>
      <c r="U75" s="28"/>
      <c r="V75" s="28"/>
      <c r="W75" s="28"/>
      <c r="X75" s="1"/>
      <c r="Y75" s="1"/>
      <c r="Z75" s="1"/>
      <c r="AA75" s="1"/>
      <c r="AB75" s="1"/>
      <c r="AC75" s="2"/>
      <c r="AD75" s="2"/>
    </row>
    <row r="76" spans="1:30">
      <c r="A76" s="1"/>
      <c r="B76" s="1"/>
      <c r="C76" s="1"/>
      <c r="D76" s="1"/>
      <c r="E76" s="1"/>
      <c r="F76" s="1"/>
      <c r="G76" s="1"/>
      <c r="H76" s="1"/>
      <c r="I76" s="1"/>
      <c r="J76" s="1"/>
      <c r="K76" s="1"/>
      <c r="L76" s="1"/>
      <c r="M76" s="1"/>
      <c r="N76" s="1"/>
      <c r="O76" s="28"/>
      <c r="P76" s="28"/>
      <c r="Q76" s="28"/>
      <c r="R76" s="28"/>
      <c r="S76" s="28"/>
      <c r="T76" s="28"/>
      <c r="U76" s="28"/>
      <c r="V76" s="28"/>
      <c r="W76" s="28"/>
      <c r="X76" s="1"/>
      <c r="Y76" s="1"/>
      <c r="Z76" s="1"/>
      <c r="AA76" s="1"/>
      <c r="AB76" s="1"/>
      <c r="AC76" s="2"/>
      <c r="AD76" s="2"/>
    </row>
    <row r="77" spans="1:30">
      <c r="A77" s="1"/>
      <c r="B77" s="1"/>
      <c r="C77" s="1"/>
      <c r="D77" s="1"/>
      <c r="E77" s="1"/>
      <c r="F77" s="1"/>
      <c r="G77" s="1"/>
      <c r="H77" s="1"/>
      <c r="I77" s="1"/>
      <c r="J77" s="1"/>
      <c r="K77" s="1"/>
      <c r="L77" s="1"/>
      <c r="M77" s="1"/>
      <c r="N77" s="1"/>
      <c r="O77" s="28"/>
      <c r="P77" s="28"/>
      <c r="Q77" s="28"/>
      <c r="R77" s="28"/>
      <c r="S77" s="28"/>
      <c r="T77" s="28"/>
      <c r="U77" s="28"/>
      <c r="V77" s="28"/>
      <c r="W77" s="28"/>
      <c r="X77" s="1"/>
      <c r="Y77" s="1"/>
      <c r="Z77" s="1"/>
      <c r="AA77" s="1"/>
      <c r="AB77" s="1"/>
      <c r="AC77" s="2"/>
      <c r="AD77" s="2"/>
    </row>
    <row r="78" spans="1:30">
      <c r="A78" s="1"/>
      <c r="B78" s="1"/>
      <c r="C78" s="1"/>
      <c r="D78" s="1"/>
      <c r="E78" s="1"/>
      <c r="F78" s="1"/>
      <c r="G78" s="1"/>
      <c r="H78" s="1"/>
      <c r="I78" s="1"/>
      <c r="J78" s="1"/>
      <c r="K78" s="1"/>
      <c r="L78" s="1"/>
      <c r="M78" s="1"/>
      <c r="N78" s="1"/>
      <c r="O78" s="28"/>
      <c r="P78" s="28"/>
      <c r="Q78" s="28"/>
      <c r="R78" s="28"/>
      <c r="S78" s="28"/>
      <c r="T78" s="28"/>
      <c r="U78" s="28"/>
      <c r="V78" s="28"/>
      <c r="W78" s="28"/>
      <c r="X78" s="1"/>
      <c r="Y78" s="1"/>
      <c r="Z78" s="1"/>
      <c r="AA78" s="1"/>
      <c r="AB78" s="1"/>
      <c r="AC78" s="2"/>
      <c r="AD78" s="2"/>
    </row>
    <row r="79" spans="1:30">
      <c r="A79" s="1"/>
      <c r="B79" s="1"/>
      <c r="C79" s="1"/>
      <c r="D79" s="1"/>
      <c r="E79" s="1"/>
      <c r="F79" s="1"/>
      <c r="G79" s="1"/>
      <c r="H79" s="1"/>
      <c r="I79" s="1"/>
      <c r="J79" s="1"/>
      <c r="K79" s="1"/>
      <c r="L79" s="1"/>
      <c r="M79" s="1"/>
      <c r="N79" s="1"/>
      <c r="O79" s="28"/>
      <c r="P79" s="28"/>
      <c r="Q79" s="28"/>
      <c r="R79" s="28"/>
      <c r="S79" s="28"/>
      <c r="T79" s="28"/>
      <c r="U79" s="28"/>
      <c r="V79" s="28"/>
      <c r="W79" s="28"/>
      <c r="X79" s="1"/>
      <c r="Y79" s="1"/>
      <c r="Z79" s="1"/>
      <c r="AA79" s="1"/>
      <c r="AB79" s="1"/>
      <c r="AC79" s="2"/>
      <c r="AD79" s="2"/>
    </row>
    <row r="80" spans="1:30">
      <c r="A80" s="1"/>
      <c r="B80" s="1"/>
      <c r="C80" s="1"/>
      <c r="D80" s="1"/>
      <c r="E80" s="1"/>
      <c r="F80" s="1"/>
      <c r="G80" s="1"/>
      <c r="H80" s="1"/>
      <c r="I80" s="1"/>
      <c r="J80" s="1"/>
      <c r="K80" s="1"/>
      <c r="L80" s="1"/>
      <c r="M80" s="1"/>
      <c r="N80" s="1"/>
      <c r="O80" s="28"/>
      <c r="P80" s="28"/>
      <c r="Q80" s="28"/>
      <c r="R80" s="28"/>
      <c r="S80" s="28"/>
      <c r="T80" s="28"/>
      <c r="U80" s="28"/>
      <c r="V80" s="28"/>
      <c r="W80" s="28"/>
      <c r="X80" s="1"/>
      <c r="Y80" s="1"/>
      <c r="Z80" s="1"/>
      <c r="AA80" s="1"/>
      <c r="AB80" s="1"/>
      <c r="AC80" s="2"/>
      <c r="AD80" s="2"/>
    </row>
    <row r="81" spans="1:30">
      <c r="A81" s="1"/>
      <c r="B81" s="1"/>
      <c r="C81" s="1"/>
      <c r="D81" s="1"/>
      <c r="E81" s="1"/>
      <c r="F81" s="1"/>
      <c r="G81" s="1"/>
      <c r="H81" s="1"/>
      <c r="I81" s="1"/>
      <c r="J81" s="1"/>
      <c r="K81" s="1"/>
      <c r="L81" s="1"/>
      <c r="M81" s="1"/>
      <c r="N81" s="1"/>
      <c r="O81" s="28"/>
      <c r="P81" s="28"/>
      <c r="Q81" s="28"/>
      <c r="R81" s="28"/>
      <c r="S81" s="28"/>
      <c r="T81" s="28"/>
      <c r="U81" s="28"/>
      <c r="V81" s="28"/>
      <c r="W81" s="28"/>
      <c r="X81" s="1"/>
      <c r="Y81" s="1"/>
      <c r="Z81" s="1"/>
      <c r="AA81" s="1"/>
      <c r="AB81" s="1"/>
      <c r="AC81" s="2"/>
      <c r="AD81" s="2"/>
    </row>
    <row r="82" spans="1:30">
      <c r="A82" s="1"/>
      <c r="B82" s="1"/>
      <c r="C82" s="1"/>
      <c r="D82" s="1"/>
      <c r="E82" s="1"/>
      <c r="F82" s="1"/>
      <c r="G82" s="1"/>
      <c r="H82" s="1"/>
      <c r="I82" s="1"/>
      <c r="J82" s="1"/>
      <c r="K82" s="1"/>
      <c r="L82" s="1"/>
      <c r="M82" s="1"/>
      <c r="N82" s="1"/>
      <c r="O82" s="28"/>
      <c r="P82" s="28"/>
      <c r="Q82" s="28"/>
      <c r="R82" s="28"/>
      <c r="S82" s="28"/>
      <c r="T82" s="28"/>
      <c r="U82" s="28"/>
      <c r="V82" s="28"/>
      <c r="W82" s="28"/>
      <c r="X82" s="1"/>
      <c r="Y82" s="1"/>
      <c r="Z82" s="1"/>
      <c r="AA82" s="1"/>
      <c r="AB82" s="1"/>
      <c r="AC82" s="2"/>
      <c r="AD82" s="2"/>
    </row>
    <row r="83" spans="1:30">
      <c r="A83" s="1"/>
      <c r="B83" s="1"/>
      <c r="C83" s="1"/>
      <c r="D83" s="1"/>
      <c r="E83" s="1"/>
      <c r="F83" s="1"/>
      <c r="G83" s="1"/>
      <c r="H83" s="1"/>
      <c r="I83" s="1"/>
      <c r="J83" s="1"/>
      <c r="K83" s="1"/>
      <c r="L83" s="1"/>
      <c r="M83" s="1"/>
      <c r="N83" s="1"/>
      <c r="O83" s="28"/>
      <c r="P83" s="28"/>
      <c r="Q83" s="28"/>
      <c r="R83" s="28"/>
      <c r="S83" s="28"/>
      <c r="T83" s="28"/>
      <c r="U83" s="28"/>
      <c r="V83" s="28"/>
      <c r="W83" s="28"/>
      <c r="X83" s="1"/>
      <c r="Y83" s="1"/>
      <c r="Z83" s="1"/>
      <c r="AA83" s="1"/>
      <c r="AB83" s="1"/>
      <c r="AC83" s="2"/>
      <c r="AD83" s="2"/>
    </row>
    <row r="84" spans="1:30">
      <c r="A84" s="1"/>
      <c r="B84" s="1"/>
      <c r="C84" s="2"/>
      <c r="D84" s="2"/>
      <c r="E84" s="2"/>
      <c r="F84" s="2"/>
      <c r="G84" s="2"/>
      <c r="H84" s="2"/>
      <c r="I84" s="2"/>
      <c r="J84" s="2"/>
      <c r="K84" s="2"/>
      <c r="L84" s="2"/>
      <c r="M84" s="2"/>
      <c r="N84" s="2"/>
      <c r="O84" s="32"/>
      <c r="P84" s="32"/>
      <c r="Q84" s="32"/>
      <c r="R84" s="32"/>
      <c r="S84" s="32"/>
      <c r="T84" s="32"/>
      <c r="U84" s="32"/>
      <c r="V84" s="32"/>
      <c r="W84" s="32"/>
      <c r="X84" s="2"/>
      <c r="Y84" s="2"/>
      <c r="Z84" s="2"/>
      <c r="AA84" s="2"/>
      <c r="AB84" s="2"/>
      <c r="AC84" s="2"/>
      <c r="AD84" s="2"/>
    </row>
    <row r="85" spans="1:30">
      <c r="A85" s="1"/>
      <c r="B85" s="1"/>
      <c r="C85" s="2"/>
      <c r="D85" s="2"/>
      <c r="E85" s="2"/>
      <c r="F85" s="2"/>
      <c r="G85" s="2"/>
      <c r="H85" s="2"/>
      <c r="I85" s="2"/>
      <c r="J85" s="2"/>
      <c r="K85" s="2"/>
      <c r="L85" s="2"/>
      <c r="M85" s="2"/>
      <c r="N85" s="2"/>
      <c r="O85" s="32"/>
      <c r="P85" s="32"/>
      <c r="Q85" s="32"/>
      <c r="R85" s="32"/>
      <c r="S85" s="32"/>
      <c r="T85" s="32"/>
      <c r="U85" s="32"/>
      <c r="V85" s="32"/>
      <c r="W85" s="32"/>
      <c r="X85" s="2"/>
      <c r="Y85" s="2"/>
      <c r="Z85" s="2"/>
      <c r="AA85" s="2"/>
      <c r="AB85" s="2"/>
      <c r="AC85" s="2"/>
      <c r="AD85" s="2"/>
    </row>
  </sheetData>
  <mergeCells count="5">
    <mergeCell ref="A72:H72"/>
    <mergeCell ref="A69:H69"/>
    <mergeCell ref="A70:H70"/>
    <mergeCell ref="A71:H71"/>
    <mergeCell ref="I69:N69"/>
  </mergeCells>
  <phoneticPr fontId="6" type="noConversion"/>
  <conditionalFormatting sqref="P8:W26 P9:V70">
    <cfRule type="cellIs" dxfId="1" priority="3" stopIfTrue="1" operator="between">
      <formula>0</formula>
      <formula>0.1</formula>
    </cfRule>
  </conditionalFormatting>
  <conditionalFormatting sqref="X8:Y67">
    <cfRule type="cellIs" dxfId="0" priority="4" stopIfTrue="1" operator="notEqual">
      <formula>100</formula>
    </cfRule>
  </conditionalFormatting>
  <printOptions horizontalCentered="1"/>
  <pageMargins left="0.9" right="0.9" top="1" bottom="0.55000000000000004" header="0.5" footer="0.5"/>
  <pageSetup scale="51" orientation="portrait" verticalDpi="300" r:id="rId1"/>
  <headerFooter alignWithMargins="0">
    <oddFooter>&amp;L&amp;"Arial,Regular"SREB Fact Book&amp;R&amp;"Arial,Regular"&amp;D</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5">
    <tabColor indexed="62"/>
  </sheetPr>
  <dimension ref="A1:AS70"/>
  <sheetViews>
    <sheetView showZeros="0" zoomScale="80" zoomScaleNormal="80" workbookViewId="0">
      <pane xSplit="1" ySplit="5" topLeftCell="V6" activePane="bottomRight" state="frozen"/>
      <selection activeCell="B52" sqref="B52"/>
      <selection pane="topRight" activeCell="B52" sqref="B52"/>
      <selection pane="bottomLeft" activeCell="B52" sqref="B52"/>
      <selection pane="bottomRight" activeCell="AA22" sqref="AA22"/>
    </sheetView>
  </sheetViews>
  <sheetFormatPr defaultColWidth="9.7109375" defaultRowHeight="12.75"/>
  <cols>
    <col min="1" max="1" width="23.42578125" style="80" customWidth="1"/>
    <col min="2" max="23" width="12.42578125" style="14" customWidth="1"/>
    <col min="24" max="25" width="12.7109375" style="2" bestFit="1" customWidth="1"/>
    <col min="26" max="27" width="12.7109375" style="2" customWidth="1"/>
    <col min="28" max="45" width="10.7109375" style="2" customWidth="1"/>
    <col min="46" max="16384" width="9.7109375" style="2"/>
  </cols>
  <sheetData>
    <row r="1" spans="1:28">
      <c r="A1" s="8" t="s">
        <v>39</v>
      </c>
      <c r="B1" s="46"/>
      <c r="C1" s="12"/>
      <c r="D1" s="12"/>
      <c r="E1" s="12"/>
      <c r="F1" s="13"/>
      <c r="G1" s="13"/>
      <c r="H1" s="13"/>
    </row>
    <row r="2" spans="1:28">
      <c r="A2" s="11"/>
      <c r="B2" s="12"/>
      <c r="C2" s="12"/>
      <c r="D2" s="12"/>
      <c r="E2" s="12"/>
      <c r="F2" s="13"/>
      <c r="G2" s="13"/>
      <c r="H2" s="13"/>
    </row>
    <row r="3" spans="1:28">
      <c r="A3" s="1" t="s">
        <v>20</v>
      </c>
      <c r="B3" s="12"/>
      <c r="C3" s="12"/>
      <c r="D3" s="12"/>
      <c r="E3" s="12"/>
      <c r="F3" s="13"/>
      <c r="G3" s="13"/>
      <c r="H3" s="13"/>
    </row>
    <row r="4" spans="1:28" s="61"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74">
        <v>2005</v>
      </c>
      <c r="R4" s="74">
        <v>2006</v>
      </c>
      <c r="S4" s="74">
        <v>2007</v>
      </c>
      <c r="T4" s="74">
        <v>2008</v>
      </c>
      <c r="U4" s="74">
        <v>2009</v>
      </c>
      <c r="V4" s="74">
        <v>2010</v>
      </c>
      <c r="W4" s="74">
        <v>2011</v>
      </c>
      <c r="X4" s="173" t="s">
        <v>142</v>
      </c>
      <c r="Y4" s="173" t="s">
        <v>144</v>
      </c>
      <c r="Z4" s="173" t="s">
        <v>145</v>
      </c>
      <c r="AA4" s="173" t="s">
        <v>146</v>
      </c>
    </row>
    <row r="5" spans="1:28">
      <c r="B5" s="15" t="s">
        <v>2</v>
      </c>
      <c r="C5" s="15" t="s">
        <v>2</v>
      </c>
      <c r="D5" s="15" t="s">
        <v>2</v>
      </c>
      <c r="E5" s="15" t="s">
        <v>2</v>
      </c>
      <c r="F5" s="15" t="s">
        <v>2</v>
      </c>
      <c r="G5" s="15" t="s">
        <v>2</v>
      </c>
      <c r="H5" s="15" t="s">
        <v>2</v>
      </c>
      <c r="I5" s="15" t="s">
        <v>2</v>
      </c>
      <c r="J5" s="15" t="s">
        <v>2</v>
      </c>
      <c r="K5" s="15" t="s">
        <v>2</v>
      </c>
      <c r="L5" s="15" t="s">
        <v>2</v>
      </c>
      <c r="M5" s="15" t="s">
        <v>2</v>
      </c>
      <c r="N5" s="15" t="s">
        <v>2</v>
      </c>
      <c r="O5" s="15" t="s">
        <v>2</v>
      </c>
      <c r="P5" s="15" t="s">
        <v>2</v>
      </c>
      <c r="Q5" s="15" t="s">
        <v>2</v>
      </c>
      <c r="R5" s="15" t="s">
        <v>2</v>
      </c>
      <c r="S5" s="15" t="s">
        <v>2</v>
      </c>
      <c r="T5" s="15" t="s">
        <v>2</v>
      </c>
      <c r="U5" s="15" t="s">
        <v>2</v>
      </c>
      <c r="V5" s="15" t="s">
        <v>2</v>
      </c>
      <c r="W5" s="15" t="s">
        <v>2</v>
      </c>
      <c r="X5" s="19" t="s">
        <v>2</v>
      </c>
      <c r="Y5" s="19" t="s">
        <v>2</v>
      </c>
      <c r="Z5" s="19" t="s">
        <v>2</v>
      </c>
      <c r="AA5" s="19" t="s">
        <v>2</v>
      </c>
      <c r="AB5" s="20"/>
    </row>
    <row r="6" spans="1:28" s="23" customFormat="1">
      <c r="A6" s="63" t="s">
        <v>118</v>
      </c>
      <c r="B6" s="66">
        <v>150109</v>
      </c>
      <c r="C6" s="66">
        <v>193928</v>
      </c>
      <c r="D6" s="66">
        <v>202440</v>
      </c>
      <c r="E6" s="66">
        <v>364383.609</v>
      </c>
      <c r="F6" s="91">
        <f>+F7+F25+F40+F54+F65</f>
        <v>340619.00799999997</v>
      </c>
      <c r="G6" s="66">
        <v>400927.46399999998</v>
      </c>
      <c r="H6" s="66">
        <v>431444.21899999998</v>
      </c>
      <c r="I6" s="91">
        <f>+I7+I25+I40+I54+I65</f>
        <v>410849.25200000004</v>
      </c>
      <c r="J6" s="63">
        <v>476340.68699999998</v>
      </c>
      <c r="K6" s="91">
        <f t="shared" ref="K6:U6" si="0">+K7+K25+K40+K54+K65</f>
        <v>516935.46023999993</v>
      </c>
      <c r="L6" s="91">
        <f t="shared" si="0"/>
        <v>596459.40999999992</v>
      </c>
      <c r="M6" s="91">
        <f t="shared" si="0"/>
        <v>686109.7350000001</v>
      </c>
      <c r="N6" s="91">
        <f t="shared" si="0"/>
        <v>679548.6100000001</v>
      </c>
      <c r="O6" s="91">
        <f t="shared" si="0"/>
        <v>651073.56900000002</v>
      </c>
      <c r="P6" s="91">
        <f t="shared" si="0"/>
        <v>595739.97899999993</v>
      </c>
      <c r="Q6" s="91">
        <f t="shared" si="0"/>
        <v>616515.09399999992</v>
      </c>
      <c r="R6" s="91">
        <f t="shared" si="0"/>
        <v>651904.21799999999</v>
      </c>
      <c r="S6" s="91">
        <f t="shared" si="0"/>
        <v>653794.6719999999</v>
      </c>
      <c r="T6" s="91">
        <f t="shared" si="0"/>
        <v>719979.44500000007</v>
      </c>
      <c r="U6" s="91">
        <f t="shared" si="0"/>
        <v>789651.24099999992</v>
      </c>
      <c r="V6" s="91">
        <f t="shared" ref="V6:W6" si="1">+V7+V25+V40+V54+V65</f>
        <v>893239.08199999994</v>
      </c>
      <c r="W6" s="91">
        <f t="shared" si="1"/>
        <v>910234.99699999997</v>
      </c>
      <c r="X6" s="91">
        <f t="shared" ref="X6:Y6" si="2">+X7+X25+X40+X54+X65</f>
        <v>908656.04399999999</v>
      </c>
      <c r="Y6" s="91">
        <f t="shared" si="2"/>
        <v>762528.0689999999</v>
      </c>
      <c r="Z6" s="91">
        <f t="shared" ref="Z6:AA6" si="3">+Z7+Z25+Z40+Z54+Z65</f>
        <v>761614.59600000014</v>
      </c>
      <c r="AA6" s="91">
        <f t="shared" si="3"/>
        <v>732703.62099999993</v>
      </c>
    </row>
    <row r="7" spans="1:28" s="23" customFormat="1">
      <c r="A7" s="22" t="s">
        <v>56</v>
      </c>
      <c r="B7" s="89">
        <f>SUM(B8:B24)</f>
        <v>34496</v>
      </c>
      <c r="C7" s="89">
        <f t="shared" ref="C7:U7" si="4">SUM(C8:C24)</f>
        <v>50104</v>
      </c>
      <c r="D7" s="89">
        <f t="shared" si="4"/>
        <v>56261</v>
      </c>
      <c r="E7" s="89">
        <f t="shared" si="4"/>
        <v>98389.286999999997</v>
      </c>
      <c r="F7" s="89">
        <f t="shared" si="4"/>
        <v>95192.52399999999</v>
      </c>
      <c r="G7" s="89">
        <f t="shared" si="4"/>
        <v>108316.08500000001</v>
      </c>
      <c r="H7" s="89">
        <f t="shared" si="4"/>
        <v>121912.17000000001</v>
      </c>
      <c r="I7" s="89">
        <f t="shared" si="4"/>
        <v>111946.04000000001</v>
      </c>
      <c r="J7" s="89">
        <f t="shared" si="4"/>
        <v>118325.96609999999</v>
      </c>
      <c r="K7" s="89">
        <f t="shared" si="4"/>
        <v>137827.10210999998</v>
      </c>
      <c r="L7" s="89">
        <f t="shared" si="4"/>
        <v>180119.78700000004</v>
      </c>
      <c r="M7" s="89">
        <f t="shared" si="4"/>
        <v>203000.38700000002</v>
      </c>
      <c r="N7" s="89">
        <f t="shared" si="4"/>
        <v>176728.655</v>
      </c>
      <c r="O7" s="89">
        <f t="shared" si="4"/>
        <v>168038.22200000001</v>
      </c>
      <c r="P7" s="89">
        <f t="shared" si="4"/>
        <v>154748.51999999999</v>
      </c>
      <c r="Q7" s="89">
        <f t="shared" si="4"/>
        <v>157646.36199999999</v>
      </c>
      <c r="R7" s="89">
        <f t="shared" si="4"/>
        <v>161168.728</v>
      </c>
      <c r="S7" s="89">
        <f t="shared" si="4"/>
        <v>170832.69699999999</v>
      </c>
      <c r="T7" s="89">
        <f t="shared" si="4"/>
        <v>197631.95099999997</v>
      </c>
      <c r="U7" s="89">
        <f t="shared" si="4"/>
        <v>211010.94399999999</v>
      </c>
      <c r="V7" s="89">
        <f t="shared" ref="V7:W7" si="5">SUM(V8:V24)</f>
        <v>240774.68500000003</v>
      </c>
      <c r="W7" s="89">
        <f t="shared" si="5"/>
        <v>230781.83099999998</v>
      </c>
      <c r="X7" s="89">
        <f t="shared" ref="X7:Y7" si="6">SUM(X8:X24)</f>
        <v>225729.87</v>
      </c>
      <c r="Y7" s="89">
        <f t="shared" si="6"/>
        <v>224420.66199999998</v>
      </c>
      <c r="Z7" s="89">
        <f t="shared" ref="Z7:AA7" si="7">SUM(Z8:Z24)</f>
        <v>222873.48199999999</v>
      </c>
      <c r="AA7" s="89">
        <f t="shared" si="7"/>
        <v>213421.64499999996</v>
      </c>
    </row>
    <row r="8" spans="1:28">
      <c r="A8" s="79" t="s">
        <v>119</v>
      </c>
      <c r="T8" s="2"/>
      <c r="U8" s="2"/>
      <c r="V8" s="2"/>
      <c r="W8" s="2"/>
    </row>
    <row r="9" spans="1:28">
      <c r="A9" s="22" t="s">
        <v>3</v>
      </c>
      <c r="B9" s="13">
        <v>1033</v>
      </c>
      <c r="C9" s="13">
        <v>1330</v>
      </c>
      <c r="D9" s="13">
        <v>1409</v>
      </c>
      <c r="E9" s="13">
        <v>1688.9590000000001</v>
      </c>
      <c r="F9" s="76">
        <v>1438.6510000000001</v>
      </c>
      <c r="G9" s="13">
        <v>1589.135</v>
      </c>
      <c r="H9" s="13">
        <v>1823.568</v>
      </c>
      <c r="I9" s="13">
        <v>2482.8139999999999</v>
      </c>
      <c r="J9" s="13">
        <v>2873.3809999999999</v>
      </c>
      <c r="K9" s="13">
        <v>3163.3609999999999</v>
      </c>
      <c r="L9" s="14">
        <v>4196.607</v>
      </c>
      <c r="M9" s="14">
        <v>6145.0990000000002</v>
      </c>
      <c r="N9" s="14">
        <v>5800.7049999999999</v>
      </c>
      <c r="O9" s="14">
        <v>5807.0129999999999</v>
      </c>
      <c r="P9" s="14">
        <v>6084.857</v>
      </c>
      <c r="Q9" s="14">
        <v>6532.7910000000002</v>
      </c>
      <c r="R9" s="14">
        <v>4359.3509999999997</v>
      </c>
      <c r="S9" s="14">
        <v>3812.8139999999999</v>
      </c>
      <c r="T9" s="2">
        <v>9522.2890000000007</v>
      </c>
      <c r="U9" s="2">
        <v>13911.208000000001</v>
      </c>
      <c r="V9" s="2">
        <v>14624.278</v>
      </c>
      <c r="W9" s="2">
        <v>11752.214</v>
      </c>
      <c r="X9" s="2">
        <v>11682.181</v>
      </c>
      <c r="Y9" s="2">
        <v>9841.5660000000007</v>
      </c>
      <c r="Z9" s="2">
        <v>6978.3050000000003</v>
      </c>
      <c r="AA9" s="2">
        <v>5139.2139999999999</v>
      </c>
    </row>
    <row r="10" spans="1:28">
      <c r="A10" s="22" t="s">
        <v>4</v>
      </c>
      <c r="B10" s="13">
        <v>423</v>
      </c>
      <c r="C10" s="13">
        <v>504</v>
      </c>
      <c r="D10" s="13">
        <v>557</v>
      </c>
      <c r="E10" s="13">
        <v>776.64599999999996</v>
      </c>
      <c r="F10" s="76">
        <v>934.76599999999996</v>
      </c>
      <c r="G10" s="13">
        <v>1172.6510000000001</v>
      </c>
      <c r="H10" s="13">
        <v>1719.068</v>
      </c>
      <c r="I10" s="14">
        <v>2562.797</v>
      </c>
      <c r="J10" s="14">
        <v>2493.8809999999999</v>
      </c>
      <c r="K10" s="14">
        <v>2848.5889999999999</v>
      </c>
      <c r="L10" s="14">
        <v>4747.9639999999999</v>
      </c>
      <c r="M10" s="14">
        <v>4720.3090000000002</v>
      </c>
      <c r="N10" s="14">
        <v>3931.2179999999998</v>
      </c>
      <c r="O10" s="14">
        <v>4121.2610000000004</v>
      </c>
      <c r="P10" s="14">
        <v>5193.0559999999996</v>
      </c>
      <c r="Q10" s="14">
        <v>4355.1610000000001</v>
      </c>
      <c r="R10" s="14">
        <v>4741.3459999999995</v>
      </c>
      <c r="S10" s="14">
        <v>5249.2960000000003</v>
      </c>
      <c r="T10" s="2">
        <v>7368.683</v>
      </c>
      <c r="U10" s="2">
        <v>5203.5870000000004</v>
      </c>
      <c r="V10" s="2">
        <v>5824.165</v>
      </c>
      <c r="W10" s="2">
        <v>6907.598</v>
      </c>
      <c r="X10" s="2">
        <v>6626.5240000000003</v>
      </c>
      <c r="Y10" s="2">
        <v>7912.1859999999997</v>
      </c>
      <c r="Z10" s="2">
        <v>8831.7649999999994</v>
      </c>
      <c r="AA10" s="2">
        <v>8772.7450000000008</v>
      </c>
    </row>
    <row r="11" spans="1:28">
      <c r="A11" s="22" t="s">
        <v>52</v>
      </c>
      <c r="B11" s="13"/>
      <c r="C11" s="13"/>
      <c r="D11" s="13">
        <v>0</v>
      </c>
      <c r="E11" s="13"/>
      <c r="F11" s="76">
        <v>0</v>
      </c>
      <c r="G11" s="13"/>
      <c r="H11" s="13"/>
      <c r="I11" s="14">
        <v>175.232</v>
      </c>
      <c r="J11" s="14">
        <v>320.34100000000001</v>
      </c>
      <c r="K11" s="14">
        <v>1052.943</v>
      </c>
      <c r="L11" s="14">
        <v>2318.5250000000001</v>
      </c>
      <c r="M11" s="14">
        <v>3108.127</v>
      </c>
      <c r="N11" s="14">
        <v>3549.22</v>
      </c>
      <c r="O11" s="14">
        <v>3892.21</v>
      </c>
      <c r="P11" s="14">
        <v>4249.6819999999998</v>
      </c>
      <c r="Q11" s="14">
        <v>4514.1589999999997</v>
      </c>
      <c r="R11" s="14">
        <v>4081.049</v>
      </c>
      <c r="S11" s="14">
        <v>4259.3040000000001</v>
      </c>
      <c r="T11" s="2">
        <v>3741.93</v>
      </c>
      <c r="U11" s="2">
        <v>3888.7849999999999</v>
      </c>
      <c r="V11" s="2">
        <v>5055.1930000000002</v>
      </c>
      <c r="W11" s="2">
        <v>4760.5510000000004</v>
      </c>
      <c r="X11" s="2">
        <v>3522.0149999999999</v>
      </c>
      <c r="Y11" s="2">
        <v>4146.6949999999997</v>
      </c>
      <c r="Z11" s="2">
        <v>3462.6370000000002</v>
      </c>
      <c r="AA11" s="2">
        <v>3615.6559999999999</v>
      </c>
    </row>
    <row r="12" spans="1:28">
      <c r="A12" s="22" t="s">
        <v>5</v>
      </c>
      <c r="B12" s="13">
        <v>2527</v>
      </c>
      <c r="C12" s="13">
        <v>2558</v>
      </c>
      <c r="D12" s="13">
        <v>5295</v>
      </c>
      <c r="E12" s="13">
        <v>7599.1130000000003</v>
      </c>
      <c r="F12" s="76">
        <v>7309.3729999999996</v>
      </c>
      <c r="G12" s="13">
        <v>8216.116</v>
      </c>
      <c r="H12" s="13">
        <v>8895.2880000000005</v>
      </c>
      <c r="I12" s="14">
        <v>10237.683999999999</v>
      </c>
      <c r="J12" s="14">
        <v>10534.199000000001</v>
      </c>
      <c r="K12" s="14">
        <v>13035.11</v>
      </c>
      <c r="L12" s="14">
        <v>31378.936000000002</v>
      </c>
      <c r="M12" s="14">
        <v>34471.453000000001</v>
      </c>
      <c r="N12" s="14">
        <v>30583.34</v>
      </c>
      <c r="O12" s="14">
        <v>24883.532999999999</v>
      </c>
      <c r="P12" s="14">
        <v>23013.845000000001</v>
      </c>
      <c r="Q12" s="14">
        <v>25704.668000000001</v>
      </c>
      <c r="R12" s="14">
        <v>26600.457999999999</v>
      </c>
      <c r="S12" s="14">
        <v>31324.069</v>
      </c>
      <c r="T12" s="2">
        <v>41581.964</v>
      </c>
      <c r="U12" s="2">
        <v>41180.228000000003</v>
      </c>
      <c r="V12" s="2">
        <v>39158.256999999998</v>
      </c>
      <c r="W12" s="2">
        <v>38311.857000000004</v>
      </c>
      <c r="X12" s="2">
        <v>37922.442000000003</v>
      </c>
      <c r="Y12" s="2">
        <v>37779.883999999998</v>
      </c>
      <c r="Z12" s="2">
        <v>43260.065000000002</v>
      </c>
      <c r="AA12" s="2">
        <v>36495.364000000001</v>
      </c>
    </row>
    <row r="13" spans="1:28">
      <c r="A13" s="22" t="s">
        <v>6</v>
      </c>
      <c r="B13" s="13">
        <v>502</v>
      </c>
      <c r="C13" s="13">
        <v>632</v>
      </c>
      <c r="D13" s="13">
        <v>659</v>
      </c>
      <c r="E13" s="13">
        <v>1674.664</v>
      </c>
      <c r="F13" s="76">
        <v>1299.1110000000001</v>
      </c>
      <c r="G13" s="13">
        <v>1299.838</v>
      </c>
      <c r="H13" s="13">
        <v>1237.08</v>
      </c>
      <c r="I13" s="14">
        <v>1468.63</v>
      </c>
      <c r="J13" s="14">
        <v>1946.4960000000001</v>
      </c>
      <c r="K13" s="14">
        <v>1739.383</v>
      </c>
      <c r="L13" s="14">
        <v>1615.874</v>
      </c>
      <c r="M13" s="14">
        <v>1909.951</v>
      </c>
      <c r="N13" s="14">
        <v>2713.6880000000001</v>
      </c>
      <c r="O13" s="14">
        <v>3176.0390000000002</v>
      </c>
      <c r="P13" s="14">
        <v>3629.23</v>
      </c>
      <c r="Q13" s="14">
        <v>3955.5970000000002</v>
      </c>
      <c r="R13" s="14">
        <v>3564.183</v>
      </c>
      <c r="S13" s="14">
        <v>3505.652</v>
      </c>
      <c r="T13" s="2">
        <v>2949.31</v>
      </c>
      <c r="U13" s="2">
        <v>4096.4260000000004</v>
      </c>
      <c r="V13" s="2">
        <v>5664.0910000000003</v>
      </c>
      <c r="W13" s="2">
        <v>6672.8119999999999</v>
      </c>
      <c r="X13" s="2">
        <v>5145.1059999999998</v>
      </c>
      <c r="Y13" s="2">
        <v>4578.3689999999997</v>
      </c>
      <c r="Z13" s="2">
        <v>4555.8100000000004</v>
      </c>
      <c r="AA13" s="2">
        <v>4369.8249999999998</v>
      </c>
    </row>
    <row r="14" spans="1:28">
      <c r="A14" s="22" t="s">
        <v>7</v>
      </c>
      <c r="B14" s="13">
        <v>1908</v>
      </c>
      <c r="C14" s="13">
        <v>527</v>
      </c>
      <c r="D14" s="13">
        <v>310</v>
      </c>
      <c r="E14" s="13">
        <v>6152.3140000000003</v>
      </c>
      <c r="F14" s="76">
        <v>5990.2969999999996</v>
      </c>
      <c r="G14" s="13">
        <v>6234.21</v>
      </c>
      <c r="H14" s="13">
        <v>8283.9089999999997</v>
      </c>
      <c r="I14" s="14">
        <v>4984.3459999999995</v>
      </c>
      <c r="J14" s="14">
        <v>6995.2840999999999</v>
      </c>
      <c r="K14" s="14">
        <v>6729.9309999999996</v>
      </c>
      <c r="L14" s="14">
        <v>6511.2219999999998</v>
      </c>
      <c r="M14" s="14">
        <v>26774.043000000001</v>
      </c>
      <c r="N14" s="14">
        <v>845.14499999999998</v>
      </c>
      <c r="O14" s="14">
        <v>776.07</v>
      </c>
      <c r="P14" s="14">
        <v>461.67099999999999</v>
      </c>
      <c r="Q14" s="14">
        <v>6819.3540000000003</v>
      </c>
      <c r="R14" s="14">
        <v>6340.509</v>
      </c>
      <c r="S14" s="14">
        <v>6223.4809999999998</v>
      </c>
      <c r="T14" s="2">
        <v>7629.5630000000001</v>
      </c>
      <c r="U14" s="2">
        <v>7432.6239999999998</v>
      </c>
      <c r="V14" s="2">
        <v>8121.1819999999998</v>
      </c>
      <c r="W14" s="2">
        <v>9292.1790000000001</v>
      </c>
      <c r="X14" s="2">
        <v>9290.7880000000005</v>
      </c>
      <c r="Y14" s="2">
        <v>7493.37</v>
      </c>
      <c r="Z14" s="2">
        <v>6604.08</v>
      </c>
      <c r="AA14" s="2">
        <v>6728.9040000000005</v>
      </c>
    </row>
    <row r="15" spans="1:28">
      <c r="A15" s="22" t="s">
        <v>8</v>
      </c>
      <c r="B15" s="36">
        <v>1131</v>
      </c>
      <c r="C15" s="36">
        <v>1091</v>
      </c>
      <c r="D15" s="36">
        <v>1125</v>
      </c>
      <c r="E15" s="36">
        <v>398.291</v>
      </c>
      <c r="F15" s="77">
        <v>872.37400000000002</v>
      </c>
      <c r="G15" s="36">
        <v>541.50300000000004</v>
      </c>
      <c r="H15" s="36">
        <v>430.04199999999997</v>
      </c>
      <c r="I15" s="37">
        <v>369.31900000000002</v>
      </c>
      <c r="J15" s="37">
        <v>1284.231</v>
      </c>
      <c r="K15" s="37">
        <v>531.64090999999644</v>
      </c>
      <c r="L15" s="37">
        <v>1278.598</v>
      </c>
      <c r="M15" s="37">
        <v>1358.5150000000001</v>
      </c>
      <c r="N15" s="37">
        <v>1990.155</v>
      </c>
      <c r="O15" s="37">
        <v>2801.6930000000002</v>
      </c>
      <c r="P15" s="37">
        <v>4511.6779999999999</v>
      </c>
      <c r="Q15" s="37">
        <v>3615.2779999999998</v>
      </c>
      <c r="R15" s="37">
        <v>5333.5810000000001</v>
      </c>
      <c r="S15" s="37">
        <v>6238.96</v>
      </c>
      <c r="T15" s="23">
        <v>4617.26</v>
      </c>
      <c r="U15" s="23">
        <v>3400.18</v>
      </c>
      <c r="V15" s="23">
        <v>2614.8339999999998</v>
      </c>
      <c r="W15" s="23">
        <v>2087.8409999999999</v>
      </c>
      <c r="X15" s="2">
        <v>2187.5410000000002</v>
      </c>
      <c r="Y15" s="2">
        <v>1945.453</v>
      </c>
      <c r="Z15" s="2">
        <v>1667.7819999999999</v>
      </c>
      <c r="AA15" s="2">
        <v>2901.1410000000001</v>
      </c>
    </row>
    <row r="16" spans="1:28">
      <c r="A16" s="22" t="s">
        <v>9</v>
      </c>
      <c r="B16" s="36">
        <v>2725</v>
      </c>
      <c r="C16" s="36">
        <v>4099</v>
      </c>
      <c r="D16" s="36">
        <v>2406</v>
      </c>
      <c r="E16" s="36">
        <v>796.81200000000001</v>
      </c>
      <c r="F16" s="77">
        <v>706.50300000000004</v>
      </c>
      <c r="G16" s="36">
        <v>742.96500000000003</v>
      </c>
      <c r="H16" s="36">
        <v>902.49900000000002</v>
      </c>
      <c r="I16" s="37">
        <v>1090.9670000000001</v>
      </c>
      <c r="J16" s="37">
        <v>915.89499999999998</v>
      </c>
      <c r="K16" s="37">
        <v>3812.97</v>
      </c>
      <c r="L16" s="37">
        <v>1698.3119999999999</v>
      </c>
      <c r="M16" s="37">
        <v>2186.7730000000001</v>
      </c>
      <c r="N16" s="37">
        <v>2837.48</v>
      </c>
      <c r="O16" s="37">
        <v>3547.0659999999998</v>
      </c>
      <c r="P16" s="37">
        <v>3422.1880000000001</v>
      </c>
      <c r="Q16" s="37">
        <v>2155.4380000000001</v>
      </c>
      <c r="R16" s="37">
        <v>3848.3409999999999</v>
      </c>
      <c r="S16" s="37">
        <v>3648.453</v>
      </c>
      <c r="T16" s="23">
        <v>4169.9229999999998</v>
      </c>
      <c r="U16" s="23">
        <v>4524.1189999999997</v>
      </c>
      <c r="V16" s="23">
        <v>5428.3360000000002</v>
      </c>
      <c r="W16" s="23">
        <v>5559.6549999999997</v>
      </c>
      <c r="X16" s="2">
        <v>5730.2569999999996</v>
      </c>
      <c r="Y16" s="2">
        <v>5304.4290000000001</v>
      </c>
      <c r="Z16" s="2">
        <v>5179.9930000000004</v>
      </c>
      <c r="AA16" s="2">
        <v>5532.9229999999998</v>
      </c>
    </row>
    <row r="17" spans="1:27">
      <c r="A17" s="22" t="s">
        <v>10</v>
      </c>
      <c r="B17" s="36">
        <v>436</v>
      </c>
      <c r="C17" s="36">
        <v>390</v>
      </c>
      <c r="D17" s="36">
        <v>422</v>
      </c>
      <c r="E17" s="36">
        <v>1050.4559999999999</v>
      </c>
      <c r="F17" s="77">
        <v>1142.3430000000001</v>
      </c>
      <c r="G17" s="36">
        <v>1263.8040000000001</v>
      </c>
      <c r="H17" s="36">
        <v>1651.99</v>
      </c>
      <c r="I17" s="37">
        <v>1742.3689999999999</v>
      </c>
      <c r="J17" s="37">
        <v>1937.873</v>
      </c>
      <c r="K17" s="37">
        <v>2046.0239999999999</v>
      </c>
      <c r="L17" s="37">
        <v>3617.12</v>
      </c>
      <c r="M17" s="37">
        <v>3243.2269999999999</v>
      </c>
      <c r="N17" s="37">
        <v>4543.4250000000002</v>
      </c>
      <c r="O17" s="37">
        <v>1010.111</v>
      </c>
      <c r="P17" s="37">
        <v>1115.2560000000001</v>
      </c>
      <c r="Q17" s="37">
        <v>1288.8879999999999</v>
      </c>
      <c r="R17" s="37">
        <v>1197.1410000000001</v>
      </c>
      <c r="S17" s="37">
        <v>1220.626</v>
      </c>
      <c r="T17" s="23">
        <v>1612.877</v>
      </c>
      <c r="U17" s="23">
        <v>1468.7550000000001</v>
      </c>
      <c r="V17" s="23">
        <v>1007.147</v>
      </c>
      <c r="W17" s="23">
        <v>1215.3579999999999</v>
      </c>
      <c r="X17" s="2">
        <v>1350.345</v>
      </c>
      <c r="Y17" s="2">
        <v>1763.5640000000001</v>
      </c>
      <c r="Z17" s="2">
        <v>1161.1969999999999</v>
      </c>
      <c r="AA17" s="2">
        <v>1060.3309999999999</v>
      </c>
    </row>
    <row r="18" spans="1:27">
      <c r="A18" s="22" t="s">
        <v>11</v>
      </c>
      <c r="B18" s="36">
        <v>2188</v>
      </c>
      <c r="C18" s="36">
        <v>2140</v>
      </c>
      <c r="D18" s="36">
        <v>1725</v>
      </c>
      <c r="E18" s="36">
        <v>5286.3190000000004</v>
      </c>
      <c r="F18" s="77">
        <v>3442.5039999999999</v>
      </c>
      <c r="G18" s="36">
        <v>3977.431</v>
      </c>
      <c r="H18" s="36">
        <v>3559.6880000000001</v>
      </c>
      <c r="I18" s="37">
        <v>3096.2220000000002</v>
      </c>
      <c r="J18" s="37">
        <v>3377.799</v>
      </c>
      <c r="K18" s="37">
        <v>3726.0924000000059</v>
      </c>
      <c r="L18" s="37">
        <v>5304.9120000000003</v>
      </c>
      <c r="M18" s="37">
        <v>5429.7860000000001</v>
      </c>
      <c r="N18" s="37">
        <v>11208.258</v>
      </c>
      <c r="O18" s="37">
        <v>6978.9049999999997</v>
      </c>
      <c r="P18" s="37">
        <v>6367.308</v>
      </c>
      <c r="Q18" s="37">
        <v>5679.5789999999997</v>
      </c>
      <c r="R18" s="37">
        <v>5029.05</v>
      </c>
      <c r="S18" s="37">
        <v>4655.2120000000004</v>
      </c>
      <c r="T18" s="23">
        <v>5366.8959999999997</v>
      </c>
      <c r="U18" s="23">
        <v>4691.3419999999996</v>
      </c>
      <c r="V18" s="23">
        <v>6089.3459999999995</v>
      </c>
      <c r="W18" s="23">
        <v>7671.0590000000002</v>
      </c>
      <c r="X18" s="2">
        <v>6587.5029999999997</v>
      </c>
      <c r="Y18" s="2">
        <v>7287.3980000000001</v>
      </c>
      <c r="Z18" s="2">
        <v>7255.02</v>
      </c>
      <c r="AA18" s="2">
        <v>7583.7160000000003</v>
      </c>
    </row>
    <row r="19" spans="1:27">
      <c r="A19" s="22" t="s">
        <v>12</v>
      </c>
      <c r="B19" s="36">
        <v>1312</v>
      </c>
      <c r="C19" s="36">
        <v>1312</v>
      </c>
      <c r="D19" s="37">
        <v>1328</v>
      </c>
      <c r="E19" s="36">
        <v>891.47699999999998</v>
      </c>
      <c r="F19" s="77">
        <v>1019.135</v>
      </c>
      <c r="G19" s="36">
        <v>1982.847</v>
      </c>
      <c r="H19" s="36">
        <v>2363.607</v>
      </c>
      <c r="I19" s="37">
        <v>2669.473</v>
      </c>
      <c r="J19" s="37">
        <v>2906.9989999999998</v>
      </c>
      <c r="K19" s="37">
        <v>3961.419969999999</v>
      </c>
      <c r="L19" s="37">
        <v>3605.2689999999998</v>
      </c>
      <c r="M19" s="37">
        <v>2986.886</v>
      </c>
      <c r="N19" s="37">
        <v>3034.4679999999998</v>
      </c>
      <c r="O19" s="37">
        <v>1923.444</v>
      </c>
      <c r="P19" s="37">
        <v>1518.867</v>
      </c>
      <c r="Q19" s="37">
        <v>2440.21</v>
      </c>
      <c r="R19" s="37">
        <v>1551.7429999999999</v>
      </c>
      <c r="S19" s="37">
        <v>1632.711</v>
      </c>
      <c r="T19" s="23">
        <v>2177.817</v>
      </c>
      <c r="U19" s="23">
        <v>2954.8270000000002</v>
      </c>
      <c r="V19" s="23">
        <v>4431.9009999999998</v>
      </c>
      <c r="W19" s="23">
        <v>4729.1809999999996</v>
      </c>
      <c r="X19" s="2">
        <v>4131.067</v>
      </c>
      <c r="Y19" s="2">
        <v>5132.0450000000001</v>
      </c>
      <c r="Z19" s="2">
        <v>4201.8649999999998</v>
      </c>
      <c r="AA19" s="2">
        <v>3277.5630000000001</v>
      </c>
    </row>
    <row r="20" spans="1:27">
      <c r="A20" s="22" t="s">
        <v>13</v>
      </c>
      <c r="B20" s="36">
        <v>410</v>
      </c>
      <c r="C20" s="36">
        <v>467</v>
      </c>
      <c r="D20" s="36">
        <v>762</v>
      </c>
      <c r="E20" s="36">
        <v>1251.7950000000001</v>
      </c>
      <c r="F20" s="77">
        <v>1128.2539999999999</v>
      </c>
      <c r="G20" s="36">
        <v>1138.5419999999999</v>
      </c>
      <c r="H20" s="36">
        <v>1672.1959999999999</v>
      </c>
      <c r="I20" s="37">
        <v>1541.586</v>
      </c>
      <c r="J20" s="37">
        <v>1334.152</v>
      </c>
      <c r="K20" s="37">
        <v>1729.7370000000001</v>
      </c>
      <c r="L20" s="37">
        <v>2100.6819999999998</v>
      </c>
      <c r="M20" s="37">
        <v>2338.1379999999999</v>
      </c>
      <c r="N20" s="37">
        <v>2237.1909999999998</v>
      </c>
      <c r="O20" s="37">
        <v>2982.2869999999998</v>
      </c>
      <c r="P20" s="37">
        <v>2294.335</v>
      </c>
      <c r="Q20" s="37">
        <v>2550.8530000000001</v>
      </c>
      <c r="R20" s="37">
        <v>1747.479</v>
      </c>
      <c r="S20" s="37">
        <v>2283.8919999999998</v>
      </c>
      <c r="T20" s="23">
        <v>2487.5639999999999</v>
      </c>
      <c r="U20" s="23">
        <v>2453.1210000000001</v>
      </c>
      <c r="V20" s="23">
        <v>2265.4029999999998</v>
      </c>
      <c r="W20" s="23">
        <v>2089.518</v>
      </c>
      <c r="X20" s="2">
        <v>1977.625</v>
      </c>
      <c r="Y20" s="2">
        <v>1452.9939999999999</v>
      </c>
      <c r="Z20" s="2">
        <v>1206.23</v>
      </c>
      <c r="AA20" s="2">
        <v>764.34100000000001</v>
      </c>
    </row>
    <row r="21" spans="1:27" s="17" customFormat="1">
      <c r="A21" s="22" t="s">
        <v>14</v>
      </c>
      <c r="B21" s="36">
        <v>6880</v>
      </c>
      <c r="C21" s="36">
        <v>17051</v>
      </c>
      <c r="D21" s="36">
        <v>20972</v>
      </c>
      <c r="E21" s="36">
        <v>29374.335999999999</v>
      </c>
      <c r="F21" s="77">
        <v>25986.506000000001</v>
      </c>
      <c r="G21" s="36">
        <v>28402.98</v>
      </c>
      <c r="H21" s="36">
        <v>26862.296999999999</v>
      </c>
      <c r="I21" s="37">
        <v>26122.539000000001</v>
      </c>
      <c r="J21" s="37">
        <v>21815.467000000001</v>
      </c>
      <c r="K21" s="37">
        <v>23542.904999999999</v>
      </c>
      <c r="L21" s="37">
        <v>37873.915000000001</v>
      </c>
      <c r="M21" s="37">
        <v>21992.063999999998</v>
      </c>
      <c r="N21" s="37">
        <v>20123.753000000001</v>
      </c>
      <c r="O21" s="37">
        <v>21473.297999999999</v>
      </c>
      <c r="P21" s="37">
        <v>16265.706</v>
      </c>
      <c r="Q21" s="37">
        <v>15679.513000000001</v>
      </c>
      <c r="R21" s="37">
        <v>15216.154</v>
      </c>
      <c r="S21" s="37">
        <v>13905.790999999999</v>
      </c>
      <c r="T21" s="23">
        <v>14355.625</v>
      </c>
      <c r="U21" s="23">
        <v>16139.462</v>
      </c>
      <c r="V21" s="23">
        <v>22942.19</v>
      </c>
      <c r="W21" s="23">
        <v>15697.331</v>
      </c>
      <c r="X21" s="23">
        <v>16481.513999999999</v>
      </c>
      <c r="Y21" s="2">
        <v>14949.380999999999</v>
      </c>
      <c r="Z21" s="2">
        <v>13398.258</v>
      </c>
      <c r="AA21" s="2">
        <v>12561.347</v>
      </c>
    </row>
    <row r="22" spans="1:27">
      <c r="A22" s="22" t="s">
        <v>15</v>
      </c>
      <c r="B22" s="36">
        <v>12437</v>
      </c>
      <c r="C22" s="36">
        <v>17338</v>
      </c>
      <c r="D22" s="36">
        <v>18702</v>
      </c>
      <c r="E22" s="36">
        <v>39803.883999999998</v>
      </c>
      <c r="F22" s="77">
        <v>41926.281000000003</v>
      </c>
      <c r="G22" s="36">
        <v>49603.347000000002</v>
      </c>
      <c r="H22" s="36">
        <v>60285.976000000002</v>
      </c>
      <c r="I22" s="37">
        <v>51115.133000000002</v>
      </c>
      <c r="J22" s="37">
        <v>57807.4</v>
      </c>
      <c r="K22" s="37">
        <v>67863.180999999997</v>
      </c>
      <c r="L22" s="37">
        <v>69850.631999999998</v>
      </c>
      <c r="M22" s="37">
        <v>80946.964000000007</v>
      </c>
      <c r="N22" s="37">
        <v>78409.39</v>
      </c>
      <c r="O22" s="37">
        <v>78067.993000000002</v>
      </c>
      <c r="P22" s="37">
        <v>69270.566999999995</v>
      </c>
      <c r="Q22" s="37">
        <v>64881.870999999999</v>
      </c>
      <c r="R22" s="37">
        <v>70757.585000000006</v>
      </c>
      <c r="S22" s="37">
        <v>75639.933999999994</v>
      </c>
      <c r="T22" s="23">
        <v>81706.873999999996</v>
      </c>
      <c r="U22" s="23">
        <v>91192.83</v>
      </c>
      <c r="V22" s="23">
        <v>107427.79300000001</v>
      </c>
      <c r="W22" s="23">
        <v>102406.815</v>
      </c>
      <c r="X22" s="2">
        <v>97407.801999999996</v>
      </c>
      <c r="Y22" s="2">
        <v>100675.28200000001</v>
      </c>
      <c r="Z22" s="2">
        <v>104162.863</v>
      </c>
      <c r="AA22" s="2">
        <v>100462.39999999999</v>
      </c>
    </row>
    <row r="23" spans="1:27">
      <c r="A23" s="22" t="s">
        <v>16</v>
      </c>
      <c r="B23" s="36">
        <v>369</v>
      </c>
      <c r="C23" s="36">
        <v>380</v>
      </c>
      <c r="D23" s="36">
        <v>357</v>
      </c>
      <c r="E23" s="36">
        <v>1456.221</v>
      </c>
      <c r="F23" s="77">
        <v>1554.8320000000001</v>
      </c>
      <c r="G23" s="36">
        <v>1760.7159999999999</v>
      </c>
      <c r="H23" s="36">
        <v>1898.8589999999999</v>
      </c>
      <c r="I23" s="37">
        <v>1993.644</v>
      </c>
      <c r="J23" s="37">
        <v>1438.991</v>
      </c>
      <c r="K23" s="37">
        <v>1701.9269999999999</v>
      </c>
      <c r="L23" s="37">
        <v>2843.8389999999999</v>
      </c>
      <c r="M23" s="37">
        <v>3639.3</v>
      </c>
      <c r="N23" s="37">
        <v>4473.2269999999999</v>
      </c>
      <c r="O23" s="37">
        <v>3542.8910000000001</v>
      </c>
      <c r="P23" s="37">
        <v>4100.3959999999997</v>
      </c>
      <c r="Q23" s="37">
        <v>4220.2160000000003</v>
      </c>
      <c r="R23" s="37">
        <v>3846.4319999999998</v>
      </c>
      <c r="S23" s="37">
        <v>4684.2479999999996</v>
      </c>
      <c r="T23" s="23">
        <v>5800.9009999999998</v>
      </c>
      <c r="U23" s="23">
        <v>6135.3919999999998</v>
      </c>
      <c r="V23" s="23">
        <v>6490.88</v>
      </c>
      <c r="W23" s="23">
        <v>7647.1909999999998</v>
      </c>
      <c r="X23" s="2">
        <v>10805.638999999999</v>
      </c>
      <c r="Y23" s="2">
        <v>9880.7129999999997</v>
      </c>
      <c r="Z23" s="2">
        <v>7683.8119999999999</v>
      </c>
      <c r="AA23" s="2">
        <v>10499.746999999999</v>
      </c>
    </row>
    <row r="24" spans="1:27">
      <c r="A24" s="83" t="s">
        <v>17</v>
      </c>
      <c r="B24" s="66">
        <v>215</v>
      </c>
      <c r="C24" s="66">
        <v>285</v>
      </c>
      <c r="D24" s="66">
        <v>232</v>
      </c>
      <c r="E24" s="66">
        <v>188</v>
      </c>
      <c r="F24" s="82">
        <v>441.59399999999999</v>
      </c>
      <c r="G24" s="66">
        <v>390</v>
      </c>
      <c r="H24" s="66">
        <v>326.10300000000001</v>
      </c>
      <c r="I24" s="63">
        <v>293.28500000000003</v>
      </c>
      <c r="J24" s="63">
        <v>343.577</v>
      </c>
      <c r="K24" s="63">
        <v>341.88783000000564</v>
      </c>
      <c r="L24" s="63">
        <v>1177.3800000000001</v>
      </c>
      <c r="M24" s="63">
        <v>1749.752</v>
      </c>
      <c r="N24" s="63">
        <v>447.99200000000002</v>
      </c>
      <c r="O24" s="63">
        <v>3054.4079999999999</v>
      </c>
      <c r="P24" s="63">
        <v>3249.8780000000002</v>
      </c>
      <c r="Q24" s="63">
        <v>3252.7860000000001</v>
      </c>
      <c r="R24" s="63">
        <v>2954.326</v>
      </c>
      <c r="S24" s="63">
        <v>2548.2539999999999</v>
      </c>
      <c r="T24" s="45">
        <v>2542.4749999999999</v>
      </c>
      <c r="U24" s="45">
        <v>2338.058</v>
      </c>
      <c r="V24" s="45">
        <v>3629.6889999999999</v>
      </c>
      <c r="W24" s="45">
        <v>3980.6709999999998</v>
      </c>
      <c r="X24" s="45">
        <v>4881.5209999999997</v>
      </c>
      <c r="Y24" s="45">
        <v>4277.3329999999996</v>
      </c>
      <c r="Z24" s="45">
        <v>3263.8</v>
      </c>
      <c r="AA24" s="45">
        <v>3656.4279999999999</v>
      </c>
    </row>
    <row r="25" spans="1:27" s="23" customFormat="1">
      <c r="A25" s="79" t="s">
        <v>120</v>
      </c>
      <c r="B25" s="90">
        <f>SUM(B27:B39)</f>
        <v>0</v>
      </c>
      <c r="C25" s="90">
        <f t="shared" ref="C25:AA25" si="8">SUM(C27:C39)</f>
        <v>0</v>
      </c>
      <c r="D25" s="90">
        <f t="shared" si="8"/>
        <v>0</v>
      </c>
      <c r="E25" s="90">
        <f t="shared" si="8"/>
        <v>0</v>
      </c>
      <c r="F25" s="90">
        <f t="shared" si="8"/>
        <v>80433.036999999997</v>
      </c>
      <c r="G25" s="90">
        <f t="shared" si="8"/>
        <v>0</v>
      </c>
      <c r="H25" s="90">
        <f t="shared" si="8"/>
        <v>0</v>
      </c>
      <c r="I25" s="90">
        <f t="shared" si="8"/>
        <v>95595.422999999981</v>
      </c>
      <c r="J25" s="90">
        <f t="shared" si="8"/>
        <v>0</v>
      </c>
      <c r="K25" s="90">
        <f t="shared" si="8"/>
        <v>131658.56070999999</v>
      </c>
      <c r="L25" s="90">
        <f t="shared" si="8"/>
        <v>145030.71499999997</v>
      </c>
      <c r="M25" s="90">
        <f t="shared" si="8"/>
        <v>165019.484</v>
      </c>
      <c r="N25" s="90">
        <f t="shared" si="8"/>
        <v>175518.29399999999</v>
      </c>
      <c r="O25" s="90">
        <f t="shared" si="8"/>
        <v>176394.30499999999</v>
      </c>
      <c r="P25" s="90">
        <f t="shared" si="8"/>
        <v>162603.51700000002</v>
      </c>
      <c r="Q25" s="90">
        <f t="shared" si="8"/>
        <v>181201.85699999999</v>
      </c>
      <c r="R25" s="90">
        <f t="shared" si="8"/>
        <v>193125.49099999998</v>
      </c>
      <c r="S25" s="90">
        <f t="shared" si="8"/>
        <v>194388.16200000001</v>
      </c>
      <c r="T25" s="90">
        <f t="shared" si="8"/>
        <v>210719.80500000002</v>
      </c>
      <c r="U25" s="90">
        <f t="shared" si="8"/>
        <v>222162.74699999997</v>
      </c>
      <c r="V25" s="90">
        <f t="shared" si="8"/>
        <v>262003.894</v>
      </c>
      <c r="W25" s="90">
        <f t="shared" si="8"/>
        <v>287991.79800000001</v>
      </c>
      <c r="X25" s="90">
        <f t="shared" si="8"/>
        <v>299512.67199999996</v>
      </c>
      <c r="Y25" s="90">
        <f t="shared" si="8"/>
        <v>186659.62699999998</v>
      </c>
      <c r="Z25" s="90">
        <f t="shared" si="8"/>
        <v>193889.04400000008</v>
      </c>
      <c r="AA25" s="90">
        <f t="shared" si="8"/>
        <v>194214.144</v>
      </c>
    </row>
    <row r="26" spans="1:27">
      <c r="A26" s="79" t="s">
        <v>119</v>
      </c>
      <c r="B26" s="37"/>
      <c r="C26" s="37"/>
      <c r="D26" s="37"/>
      <c r="E26" s="37"/>
      <c r="F26" s="37"/>
      <c r="G26" s="37"/>
      <c r="H26" s="37"/>
      <c r="I26" s="37"/>
      <c r="J26" s="37"/>
      <c r="K26" s="37"/>
      <c r="L26" s="37"/>
      <c r="M26" s="37"/>
      <c r="N26" s="37"/>
      <c r="O26" s="37"/>
      <c r="P26" s="37"/>
      <c r="Q26" s="37"/>
      <c r="R26" s="37"/>
      <c r="S26" s="37"/>
      <c r="T26" s="23"/>
      <c r="U26" s="23"/>
      <c r="V26" s="23"/>
      <c r="W26" s="23"/>
      <c r="X26" s="2">
        <v>0</v>
      </c>
    </row>
    <row r="27" spans="1:27">
      <c r="A27" s="23" t="s">
        <v>85</v>
      </c>
      <c r="B27" s="36"/>
      <c r="C27" s="36"/>
      <c r="D27" s="37"/>
      <c r="E27" s="36"/>
      <c r="F27" s="77">
        <v>60.533000000000001</v>
      </c>
      <c r="G27" s="36"/>
      <c r="H27" s="36"/>
      <c r="I27" s="37">
        <v>99.935000000000002</v>
      </c>
      <c r="J27" s="37"/>
      <c r="K27" s="37">
        <v>99.484999999999999</v>
      </c>
      <c r="L27" s="37">
        <v>456.02699999999999</v>
      </c>
      <c r="M27" s="37">
        <v>255.22200000000001</v>
      </c>
      <c r="N27" s="37">
        <v>461.25200000000001</v>
      </c>
      <c r="O27" s="37">
        <v>302.39299999999997</v>
      </c>
      <c r="P27" s="37">
        <v>400.45100000000002</v>
      </c>
      <c r="Q27" s="37">
        <v>319.47899999999998</v>
      </c>
      <c r="R27" s="37">
        <v>327.26799999999997</v>
      </c>
      <c r="S27" s="37">
        <v>410.33499999999998</v>
      </c>
      <c r="T27" s="23">
        <v>347.601</v>
      </c>
      <c r="U27" s="23">
        <v>489.03199999999998</v>
      </c>
      <c r="V27" s="23">
        <v>406.85500000000002</v>
      </c>
      <c r="W27" s="23">
        <v>290.32499999999999</v>
      </c>
      <c r="X27" s="2">
        <v>319.26799999999997</v>
      </c>
      <c r="Y27" s="2">
        <v>433.60599999999999</v>
      </c>
    </row>
    <row r="28" spans="1:27">
      <c r="A28" s="23" t="s">
        <v>86</v>
      </c>
      <c r="B28" s="36"/>
      <c r="C28" s="36"/>
      <c r="D28" s="36"/>
      <c r="E28" s="36"/>
      <c r="F28" s="77">
        <v>3208.973</v>
      </c>
      <c r="G28" s="36"/>
      <c r="H28" s="36"/>
      <c r="I28" s="37">
        <v>4390.7039999999997</v>
      </c>
      <c r="J28" s="37"/>
      <c r="K28" s="37">
        <v>9752.9286599999959</v>
      </c>
      <c r="L28" s="37">
        <v>8543.43</v>
      </c>
      <c r="M28" s="37">
        <v>10908.332</v>
      </c>
      <c r="N28" s="37">
        <v>12366.891</v>
      </c>
      <c r="O28" s="37">
        <v>11483.224</v>
      </c>
      <c r="P28" s="37">
        <v>10963.419</v>
      </c>
      <c r="Q28" s="37">
        <v>12366.618</v>
      </c>
      <c r="R28" s="37">
        <v>15842.578</v>
      </c>
      <c r="S28" s="37">
        <v>12186.953</v>
      </c>
      <c r="T28" s="23">
        <v>13191.253000000001</v>
      </c>
      <c r="U28" s="23">
        <v>15086.248</v>
      </c>
      <c r="V28" s="23">
        <v>17299.632000000001</v>
      </c>
      <c r="W28" s="23">
        <v>16515.240000000002</v>
      </c>
      <c r="X28" s="2">
        <v>16089.281000000001</v>
      </c>
      <c r="Y28" s="2">
        <v>3149.9340000000002</v>
      </c>
      <c r="Z28" s="2">
        <v>2412.0039999999999</v>
      </c>
      <c r="AA28" s="2">
        <v>2377.38</v>
      </c>
    </row>
    <row r="29" spans="1:27">
      <c r="A29" s="23" t="s">
        <v>87</v>
      </c>
      <c r="B29" s="36"/>
      <c r="C29" s="36"/>
      <c r="D29" s="36"/>
      <c r="E29" s="36"/>
      <c r="F29" s="77">
        <v>41174.606</v>
      </c>
      <c r="G29" s="36"/>
      <c r="H29" s="36"/>
      <c r="I29" s="37">
        <v>42365.673999999999</v>
      </c>
      <c r="J29" s="37"/>
      <c r="K29" s="37">
        <v>64833.056120000008</v>
      </c>
      <c r="L29" s="37">
        <v>59353.243999999999</v>
      </c>
      <c r="M29" s="37">
        <v>65265.398999999998</v>
      </c>
      <c r="N29" s="37">
        <v>69617.5</v>
      </c>
      <c r="O29" s="37">
        <v>73840.14</v>
      </c>
      <c r="P29" s="37">
        <v>65287.91</v>
      </c>
      <c r="Q29" s="37">
        <v>77520.567999999999</v>
      </c>
      <c r="R29" s="37">
        <v>88225.406000000003</v>
      </c>
      <c r="S29" s="37">
        <v>93007.27</v>
      </c>
      <c r="T29" s="23">
        <v>99493.095000000001</v>
      </c>
      <c r="U29" s="23">
        <v>98422.767000000007</v>
      </c>
      <c r="V29" s="23">
        <v>109698.514</v>
      </c>
      <c r="W29" s="23">
        <v>142434.58799999999</v>
      </c>
      <c r="X29" s="2">
        <v>169827.54199999999</v>
      </c>
      <c r="Y29" s="2">
        <v>91641.489000000001</v>
      </c>
      <c r="Z29" s="2">
        <v>94609.702000000005</v>
      </c>
      <c r="AA29" s="2">
        <v>101035.556</v>
      </c>
    </row>
    <row r="30" spans="1:27">
      <c r="A30" s="23" t="s">
        <v>88</v>
      </c>
      <c r="B30" s="36"/>
      <c r="C30" s="36"/>
      <c r="D30" s="36"/>
      <c r="E30" s="36"/>
      <c r="F30" s="77">
        <v>2554.6320000000001</v>
      </c>
      <c r="G30" s="36"/>
      <c r="H30" s="36"/>
      <c r="I30" s="37">
        <v>4353.1750000000002</v>
      </c>
      <c r="J30" s="37"/>
      <c r="K30" s="37">
        <v>4609.95</v>
      </c>
      <c r="L30" s="37">
        <v>5800.9719999999998</v>
      </c>
      <c r="M30" s="37">
        <v>6686.6660000000002</v>
      </c>
      <c r="N30" s="37">
        <v>8358.8510000000006</v>
      </c>
      <c r="O30" s="37">
        <v>4441.0129999999999</v>
      </c>
      <c r="P30" s="37">
        <v>5238.0959999999995</v>
      </c>
      <c r="Q30" s="37">
        <v>5328.1970000000001</v>
      </c>
      <c r="R30" s="37">
        <v>4841.7830000000004</v>
      </c>
      <c r="S30" s="37">
        <v>4166.8270000000002</v>
      </c>
      <c r="T30" s="23">
        <v>3637.6010000000001</v>
      </c>
      <c r="U30" s="23">
        <v>7180.1139999999996</v>
      </c>
      <c r="V30" s="23">
        <v>6220.6890000000003</v>
      </c>
      <c r="W30" s="23">
        <v>6252.9690000000001</v>
      </c>
      <c r="X30" s="2">
        <v>4773.857</v>
      </c>
      <c r="Y30" s="2">
        <v>1568.4839999999999</v>
      </c>
      <c r="Z30" s="2">
        <v>1726.876</v>
      </c>
      <c r="AA30" s="2">
        <v>1579.777</v>
      </c>
    </row>
    <row r="31" spans="1:27">
      <c r="A31" s="23" t="s">
        <v>91</v>
      </c>
      <c r="B31" s="36"/>
      <c r="C31" s="36"/>
      <c r="D31" s="36"/>
      <c r="E31" s="36"/>
      <c r="F31" s="77">
        <v>8379.6540000000005</v>
      </c>
      <c r="G31" s="36"/>
      <c r="H31" s="36"/>
      <c r="I31" s="37">
        <v>11163.646000000001</v>
      </c>
      <c r="J31" s="37"/>
      <c r="K31" s="37">
        <v>9818.6869999999999</v>
      </c>
      <c r="L31" s="37">
        <v>14692.216</v>
      </c>
      <c r="M31" s="37">
        <v>15245.718000000001</v>
      </c>
      <c r="N31" s="37">
        <v>15429.996999999999</v>
      </c>
      <c r="O31" s="37">
        <v>17226.626</v>
      </c>
      <c r="P31" s="37">
        <v>14303.985000000001</v>
      </c>
      <c r="Q31" s="37">
        <v>15689.258</v>
      </c>
      <c r="R31" s="37">
        <v>16496.66</v>
      </c>
      <c r="S31" s="37">
        <v>15914.335999999999</v>
      </c>
      <c r="T31" s="23">
        <v>17546.830999999998</v>
      </c>
      <c r="U31" s="23">
        <v>20635.145</v>
      </c>
      <c r="V31" s="23">
        <v>22219.803</v>
      </c>
      <c r="W31" s="23">
        <v>20823.501</v>
      </c>
      <c r="X31" s="2">
        <v>19759.444</v>
      </c>
      <c r="Y31" s="2">
        <v>9694.0509999999995</v>
      </c>
      <c r="Z31" s="2">
        <v>13640.422</v>
      </c>
      <c r="AA31" s="2">
        <v>10732.297</v>
      </c>
    </row>
    <row r="32" spans="1:27">
      <c r="A32" s="23" t="s">
        <v>92</v>
      </c>
      <c r="B32" s="36"/>
      <c r="C32" s="36"/>
      <c r="D32" s="36"/>
      <c r="E32" s="36"/>
      <c r="F32" s="77">
        <v>3129.9009999999998</v>
      </c>
      <c r="G32" s="36"/>
      <c r="H32" s="36"/>
      <c r="I32" s="37">
        <v>3746.03</v>
      </c>
      <c r="J32" s="37"/>
      <c r="K32" s="37">
        <v>3644.904</v>
      </c>
      <c r="L32" s="37">
        <v>11406.721</v>
      </c>
      <c r="M32" s="37">
        <v>12602.263000000001</v>
      </c>
      <c r="N32" s="37">
        <v>14017.145</v>
      </c>
      <c r="O32" s="37">
        <v>17873.975999999999</v>
      </c>
      <c r="P32" s="37">
        <v>16324.081</v>
      </c>
      <c r="Q32" s="37">
        <v>17151.217000000001</v>
      </c>
      <c r="R32" s="37">
        <v>17595.164000000001</v>
      </c>
      <c r="S32" s="37">
        <v>17251.087</v>
      </c>
      <c r="T32" s="23">
        <v>17782.342000000001</v>
      </c>
      <c r="U32" s="23">
        <v>19269.231</v>
      </c>
      <c r="V32" s="23">
        <v>21379.875</v>
      </c>
      <c r="W32" s="23">
        <v>21553.144</v>
      </c>
      <c r="X32" s="2">
        <v>22545.621999999999</v>
      </c>
      <c r="Y32" s="2">
        <v>20714.937999999998</v>
      </c>
      <c r="Z32" s="2">
        <v>21977.08</v>
      </c>
      <c r="AA32" s="2">
        <v>22459.348999999998</v>
      </c>
    </row>
    <row r="33" spans="1:45">
      <c r="A33" s="23" t="s">
        <v>100</v>
      </c>
      <c r="B33" s="37"/>
      <c r="C33" s="37"/>
      <c r="D33" s="37"/>
      <c r="E33" s="37"/>
      <c r="F33" s="77">
        <v>494.80399999999997</v>
      </c>
      <c r="G33" s="37"/>
      <c r="H33" s="37"/>
      <c r="I33" s="37">
        <v>676.71699999999998</v>
      </c>
      <c r="J33" s="37"/>
      <c r="K33" s="37">
        <v>1494.1119200000019</v>
      </c>
      <c r="L33" s="37">
        <v>1047.721</v>
      </c>
      <c r="M33" s="37">
        <v>1007.134</v>
      </c>
      <c r="N33" s="37">
        <v>896.93799999999999</v>
      </c>
      <c r="O33" s="37">
        <v>1016.404</v>
      </c>
      <c r="P33" s="37">
        <v>1629.0630000000001</v>
      </c>
      <c r="Q33" s="37">
        <v>1199.203</v>
      </c>
      <c r="R33" s="37">
        <v>1664.2670000000001</v>
      </c>
      <c r="S33" s="37">
        <v>1828.1949999999999</v>
      </c>
      <c r="T33" s="23">
        <v>3360.424</v>
      </c>
      <c r="U33" s="23">
        <v>3360.9270000000001</v>
      </c>
      <c r="V33" s="23">
        <v>3001.4209999999998</v>
      </c>
      <c r="W33" s="23">
        <v>3384.808</v>
      </c>
      <c r="X33" s="2">
        <v>2296.0320000000002</v>
      </c>
      <c r="Y33" s="2">
        <v>1703.4849999999999</v>
      </c>
      <c r="Z33" s="2">
        <v>1609.2550000000001</v>
      </c>
      <c r="AA33" s="2">
        <v>1765.3420000000001</v>
      </c>
    </row>
    <row r="34" spans="1:45">
      <c r="A34" s="23" t="s">
        <v>102</v>
      </c>
      <c r="B34" s="37"/>
      <c r="C34" s="37"/>
      <c r="D34" s="37"/>
      <c r="E34" s="37"/>
      <c r="F34" s="77">
        <v>202.17699999999999</v>
      </c>
      <c r="G34" s="37"/>
      <c r="H34" s="37"/>
      <c r="I34" s="37">
        <v>1588.9</v>
      </c>
      <c r="J34" s="37"/>
      <c r="K34" s="37">
        <v>294</v>
      </c>
      <c r="L34" s="37">
        <v>1242</v>
      </c>
      <c r="M34" s="37">
        <v>1898</v>
      </c>
      <c r="N34" s="37">
        <v>1490</v>
      </c>
      <c r="O34" s="37">
        <v>1105</v>
      </c>
      <c r="P34" s="37">
        <v>0</v>
      </c>
      <c r="Q34" s="37">
        <v>0</v>
      </c>
      <c r="R34" s="37">
        <v>0</v>
      </c>
      <c r="S34" s="37">
        <v>0</v>
      </c>
      <c r="T34" s="23">
        <v>0</v>
      </c>
      <c r="U34" s="23">
        <v>307.33199999999999</v>
      </c>
      <c r="V34" s="23">
        <v>261.63099999999997</v>
      </c>
      <c r="W34" s="23">
        <v>360.46899999999999</v>
      </c>
      <c r="X34" s="2">
        <v>474.63099999999997</v>
      </c>
      <c r="Y34" s="2">
        <v>617.86199999999997</v>
      </c>
      <c r="Z34" s="2">
        <v>515.67100000000005</v>
      </c>
      <c r="AA34" s="2">
        <v>567.14800000000002</v>
      </c>
    </row>
    <row r="35" spans="1:45">
      <c r="A35" s="23" t="s">
        <v>105</v>
      </c>
      <c r="B35" s="37"/>
      <c r="C35" s="37"/>
      <c r="D35" s="37"/>
      <c r="E35" s="37"/>
      <c r="F35" s="77">
        <v>9569.5730000000003</v>
      </c>
      <c r="G35" s="37"/>
      <c r="H35" s="37"/>
      <c r="I35" s="37">
        <v>7156.2569999999996</v>
      </c>
      <c r="J35" s="37"/>
      <c r="K35" s="37">
        <v>14885.175510000021</v>
      </c>
      <c r="L35" s="37">
        <v>19645.973000000002</v>
      </c>
      <c r="M35" s="37">
        <v>22524.19</v>
      </c>
      <c r="N35" s="37">
        <v>24707.054</v>
      </c>
      <c r="O35" s="37">
        <v>22042.307000000001</v>
      </c>
      <c r="P35" s="37">
        <v>22607.635999999999</v>
      </c>
      <c r="Q35" s="37">
        <v>23421.508000000002</v>
      </c>
      <c r="R35" s="37">
        <v>23085.295999999998</v>
      </c>
      <c r="S35" s="37">
        <v>24218.02</v>
      </c>
      <c r="T35" s="23">
        <v>26399.920999999998</v>
      </c>
      <c r="U35" s="23">
        <v>29866.194</v>
      </c>
      <c r="V35" s="23">
        <v>32108.524000000001</v>
      </c>
      <c r="W35" s="23">
        <v>28346.862000000001</v>
      </c>
      <c r="X35" s="2">
        <v>27103.757000000001</v>
      </c>
      <c r="Y35" s="2">
        <v>17041.41</v>
      </c>
      <c r="Z35" s="2">
        <v>15355.912</v>
      </c>
      <c r="AA35" s="2">
        <v>15056.758</v>
      </c>
    </row>
    <row r="36" spans="1:45">
      <c r="A36" s="23" t="s">
        <v>109</v>
      </c>
      <c r="B36" s="37"/>
      <c r="C36" s="37"/>
      <c r="D36" s="37"/>
      <c r="E36" s="37"/>
      <c r="F36" s="77">
        <v>8033.41</v>
      </c>
      <c r="G36" s="37"/>
      <c r="H36" s="37"/>
      <c r="I36" s="37">
        <v>15224.074000000001</v>
      </c>
      <c r="J36" s="37"/>
      <c r="K36" s="37">
        <v>16059.759439999998</v>
      </c>
      <c r="L36" s="37">
        <v>16835.985000000001</v>
      </c>
      <c r="M36" s="37">
        <v>22111.853999999999</v>
      </c>
      <c r="N36" s="37">
        <v>21665.074000000001</v>
      </c>
      <c r="O36" s="37">
        <v>22857.018</v>
      </c>
      <c r="P36" s="37">
        <v>21212.285</v>
      </c>
      <c r="Q36" s="37">
        <v>23431.546999999999</v>
      </c>
      <c r="R36" s="37">
        <v>19292.361000000001</v>
      </c>
      <c r="S36" s="37">
        <v>19728.71</v>
      </c>
      <c r="T36" s="23">
        <v>21798.986000000001</v>
      </c>
      <c r="U36" s="23">
        <v>21528.235000000001</v>
      </c>
      <c r="V36" s="23">
        <v>41411.913</v>
      </c>
      <c r="W36" s="23">
        <v>40366.616000000002</v>
      </c>
      <c r="X36" s="2">
        <v>30986.531999999999</v>
      </c>
      <c r="Y36" s="2">
        <v>28403.39</v>
      </c>
      <c r="Z36" s="2">
        <v>29602.523000000001</v>
      </c>
      <c r="AA36" s="2">
        <v>26426.477999999999</v>
      </c>
    </row>
    <row r="37" spans="1:45">
      <c r="A37" s="23" t="s">
        <v>113</v>
      </c>
      <c r="B37" s="37"/>
      <c r="C37" s="37"/>
      <c r="D37" s="37"/>
      <c r="E37" s="37"/>
      <c r="F37" s="77">
        <v>1021.93</v>
      </c>
      <c r="G37" s="37"/>
      <c r="H37" s="37"/>
      <c r="I37" s="37">
        <v>2163.2460000000001</v>
      </c>
      <c r="J37" s="37"/>
      <c r="K37" s="37">
        <v>4158.3519999999999</v>
      </c>
      <c r="L37" s="37">
        <v>3995.1309999999999</v>
      </c>
      <c r="M37" s="37">
        <v>4208.7719999999999</v>
      </c>
      <c r="N37" s="37">
        <v>2817.2559999999999</v>
      </c>
      <c r="O37" s="37">
        <v>2614.1709999999998</v>
      </c>
      <c r="P37" s="37">
        <v>2842.0810000000001</v>
      </c>
      <c r="Q37" s="37">
        <v>2998.0630000000001</v>
      </c>
      <c r="R37" s="37">
        <v>3638.011</v>
      </c>
      <c r="S37" s="37">
        <v>3811.2930000000001</v>
      </c>
      <c r="T37" s="23">
        <v>5280.9639999999999</v>
      </c>
      <c r="U37" s="23">
        <v>3738.018</v>
      </c>
      <c r="V37" s="23">
        <v>5256.2640000000001</v>
      </c>
      <c r="W37" s="23">
        <v>5323.9849999999997</v>
      </c>
      <c r="X37" s="2">
        <v>3097.5720000000001</v>
      </c>
      <c r="Y37" s="2">
        <v>9372.26</v>
      </c>
      <c r="Z37" s="2">
        <v>9845.0210000000006</v>
      </c>
      <c r="AA37" s="2">
        <v>9262.6010000000006</v>
      </c>
    </row>
    <row r="38" spans="1:45">
      <c r="A38" s="23" t="s">
        <v>115</v>
      </c>
      <c r="B38" s="37"/>
      <c r="C38" s="37"/>
      <c r="D38" s="37"/>
      <c r="E38" s="37"/>
      <c r="F38" s="77">
        <v>562.76400000000001</v>
      </c>
      <c r="G38" s="37"/>
      <c r="H38" s="37"/>
      <c r="I38" s="37">
        <v>167.86600000000001</v>
      </c>
      <c r="J38" s="37"/>
      <c r="K38" s="37">
        <v>278.28606000000241</v>
      </c>
      <c r="L38" s="37">
        <v>214.46799999999999</v>
      </c>
      <c r="M38" s="37">
        <v>72.453000000000003</v>
      </c>
      <c r="N38" s="37">
        <v>71.619</v>
      </c>
      <c r="O38" s="37">
        <v>63.74</v>
      </c>
      <c r="P38" s="37">
        <v>77.162999999999997</v>
      </c>
      <c r="Q38" s="37">
        <v>82.322000000000003</v>
      </c>
      <c r="R38" s="37">
        <v>101.675</v>
      </c>
      <c r="S38" s="37">
        <v>102.056</v>
      </c>
      <c r="T38" s="23">
        <v>76.447999999999993</v>
      </c>
      <c r="U38" s="23">
        <v>20.036000000000001</v>
      </c>
      <c r="V38" s="23">
        <v>0</v>
      </c>
      <c r="W38" s="23">
        <v>0</v>
      </c>
      <c r="X38" s="2">
        <v>0</v>
      </c>
      <c r="Y38" s="2">
        <v>0</v>
      </c>
      <c r="Z38" s="2">
        <v>0</v>
      </c>
      <c r="AA38" s="2">
        <v>0</v>
      </c>
    </row>
    <row r="39" spans="1:45">
      <c r="A39" s="45" t="s">
        <v>117</v>
      </c>
      <c r="B39" s="63"/>
      <c r="C39" s="63"/>
      <c r="D39" s="63"/>
      <c r="E39" s="63"/>
      <c r="F39" s="82">
        <v>2040.08</v>
      </c>
      <c r="G39" s="63"/>
      <c r="H39" s="63"/>
      <c r="I39" s="63">
        <v>2499.1990000000001</v>
      </c>
      <c r="J39" s="63"/>
      <c r="K39" s="63">
        <v>1729.865</v>
      </c>
      <c r="L39" s="63">
        <v>1796.827</v>
      </c>
      <c r="M39" s="63">
        <v>2233.4810000000002</v>
      </c>
      <c r="N39" s="63">
        <v>3618.7170000000001</v>
      </c>
      <c r="O39" s="63">
        <v>1528.2929999999999</v>
      </c>
      <c r="P39" s="63">
        <v>1717.347</v>
      </c>
      <c r="Q39" s="63">
        <v>1693.877</v>
      </c>
      <c r="R39" s="63">
        <v>2015.0219999999999</v>
      </c>
      <c r="S39" s="63">
        <v>1763.08</v>
      </c>
      <c r="T39" s="45">
        <v>1804.3389999999999</v>
      </c>
      <c r="U39" s="45">
        <v>2259.4679999999998</v>
      </c>
      <c r="V39" s="45">
        <v>2738.7730000000001</v>
      </c>
      <c r="W39" s="45">
        <v>2339.2910000000002</v>
      </c>
      <c r="X39" s="45">
        <v>2239.134</v>
      </c>
      <c r="Y39" s="45">
        <v>2318.7179999999998</v>
      </c>
      <c r="Z39" s="45">
        <v>2594.578</v>
      </c>
      <c r="AA39" s="45">
        <v>2951.4580000000001</v>
      </c>
      <c r="AB39" s="23"/>
      <c r="AC39" s="23"/>
      <c r="AD39" s="23"/>
      <c r="AE39" s="23"/>
      <c r="AF39" s="23"/>
      <c r="AG39" s="23"/>
      <c r="AH39" s="23"/>
      <c r="AI39" s="23"/>
      <c r="AJ39" s="23"/>
      <c r="AK39" s="23"/>
      <c r="AL39" s="23"/>
      <c r="AM39" s="23"/>
      <c r="AN39" s="23"/>
      <c r="AO39" s="23"/>
      <c r="AP39" s="23"/>
      <c r="AQ39" s="23"/>
      <c r="AR39" s="23"/>
      <c r="AS39" s="23"/>
    </row>
    <row r="40" spans="1:45" s="23" customFormat="1">
      <c r="A40" s="79" t="s">
        <v>121</v>
      </c>
      <c r="B40" s="90">
        <f>SUM(B42:B53)</f>
        <v>0</v>
      </c>
      <c r="C40" s="90">
        <f t="shared" ref="C40:AA40" si="9">SUM(C42:C53)</f>
        <v>0</v>
      </c>
      <c r="D40" s="90">
        <f t="shared" si="9"/>
        <v>0</v>
      </c>
      <c r="E40" s="90">
        <f t="shared" si="9"/>
        <v>0</v>
      </c>
      <c r="F40" s="90">
        <f t="shared" si="9"/>
        <v>121619.57100000001</v>
      </c>
      <c r="G40" s="90">
        <f t="shared" si="9"/>
        <v>0</v>
      </c>
      <c r="H40" s="90">
        <f t="shared" si="9"/>
        <v>0</v>
      </c>
      <c r="I40" s="90">
        <f t="shared" si="9"/>
        <v>155206.33900000001</v>
      </c>
      <c r="J40" s="90">
        <f t="shared" si="9"/>
        <v>0</v>
      </c>
      <c r="K40" s="90">
        <f t="shared" si="9"/>
        <v>202673.16846999998</v>
      </c>
      <c r="L40" s="90">
        <f t="shared" si="9"/>
        <v>223647.70800000001</v>
      </c>
      <c r="M40" s="90">
        <f t="shared" si="9"/>
        <v>250026.44800000003</v>
      </c>
      <c r="N40" s="90">
        <f t="shared" si="9"/>
        <v>258027.19700000004</v>
      </c>
      <c r="O40" s="90">
        <f t="shared" si="9"/>
        <v>255382.26699999999</v>
      </c>
      <c r="P40" s="90">
        <f t="shared" si="9"/>
        <v>224875.345</v>
      </c>
      <c r="Q40" s="90">
        <f t="shared" si="9"/>
        <v>223102.633</v>
      </c>
      <c r="R40" s="90">
        <f t="shared" si="9"/>
        <v>244407.37100000001</v>
      </c>
      <c r="S40" s="90">
        <f t="shared" si="9"/>
        <v>235799.804</v>
      </c>
      <c r="T40" s="90">
        <f t="shared" si="9"/>
        <v>251843.68100000001</v>
      </c>
      <c r="U40" s="90">
        <f t="shared" si="9"/>
        <v>282786.54399999994</v>
      </c>
      <c r="V40" s="90">
        <f t="shared" si="9"/>
        <v>309849.533</v>
      </c>
      <c r="W40" s="90">
        <f t="shared" si="9"/>
        <v>308746.54300000001</v>
      </c>
      <c r="X40" s="90">
        <f t="shared" si="9"/>
        <v>303860.18700000003</v>
      </c>
      <c r="Y40" s="90">
        <f t="shared" si="9"/>
        <v>258899.81099999999</v>
      </c>
      <c r="Z40" s="90">
        <f t="shared" si="9"/>
        <v>251664.67800000001</v>
      </c>
      <c r="AA40" s="90">
        <f t="shared" si="9"/>
        <v>232659.14599999998</v>
      </c>
    </row>
    <row r="41" spans="1:45">
      <c r="A41" s="79" t="s">
        <v>119</v>
      </c>
      <c r="B41" s="37"/>
      <c r="C41" s="37"/>
      <c r="D41" s="37"/>
      <c r="E41" s="37"/>
      <c r="F41" s="37"/>
      <c r="G41" s="37"/>
      <c r="H41" s="37"/>
      <c r="I41" s="37"/>
      <c r="J41" s="37"/>
      <c r="K41" s="37"/>
      <c r="L41" s="37"/>
      <c r="M41" s="37"/>
      <c r="N41" s="37"/>
      <c r="O41" s="37"/>
      <c r="P41" s="37"/>
      <c r="Q41" s="37"/>
      <c r="R41" s="37"/>
      <c r="S41" s="37"/>
      <c r="T41" s="23"/>
      <c r="U41" s="23"/>
      <c r="V41" s="23"/>
      <c r="W41" s="23"/>
      <c r="X41" s="2">
        <v>0</v>
      </c>
    </row>
    <row r="42" spans="1:45">
      <c r="A42" s="23" t="s">
        <v>93</v>
      </c>
      <c r="B42" s="36"/>
      <c r="C42" s="36"/>
      <c r="D42" s="36"/>
      <c r="E42" s="36"/>
      <c r="F42" s="77">
        <v>41617.044000000002</v>
      </c>
      <c r="G42" s="36"/>
      <c r="H42" s="36"/>
      <c r="I42" s="37">
        <v>56890.107000000004</v>
      </c>
      <c r="J42" s="37"/>
      <c r="K42" s="37">
        <v>58243.556949999991</v>
      </c>
      <c r="L42" s="37">
        <v>82563.534</v>
      </c>
      <c r="M42" s="37">
        <v>99239.675000000003</v>
      </c>
      <c r="N42" s="37">
        <v>103683.298</v>
      </c>
      <c r="O42" s="37">
        <v>96857.376000000004</v>
      </c>
      <c r="P42" s="37">
        <v>91625.531000000003</v>
      </c>
      <c r="Q42" s="37">
        <v>91134.91</v>
      </c>
      <c r="R42" s="37">
        <v>90382.357999999993</v>
      </c>
      <c r="S42" s="37">
        <v>90901.717000000004</v>
      </c>
      <c r="T42" s="23">
        <v>92904.633000000002</v>
      </c>
      <c r="U42" s="23">
        <v>93941.433000000005</v>
      </c>
      <c r="V42" s="23">
        <v>109715.359</v>
      </c>
      <c r="W42" s="23">
        <v>111853.48699999999</v>
      </c>
      <c r="X42" s="2">
        <v>112861.762</v>
      </c>
      <c r="Y42" s="2">
        <v>65434.500999999997</v>
      </c>
      <c r="Z42" s="2">
        <v>66321.914000000004</v>
      </c>
      <c r="AA42" s="2">
        <v>67605.455000000002</v>
      </c>
    </row>
    <row r="43" spans="1:45">
      <c r="A43" s="23" t="s">
        <v>58</v>
      </c>
      <c r="B43" s="36"/>
      <c r="C43" s="36"/>
      <c r="D43" s="36"/>
      <c r="E43" s="36"/>
      <c r="F43" s="77">
        <v>19777.100999999999</v>
      </c>
      <c r="G43" s="36"/>
      <c r="H43" s="36"/>
      <c r="I43" s="37">
        <v>18656.896000000001</v>
      </c>
      <c r="J43" s="37"/>
      <c r="K43" s="37">
        <v>37413.828999999998</v>
      </c>
      <c r="L43" s="37">
        <v>26648.714</v>
      </c>
      <c r="M43" s="37">
        <v>24820.894</v>
      </c>
      <c r="N43" s="37">
        <v>26709.225999999999</v>
      </c>
      <c r="O43" s="37">
        <v>30185.499</v>
      </c>
      <c r="P43" s="37">
        <v>2530.192</v>
      </c>
      <c r="Q43" s="37">
        <v>2851.5259999999998</v>
      </c>
      <c r="R43" s="37">
        <v>2948.7510000000002</v>
      </c>
      <c r="S43" s="37">
        <v>2632.5059999999999</v>
      </c>
      <c r="T43" s="23">
        <v>1470.8910000000001</v>
      </c>
      <c r="U43" s="23">
        <v>3646.6260000000002</v>
      </c>
      <c r="V43" s="23">
        <v>5244.8639999999996</v>
      </c>
      <c r="W43" s="23">
        <v>5828.2330000000002</v>
      </c>
      <c r="X43" s="2">
        <v>3207.2710000000002</v>
      </c>
      <c r="Y43" s="2">
        <v>20029.217000000001</v>
      </c>
      <c r="Z43" s="2">
        <v>16677.278999999999</v>
      </c>
      <c r="AA43" s="2">
        <v>12602.388999999999</v>
      </c>
    </row>
    <row r="44" spans="1:45">
      <c r="A44" s="23" t="s">
        <v>94</v>
      </c>
      <c r="B44" s="36"/>
      <c r="C44" s="36"/>
      <c r="D44" s="36"/>
      <c r="E44" s="36"/>
      <c r="F44" s="77">
        <v>15110.588</v>
      </c>
      <c r="G44" s="36"/>
      <c r="H44" s="36"/>
      <c r="I44" s="37">
        <v>15132.572</v>
      </c>
      <c r="J44" s="37"/>
      <c r="K44" s="37">
        <v>14291.415999999999</v>
      </c>
      <c r="L44" s="37">
        <v>18562.995999999999</v>
      </c>
      <c r="M44" s="37">
        <v>16991.351999999999</v>
      </c>
      <c r="N44" s="37">
        <v>22302.394</v>
      </c>
      <c r="O44" s="37">
        <v>17901.460999999999</v>
      </c>
      <c r="P44" s="37">
        <v>21402.284</v>
      </c>
      <c r="Q44" s="37">
        <v>22018.726999999999</v>
      </c>
      <c r="R44" s="37">
        <v>37098.432000000001</v>
      </c>
      <c r="S44" s="37">
        <v>27868.191999999999</v>
      </c>
      <c r="T44" s="23">
        <v>33386.241000000002</v>
      </c>
      <c r="U44" s="23">
        <v>34060.578999999998</v>
      </c>
      <c r="V44" s="23">
        <v>33330.523999999998</v>
      </c>
      <c r="W44" s="23">
        <v>32104.197</v>
      </c>
      <c r="X44" s="2">
        <v>31728.894</v>
      </c>
      <c r="Y44" s="2">
        <v>23420.43</v>
      </c>
      <c r="Z44" s="2">
        <v>21346.258000000002</v>
      </c>
      <c r="AA44" s="2">
        <v>17039.955999999998</v>
      </c>
    </row>
    <row r="45" spans="1:45">
      <c r="A45" s="23" t="s">
        <v>95</v>
      </c>
      <c r="B45" s="36"/>
      <c r="C45" s="36"/>
      <c r="D45" s="36"/>
      <c r="E45" s="36"/>
      <c r="F45" s="77">
        <v>3743.21</v>
      </c>
      <c r="G45" s="36"/>
      <c r="H45" s="36"/>
      <c r="I45" s="37">
        <v>4721.759</v>
      </c>
      <c r="J45" s="37"/>
      <c r="K45" s="37">
        <v>3858.7314399999977</v>
      </c>
      <c r="L45" s="37">
        <v>13652.298000000001</v>
      </c>
      <c r="M45" s="37">
        <v>9473.9320000000007</v>
      </c>
      <c r="N45" s="37">
        <v>14213.713</v>
      </c>
      <c r="O45" s="37">
        <v>18066.501</v>
      </c>
      <c r="P45" s="37">
        <v>4864.4719999999998</v>
      </c>
      <c r="Q45" s="37">
        <v>5232.7290000000003</v>
      </c>
      <c r="R45" s="37">
        <v>5747.4589999999998</v>
      </c>
      <c r="S45" s="37">
        <v>4535.3530000000001</v>
      </c>
      <c r="T45" s="23">
        <v>5433.9859999999999</v>
      </c>
      <c r="U45" s="23">
        <v>5403.6859999999997</v>
      </c>
      <c r="V45" s="23">
        <v>6308.3670000000002</v>
      </c>
      <c r="W45" s="23">
        <v>6632.415</v>
      </c>
      <c r="X45" s="2">
        <v>6766.5540000000001</v>
      </c>
      <c r="Y45" s="2">
        <v>6250.2049999999999</v>
      </c>
      <c r="Z45" s="2">
        <v>5729.665</v>
      </c>
      <c r="AA45" s="2">
        <v>5674.6530000000002</v>
      </c>
    </row>
    <row r="46" spans="1:45">
      <c r="A46" s="23" t="s">
        <v>98</v>
      </c>
      <c r="B46" s="36"/>
      <c r="C46" s="36"/>
      <c r="D46" s="36"/>
      <c r="E46" s="37"/>
      <c r="F46" s="77">
        <v>10090.757</v>
      </c>
      <c r="G46" s="36"/>
      <c r="H46" s="36"/>
      <c r="I46" s="37">
        <v>15386.79</v>
      </c>
      <c r="J46" s="37"/>
      <c r="K46" s="37">
        <v>20177.28769999999</v>
      </c>
      <c r="L46" s="37">
        <v>18006.113000000001</v>
      </c>
      <c r="M46" s="37">
        <v>18555.941999999999</v>
      </c>
      <c r="N46" s="37">
        <v>19179.263999999999</v>
      </c>
      <c r="O46" s="37">
        <v>18135.202000000001</v>
      </c>
      <c r="P46" s="37">
        <v>23802.429</v>
      </c>
      <c r="Q46" s="37">
        <v>25445.71</v>
      </c>
      <c r="R46" s="37">
        <v>27145.773000000001</v>
      </c>
      <c r="S46" s="37">
        <v>29879.792000000001</v>
      </c>
      <c r="T46" s="23">
        <v>33214.716</v>
      </c>
      <c r="U46" s="23">
        <v>38810.642</v>
      </c>
      <c r="V46" s="23">
        <v>47185.489000000001</v>
      </c>
      <c r="W46" s="23">
        <v>49867.57</v>
      </c>
      <c r="X46" s="2">
        <v>41627.974999999999</v>
      </c>
      <c r="Y46" s="2">
        <v>43839.762000000002</v>
      </c>
      <c r="Z46" s="2">
        <v>41546.843000000001</v>
      </c>
      <c r="AA46" s="2">
        <v>40745.120999999999</v>
      </c>
    </row>
    <row r="47" spans="1:45">
      <c r="A47" s="23" t="s">
        <v>99</v>
      </c>
      <c r="B47" s="37"/>
      <c r="C47" s="37"/>
      <c r="D47" s="37"/>
      <c r="E47" s="37"/>
      <c r="F47" s="77">
        <v>8235.9879999999994</v>
      </c>
      <c r="G47" s="37"/>
      <c r="H47" s="37"/>
      <c r="I47" s="37">
        <v>9387.7459999999992</v>
      </c>
      <c r="J47" s="37"/>
      <c r="K47" s="37">
        <v>27266.884379999996</v>
      </c>
      <c r="L47" s="37">
        <v>7351.7470000000003</v>
      </c>
      <c r="M47" s="37">
        <v>9158.0830000000005</v>
      </c>
      <c r="N47" s="37">
        <v>7058.6239999999998</v>
      </c>
      <c r="O47" s="37">
        <v>6017.5780000000004</v>
      </c>
      <c r="P47" s="37">
        <v>6683.2449999999999</v>
      </c>
      <c r="Q47" s="37">
        <v>5855.6769999999997</v>
      </c>
      <c r="R47" s="37">
        <v>7372.5320000000002</v>
      </c>
      <c r="S47" s="37">
        <v>6932.5559999999996</v>
      </c>
      <c r="T47" s="23">
        <v>8347.0550000000003</v>
      </c>
      <c r="U47" s="23">
        <v>9397.9410000000007</v>
      </c>
      <c r="V47" s="23">
        <v>10653.137000000001</v>
      </c>
      <c r="W47" s="23">
        <v>11813</v>
      </c>
      <c r="X47" s="2">
        <v>9434.9689999999991</v>
      </c>
      <c r="Y47" s="2">
        <v>4172.5249999999996</v>
      </c>
      <c r="Z47" s="2">
        <v>4506.576</v>
      </c>
      <c r="AA47" s="2">
        <v>3643.0540000000001</v>
      </c>
    </row>
    <row r="48" spans="1:45">
      <c r="A48" s="23" t="s">
        <v>59</v>
      </c>
      <c r="B48" s="37"/>
      <c r="C48" s="37"/>
      <c r="D48" s="37"/>
      <c r="E48" s="37"/>
      <c r="F48" s="77">
        <v>1284.796</v>
      </c>
      <c r="G48" s="37"/>
      <c r="H48" s="37"/>
      <c r="I48" s="37">
        <v>3509.364</v>
      </c>
      <c r="J48" s="37"/>
      <c r="K48" s="37">
        <v>3533.165</v>
      </c>
      <c r="L48" s="37">
        <v>2248.6379999999999</v>
      </c>
      <c r="M48" s="37">
        <v>2435.39</v>
      </c>
      <c r="N48" s="37">
        <v>1116.9880000000001</v>
      </c>
      <c r="O48" s="37">
        <v>1281.058</v>
      </c>
      <c r="P48" s="37">
        <v>1022.652</v>
      </c>
      <c r="Q48" s="37">
        <v>1114.403</v>
      </c>
      <c r="R48" s="37">
        <v>1486.953</v>
      </c>
      <c r="S48" s="37">
        <v>1602.3309999999999</v>
      </c>
      <c r="T48" s="23">
        <v>1812.1</v>
      </c>
      <c r="U48" s="23">
        <v>1685.395</v>
      </c>
      <c r="V48" s="23">
        <v>1910.569</v>
      </c>
      <c r="W48" s="23">
        <v>2287.308</v>
      </c>
      <c r="X48" s="2">
        <v>7363.73</v>
      </c>
      <c r="Y48" s="2">
        <v>12589.835999999999</v>
      </c>
      <c r="Z48" s="2">
        <v>14546.817999999999</v>
      </c>
      <c r="AA48" s="2">
        <v>12627.266</v>
      </c>
    </row>
    <row r="49" spans="1:45">
      <c r="A49" s="23" t="s">
        <v>101</v>
      </c>
      <c r="B49" s="37"/>
      <c r="C49" s="37"/>
      <c r="D49" s="37"/>
      <c r="E49" s="37"/>
      <c r="F49" s="77">
        <v>201.017</v>
      </c>
      <c r="G49" s="37"/>
      <c r="H49" s="37"/>
      <c r="I49" s="37">
        <v>0</v>
      </c>
      <c r="J49" s="37"/>
      <c r="K49" s="37">
        <v>0</v>
      </c>
      <c r="L49" s="37">
        <v>0</v>
      </c>
      <c r="M49" s="37">
        <v>0</v>
      </c>
      <c r="N49" s="37">
        <v>0</v>
      </c>
      <c r="O49" s="37">
        <v>0</v>
      </c>
      <c r="P49" s="37">
        <v>330.77300000000002</v>
      </c>
      <c r="Q49" s="37">
        <v>0</v>
      </c>
      <c r="R49" s="37">
        <v>0</v>
      </c>
      <c r="S49" s="37">
        <v>0</v>
      </c>
      <c r="T49" s="23">
        <v>16</v>
      </c>
      <c r="U49" s="23">
        <v>0</v>
      </c>
      <c r="V49" s="23">
        <v>0</v>
      </c>
      <c r="W49" s="23">
        <v>0</v>
      </c>
      <c r="X49" s="2">
        <v>0</v>
      </c>
      <c r="Y49" s="2">
        <v>0</v>
      </c>
      <c r="Z49" s="2">
        <v>0</v>
      </c>
      <c r="AA49" s="2">
        <v>26.245000000000001</v>
      </c>
    </row>
    <row r="50" spans="1:45">
      <c r="A50" s="23" t="s">
        <v>107</v>
      </c>
      <c r="B50" s="37"/>
      <c r="C50" s="37"/>
      <c r="D50" s="37"/>
      <c r="E50" s="37"/>
      <c r="F50" s="77">
        <v>369.31299999999999</v>
      </c>
      <c r="G50" s="37"/>
      <c r="H50" s="37"/>
      <c r="I50" s="37">
        <v>501.01600000000002</v>
      </c>
      <c r="J50" s="37"/>
      <c r="K50" s="37">
        <v>388.142</v>
      </c>
      <c r="L50" s="37">
        <v>823.37300000000005</v>
      </c>
      <c r="M50" s="37">
        <v>231.12200000000001</v>
      </c>
      <c r="N50" s="37">
        <v>46.92</v>
      </c>
      <c r="O50" s="37">
        <v>106.83499999999999</v>
      </c>
      <c r="P50" s="37">
        <v>20.204000000000001</v>
      </c>
      <c r="Q50" s="37">
        <v>96.918000000000006</v>
      </c>
      <c r="R50" s="37">
        <v>96.313999999999993</v>
      </c>
      <c r="S50" s="37">
        <v>119.19</v>
      </c>
      <c r="T50" s="23">
        <v>0</v>
      </c>
      <c r="U50" s="23">
        <v>0</v>
      </c>
      <c r="V50" s="23">
        <v>18.491</v>
      </c>
      <c r="W50" s="23">
        <v>0</v>
      </c>
      <c r="X50" s="2">
        <v>610.92100000000005</v>
      </c>
      <c r="Y50" s="2">
        <v>595.58900000000006</v>
      </c>
      <c r="Z50" s="2">
        <v>2257.7530000000002</v>
      </c>
      <c r="AA50" s="2">
        <v>2595.3980000000001</v>
      </c>
    </row>
    <row r="51" spans="1:45">
      <c r="A51" s="23" t="s">
        <v>108</v>
      </c>
      <c r="B51" s="37"/>
      <c r="C51" s="37"/>
      <c r="D51" s="37"/>
      <c r="E51" s="37"/>
      <c r="F51" s="77">
        <v>19946.499</v>
      </c>
      <c r="G51" s="37"/>
      <c r="H51" s="37"/>
      <c r="I51" s="37">
        <v>29174.625</v>
      </c>
      <c r="J51" s="37"/>
      <c r="K51" s="37">
        <v>35095.660000000003</v>
      </c>
      <c r="L51" s="37">
        <v>50680.741999999998</v>
      </c>
      <c r="M51" s="37">
        <v>65735.199999999997</v>
      </c>
      <c r="N51" s="37">
        <v>60766.15</v>
      </c>
      <c r="O51" s="37">
        <v>64074.974000000002</v>
      </c>
      <c r="P51" s="37">
        <v>69525.680999999997</v>
      </c>
      <c r="Q51" s="37">
        <v>66496.608999999997</v>
      </c>
      <c r="R51" s="37">
        <v>68979.171000000002</v>
      </c>
      <c r="S51" s="37">
        <v>68376.994999999995</v>
      </c>
      <c r="T51" s="23">
        <v>71979.372000000003</v>
      </c>
      <c r="U51" s="23">
        <v>86755.626000000004</v>
      </c>
      <c r="V51" s="23">
        <v>91057.232000000004</v>
      </c>
      <c r="W51" s="23">
        <v>83999.918999999994</v>
      </c>
      <c r="X51" s="2">
        <v>85742.093999999997</v>
      </c>
      <c r="Y51" s="2">
        <v>72259.37</v>
      </c>
      <c r="Z51" s="2">
        <v>68184.649000000005</v>
      </c>
      <c r="AA51" s="2">
        <v>60068.392999999996</v>
      </c>
    </row>
    <row r="52" spans="1:45">
      <c r="A52" s="23" t="s">
        <v>112</v>
      </c>
      <c r="B52" s="37"/>
      <c r="C52" s="37"/>
      <c r="D52" s="37"/>
      <c r="E52" s="37"/>
      <c r="F52" s="77">
        <v>0</v>
      </c>
      <c r="G52" s="37"/>
      <c r="H52" s="37"/>
      <c r="I52" s="37">
        <v>0</v>
      </c>
      <c r="J52" s="37"/>
      <c r="K52" s="37">
        <v>337.27300000000002</v>
      </c>
      <c r="L52" s="37">
        <v>874.07</v>
      </c>
      <c r="M52" s="37">
        <v>595.76499999999999</v>
      </c>
      <c r="N52" s="37">
        <v>218.15100000000001</v>
      </c>
      <c r="O52" s="37">
        <v>0</v>
      </c>
      <c r="P52" s="37">
        <v>5.2309999999999999</v>
      </c>
      <c r="Q52" s="37">
        <v>0</v>
      </c>
      <c r="R52" s="37">
        <v>0</v>
      </c>
      <c r="S52" s="37">
        <v>0</v>
      </c>
      <c r="T52" s="23">
        <v>0</v>
      </c>
      <c r="U52" s="23">
        <v>5694.3370000000004</v>
      </c>
      <c r="V52" s="23">
        <v>0</v>
      </c>
      <c r="W52" s="23">
        <v>0</v>
      </c>
      <c r="X52" s="2">
        <v>0</v>
      </c>
      <c r="Y52" s="2">
        <v>6336.0929999999998</v>
      </c>
      <c r="Z52" s="2">
        <v>6454.7830000000004</v>
      </c>
      <c r="AA52" s="2">
        <v>6231.2039999999997</v>
      </c>
    </row>
    <row r="53" spans="1:45">
      <c r="A53" s="45" t="s">
        <v>116</v>
      </c>
      <c r="B53" s="63"/>
      <c r="C53" s="63"/>
      <c r="D53" s="63"/>
      <c r="E53" s="63"/>
      <c r="F53" s="82">
        <v>1243.258</v>
      </c>
      <c r="G53" s="63"/>
      <c r="H53" s="63"/>
      <c r="I53" s="63">
        <v>1845.4639999999999</v>
      </c>
      <c r="J53" s="63"/>
      <c r="K53" s="63">
        <v>2067.223</v>
      </c>
      <c r="L53" s="63">
        <v>2235.4830000000002</v>
      </c>
      <c r="M53" s="63">
        <v>2789.0929999999998</v>
      </c>
      <c r="N53" s="63">
        <v>2732.4690000000001</v>
      </c>
      <c r="O53" s="63">
        <v>2755.7829999999999</v>
      </c>
      <c r="P53" s="63">
        <v>3062.6509999999998</v>
      </c>
      <c r="Q53" s="63">
        <v>2855.424</v>
      </c>
      <c r="R53" s="63">
        <v>3149.6280000000002</v>
      </c>
      <c r="S53" s="63">
        <v>2951.172</v>
      </c>
      <c r="T53" s="45">
        <v>3278.6869999999999</v>
      </c>
      <c r="U53" s="45">
        <v>3390.279</v>
      </c>
      <c r="V53" s="45">
        <v>4425.5010000000002</v>
      </c>
      <c r="W53" s="45">
        <v>4360.4139999999998</v>
      </c>
      <c r="X53" s="45">
        <v>4516.0169999999998</v>
      </c>
      <c r="Y53" s="45">
        <v>3972.2829999999999</v>
      </c>
      <c r="Z53" s="45">
        <v>4092.14</v>
      </c>
      <c r="AA53" s="45">
        <v>3800.0120000000002</v>
      </c>
    </row>
    <row r="54" spans="1:45" s="23" customFormat="1">
      <c r="A54" s="79" t="s">
        <v>122</v>
      </c>
      <c r="B54" s="90">
        <f>SUM(B56:B64)</f>
        <v>0</v>
      </c>
      <c r="C54" s="90">
        <f t="shared" ref="C54:AA54" si="10">SUM(C56:C64)</f>
        <v>0</v>
      </c>
      <c r="D54" s="90">
        <f t="shared" si="10"/>
        <v>0</v>
      </c>
      <c r="E54" s="90">
        <f t="shared" si="10"/>
        <v>0</v>
      </c>
      <c r="F54" s="90">
        <f>SUM(F56:F64)</f>
        <v>43373.875999999997</v>
      </c>
      <c r="G54" s="90">
        <f t="shared" si="10"/>
        <v>0</v>
      </c>
      <c r="H54" s="90">
        <f t="shared" si="10"/>
        <v>0</v>
      </c>
      <c r="I54" s="90">
        <f t="shared" si="10"/>
        <v>48101.45</v>
      </c>
      <c r="J54" s="90">
        <f t="shared" si="10"/>
        <v>0</v>
      </c>
      <c r="K54" s="90">
        <f t="shared" si="10"/>
        <v>44776.628949999998</v>
      </c>
      <c r="L54" s="90">
        <f t="shared" si="10"/>
        <v>47661.200000000004</v>
      </c>
      <c r="M54" s="90">
        <f t="shared" si="10"/>
        <v>68063.415999999997</v>
      </c>
      <c r="N54" s="90">
        <f t="shared" si="10"/>
        <v>69274.463999999993</v>
      </c>
      <c r="O54" s="90">
        <f t="shared" si="10"/>
        <v>51258.775000000001</v>
      </c>
      <c r="P54" s="90">
        <f t="shared" si="10"/>
        <v>53512.597000000002</v>
      </c>
      <c r="Q54" s="90">
        <f t="shared" si="10"/>
        <v>54564.242000000006</v>
      </c>
      <c r="R54" s="90">
        <f t="shared" si="10"/>
        <v>53202.628000000004</v>
      </c>
      <c r="S54" s="90">
        <f t="shared" si="10"/>
        <v>52774.008999999998</v>
      </c>
      <c r="T54" s="90">
        <f t="shared" si="10"/>
        <v>59784.007999999994</v>
      </c>
      <c r="U54" s="90">
        <f t="shared" si="10"/>
        <v>73691.006000000008</v>
      </c>
      <c r="V54" s="90">
        <f t="shared" si="10"/>
        <v>80610.969999999987</v>
      </c>
      <c r="W54" s="90">
        <f t="shared" si="10"/>
        <v>82714.824999999997</v>
      </c>
      <c r="X54" s="90">
        <f t="shared" si="10"/>
        <v>79553.315000000002</v>
      </c>
      <c r="Y54" s="90">
        <f t="shared" si="10"/>
        <v>92547.968999999983</v>
      </c>
      <c r="Z54" s="90">
        <f t="shared" si="10"/>
        <v>93187.392000000007</v>
      </c>
      <c r="AA54" s="90">
        <f t="shared" si="10"/>
        <v>92408.686000000002</v>
      </c>
    </row>
    <row r="55" spans="1:45">
      <c r="A55" s="79" t="s">
        <v>119</v>
      </c>
      <c r="B55" s="37"/>
      <c r="C55" s="37"/>
      <c r="D55" s="37"/>
      <c r="E55" s="37"/>
      <c r="F55" s="37"/>
      <c r="G55" s="37"/>
      <c r="H55" s="37"/>
      <c r="I55" s="37"/>
      <c r="J55" s="37"/>
      <c r="K55" s="37"/>
      <c r="L55" s="37"/>
      <c r="M55" s="37"/>
      <c r="N55" s="37"/>
      <c r="O55" s="37"/>
      <c r="P55" s="37"/>
      <c r="Q55" s="37"/>
      <c r="R55" s="37"/>
      <c r="S55" s="37"/>
      <c r="T55" s="23"/>
      <c r="U55" s="23"/>
      <c r="V55" s="23"/>
      <c r="W55" s="23"/>
      <c r="X55" s="2">
        <v>0</v>
      </c>
    </row>
    <row r="56" spans="1:45" s="23" customFormat="1">
      <c r="A56" s="23" t="s">
        <v>89</v>
      </c>
      <c r="B56" s="36"/>
      <c r="C56" s="36"/>
      <c r="D56" s="36"/>
      <c r="E56" s="36"/>
      <c r="F56" s="77">
        <v>1523.3489999999999</v>
      </c>
      <c r="G56" s="36"/>
      <c r="H56" s="36"/>
      <c r="I56" s="37">
        <v>1280.5530000000001</v>
      </c>
      <c r="J56" s="37"/>
      <c r="K56" s="37">
        <v>1243.8261999999993</v>
      </c>
      <c r="L56" s="37">
        <v>2226.6260000000002</v>
      </c>
      <c r="M56" s="37">
        <v>1739.242</v>
      </c>
      <c r="N56" s="37">
        <v>1534.3320000000001</v>
      </c>
      <c r="O56" s="37">
        <v>1088.7249999999999</v>
      </c>
      <c r="P56" s="37">
        <v>756.75900000000001</v>
      </c>
      <c r="Q56" s="37">
        <v>865.78399999999999</v>
      </c>
      <c r="R56" s="37">
        <v>1001.465</v>
      </c>
      <c r="S56" s="37">
        <v>760.52200000000005</v>
      </c>
      <c r="T56" s="23">
        <v>360.76100000000002</v>
      </c>
      <c r="U56" s="23">
        <v>348.6</v>
      </c>
      <c r="V56" s="23">
        <v>490.77699999999999</v>
      </c>
      <c r="W56" s="23">
        <v>771.95399999999995</v>
      </c>
      <c r="X56" s="23">
        <v>1063.6859999999999</v>
      </c>
      <c r="Y56" s="2">
        <v>1047.028</v>
      </c>
      <c r="Z56" s="2">
        <v>1049.3430000000001</v>
      </c>
      <c r="AA56" s="2">
        <v>1560.277</v>
      </c>
      <c r="AB56" s="2"/>
      <c r="AC56" s="2"/>
      <c r="AD56" s="2"/>
      <c r="AE56" s="2"/>
      <c r="AF56" s="2"/>
      <c r="AG56" s="2"/>
      <c r="AH56" s="2"/>
      <c r="AI56" s="2"/>
      <c r="AJ56" s="2"/>
      <c r="AK56" s="2"/>
      <c r="AL56" s="2"/>
      <c r="AM56" s="2"/>
      <c r="AN56" s="2"/>
      <c r="AO56" s="2"/>
      <c r="AP56" s="2"/>
      <c r="AQ56" s="2"/>
      <c r="AR56" s="2"/>
      <c r="AS56" s="2"/>
    </row>
    <row r="57" spans="1:45" s="23" customFormat="1">
      <c r="A57" s="23" t="s">
        <v>96</v>
      </c>
      <c r="B57" s="36"/>
      <c r="C57" s="36"/>
      <c r="D57" s="36"/>
      <c r="E57" s="36"/>
      <c r="F57" s="77">
        <v>1153.48</v>
      </c>
      <c r="G57" s="36"/>
      <c r="H57" s="36"/>
      <c r="I57" s="37">
        <v>587.09699999999998</v>
      </c>
      <c r="J57" s="37"/>
      <c r="K57" s="37">
        <v>440.34800000000001</v>
      </c>
      <c r="L57" s="37">
        <v>244.584</v>
      </c>
      <c r="M57" s="37">
        <v>246.53899999999999</v>
      </c>
      <c r="N57" s="37">
        <v>457.16</v>
      </c>
      <c r="O57" s="37">
        <v>476.50799999999998</v>
      </c>
      <c r="P57" s="37">
        <v>431.86399999999998</v>
      </c>
      <c r="Q57" s="37">
        <v>538.76900000000001</v>
      </c>
      <c r="R57" s="37">
        <v>244.89599999999999</v>
      </c>
      <c r="S57" s="37">
        <v>241.60599999999999</v>
      </c>
      <c r="T57" s="23">
        <v>470.95699999999999</v>
      </c>
      <c r="U57" s="23">
        <v>659.95299999999997</v>
      </c>
      <c r="V57" s="23">
        <v>447.87</v>
      </c>
      <c r="W57" s="23">
        <v>463.83800000000002</v>
      </c>
      <c r="X57" s="23">
        <v>580.846</v>
      </c>
      <c r="Y57" s="2">
        <v>559.46500000000003</v>
      </c>
      <c r="Z57" s="2">
        <v>1022.136</v>
      </c>
      <c r="AA57" s="2">
        <v>1201.78</v>
      </c>
      <c r="AB57" s="2"/>
      <c r="AC57" s="2"/>
      <c r="AD57" s="2"/>
      <c r="AE57" s="2"/>
      <c r="AF57" s="2"/>
      <c r="AG57" s="2"/>
      <c r="AH57" s="2"/>
      <c r="AI57" s="2"/>
      <c r="AJ57" s="2"/>
      <c r="AK57" s="2"/>
      <c r="AL57" s="2"/>
      <c r="AM57" s="2"/>
      <c r="AN57" s="2"/>
      <c r="AO57" s="2"/>
      <c r="AP57" s="2"/>
      <c r="AQ57" s="2"/>
      <c r="AR57" s="2"/>
      <c r="AS57" s="2"/>
    </row>
    <row r="58" spans="1:45" s="17" customFormat="1">
      <c r="A58" s="23" t="s">
        <v>97</v>
      </c>
      <c r="B58" s="36"/>
      <c r="C58" s="36"/>
      <c r="D58" s="36"/>
      <c r="E58" s="37"/>
      <c r="F58" s="77">
        <v>2784.8789999999999</v>
      </c>
      <c r="G58" s="36"/>
      <c r="H58" s="36"/>
      <c r="I58" s="37">
        <v>3082.2420000000002</v>
      </c>
      <c r="J58" s="37"/>
      <c r="K58" s="37">
        <v>4991.6080000000002</v>
      </c>
      <c r="L58" s="37">
        <v>6585.4340000000002</v>
      </c>
      <c r="M58" s="37">
        <v>6964.9740000000002</v>
      </c>
      <c r="N58" s="37">
        <v>6861.116</v>
      </c>
      <c r="O58" s="37">
        <v>5483.9229999999998</v>
      </c>
      <c r="P58" s="37">
        <v>5592.5690000000004</v>
      </c>
      <c r="Q58" s="37">
        <v>7142.8639999999996</v>
      </c>
      <c r="R58" s="37">
        <v>8064.1710000000003</v>
      </c>
      <c r="S58" s="37">
        <v>8159.7120000000004</v>
      </c>
      <c r="T58" s="23">
        <v>8007.4059999999999</v>
      </c>
      <c r="U58" s="23">
        <v>7956.1080000000002</v>
      </c>
      <c r="V58" s="23">
        <v>9248.3040000000001</v>
      </c>
      <c r="W58" s="23">
        <v>8854.393</v>
      </c>
      <c r="X58" s="23">
        <v>8270.6779999999999</v>
      </c>
      <c r="Y58" s="2">
        <v>10772.208000000001</v>
      </c>
      <c r="Z58" s="2">
        <v>10674.692999999999</v>
      </c>
      <c r="AA58" s="2">
        <v>11263.675999999999</v>
      </c>
    </row>
    <row r="59" spans="1:45">
      <c r="A59" s="23" t="s">
        <v>103</v>
      </c>
      <c r="B59" s="37"/>
      <c r="C59" s="37"/>
      <c r="D59" s="37"/>
      <c r="E59" s="37"/>
      <c r="F59" s="77">
        <v>11</v>
      </c>
      <c r="G59" s="37"/>
      <c r="H59" s="37"/>
      <c r="I59" s="37">
        <v>323.096</v>
      </c>
      <c r="J59" s="37"/>
      <c r="K59" s="37">
        <v>136.80275</v>
      </c>
      <c r="L59" s="37">
        <v>50.555</v>
      </c>
      <c r="M59" s="37">
        <v>58.16</v>
      </c>
      <c r="N59" s="37">
        <v>63.933999999999997</v>
      </c>
      <c r="O59" s="37">
        <v>80.692999999999998</v>
      </c>
      <c r="P59" s="37">
        <v>60.311</v>
      </c>
      <c r="Q59" s="37">
        <v>37.33</v>
      </c>
      <c r="R59" s="37">
        <v>50.529000000000003</v>
      </c>
      <c r="S59" s="37">
        <v>34.805999999999997</v>
      </c>
      <c r="T59" s="23">
        <v>41.484000000000002</v>
      </c>
      <c r="U59" s="23">
        <v>23.268999999999998</v>
      </c>
      <c r="V59" s="23">
        <v>124.217</v>
      </c>
      <c r="W59" s="23">
        <v>213.97800000000001</v>
      </c>
      <c r="X59" s="2">
        <v>160.58500000000001</v>
      </c>
      <c r="Y59" s="2">
        <v>120.384</v>
      </c>
      <c r="Z59" s="2">
        <v>120.386</v>
      </c>
      <c r="AA59" s="2">
        <v>180.511</v>
      </c>
    </row>
    <row r="60" spans="1:45">
      <c r="A60" s="23" t="s">
        <v>104</v>
      </c>
      <c r="B60" s="37"/>
      <c r="C60" s="37"/>
      <c r="D60" s="37"/>
      <c r="E60" s="37"/>
      <c r="F60" s="77">
        <v>16667.510999999999</v>
      </c>
      <c r="G60" s="37"/>
      <c r="H60" s="37"/>
      <c r="I60" s="37">
        <v>19230.317999999999</v>
      </c>
      <c r="J60" s="37"/>
      <c r="K60" s="37">
        <v>20878.339</v>
      </c>
      <c r="L60" s="37">
        <v>22402.169000000002</v>
      </c>
      <c r="M60" s="37">
        <v>22756.165000000001</v>
      </c>
      <c r="N60" s="37">
        <v>23389.297999999999</v>
      </c>
      <c r="O60" s="37">
        <v>26921.482</v>
      </c>
      <c r="P60" s="37">
        <v>26005.805</v>
      </c>
      <c r="Q60" s="37">
        <v>26695.406999999999</v>
      </c>
      <c r="R60" s="37">
        <v>26649.891</v>
      </c>
      <c r="S60" s="37">
        <v>26206.221000000001</v>
      </c>
      <c r="T60" s="23">
        <v>29450.565999999999</v>
      </c>
      <c r="U60" s="23">
        <v>28532.007000000001</v>
      </c>
      <c r="V60" s="23">
        <v>35131.856</v>
      </c>
      <c r="W60" s="23">
        <v>36173.076000000001</v>
      </c>
      <c r="X60" s="2">
        <v>34288.097999999998</v>
      </c>
      <c r="Y60" s="2">
        <v>32239.883999999998</v>
      </c>
      <c r="Z60" s="2">
        <v>32764.576000000001</v>
      </c>
      <c r="AA60" s="2">
        <v>34051.502</v>
      </c>
    </row>
    <row r="61" spans="1:45">
      <c r="A61" s="23" t="s">
        <v>106</v>
      </c>
      <c r="B61" s="37"/>
      <c r="C61" s="37"/>
      <c r="D61" s="37"/>
      <c r="E61" s="37"/>
      <c r="F61" s="77">
        <v>19091.597000000002</v>
      </c>
      <c r="G61" s="37"/>
      <c r="H61" s="37"/>
      <c r="I61" s="37">
        <v>21944.517</v>
      </c>
      <c r="J61" s="37"/>
      <c r="K61" s="37">
        <v>15501.438</v>
      </c>
      <c r="L61" s="37">
        <v>14439.815000000001</v>
      </c>
      <c r="M61" s="37">
        <v>34475.016000000003</v>
      </c>
      <c r="N61" s="37">
        <v>34026.307999999997</v>
      </c>
      <c r="O61" s="37">
        <v>15419.305</v>
      </c>
      <c r="P61" s="37">
        <v>18681.816999999999</v>
      </c>
      <c r="Q61" s="37">
        <v>16981.596000000001</v>
      </c>
      <c r="R61" s="37">
        <v>14401.088</v>
      </c>
      <c r="S61" s="37">
        <v>15173.415000000001</v>
      </c>
      <c r="T61" s="23">
        <v>17512.056</v>
      </c>
      <c r="U61" s="23">
        <v>26396.44</v>
      </c>
      <c r="V61" s="23">
        <v>30159.401000000002</v>
      </c>
      <c r="W61" s="23">
        <v>29582.921999999999</v>
      </c>
      <c r="X61" s="2">
        <v>29246.386999999999</v>
      </c>
      <c r="Y61" s="2">
        <v>31874.629000000001</v>
      </c>
      <c r="Z61" s="2">
        <v>33002.824999999997</v>
      </c>
      <c r="AA61" s="2">
        <v>31501.552</v>
      </c>
    </row>
    <row r="62" spans="1:45">
      <c r="A62" s="23" t="s">
        <v>110</v>
      </c>
      <c r="B62" s="37"/>
      <c r="C62" s="37"/>
      <c r="D62" s="37"/>
      <c r="E62" s="37"/>
      <c r="F62" s="77">
        <v>1033.8510000000001</v>
      </c>
      <c r="G62" s="37"/>
      <c r="H62" s="37"/>
      <c r="I62" s="37">
        <v>754.81500000000005</v>
      </c>
      <c r="J62" s="37"/>
      <c r="K62" s="37">
        <v>581.40300000000002</v>
      </c>
      <c r="L62" s="37">
        <v>748.46600000000001</v>
      </c>
      <c r="M62" s="37">
        <v>943.84699999999998</v>
      </c>
      <c r="N62" s="37">
        <v>1821.5429999999999</v>
      </c>
      <c r="O62" s="37">
        <v>572.99599999999998</v>
      </c>
      <c r="P62" s="37">
        <v>720.04200000000003</v>
      </c>
      <c r="Q62" s="37">
        <v>859.29600000000005</v>
      </c>
      <c r="R62" s="37">
        <v>1093.4459999999999</v>
      </c>
      <c r="S62" s="37">
        <v>731.35599999999999</v>
      </c>
      <c r="T62" s="23">
        <v>2478.8609999999999</v>
      </c>
      <c r="U62" s="23">
        <v>2804.7530000000002</v>
      </c>
      <c r="V62" s="23">
        <v>3146.09</v>
      </c>
      <c r="W62" s="23">
        <v>4021.88</v>
      </c>
      <c r="X62" s="2">
        <v>3367.9969999999998</v>
      </c>
      <c r="Y62" s="2">
        <v>6145.4870000000001</v>
      </c>
      <c r="Z62" s="2">
        <v>3890.2420000000002</v>
      </c>
      <c r="AA62" s="2">
        <v>3056.0390000000002</v>
      </c>
    </row>
    <row r="63" spans="1:45">
      <c r="A63" s="23" t="s">
        <v>111</v>
      </c>
      <c r="B63" s="37"/>
      <c r="C63" s="37"/>
      <c r="D63" s="37"/>
      <c r="E63" s="37"/>
      <c r="F63" s="77">
        <v>785.03700000000003</v>
      </c>
      <c r="G63" s="37"/>
      <c r="H63" s="37"/>
      <c r="I63" s="37">
        <v>788.42600000000004</v>
      </c>
      <c r="J63" s="37"/>
      <c r="K63" s="37">
        <v>704.60400000000004</v>
      </c>
      <c r="L63" s="37">
        <v>838.56600000000003</v>
      </c>
      <c r="M63" s="37">
        <v>724.38900000000001</v>
      </c>
      <c r="N63" s="37">
        <v>836.19299999999998</v>
      </c>
      <c r="O63" s="37">
        <v>939.64099999999996</v>
      </c>
      <c r="P63" s="37">
        <v>855.51599999999996</v>
      </c>
      <c r="Q63" s="37">
        <v>1026.989</v>
      </c>
      <c r="R63" s="37">
        <v>1198.085</v>
      </c>
      <c r="S63" s="37">
        <v>1019.0940000000001</v>
      </c>
      <c r="T63" s="23">
        <v>1069.8389999999999</v>
      </c>
      <c r="U63" s="23">
        <v>1288.663</v>
      </c>
      <c r="V63" s="23">
        <v>1382.877</v>
      </c>
      <c r="W63" s="23">
        <v>1529.0429999999999</v>
      </c>
      <c r="X63" s="2">
        <v>1498.5150000000001</v>
      </c>
      <c r="Y63" s="2">
        <v>1429.2760000000001</v>
      </c>
      <c r="Z63" s="2">
        <v>1422.335</v>
      </c>
      <c r="AA63" s="2">
        <v>1187.4390000000001</v>
      </c>
    </row>
    <row r="64" spans="1:45">
      <c r="A64" s="45" t="s">
        <v>114</v>
      </c>
      <c r="B64" s="63"/>
      <c r="C64" s="63"/>
      <c r="D64" s="63"/>
      <c r="E64" s="63"/>
      <c r="F64" s="82">
        <v>323.17200000000003</v>
      </c>
      <c r="G64" s="63"/>
      <c r="H64" s="63"/>
      <c r="I64" s="63">
        <v>110.386</v>
      </c>
      <c r="J64" s="63"/>
      <c r="K64" s="63">
        <v>298.26</v>
      </c>
      <c r="L64" s="63">
        <v>124.985</v>
      </c>
      <c r="M64" s="63">
        <v>155.084</v>
      </c>
      <c r="N64" s="63">
        <v>284.58</v>
      </c>
      <c r="O64" s="63">
        <v>275.50200000000001</v>
      </c>
      <c r="P64" s="63">
        <v>407.91399999999999</v>
      </c>
      <c r="Q64" s="63">
        <v>416.20699999999999</v>
      </c>
      <c r="R64" s="63">
        <v>499.05700000000002</v>
      </c>
      <c r="S64" s="63">
        <v>447.27699999999999</v>
      </c>
      <c r="T64" s="45">
        <v>392.07799999999997</v>
      </c>
      <c r="U64" s="45">
        <v>5681.2129999999997</v>
      </c>
      <c r="V64" s="45">
        <v>479.57799999999997</v>
      </c>
      <c r="W64" s="45">
        <v>1103.741</v>
      </c>
      <c r="X64" s="45">
        <v>1076.5229999999999</v>
      </c>
      <c r="Y64" s="45">
        <v>8359.6080000000002</v>
      </c>
      <c r="Z64" s="45">
        <v>9240.8559999999998</v>
      </c>
      <c r="AA64" s="45">
        <v>8405.91</v>
      </c>
    </row>
    <row r="65" spans="1:45">
      <c r="A65" s="88" t="s">
        <v>90</v>
      </c>
      <c r="B65" s="84"/>
      <c r="C65" s="84"/>
      <c r="D65" s="84"/>
      <c r="E65" s="84"/>
      <c r="F65" s="85">
        <v>0</v>
      </c>
      <c r="G65" s="84"/>
      <c r="H65" s="84"/>
      <c r="I65" s="86">
        <v>0</v>
      </c>
      <c r="J65" s="86"/>
      <c r="K65" s="86">
        <v>0</v>
      </c>
      <c r="L65" s="86">
        <v>0</v>
      </c>
      <c r="M65" s="86">
        <v>0</v>
      </c>
      <c r="N65" s="86">
        <v>0</v>
      </c>
      <c r="O65" s="86">
        <v>0</v>
      </c>
      <c r="P65" s="86">
        <v>0</v>
      </c>
      <c r="Q65" s="86">
        <v>0</v>
      </c>
      <c r="R65" s="86">
        <v>0</v>
      </c>
      <c r="S65" s="86">
        <v>0</v>
      </c>
      <c r="T65" s="87">
        <v>0</v>
      </c>
      <c r="U65" s="87"/>
      <c r="V65" s="87">
        <v>0</v>
      </c>
      <c r="W65" s="87">
        <v>0</v>
      </c>
      <c r="X65" s="45"/>
      <c r="Y65" s="45"/>
      <c r="Z65" s="45"/>
      <c r="AA65" s="45"/>
      <c r="AB65" s="23"/>
      <c r="AC65" s="23"/>
      <c r="AD65" s="23"/>
      <c r="AE65" s="23"/>
      <c r="AF65" s="23"/>
      <c r="AG65" s="23"/>
      <c r="AH65" s="23"/>
      <c r="AI65" s="23"/>
      <c r="AJ65" s="23"/>
      <c r="AK65" s="23"/>
      <c r="AL65" s="23"/>
      <c r="AM65" s="23"/>
      <c r="AN65" s="23"/>
      <c r="AO65" s="23"/>
      <c r="AP65" s="23"/>
      <c r="AQ65" s="23"/>
      <c r="AR65" s="23"/>
      <c r="AS65" s="23"/>
    </row>
    <row r="66" spans="1:45">
      <c r="F66" s="27"/>
    </row>
    <row r="67" spans="1:45">
      <c r="I67" s="34" t="s">
        <v>78</v>
      </c>
      <c r="J67" s="34" t="s">
        <v>76</v>
      </c>
      <c r="K67" s="34"/>
      <c r="L67" s="34" t="s">
        <v>69</v>
      </c>
      <c r="M67" s="34"/>
      <c r="N67" s="34"/>
      <c r="O67" s="34" t="s">
        <v>78</v>
      </c>
      <c r="P67" s="34" t="s">
        <v>78</v>
      </c>
      <c r="Q67" s="34" t="s">
        <v>78</v>
      </c>
      <c r="R67" s="34" t="s">
        <v>78</v>
      </c>
      <c r="S67" s="34"/>
      <c r="T67" s="34"/>
      <c r="U67" s="34"/>
      <c r="V67" s="34"/>
      <c r="W67" s="34"/>
    </row>
    <row r="68" spans="1:45">
      <c r="I68" s="14" t="s">
        <v>79</v>
      </c>
      <c r="J68" s="14" t="s">
        <v>72</v>
      </c>
      <c r="L68" s="14" t="s">
        <v>70</v>
      </c>
      <c r="O68" s="14" t="s">
        <v>79</v>
      </c>
      <c r="P68" s="14" t="s">
        <v>79</v>
      </c>
      <c r="Q68" s="14" t="s">
        <v>79</v>
      </c>
      <c r="R68" s="14" t="s">
        <v>79</v>
      </c>
    </row>
    <row r="69" spans="1:45">
      <c r="I69" s="14" t="s">
        <v>80</v>
      </c>
      <c r="J69" s="14" t="s">
        <v>73</v>
      </c>
      <c r="O69" s="14" t="s">
        <v>80</v>
      </c>
      <c r="P69" s="14" t="s">
        <v>80</v>
      </c>
      <c r="Q69" s="14" t="s">
        <v>80</v>
      </c>
      <c r="R69" s="14" t="s">
        <v>80</v>
      </c>
    </row>
    <row r="70" spans="1:45">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tabColor indexed="58"/>
  </sheetPr>
  <dimension ref="A1:AA69"/>
  <sheetViews>
    <sheetView showZeros="0" zoomScale="80" zoomScaleNormal="80" workbookViewId="0">
      <pane xSplit="1" ySplit="5" topLeftCell="P20" activePane="bottomRight" state="frozen"/>
      <selection activeCell="B52" sqref="B52"/>
      <selection pane="topRight" activeCell="B52" sqref="B52"/>
      <selection pane="bottomLeft" activeCell="B52" sqref="B52"/>
      <selection pane="bottomRight" activeCell="Y9" sqref="Y9:AA65"/>
    </sheetView>
  </sheetViews>
  <sheetFormatPr defaultColWidth="9.7109375" defaultRowHeight="12.75"/>
  <cols>
    <col min="1" max="1" width="23.42578125" style="80" customWidth="1"/>
    <col min="2" max="22" width="12.42578125" style="14" customWidth="1"/>
    <col min="23" max="25" width="11.5703125" style="2" bestFit="1" customWidth="1"/>
    <col min="26" max="27" width="11.5703125" style="2" customWidth="1"/>
    <col min="28" max="16384" width="9.7109375" style="2"/>
  </cols>
  <sheetData>
    <row r="1" spans="1:27">
      <c r="A1" s="21" t="s">
        <v>39</v>
      </c>
      <c r="B1"/>
      <c r="C1"/>
      <c r="D1"/>
      <c r="E1"/>
      <c r="F1"/>
      <c r="G1"/>
      <c r="H1"/>
      <c r="I1"/>
      <c r="J1"/>
      <c r="K1"/>
      <c r="L1"/>
      <c r="M1"/>
      <c r="N1" s="46"/>
      <c r="O1" s="46"/>
      <c r="P1" s="46"/>
      <c r="Q1" s="46"/>
      <c r="R1" s="46"/>
      <c r="S1"/>
      <c r="T1"/>
      <c r="U1"/>
      <c r="V1"/>
    </row>
    <row r="2" spans="1:27">
      <c r="A2" s="21" t="s">
        <v>62</v>
      </c>
      <c r="B2" s="13"/>
      <c r="C2" s="12"/>
      <c r="D2" s="12"/>
      <c r="E2" s="12"/>
      <c r="F2" s="12"/>
      <c r="G2" s="13"/>
      <c r="H2" s="13"/>
      <c r="I2" s="13"/>
      <c r="J2" s="13"/>
      <c r="K2" s="13"/>
      <c r="L2" s="13"/>
      <c r="M2" s="13"/>
      <c r="N2" s="13"/>
      <c r="O2" s="13"/>
      <c r="P2" s="13"/>
      <c r="Q2" s="13"/>
      <c r="R2" s="13"/>
      <c r="S2" s="13"/>
      <c r="T2" s="13"/>
      <c r="U2" s="13"/>
      <c r="V2" s="13"/>
    </row>
    <row r="3" spans="1:27">
      <c r="A3" s="13" t="s">
        <v>61</v>
      </c>
      <c r="B3" s="13"/>
      <c r="C3" s="13"/>
      <c r="D3" s="13"/>
      <c r="E3" s="13"/>
      <c r="F3" s="13"/>
      <c r="G3" s="13"/>
      <c r="H3" s="13"/>
      <c r="I3" s="13"/>
      <c r="J3" s="13"/>
      <c r="K3" s="13"/>
      <c r="L3" s="13"/>
      <c r="M3" s="13"/>
      <c r="N3" s="13"/>
      <c r="O3" s="13"/>
      <c r="P3" s="13"/>
      <c r="Q3" s="13"/>
      <c r="R3" s="13"/>
      <c r="S3" s="13"/>
      <c r="T3" s="13"/>
      <c r="U3" s="13"/>
      <c r="V3" s="13"/>
    </row>
    <row r="4" spans="1:27" s="61" customFormat="1">
      <c r="A4" s="64" t="s">
        <v>60</v>
      </c>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74">
        <v>2005</v>
      </c>
      <c r="R4" s="74">
        <v>2006</v>
      </c>
      <c r="S4" s="74">
        <v>2007</v>
      </c>
      <c r="T4" s="74">
        <v>2008</v>
      </c>
      <c r="U4" s="74">
        <v>2009</v>
      </c>
      <c r="V4" s="74">
        <v>2010</v>
      </c>
      <c r="W4" s="74">
        <v>2011</v>
      </c>
      <c r="X4" s="173" t="s">
        <v>142</v>
      </c>
      <c r="Y4" s="173" t="s">
        <v>144</v>
      </c>
      <c r="Z4" s="173" t="s">
        <v>145</v>
      </c>
      <c r="AA4" s="173" t="s">
        <v>146</v>
      </c>
    </row>
    <row r="5" spans="1:27">
      <c r="B5" s="15" t="s">
        <v>1</v>
      </c>
      <c r="C5" s="15" t="s">
        <v>1</v>
      </c>
      <c r="D5" s="15" t="s">
        <v>1</v>
      </c>
      <c r="E5" s="15" t="s">
        <v>1</v>
      </c>
      <c r="F5" s="15" t="s">
        <v>1</v>
      </c>
      <c r="G5" s="15" t="s">
        <v>1</v>
      </c>
      <c r="H5" s="15" t="s">
        <v>1</v>
      </c>
      <c r="I5" s="15" t="s">
        <v>1</v>
      </c>
      <c r="J5" s="15" t="s">
        <v>1</v>
      </c>
      <c r="K5" s="15" t="s">
        <v>1</v>
      </c>
      <c r="L5" s="15" t="s">
        <v>1</v>
      </c>
      <c r="M5" s="15" t="s">
        <v>1</v>
      </c>
      <c r="N5" s="15" t="s">
        <v>1</v>
      </c>
      <c r="O5" s="15" t="s">
        <v>1</v>
      </c>
      <c r="P5" s="15" t="s">
        <v>1</v>
      </c>
      <c r="Q5" s="15" t="s">
        <v>1</v>
      </c>
      <c r="R5" s="15" t="s">
        <v>1</v>
      </c>
      <c r="S5" s="15" t="s">
        <v>1</v>
      </c>
      <c r="T5" s="15" t="s">
        <v>1</v>
      </c>
      <c r="U5" s="15" t="s">
        <v>1</v>
      </c>
      <c r="V5" s="15" t="s">
        <v>1</v>
      </c>
      <c r="W5" s="15" t="s">
        <v>1</v>
      </c>
      <c r="X5" s="19" t="s">
        <v>1</v>
      </c>
      <c r="Y5" s="19" t="s">
        <v>1</v>
      </c>
      <c r="Z5" s="19" t="s">
        <v>1</v>
      </c>
      <c r="AA5" s="19" t="s">
        <v>1</v>
      </c>
    </row>
    <row r="6" spans="1:27" s="23" customFormat="1">
      <c r="A6" s="63" t="s">
        <v>118</v>
      </c>
      <c r="B6" s="96">
        <f>+'ACADEMIC SUPP 4yr'!B6+'STU SERVICES 4yr'!B6+'INST SUPPORT 4yr'!B6</f>
        <v>8162348</v>
      </c>
      <c r="C6" s="96">
        <f>+'ACADEMIC SUPP 4yr'!C6+'STU SERVICES 4yr'!C6+'INST SUPPORT 4yr'!C6</f>
        <v>9090106</v>
      </c>
      <c r="D6" s="96">
        <f>+'ACADEMIC SUPP 4yr'!D6+'STU SERVICES 4yr'!D6+'INST SUPPORT 4yr'!D6</f>
        <v>9943230</v>
      </c>
      <c r="E6" s="96">
        <f>+'ACADEMIC SUPP 4yr'!E6+'STU SERVICES 4yr'!E6+'INST SUPPORT 4yr'!E6</f>
        <v>13822248.978</v>
      </c>
      <c r="F6" s="96">
        <f>+'ACADEMIC SUPP 4yr'!F6+'STU SERVICES 4yr'!F6+'INST SUPPORT 4yr'!F6</f>
        <v>13917456.579</v>
      </c>
      <c r="G6" s="96">
        <f>+'ACADEMIC SUPP 4yr'!G6+'STU SERVICES 4yr'!G6+'INST SUPPORT 4yr'!G6</f>
        <v>15632464.721000001</v>
      </c>
      <c r="H6" s="96">
        <f>+'ACADEMIC SUPP 4yr'!H6+'STU SERVICES 4yr'!H6+'INST SUPPORT 4yr'!H6</f>
        <v>16064880.603</v>
      </c>
      <c r="I6" s="96">
        <f>+'ACADEMIC SUPP 4yr'!I6+'STU SERVICES 4yr'!I6+'INST SUPPORT 4yr'!I6</f>
        <v>16293172.188999999</v>
      </c>
      <c r="J6" s="96">
        <f>+'ACADEMIC SUPP 4yr'!J6+'STU SERVICES 4yr'!J6+'INST SUPPORT 4yr'!J6</f>
        <v>18059148.75</v>
      </c>
      <c r="K6" s="96">
        <f>+'ACADEMIC SUPP 4yr'!K6+'STU SERVICES 4yr'!K6+'INST SUPPORT 4yr'!K6</f>
        <v>19214034.839639999</v>
      </c>
      <c r="L6" s="96">
        <f>+'ACADEMIC SUPP 4yr'!L6+'STU SERVICES 4yr'!L6+'INST SUPPORT 4yr'!L6</f>
        <v>22531727.085000001</v>
      </c>
      <c r="M6" s="96">
        <f>+'ACADEMIC SUPP 4yr'!M6+'STU SERVICES 4yr'!M6+'INST SUPPORT 4yr'!M6</f>
        <v>24077379.785000004</v>
      </c>
      <c r="N6" s="96">
        <f>+'ACADEMIC SUPP 4yr'!N6+'STU SERVICES 4yr'!N6+'INST SUPPORT 4yr'!N6</f>
        <v>23947245.572999999</v>
      </c>
      <c r="O6" s="96">
        <f>+'ACADEMIC SUPP 4yr'!O6+'STU SERVICES 4yr'!O6+'INST SUPPORT 4yr'!O6</f>
        <v>24614874.047000002</v>
      </c>
      <c r="P6" s="96">
        <f>+'ACADEMIC SUPP 4yr'!P6+'STU SERVICES 4yr'!P6+'INST SUPPORT 4yr'!P6</f>
        <v>25712318.671</v>
      </c>
      <c r="Q6" s="96">
        <f>+'ACADEMIC SUPP 4yr'!Q6+'STU SERVICES 4yr'!Q6+'INST SUPPORT 4yr'!Q6</f>
        <v>27707041.592999998</v>
      </c>
      <c r="R6" s="96">
        <f>+'ACADEMIC SUPP 4yr'!R6+'STU SERVICES 4yr'!R6+'INST SUPPORT 4yr'!R6</f>
        <v>28866888.938000001</v>
      </c>
      <c r="S6" s="96">
        <f>+'ACADEMIC SUPP 4yr'!S6+'STU SERVICES 4yr'!S6+'INST SUPPORT 4yr'!S6</f>
        <v>31074429.906999998</v>
      </c>
      <c r="T6" s="96">
        <f>+'ACADEMIC SUPP 4yr'!T6+'STU SERVICES 4yr'!T6+'INST SUPPORT 4yr'!T6</f>
        <v>35519046.8895</v>
      </c>
      <c r="U6" s="96">
        <f>+'ACADEMIC SUPP 4yr'!U6+'STU SERVICES 4yr'!U6+'INST SUPPORT 4yr'!U6</f>
        <v>34763769.917000003</v>
      </c>
      <c r="V6" s="96">
        <f>+'ACADEMIC SUPP 4yr'!V6+'STU SERVICES 4yr'!V6+'INST SUPPORT 4yr'!V6</f>
        <v>41730934.218000002</v>
      </c>
      <c r="W6" s="96">
        <f>+'ACADEMIC SUPP 4yr'!W6+'STU SERVICES 4yr'!W6+'INST SUPPORT 4yr'!W6</f>
        <v>43518532.544</v>
      </c>
      <c r="X6" s="96">
        <f>+'ACADEMIC SUPP 4yr'!X6+'STU SERVICES 4yr'!X6+'INST SUPPORT 4yr'!X6</f>
        <v>45416801.177000001</v>
      </c>
      <c r="Y6" s="96">
        <f>+'ACADEMIC SUPP 4yr'!Y6+'STU SERVICES 4yr'!Y6+'INST SUPPORT 4yr'!Y6</f>
        <v>46506907.855999999</v>
      </c>
      <c r="Z6" s="96">
        <f>+'ACADEMIC SUPP 4yr'!Z6+'STU SERVICES 4yr'!Z6+'INST SUPPORT 4yr'!Z6</f>
        <v>49597558.03199999</v>
      </c>
      <c r="AA6" s="96">
        <f>+'ACADEMIC SUPP 4yr'!AA6+'STU SERVICES 4yr'!AA6+'INST SUPPORT 4yr'!AA6</f>
        <v>51628999.917999998</v>
      </c>
    </row>
    <row r="7" spans="1:27" s="23" customFormat="1">
      <c r="A7" s="22" t="s">
        <v>56</v>
      </c>
      <c r="B7" s="89">
        <f>+'ACADEMIC SUPP 4yr'!B7+'STU SERVICES 4yr'!B7+'INST SUPPORT 4yr'!B7</f>
        <v>2414001</v>
      </c>
      <c r="C7" s="89">
        <f>+'ACADEMIC SUPP 4yr'!C7+'STU SERVICES 4yr'!C7+'INST SUPPORT 4yr'!C7</f>
        <v>2702023</v>
      </c>
      <c r="D7" s="89">
        <f>+'ACADEMIC SUPP 4yr'!D7+'STU SERVICES 4yr'!D7+'INST SUPPORT 4yr'!D7</f>
        <v>2937600</v>
      </c>
      <c r="E7" s="89">
        <f>+'ACADEMIC SUPP 4yr'!E7+'STU SERVICES 4yr'!E7+'INST SUPPORT 4yr'!E7</f>
        <v>4284654.2950000009</v>
      </c>
      <c r="F7" s="89">
        <f>+'ACADEMIC SUPP 4yr'!F7+'STU SERVICES 4yr'!F7+'INST SUPPORT 4yr'!F7</f>
        <v>4313900.0069999993</v>
      </c>
      <c r="G7" s="89">
        <f>+'ACADEMIC SUPP 4yr'!G7+'STU SERVICES 4yr'!G7+'INST SUPPORT 4yr'!G7</f>
        <v>4581483.7659999998</v>
      </c>
      <c r="H7" s="89">
        <f>+'ACADEMIC SUPP 4yr'!H7+'STU SERVICES 4yr'!H7+'INST SUPPORT 4yr'!H7</f>
        <v>4935165.733</v>
      </c>
      <c r="I7" s="89">
        <f>+'ACADEMIC SUPP 4yr'!I7+'STU SERVICES 4yr'!I7+'INST SUPPORT 4yr'!I7</f>
        <v>5228401.7709999997</v>
      </c>
      <c r="J7" s="89">
        <f>+'ACADEMIC SUPP 4yr'!J7+'STU SERVICES 4yr'!J7+'INST SUPPORT 4yr'!J7</f>
        <v>5712710.3729999997</v>
      </c>
      <c r="K7" s="89">
        <f>+'ACADEMIC SUPP 4yr'!K7+'STU SERVICES 4yr'!K7+'INST SUPPORT 4yr'!K7</f>
        <v>6117053.11417</v>
      </c>
      <c r="L7" s="89">
        <f>+'ACADEMIC SUPP 4yr'!L7+'STU SERVICES 4yr'!L7+'INST SUPPORT 4yr'!L7</f>
        <v>7569974.8640000019</v>
      </c>
      <c r="M7" s="89">
        <f>+'ACADEMIC SUPP 4yr'!M7+'STU SERVICES 4yr'!M7+'INST SUPPORT 4yr'!M7</f>
        <v>8167831.4499999993</v>
      </c>
      <c r="N7" s="89">
        <f>+'ACADEMIC SUPP 4yr'!N7+'STU SERVICES 4yr'!N7+'INST SUPPORT 4yr'!N7</f>
        <v>8337910.5</v>
      </c>
      <c r="O7" s="89">
        <f>+'ACADEMIC SUPP 4yr'!O7+'STU SERVICES 4yr'!O7+'INST SUPPORT 4yr'!O7</f>
        <v>8971039.8780000005</v>
      </c>
      <c r="P7" s="89">
        <f>+'ACADEMIC SUPP 4yr'!P7+'STU SERVICES 4yr'!P7+'INST SUPPORT 4yr'!P7</f>
        <v>9362443.0130000003</v>
      </c>
      <c r="Q7" s="89">
        <f>+'ACADEMIC SUPP 4yr'!Q7+'STU SERVICES 4yr'!Q7+'INST SUPPORT 4yr'!Q7</f>
        <v>10134793.869000001</v>
      </c>
      <c r="R7" s="89">
        <f>+'ACADEMIC SUPP 4yr'!R7+'STU SERVICES 4yr'!R7+'INST SUPPORT 4yr'!R7</f>
        <v>10639129.309</v>
      </c>
      <c r="S7" s="89">
        <f>+'ACADEMIC SUPP 4yr'!S7+'STU SERVICES 4yr'!S7+'INST SUPPORT 4yr'!S7</f>
        <v>11382072.734999999</v>
      </c>
      <c r="T7" s="89">
        <f>+'ACADEMIC SUPP 4yr'!T7+'STU SERVICES 4yr'!T7+'INST SUPPORT 4yr'!T7</f>
        <v>12977896.295</v>
      </c>
      <c r="U7" s="89">
        <f>+'ACADEMIC SUPP 4yr'!U7+'STU SERVICES 4yr'!U7+'INST SUPPORT 4yr'!U7</f>
        <v>12191818.654000001</v>
      </c>
      <c r="V7" s="89">
        <f>+'ACADEMIC SUPP 4yr'!V7+'STU SERVICES 4yr'!V7+'INST SUPPORT 4yr'!V7</f>
        <v>15395031.940000001</v>
      </c>
      <c r="W7" s="89">
        <f>+'ACADEMIC SUPP 4yr'!W7+'STU SERVICES 4yr'!W7+'INST SUPPORT 4yr'!W7</f>
        <v>15906893.419</v>
      </c>
      <c r="X7" s="89">
        <f>+'ACADEMIC SUPP 4yr'!X7+'STU SERVICES 4yr'!X7+'INST SUPPORT 4yr'!X7</f>
        <v>16224520.933999997</v>
      </c>
      <c r="Y7" s="89">
        <f>+'ACADEMIC SUPP 4yr'!Y7+'STU SERVICES 4yr'!Y7+'INST SUPPORT 4yr'!Y7</f>
        <v>16146764.405000001</v>
      </c>
      <c r="Z7" s="89">
        <f>+'ACADEMIC SUPP 4yr'!Z7+'STU SERVICES 4yr'!Z7+'INST SUPPORT 4yr'!Z7</f>
        <v>17219796.663000003</v>
      </c>
      <c r="AA7" s="89">
        <f>+'ACADEMIC SUPP 4yr'!AA7+'STU SERVICES 4yr'!AA7+'INST SUPPORT 4yr'!AA7</f>
        <v>18034368.041999999</v>
      </c>
    </row>
    <row r="8" spans="1:27">
      <c r="A8" s="79" t="s">
        <v>119</v>
      </c>
      <c r="B8" s="89">
        <f>+'ACADEMIC SUPP 4yr'!B8+'STU SERVICES 4yr'!B8+'INST SUPPORT 4yr'!B8</f>
        <v>0</v>
      </c>
      <c r="C8" s="89">
        <f>+'ACADEMIC SUPP 4yr'!C8+'STU SERVICES 4yr'!C8+'INST SUPPORT 4yr'!C8</f>
        <v>0</v>
      </c>
      <c r="D8" s="89">
        <f>+'ACADEMIC SUPP 4yr'!D8+'STU SERVICES 4yr'!D8+'INST SUPPORT 4yr'!D8</f>
        <v>0</v>
      </c>
      <c r="E8" s="89">
        <f>+'ACADEMIC SUPP 4yr'!E8+'STU SERVICES 4yr'!E8+'INST SUPPORT 4yr'!E8</f>
        <v>0</v>
      </c>
      <c r="F8" s="89">
        <f>+'ACADEMIC SUPP 4yr'!F8+'STU SERVICES 4yr'!F8+'INST SUPPORT 4yr'!F8</f>
        <v>0</v>
      </c>
      <c r="G8" s="89">
        <f>+'ACADEMIC SUPP 4yr'!G8+'STU SERVICES 4yr'!G8+'INST SUPPORT 4yr'!G8</f>
        <v>0</v>
      </c>
      <c r="H8" s="89">
        <f>+'ACADEMIC SUPP 4yr'!H8+'STU SERVICES 4yr'!H8+'INST SUPPORT 4yr'!H8</f>
        <v>0</v>
      </c>
      <c r="I8" s="89">
        <f>+'ACADEMIC SUPP 4yr'!I8+'STU SERVICES 4yr'!I8+'INST SUPPORT 4yr'!I8</f>
        <v>0</v>
      </c>
      <c r="J8" s="89">
        <f>+'ACADEMIC SUPP 4yr'!J8+'STU SERVICES 4yr'!J8+'INST SUPPORT 4yr'!J8</f>
        <v>0</v>
      </c>
      <c r="K8" s="89">
        <f>+'ACADEMIC SUPP 4yr'!K8+'STU SERVICES 4yr'!K8+'INST SUPPORT 4yr'!K8</f>
        <v>0</v>
      </c>
      <c r="L8" s="89">
        <f>+'ACADEMIC SUPP 4yr'!L8+'STU SERVICES 4yr'!L8+'INST SUPPORT 4yr'!L8</f>
        <v>0</v>
      </c>
      <c r="M8" s="89">
        <f>+'ACADEMIC SUPP 4yr'!M8+'STU SERVICES 4yr'!M8+'INST SUPPORT 4yr'!M8</f>
        <v>0</v>
      </c>
      <c r="N8" s="89">
        <f>+'ACADEMIC SUPP 4yr'!N8+'STU SERVICES 4yr'!N8+'INST SUPPORT 4yr'!N8</f>
        <v>0</v>
      </c>
      <c r="O8" s="89">
        <f>+'ACADEMIC SUPP 4yr'!O8+'STU SERVICES 4yr'!O8+'INST SUPPORT 4yr'!O8</f>
        <v>0</v>
      </c>
      <c r="P8" s="89">
        <f>+'ACADEMIC SUPP 4yr'!P8+'STU SERVICES 4yr'!P8+'INST SUPPORT 4yr'!P8</f>
        <v>0</v>
      </c>
      <c r="Q8" s="89">
        <f>+'ACADEMIC SUPP 4yr'!Q8+'STU SERVICES 4yr'!Q8+'INST SUPPORT 4yr'!Q8</f>
        <v>0</v>
      </c>
      <c r="R8" s="89">
        <f>+'ACADEMIC SUPP 4yr'!R8+'STU SERVICES 4yr'!R8+'INST SUPPORT 4yr'!R8</f>
        <v>0</v>
      </c>
      <c r="S8" s="89">
        <f>+'ACADEMIC SUPP 4yr'!S8+'STU SERVICES 4yr'!S8+'INST SUPPORT 4yr'!S8</f>
        <v>0</v>
      </c>
      <c r="T8" s="89">
        <f>+'ACADEMIC SUPP 4yr'!T8+'STU SERVICES 4yr'!T8+'INST SUPPORT 4yr'!T8</f>
        <v>0</v>
      </c>
      <c r="U8" s="89">
        <f>+'ACADEMIC SUPP 4yr'!U8+'STU SERVICES 4yr'!U8+'INST SUPPORT 4yr'!U8</f>
        <v>0</v>
      </c>
      <c r="V8" s="89">
        <f>+'ACADEMIC SUPP 4yr'!V8+'STU SERVICES 4yr'!V8+'INST SUPPORT 4yr'!V8</f>
        <v>0</v>
      </c>
      <c r="W8" s="89">
        <f>+'ACADEMIC SUPP 4yr'!W8+'STU SERVICES 4yr'!W8+'INST SUPPORT 4yr'!W8</f>
        <v>0</v>
      </c>
      <c r="X8" s="89">
        <f>+'ACADEMIC SUPP 4yr'!X8+'STU SERVICES 4yr'!X8+'INST SUPPORT 4yr'!X8</f>
        <v>0</v>
      </c>
      <c r="Y8" s="89">
        <f>+'ACADEMIC SUPP 4yr'!Y8+'STU SERVICES 4yr'!Y8+'INST SUPPORT 4yr'!Y8</f>
        <v>0</v>
      </c>
      <c r="Z8" s="89"/>
      <c r="AA8" s="89"/>
    </row>
    <row r="9" spans="1:27">
      <c r="A9" s="22" t="s">
        <v>3</v>
      </c>
      <c r="B9" s="89">
        <f>+'ACADEMIC SUPP 4yr'!B9+'STU SERVICES 4yr'!B9+'INST SUPPORT 4yr'!B9</f>
        <v>151266</v>
      </c>
      <c r="C9" s="89">
        <f>+'ACADEMIC SUPP 4yr'!C9+'STU SERVICES 4yr'!C9+'INST SUPPORT 4yr'!C9</f>
        <v>169876</v>
      </c>
      <c r="D9" s="89">
        <f>+'ACADEMIC SUPP 4yr'!D9+'STU SERVICES 4yr'!D9+'INST SUPPORT 4yr'!D9</f>
        <v>187174</v>
      </c>
      <c r="E9" s="89">
        <f>+'ACADEMIC SUPP 4yr'!E9+'STU SERVICES 4yr'!E9+'INST SUPPORT 4yr'!E9</f>
        <v>271866.92</v>
      </c>
      <c r="F9" s="89">
        <f>+'ACADEMIC SUPP 4yr'!F9+'STU SERVICES 4yr'!F9+'INST SUPPORT 4yr'!F9</f>
        <v>272654.5</v>
      </c>
      <c r="G9" s="89">
        <f>+'ACADEMIC SUPP 4yr'!G9+'STU SERVICES 4yr'!G9+'INST SUPPORT 4yr'!G9</f>
        <v>290906.78999999998</v>
      </c>
      <c r="H9" s="89">
        <f>+'ACADEMIC SUPP 4yr'!H9+'STU SERVICES 4yr'!H9+'INST SUPPORT 4yr'!H9</f>
        <v>327211.44199999998</v>
      </c>
      <c r="I9" s="89">
        <f>+'ACADEMIC SUPP 4yr'!I9+'STU SERVICES 4yr'!I9+'INST SUPPORT 4yr'!I9</f>
        <v>344874.56799999997</v>
      </c>
      <c r="J9" s="89">
        <f>+'ACADEMIC SUPP 4yr'!J9+'STU SERVICES 4yr'!J9+'INST SUPPORT 4yr'!J9</f>
        <v>360355.21299999999</v>
      </c>
      <c r="K9" s="89">
        <f>+'ACADEMIC SUPP 4yr'!K9+'STU SERVICES 4yr'!K9+'INST SUPPORT 4yr'!K9</f>
        <v>365060.842</v>
      </c>
      <c r="L9" s="89">
        <f>+'ACADEMIC SUPP 4yr'!L9+'STU SERVICES 4yr'!L9+'INST SUPPORT 4yr'!L9</f>
        <v>435407.22699999996</v>
      </c>
      <c r="M9" s="89">
        <f>+'ACADEMIC SUPP 4yr'!M9+'STU SERVICES 4yr'!M9+'INST SUPPORT 4yr'!M9</f>
        <v>448577.049</v>
      </c>
      <c r="N9" s="89">
        <f>+'ACADEMIC SUPP 4yr'!N9+'STU SERVICES 4yr'!N9+'INST SUPPORT 4yr'!N9</f>
        <v>483578.05100000004</v>
      </c>
      <c r="O9" s="89">
        <f>+'ACADEMIC SUPP 4yr'!O9+'STU SERVICES 4yr'!O9+'INST SUPPORT 4yr'!O9</f>
        <v>530930.13199999998</v>
      </c>
      <c r="P9" s="89">
        <f>+'ACADEMIC SUPP 4yr'!P9+'STU SERVICES 4yr'!P9+'INST SUPPORT 4yr'!P9</f>
        <v>563040.30700000003</v>
      </c>
      <c r="Q9" s="89">
        <f>+'ACADEMIC SUPP 4yr'!Q9+'STU SERVICES 4yr'!Q9+'INST SUPPORT 4yr'!Q9</f>
        <v>617957.86800000002</v>
      </c>
      <c r="R9" s="89">
        <f>+'ACADEMIC SUPP 4yr'!R9+'STU SERVICES 4yr'!R9+'INST SUPPORT 4yr'!R9</f>
        <v>695589.36199999996</v>
      </c>
      <c r="S9" s="89">
        <f>+'ACADEMIC SUPP 4yr'!S9+'STU SERVICES 4yr'!S9+'INST SUPPORT 4yr'!S9</f>
        <v>807820.08899999992</v>
      </c>
      <c r="T9" s="89">
        <f>+'ACADEMIC SUPP 4yr'!T9+'STU SERVICES 4yr'!T9+'INST SUPPORT 4yr'!T9</f>
        <v>1158822.0359999998</v>
      </c>
      <c r="U9" s="89">
        <f>+'ACADEMIC SUPP 4yr'!U9+'STU SERVICES 4yr'!U9+'INST SUPPORT 4yr'!U9</f>
        <v>1254627.169</v>
      </c>
      <c r="V9" s="89">
        <f>+'ACADEMIC SUPP 4yr'!V9+'STU SERVICES 4yr'!V9+'INST SUPPORT 4yr'!V9</f>
        <v>1377885.1629999999</v>
      </c>
      <c r="W9" s="89">
        <f>+'ACADEMIC SUPP 4yr'!W9+'STU SERVICES 4yr'!W9+'INST SUPPORT 4yr'!W9</f>
        <v>1097720.6969999999</v>
      </c>
      <c r="X9" s="89">
        <f>+'ACADEMIC SUPP 4yr'!X9+'STU SERVICES 4yr'!X9+'INST SUPPORT 4yr'!X9</f>
        <v>1129310.159</v>
      </c>
      <c r="Y9" s="89">
        <f>+'ACADEMIC SUPP 4yr'!Y9+'STU SERVICES 4yr'!Y9+'INST SUPPORT 4yr'!Y9</f>
        <v>1198375.098</v>
      </c>
      <c r="Z9" s="89">
        <f>+'ACADEMIC SUPP 4yr'!Z9+'STU SERVICES 4yr'!Z9+'INST SUPPORT 4yr'!Z9</f>
        <v>1266752.06</v>
      </c>
      <c r="AA9" s="89">
        <f>+'ACADEMIC SUPP 4yr'!AA9+'STU SERVICES 4yr'!AA9+'INST SUPPORT 4yr'!AA9</f>
        <v>1315850.7590000001</v>
      </c>
    </row>
    <row r="10" spans="1:27">
      <c r="A10" s="22" t="s">
        <v>4</v>
      </c>
      <c r="B10" s="89">
        <f>+'ACADEMIC SUPP 4yr'!B10+'STU SERVICES 4yr'!B10+'INST SUPPORT 4yr'!B10</f>
        <v>70275</v>
      </c>
      <c r="C10" s="89">
        <f>+'ACADEMIC SUPP 4yr'!C10+'STU SERVICES 4yr'!C10+'INST SUPPORT 4yr'!C10</f>
        <v>74259</v>
      </c>
      <c r="D10" s="89">
        <f>+'ACADEMIC SUPP 4yr'!D10+'STU SERVICES 4yr'!D10+'INST SUPPORT 4yr'!D10</f>
        <v>80569</v>
      </c>
      <c r="E10" s="89">
        <f>+'ACADEMIC SUPP 4yr'!E10+'STU SERVICES 4yr'!E10+'INST SUPPORT 4yr'!E10</f>
        <v>117590.69200000001</v>
      </c>
      <c r="F10" s="89">
        <f>+'ACADEMIC SUPP 4yr'!F10+'STU SERVICES 4yr'!F10+'INST SUPPORT 4yr'!F10</f>
        <v>124296.787</v>
      </c>
      <c r="G10" s="89">
        <f>+'ACADEMIC SUPP 4yr'!G10+'STU SERVICES 4yr'!G10+'INST SUPPORT 4yr'!G10</f>
        <v>132916.78399999999</v>
      </c>
      <c r="H10" s="89">
        <f>+'ACADEMIC SUPP 4yr'!H10+'STU SERVICES 4yr'!H10+'INST SUPPORT 4yr'!H10</f>
        <v>142732.99599999998</v>
      </c>
      <c r="I10" s="89">
        <f>+'ACADEMIC SUPP 4yr'!I10+'STU SERVICES 4yr'!I10+'INST SUPPORT 4yr'!I10</f>
        <v>143404.35800000001</v>
      </c>
      <c r="J10" s="89">
        <f>+'ACADEMIC SUPP 4yr'!J10+'STU SERVICES 4yr'!J10+'INST SUPPORT 4yr'!J10</f>
        <v>155120.81099999999</v>
      </c>
      <c r="K10" s="89">
        <f>+'ACADEMIC SUPP 4yr'!K10+'STU SERVICES 4yr'!K10+'INST SUPPORT 4yr'!K10</f>
        <v>176959.84700000001</v>
      </c>
      <c r="L10" s="89">
        <f>+'ACADEMIC SUPP 4yr'!L10+'STU SERVICES 4yr'!L10+'INST SUPPORT 4yr'!L10</f>
        <v>207684.52799999999</v>
      </c>
      <c r="M10" s="89">
        <f>+'ACADEMIC SUPP 4yr'!M10+'STU SERVICES 4yr'!M10+'INST SUPPORT 4yr'!M10</f>
        <v>230001.935</v>
      </c>
      <c r="N10" s="89">
        <f>+'ACADEMIC SUPP 4yr'!N10+'STU SERVICES 4yr'!N10+'INST SUPPORT 4yr'!N10</f>
        <v>240826.86499999999</v>
      </c>
      <c r="O10" s="89">
        <f>+'ACADEMIC SUPP 4yr'!O10+'STU SERVICES 4yr'!O10+'INST SUPPORT 4yr'!O10</f>
        <v>253571.72899999999</v>
      </c>
      <c r="P10" s="89">
        <f>+'ACADEMIC SUPP 4yr'!P10+'STU SERVICES 4yr'!P10+'INST SUPPORT 4yr'!P10</f>
        <v>273204.70900000003</v>
      </c>
      <c r="Q10" s="89">
        <f>+'ACADEMIC SUPP 4yr'!Q10+'STU SERVICES 4yr'!Q10+'INST SUPPORT 4yr'!Q10</f>
        <v>286236.7</v>
      </c>
      <c r="R10" s="89">
        <f>+'ACADEMIC SUPP 4yr'!R10+'STU SERVICES 4yr'!R10+'INST SUPPORT 4yr'!R10</f>
        <v>308664.89899999998</v>
      </c>
      <c r="S10" s="89">
        <f>+'ACADEMIC SUPP 4yr'!S10+'STU SERVICES 4yr'!S10+'INST SUPPORT 4yr'!S10</f>
        <v>311300.44099999999</v>
      </c>
      <c r="T10" s="89">
        <f>+'ACADEMIC SUPP 4yr'!T10+'STU SERVICES 4yr'!T10+'INST SUPPORT 4yr'!T10</f>
        <v>376496.48100000003</v>
      </c>
      <c r="U10" s="89">
        <f>+'ACADEMIC SUPP 4yr'!U10+'STU SERVICES 4yr'!U10+'INST SUPPORT 4yr'!U10</f>
        <v>280204.69700000004</v>
      </c>
      <c r="V10" s="89">
        <f>+'ACADEMIC SUPP 4yr'!V10+'STU SERVICES 4yr'!V10+'INST SUPPORT 4yr'!V10</f>
        <v>488966.41800000006</v>
      </c>
      <c r="W10" s="89">
        <f>+'ACADEMIC SUPP 4yr'!W10+'STU SERVICES 4yr'!W10+'INST SUPPORT 4yr'!W10</f>
        <v>510975.20300000004</v>
      </c>
      <c r="X10" s="89">
        <f>+'ACADEMIC SUPP 4yr'!X10+'STU SERVICES 4yr'!X10+'INST SUPPORT 4yr'!X10</f>
        <v>535107.49</v>
      </c>
      <c r="Y10" s="89">
        <f>+'ACADEMIC SUPP 4yr'!Y10+'STU SERVICES 4yr'!Y10+'INST SUPPORT 4yr'!Y10</f>
        <v>538979.70299999998</v>
      </c>
      <c r="Z10" s="89">
        <f>+'ACADEMIC SUPP 4yr'!Z10+'STU SERVICES 4yr'!Z10+'INST SUPPORT 4yr'!Z10</f>
        <v>552937.91100000008</v>
      </c>
      <c r="AA10" s="89">
        <f>+'ACADEMIC SUPP 4yr'!AA10+'STU SERVICES 4yr'!AA10+'INST SUPPORT 4yr'!AA10</f>
        <v>592126.62300000002</v>
      </c>
    </row>
    <row r="11" spans="1:27">
      <c r="A11" s="22" t="s">
        <v>52</v>
      </c>
      <c r="B11" s="89">
        <f>+'ACADEMIC SUPP 4yr'!B11+'STU SERVICES 4yr'!B11+'INST SUPPORT 4yr'!B11</f>
        <v>0</v>
      </c>
      <c r="C11" s="89">
        <f>+'ACADEMIC SUPP 4yr'!C11+'STU SERVICES 4yr'!C11+'INST SUPPORT 4yr'!C11</f>
        <v>0</v>
      </c>
      <c r="D11" s="89">
        <f>+'ACADEMIC SUPP 4yr'!D11+'STU SERVICES 4yr'!D11+'INST SUPPORT 4yr'!D11</f>
        <v>37598</v>
      </c>
      <c r="E11" s="89">
        <f>+'ACADEMIC SUPP 4yr'!E11+'STU SERVICES 4yr'!E11+'INST SUPPORT 4yr'!E11</f>
        <v>64512.721000000005</v>
      </c>
      <c r="F11" s="89">
        <f>+'ACADEMIC SUPP 4yr'!F11+'STU SERVICES 4yr'!F11+'INST SUPPORT 4yr'!F11</f>
        <v>66371.641999999993</v>
      </c>
      <c r="G11" s="89">
        <f>+'ACADEMIC SUPP 4yr'!G11+'STU SERVICES 4yr'!G11+'INST SUPPORT 4yr'!G11</f>
        <v>0</v>
      </c>
      <c r="H11" s="89">
        <f>+'ACADEMIC SUPP 4yr'!H11+'STU SERVICES 4yr'!H11+'INST SUPPORT 4yr'!H11</f>
        <v>0</v>
      </c>
      <c r="I11" s="89">
        <f>+'ACADEMIC SUPP 4yr'!I11+'STU SERVICES 4yr'!I11+'INST SUPPORT 4yr'!I11</f>
        <v>75701.828999999998</v>
      </c>
      <c r="J11" s="89">
        <f>+'ACADEMIC SUPP 4yr'!J11+'STU SERVICES 4yr'!J11+'INST SUPPORT 4yr'!J11</f>
        <v>76145.31</v>
      </c>
      <c r="K11" s="89">
        <f>+'ACADEMIC SUPP 4yr'!K11+'STU SERVICES 4yr'!K11+'INST SUPPORT 4yr'!K11</f>
        <v>80935.581000000006</v>
      </c>
      <c r="L11" s="89">
        <f>+'ACADEMIC SUPP 4yr'!L11+'STU SERVICES 4yr'!L11+'INST SUPPORT 4yr'!L11</f>
        <v>101977.94099999999</v>
      </c>
      <c r="M11" s="89">
        <f>+'ACADEMIC SUPP 4yr'!M11+'STU SERVICES 4yr'!M11+'INST SUPPORT 4yr'!M11</f>
        <v>112251.061</v>
      </c>
      <c r="N11" s="89">
        <f>+'ACADEMIC SUPP 4yr'!N11+'STU SERVICES 4yr'!N11+'INST SUPPORT 4yr'!N11</f>
        <v>114559.37899999999</v>
      </c>
      <c r="O11" s="89">
        <f>+'ACADEMIC SUPP 4yr'!O11+'STU SERVICES 4yr'!O11+'INST SUPPORT 4yr'!O11</f>
        <v>121908.864</v>
      </c>
      <c r="P11" s="89">
        <f>+'ACADEMIC SUPP 4yr'!P11+'STU SERVICES 4yr'!P11+'INST SUPPORT 4yr'!P11</f>
        <v>130021.113</v>
      </c>
      <c r="Q11" s="89">
        <f>+'ACADEMIC SUPP 4yr'!Q11+'STU SERVICES 4yr'!Q11+'INST SUPPORT 4yr'!Q11</f>
        <v>143987.72499999998</v>
      </c>
      <c r="R11" s="89">
        <f>+'ACADEMIC SUPP 4yr'!R11+'STU SERVICES 4yr'!R11+'INST SUPPORT 4yr'!R11</f>
        <v>146979.92500000002</v>
      </c>
      <c r="S11" s="89">
        <f>+'ACADEMIC SUPP 4yr'!S11+'STU SERVICES 4yr'!S11+'INST SUPPORT 4yr'!S11</f>
        <v>142036.198</v>
      </c>
      <c r="T11" s="89">
        <f>+'ACADEMIC SUPP 4yr'!T11+'STU SERVICES 4yr'!T11+'INST SUPPORT 4yr'!T11</f>
        <v>174657.967</v>
      </c>
      <c r="U11" s="89">
        <f>+'ACADEMIC SUPP 4yr'!U11+'STU SERVICES 4yr'!U11+'INST SUPPORT 4yr'!U11</f>
        <v>180232.20799999998</v>
      </c>
      <c r="V11" s="89">
        <f>+'ACADEMIC SUPP 4yr'!V11+'STU SERVICES 4yr'!V11+'INST SUPPORT 4yr'!V11</f>
        <v>189801.171</v>
      </c>
      <c r="W11" s="89">
        <f>+'ACADEMIC SUPP 4yr'!W11+'STU SERVICES 4yr'!W11+'INST SUPPORT 4yr'!W11</f>
        <v>199562.40000000002</v>
      </c>
      <c r="X11" s="89">
        <f>+'ACADEMIC SUPP 4yr'!X11+'STU SERVICES 4yr'!X11+'INST SUPPORT 4yr'!X11</f>
        <v>210857.84</v>
      </c>
      <c r="Y11" s="89">
        <f>+'ACADEMIC SUPP 4yr'!Y11+'STU SERVICES 4yr'!Y11+'INST SUPPORT 4yr'!Y11</f>
        <v>43136.087</v>
      </c>
      <c r="Z11" s="89">
        <f>+'ACADEMIC SUPP 4yr'!Z11+'STU SERVICES 4yr'!Z11+'INST SUPPORT 4yr'!Z11</f>
        <v>236282.33199999999</v>
      </c>
      <c r="AA11" s="89">
        <f>+'ACADEMIC SUPP 4yr'!AA11+'STU SERVICES 4yr'!AA11+'INST SUPPORT 4yr'!AA11</f>
        <v>246749.78700000001</v>
      </c>
    </row>
    <row r="12" spans="1:27">
      <c r="A12" s="22" t="s">
        <v>5</v>
      </c>
      <c r="B12" s="89">
        <f>+'ACADEMIC SUPP 4yr'!B12+'STU SERVICES 4yr'!B12+'INST SUPPORT 4yr'!B12</f>
        <v>219283</v>
      </c>
      <c r="C12" s="89">
        <f>+'ACADEMIC SUPP 4yr'!C12+'STU SERVICES 4yr'!C12+'INST SUPPORT 4yr'!C12</f>
        <v>250353</v>
      </c>
      <c r="D12" s="89">
        <f>+'ACADEMIC SUPP 4yr'!D12+'STU SERVICES 4yr'!D12+'INST SUPPORT 4yr'!D12</f>
        <v>272570</v>
      </c>
      <c r="E12" s="89">
        <f>+'ACADEMIC SUPP 4yr'!E12+'STU SERVICES 4yr'!E12+'INST SUPPORT 4yr'!E12</f>
        <v>437377.66599999997</v>
      </c>
      <c r="F12" s="89">
        <f>+'ACADEMIC SUPP 4yr'!F12+'STU SERVICES 4yr'!F12+'INST SUPPORT 4yr'!F12</f>
        <v>436939.01599999995</v>
      </c>
      <c r="G12" s="89">
        <f>+'ACADEMIC SUPP 4yr'!G12+'STU SERVICES 4yr'!G12+'INST SUPPORT 4yr'!G12</f>
        <v>475232.28700000001</v>
      </c>
      <c r="H12" s="89">
        <f>+'ACADEMIC SUPP 4yr'!H12+'STU SERVICES 4yr'!H12+'INST SUPPORT 4yr'!H12</f>
        <v>516663.77</v>
      </c>
      <c r="I12" s="89">
        <f>+'ACADEMIC SUPP 4yr'!I12+'STU SERVICES 4yr'!I12+'INST SUPPORT 4yr'!I12</f>
        <v>503024.038</v>
      </c>
      <c r="J12" s="89">
        <f>+'ACADEMIC SUPP 4yr'!J12+'STU SERVICES 4yr'!J12+'INST SUPPORT 4yr'!J12</f>
        <v>580588.29700000002</v>
      </c>
      <c r="K12" s="89">
        <f>+'ACADEMIC SUPP 4yr'!K12+'STU SERVICES 4yr'!K12+'INST SUPPORT 4yr'!K12</f>
        <v>620617.52399999998</v>
      </c>
      <c r="L12" s="89">
        <f>+'ACADEMIC SUPP 4yr'!L12+'STU SERVICES 4yr'!L12+'INST SUPPORT 4yr'!L12</f>
        <v>810367.41500000004</v>
      </c>
      <c r="M12" s="89">
        <f>+'ACADEMIC SUPP 4yr'!M12+'STU SERVICES 4yr'!M12+'INST SUPPORT 4yr'!M12</f>
        <v>863528.09100000001</v>
      </c>
      <c r="N12" s="89">
        <f>+'ACADEMIC SUPP 4yr'!N12+'STU SERVICES 4yr'!N12+'INST SUPPORT 4yr'!N12</f>
        <v>834571.36599999992</v>
      </c>
      <c r="O12" s="89">
        <f>+'ACADEMIC SUPP 4yr'!O12+'STU SERVICES 4yr'!O12+'INST SUPPORT 4yr'!O12</f>
        <v>1054185.409</v>
      </c>
      <c r="P12" s="89">
        <f>+'ACADEMIC SUPP 4yr'!P12+'STU SERVICES 4yr'!P12+'INST SUPPORT 4yr'!P12</f>
        <v>1106998.176</v>
      </c>
      <c r="Q12" s="89">
        <f>+'ACADEMIC SUPP 4yr'!Q12+'STU SERVICES 4yr'!Q12+'INST SUPPORT 4yr'!Q12</f>
        <v>1234435.1310000001</v>
      </c>
      <c r="R12" s="89">
        <f>+'ACADEMIC SUPP 4yr'!R12+'STU SERVICES 4yr'!R12+'INST SUPPORT 4yr'!R12</f>
        <v>1269568.1340000001</v>
      </c>
      <c r="S12" s="89">
        <f>+'ACADEMIC SUPP 4yr'!S12+'STU SERVICES 4yr'!S12+'INST SUPPORT 4yr'!S12</f>
        <v>1270953.7920000001</v>
      </c>
      <c r="T12" s="89">
        <f>+'ACADEMIC SUPP 4yr'!T12+'STU SERVICES 4yr'!T12+'INST SUPPORT 4yr'!T12</f>
        <v>1340728.827</v>
      </c>
      <c r="U12" s="89">
        <f>+'ACADEMIC SUPP 4yr'!U12+'STU SERVICES 4yr'!U12+'INST SUPPORT 4yr'!U12</f>
        <v>1288127.7309999999</v>
      </c>
      <c r="V12" s="89">
        <f>+'ACADEMIC SUPP 4yr'!V12+'STU SERVICES 4yr'!V12+'INST SUPPORT 4yr'!V12</f>
        <v>1437862.1780000001</v>
      </c>
      <c r="W12" s="89">
        <f>+'ACADEMIC SUPP 4yr'!W12+'STU SERVICES 4yr'!W12+'INST SUPPORT 4yr'!W12</f>
        <v>1569890.6349999998</v>
      </c>
      <c r="X12" s="89">
        <f>+'ACADEMIC SUPP 4yr'!X12+'STU SERVICES 4yr'!X12+'INST SUPPORT 4yr'!X12</f>
        <v>1543648.5079999999</v>
      </c>
      <c r="Y12" s="89">
        <f>+'ACADEMIC SUPP 4yr'!Y12+'STU SERVICES 4yr'!Y12+'INST SUPPORT 4yr'!Y12</f>
        <v>1623851.5929999999</v>
      </c>
      <c r="Z12" s="89">
        <f>+'ACADEMIC SUPP 4yr'!Z12+'STU SERVICES 4yr'!Z12+'INST SUPPORT 4yr'!Z12</f>
        <v>1800929.0870000001</v>
      </c>
      <c r="AA12" s="89">
        <f>+'ACADEMIC SUPP 4yr'!AA12+'STU SERVICES 4yr'!AA12+'INST SUPPORT 4yr'!AA12</f>
        <v>1875373.9780000001</v>
      </c>
    </row>
    <row r="13" spans="1:27">
      <c r="A13" s="22" t="s">
        <v>6</v>
      </c>
      <c r="B13" s="89">
        <f>+'ACADEMIC SUPP 4yr'!B13+'STU SERVICES 4yr'!B13+'INST SUPPORT 4yr'!B13</f>
        <v>196673</v>
      </c>
      <c r="C13" s="89">
        <f>+'ACADEMIC SUPP 4yr'!C13+'STU SERVICES 4yr'!C13+'INST SUPPORT 4yr'!C13</f>
        <v>217191</v>
      </c>
      <c r="D13" s="89">
        <f>+'ACADEMIC SUPP 4yr'!D13+'STU SERVICES 4yr'!D13+'INST SUPPORT 4yr'!D13</f>
        <v>206524</v>
      </c>
      <c r="E13" s="89">
        <f>+'ACADEMIC SUPP 4yr'!E13+'STU SERVICES 4yr'!E13+'INST SUPPORT 4yr'!E13</f>
        <v>301701.57699999999</v>
      </c>
      <c r="F13" s="89">
        <f>+'ACADEMIC SUPP 4yr'!F13+'STU SERVICES 4yr'!F13+'INST SUPPORT 4yr'!F13</f>
        <v>301504.86499999999</v>
      </c>
      <c r="G13" s="89">
        <f>+'ACADEMIC SUPP 4yr'!G13+'STU SERVICES 4yr'!G13+'INST SUPPORT 4yr'!G13</f>
        <v>339850.89899999998</v>
      </c>
      <c r="H13" s="89">
        <f>+'ACADEMIC SUPP 4yr'!H13+'STU SERVICES 4yr'!H13+'INST SUPPORT 4yr'!H13</f>
        <v>371894.61300000001</v>
      </c>
      <c r="I13" s="89">
        <f>+'ACADEMIC SUPP 4yr'!I13+'STU SERVICES 4yr'!I13+'INST SUPPORT 4yr'!I13</f>
        <v>416203.95999999996</v>
      </c>
      <c r="J13" s="89">
        <f>+'ACADEMIC SUPP 4yr'!J13+'STU SERVICES 4yr'!J13+'INST SUPPORT 4yr'!J13</f>
        <v>454314.478</v>
      </c>
      <c r="K13" s="89">
        <f>+'ACADEMIC SUPP 4yr'!K13+'STU SERVICES 4yr'!K13+'INST SUPPORT 4yr'!K13</f>
        <v>502271.60900000005</v>
      </c>
      <c r="L13" s="89">
        <f>+'ACADEMIC SUPP 4yr'!L13+'STU SERVICES 4yr'!L13+'INST SUPPORT 4yr'!L13</f>
        <v>624679.38100000005</v>
      </c>
      <c r="M13" s="89">
        <f>+'ACADEMIC SUPP 4yr'!M13+'STU SERVICES 4yr'!M13+'INST SUPPORT 4yr'!M13</f>
        <v>650760.43599999999</v>
      </c>
      <c r="N13" s="89">
        <f>+'ACADEMIC SUPP 4yr'!N13+'STU SERVICES 4yr'!N13+'INST SUPPORT 4yr'!N13</f>
        <v>653660.04700000002</v>
      </c>
      <c r="O13" s="89">
        <f>+'ACADEMIC SUPP 4yr'!O13+'STU SERVICES 4yr'!O13+'INST SUPPORT 4yr'!O13</f>
        <v>733831.55599999998</v>
      </c>
      <c r="P13" s="89">
        <f>+'ACADEMIC SUPP 4yr'!P13+'STU SERVICES 4yr'!P13+'INST SUPPORT 4yr'!P13</f>
        <v>721475.09100000001</v>
      </c>
      <c r="Q13" s="89">
        <f>+'ACADEMIC SUPP 4yr'!Q13+'STU SERVICES 4yr'!Q13+'INST SUPPORT 4yr'!Q13</f>
        <v>720529.18800000008</v>
      </c>
      <c r="R13" s="89">
        <f>+'ACADEMIC SUPP 4yr'!R13+'STU SERVICES 4yr'!R13+'INST SUPPORT 4yr'!R13</f>
        <v>803863.88699999999</v>
      </c>
      <c r="S13" s="89">
        <f>+'ACADEMIC SUPP 4yr'!S13+'STU SERVICES 4yr'!S13+'INST SUPPORT 4yr'!S13</f>
        <v>875699.08600000001</v>
      </c>
      <c r="T13" s="89">
        <f>+'ACADEMIC SUPP 4yr'!T13+'STU SERVICES 4yr'!T13+'INST SUPPORT 4yr'!T13</f>
        <v>949848.29200000013</v>
      </c>
      <c r="U13" s="89">
        <f>+'ACADEMIC SUPP 4yr'!U13+'STU SERVICES 4yr'!U13+'INST SUPPORT 4yr'!U13</f>
        <v>856142.47399999993</v>
      </c>
      <c r="V13" s="89">
        <f>+'ACADEMIC SUPP 4yr'!V13+'STU SERVICES 4yr'!V13+'INST SUPPORT 4yr'!V13</f>
        <v>1064920.423</v>
      </c>
      <c r="W13" s="89">
        <f>+'ACADEMIC SUPP 4yr'!W13+'STU SERVICES 4yr'!W13+'INST SUPPORT 4yr'!W13</f>
        <v>1165821.6810000001</v>
      </c>
      <c r="X13" s="89">
        <f>+'ACADEMIC SUPP 4yr'!X13+'STU SERVICES 4yr'!X13+'INST SUPPORT 4yr'!X13</f>
        <v>1243992.6100000001</v>
      </c>
      <c r="Y13" s="89">
        <f>+'ACADEMIC SUPP 4yr'!Y13+'STU SERVICES 4yr'!Y13+'INST SUPPORT 4yr'!Y13</f>
        <v>1336533.5060000001</v>
      </c>
      <c r="Z13" s="89">
        <f>+'ACADEMIC SUPP 4yr'!Z13+'STU SERVICES 4yr'!Z13+'INST SUPPORT 4yr'!Z13</f>
        <v>1394928.0150000001</v>
      </c>
      <c r="AA13" s="89">
        <f>+'ACADEMIC SUPP 4yr'!AA13+'STU SERVICES 4yr'!AA13+'INST SUPPORT 4yr'!AA13</f>
        <v>1482107.8019999999</v>
      </c>
    </row>
    <row r="14" spans="1:27">
      <c r="A14" s="22" t="s">
        <v>7</v>
      </c>
      <c r="B14" s="89">
        <f>+'ACADEMIC SUPP 4yr'!B14+'STU SERVICES 4yr'!B14+'INST SUPPORT 4yr'!B14</f>
        <v>156969</v>
      </c>
      <c r="C14" s="89">
        <f>+'ACADEMIC SUPP 4yr'!C14+'STU SERVICES 4yr'!C14+'INST SUPPORT 4yr'!C14</f>
        <v>164210</v>
      </c>
      <c r="D14" s="89">
        <f>+'ACADEMIC SUPP 4yr'!D14+'STU SERVICES 4yr'!D14+'INST SUPPORT 4yr'!D14</f>
        <v>177103</v>
      </c>
      <c r="E14" s="89">
        <f>+'ACADEMIC SUPP 4yr'!E14+'STU SERVICES 4yr'!E14+'INST SUPPORT 4yr'!E14</f>
        <v>247364.84</v>
      </c>
      <c r="F14" s="89">
        <f>+'ACADEMIC SUPP 4yr'!F14+'STU SERVICES 4yr'!F14+'INST SUPPORT 4yr'!F14</f>
        <v>253753.997</v>
      </c>
      <c r="G14" s="89">
        <f>+'ACADEMIC SUPP 4yr'!G14+'STU SERVICES 4yr'!G14+'INST SUPPORT 4yr'!G14</f>
        <v>248464.02100000001</v>
      </c>
      <c r="H14" s="89">
        <f>+'ACADEMIC SUPP 4yr'!H14+'STU SERVICES 4yr'!H14+'INST SUPPORT 4yr'!H14</f>
        <v>258720.66200000001</v>
      </c>
      <c r="I14" s="89">
        <f>+'ACADEMIC SUPP 4yr'!I14+'STU SERVICES 4yr'!I14+'INST SUPPORT 4yr'!I14</f>
        <v>279530.18400000001</v>
      </c>
      <c r="J14" s="89">
        <f>+'ACADEMIC SUPP 4yr'!J14+'STU SERVICES 4yr'!J14+'INST SUPPORT 4yr'!J14</f>
        <v>306477.00599999999</v>
      </c>
      <c r="K14" s="89">
        <f>+'ACADEMIC SUPP 4yr'!K14+'STU SERVICES 4yr'!K14+'INST SUPPORT 4yr'!K14</f>
        <v>321940.55</v>
      </c>
      <c r="L14" s="89">
        <f>+'ACADEMIC SUPP 4yr'!L14+'STU SERVICES 4yr'!L14+'INST SUPPORT 4yr'!L14</f>
        <v>392310.90500000003</v>
      </c>
      <c r="M14" s="89">
        <f>+'ACADEMIC SUPP 4yr'!M14+'STU SERVICES 4yr'!M14+'INST SUPPORT 4yr'!M14</f>
        <v>412999.51399999997</v>
      </c>
      <c r="N14" s="89">
        <f>+'ACADEMIC SUPP 4yr'!N14+'STU SERVICES 4yr'!N14+'INST SUPPORT 4yr'!N14</f>
        <v>387926.87199999997</v>
      </c>
      <c r="O14" s="89">
        <f>+'ACADEMIC SUPP 4yr'!O14+'STU SERVICES 4yr'!O14+'INST SUPPORT 4yr'!O14</f>
        <v>409040.87599999999</v>
      </c>
      <c r="P14" s="89">
        <f>+'ACADEMIC SUPP 4yr'!P14+'STU SERVICES 4yr'!P14+'INST SUPPORT 4yr'!P14</f>
        <v>423010.20199999999</v>
      </c>
      <c r="Q14" s="89">
        <f>+'ACADEMIC SUPP 4yr'!Q14+'STU SERVICES 4yr'!Q14+'INST SUPPORT 4yr'!Q14</f>
        <v>441965.092</v>
      </c>
      <c r="R14" s="89">
        <f>+'ACADEMIC SUPP 4yr'!R14+'STU SERVICES 4yr'!R14+'INST SUPPORT 4yr'!R14</f>
        <v>488253.75100000005</v>
      </c>
      <c r="S14" s="89">
        <f>+'ACADEMIC SUPP 4yr'!S14+'STU SERVICES 4yr'!S14+'INST SUPPORT 4yr'!S14</f>
        <v>531424.66399999999</v>
      </c>
      <c r="T14" s="89">
        <f>+'ACADEMIC SUPP 4yr'!T14+'STU SERVICES 4yr'!T14+'INST SUPPORT 4yr'!T14</f>
        <v>593743.11600000004</v>
      </c>
      <c r="U14" s="89">
        <f>+'ACADEMIC SUPP 4yr'!U14+'STU SERVICES 4yr'!U14+'INST SUPPORT 4yr'!U14</f>
        <v>635283.54799999995</v>
      </c>
      <c r="V14" s="89">
        <f>+'ACADEMIC SUPP 4yr'!V14+'STU SERVICES 4yr'!V14+'INST SUPPORT 4yr'!V14</f>
        <v>783830.65599999996</v>
      </c>
      <c r="W14" s="89">
        <f>+'ACADEMIC SUPP 4yr'!W14+'STU SERVICES 4yr'!W14+'INST SUPPORT 4yr'!W14</f>
        <v>781517.40899999999</v>
      </c>
      <c r="X14" s="89">
        <f>+'ACADEMIC SUPP 4yr'!X14+'STU SERVICES 4yr'!X14+'INST SUPPORT 4yr'!X14</f>
        <v>816212.41899999999</v>
      </c>
      <c r="Y14" s="89">
        <f>+'ACADEMIC SUPP 4yr'!Y14+'STU SERVICES 4yr'!Y14+'INST SUPPORT 4yr'!Y14</f>
        <v>834836.84100000001</v>
      </c>
      <c r="Z14" s="89">
        <f>+'ACADEMIC SUPP 4yr'!Z14+'STU SERVICES 4yr'!Z14+'INST SUPPORT 4yr'!Z14</f>
        <v>834051.70500000007</v>
      </c>
      <c r="AA14" s="89">
        <f>+'ACADEMIC SUPP 4yr'!AA14+'STU SERVICES 4yr'!AA14+'INST SUPPORT 4yr'!AA14</f>
        <v>905827.82500000007</v>
      </c>
    </row>
    <row r="15" spans="1:27">
      <c r="A15" s="22" t="s">
        <v>8</v>
      </c>
      <c r="B15" s="92">
        <f>+'ACADEMIC SUPP 4yr'!B15+'STU SERVICES 4yr'!B15+'INST SUPPORT 4yr'!B15</f>
        <v>167691</v>
      </c>
      <c r="C15" s="92">
        <f>+'ACADEMIC SUPP 4yr'!C15+'STU SERVICES 4yr'!C15+'INST SUPPORT 4yr'!C15</f>
        <v>178870</v>
      </c>
      <c r="D15" s="92">
        <f>+'ACADEMIC SUPP 4yr'!D15+'STU SERVICES 4yr'!D15+'INST SUPPORT 4yr'!D15</f>
        <v>182231</v>
      </c>
      <c r="E15" s="92">
        <f>+'ACADEMIC SUPP 4yr'!E15+'STU SERVICES 4yr'!E15+'INST SUPPORT 4yr'!E15</f>
        <v>258715.86300000001</v>
      </c>
      <c r="F15" s="92">
        <f>+'ACADEMIC SUPP 4yr'!F15+'STU SERVICES 4yr'!F15+'INST SUPPORT 4yr'!F15</f>
        <v>261587.74599999998</v>
      </c>
      <c r="G15" s="92">
        <f>+'ACADEMIC SUPP 4yr'!G15+'STU SERVICES 4yr'!G15+'INST SUPPORT 4yr'!G15</f>
        <v>267442.41899999999</v>
      </c>
      <c r="H15" s="92">
        <f>+'ACADEMIC SUPP 4yr'!H15+'STU SERVICES 4yr'!H15+'INST SUPPORT 4yr'!H15</f>
        <v>285984.39899999998</v>
      </c>
      <c r="I15" s="92">
        <f>+'ACADEMIC SUPP 4yr'!I15+'STU SERVICES 4yr'!I15+'INST SUPPORT 4yr'!I15</f>
        <v>306346.36899999995</v>
      </c>
      <c r="J15" s="92">
        <f>+'ACADEMIC SUPP 4yr'!J15+'STU SERVICES 4yr'!J15+'INST SUPPORT 4yr'!J15</f>
        <v>333005.49400000001</v>
      </c>
      <c r="K15" s="92">
        <f>+'ACADEMIC SUPP 4yr'!K15+'STU SERVICES 4yr'!K15+'INST SUPPORT 4yr'!K15</f>
        <v>345843.08900000004</v>
      </c>
      <c r="L15" s="92">
        <f>+'ACADEMIC SUPP 4yr'!L15+'STU SERVICES 4yr'!L15+'INST SUPPORT 4yr'!L15</f>
        <v>429692.13</v>
      </c>
      <c r="M15" s="92">
        <f>+'ACADEMIC SUPP 4yr'!M15+'STU SERVICES 4yr'!M15+'INST SUPPORT 4yr'!M15</f>
        <v>442261.33900000004</v>
      </c>
      <c r="N15" s="92">
        <f>+'ACADEMIC SUPP 4yr'!N15+'STU SERVICES 4yr'!N15+'INST SUPPORT 4yr'!N15</f>
        <v>446614.505</v>
      </c>
      <c r="O15" s="92">
        <f>+'ACADEMIC SUPP 4yr'!O15+'STU SERVICES 4yr'!O15+'INST SUPPORT 4yr'!O15</f>
        <v>474897.46199999994</v>
      </c>
      <c r="P15" s="92">
        <f>+'ACADEMIC SUPP 4yr'!P15+'STU SERVICES 4yr'!P15+'INST SUPPORT 4yr'!P15</f>
        <v>494494.05300000001</v>
      </c>
      <c r="Q15" s="92">
        <f>+'ACADEMIC SUPP 4yr'!Q15+'STU SERVICES 4yr'!Q15+'INST SUPPORT 4yr'!Q15</f>
        <v>513974.40900000004</v>
      </c>
      <c r="R15" s="92">
        <f>+'ACADEMIC SUPP 4yr'!R15+'STU SERVICES 4yr'!R15+'INST SUPPORT 4yr'!R15</f>
        <v>516432.16399999999</v>
      </c>
      <c r="S15" s="92">
        <f>+'ACADEMIC SUPP 4yr'!S15+'STU SERVICES 4yr'!S15+'INST SUPPORT 4yr'!S15</f>
        <v>537646.87300000002</v>
      </c>
      <c r="T15" s="92">
        <f>+'ACADEMIC SUPP 4yr'!T15+'STU SERVICES 4yr'!T15+'INST SUPPORT 4yr'!T15</f>
        <v>695106.98200000008</v>
      </c>
      <c r="U15" s="92">
        <f>+'ACADEMIC SUPP 4yr'!U15+'STU SERVICES 4yr'!U15+'INST SUPPORT 4yr'!U15</f>
        <v>637778.84100000001</v>
      </c>
      <c r="V15" s="92">
        <f>+'ACADEMIC SUPP 4yr'!V15+'STU SERVICES 4yr'!V15+'INST SUPPORT 4yr'!V15</f>
        <v>703238.36599999992</v>
      </c>
      <c r="W15" s="92">
        <f>+'ACADEMIC SUPP 4yr'!W15+'STU SERVICES 4yr'!W15+'INST SUPPORT 4yr'!W15</f>
        <v>706701.40899999999</v>
      </c>
      <c r="X15" s="92">
        <f>+'ACADEMIC SUPP 4yr'!X15+'STU SERVICES 4yr'!X15+'INST SUPPORT 4yr'!X15</f>
        <v>711867.68699999992</v>
      </c>
      <c r="Y15" s="92">
        <f>+'ACADEMIC SUPP 4yr'!Y15+'STU SERVICES 4yr'!Y15+'INST SUPPORT 4yr'!Y15</f>
        <v>700126.97799999989</v>
      </c>
      <c r="Z15" s="92">
        <f>+'ACADEMIC SUPP 4yr'!Z15+'STU SERVICES 4yr'!Z15+'INST SUPPORT 4yr'!Z15</f>
        <v>726429.63600000006</v>
      </c>
      <c r="AA15" s="92">
        <f>+'ACADEMIC SUPP 4yr'!AA15+'STU SERVICES 4yr'!AA15+'INST SUPPORT 4yr'!AA15</f>
        <v>773711.92100000009</v>
      </c>
    </row>
    <row r="16" spans="1:27">
      <c r="A16" s="22" t="s">
        <v>9</v>
      </c>
      <c r="B16" s="92">
        <f>+'ACADEMIC SUPP 4yr'!B16+'STU SERVICES 4yr'!B16+'INST SUPPORT 4yr'!B16</f>
        <v>131740</v>
      </c>
      <c r="C16" s="92">
        <f>+'ACADEMIC SUPP 4yr'!C16+'STU SERVICES 4yr'!C16+'INST SUPPORT 4yr'!C16</f>
        <v>161445</v>
      </c>
      <c r="D16" s="92">
        <f>+'ACADEMIC SUPP 4yr'!D16+'STU SERVICES 4yr'!D16+'INST SUPPORT 4yr'!D16</f>
        <v>163325</v>
      </c>
      <c r="E16" s="92">
        <f>+'ACADEMIC SUPP 4yr'!E16+'STU SERVICES 4yr'!E16+'INST SUPPORT 4yr'!E16</f>
        <v>260314.41200000001</v>
      </c>
      <c r="F16" s="92">
        <f>+'ACADEMIC SUPP 4yr'!F16+'STU SERVICES 4yr'!F16+'INST SUPPORT 4yr'!F16</f>
        <v>260350.929</v>
      </c>
      <c r="G16" s="92">
        <f>+'ACADEMIC SUPP 4yr'!G16+'STU SERVICES 4yr'!G16+'INST SUPPORT 4yr'!G16</f>
        <v>274814.16599999997</v>
      </c>
      <c r="H16" s="92">
        <f>+'ACADEMIC SUPP 4yr'!H16+'STU SERVICES 4yr'!H16+'INST SUPPORT 4yr'!H16</f>
        <v>286715.45199999999</v>
      </c>
      <c r="I16" s="92">
        <f>+'ACADEMIC SUPP 4yr'!I16+'STU SERVICES 4yr'!I16+'INST SUPPORT 4yr'!I16</f>
        <v>302259.049</v>
      </c>
      <c r="J16" s="92">
        <f>+'ACADEMIC SUPP 4yr'!J16+'STU SERVICES 4yr'!J16+'INST SUPPORT 4yr'!J16</f>
        <v>329237.777</v>
      </c>
      <c r="K16" s="92">
        <f>+'ACADEMIC SUPP 4yr'!K16+'STU SERVICES 4yr'!K16+'INST SUPPORT 4yr'!K16</f>
        <v>374218.62577000004</v>
      </c>
      <c r="L16" s="92">
        <f>+'ACADEMIC SUPP 4yr'!L16+'STU SERVICES 4yr'!L16+'INST SUPPORT 4yr'!L16</f>
        <v>463584.62699999998</v>
      </c>
      <c r="M16" s="92">
        <f>+'ACADEMIC SUPP 4yr'!M16+'STU SERVICES 4yr'!M16+'INST SUPPORT 4yr'!M16</f>
        <v>544385.97699999996</v>
      </c>
      <c r="N16" s="92">
        <f>+'ACADEMIC SUPP 4yr'!N16+'STU SERVICES 4yr'!N16+'INST SUPPORT 4yr'!N16</f>
        <v>605124.69700000004</v>
      </c>
      <c r="O16" s="92">
        <f>+'ACADEMIC SUPP 4yr'!O16+'STU SERVICES 4yr'!O16+'INST SUPPORT 4yr'!O16</f>
        <v>632957.00900000008</v>
      </c>
      <c r="P16" s="92">
        <f>+'ACADEMIC SUPP 4yr'!P16+'STU SERVICES 4yr'!P16+'INST SUPPORT 4yr'!P16</f>
        <v>656223.04700000002</v>
      </c>
      <c r="Q16" s="92">
        <f>+'ACADEMIC SUPP 4yr'!Q16+'STU SERVICES 4yr'!Q16+'INST SUPPORT 4yr'!Q16</f>
        <v>831941.82499999995</v>
      </c>
      <c r="R16" s="92">
        <f>+'ACADEMIC SUPP 4yr'!R16+'STU SERVICES 4yr'!R16+'INST SUPPORT 4yr'!R16</f>
        <v>740481.69800000009</v>
      </c>
      <c r="S16" s="92">
        <f>+'ACADEMIC SUPP 4yr'!S16+'STU SERVICES 4yr'!S16+'INST SUPPORT 4yr'!S16</f>
        <v>794057.90500000003</v>
      </c>
      <c r="T16" s="92">
        <f>+'ACADEMIC SUPP 4yr'!T16+'STU SERVICES 4yr'!T16+'INST SUPPORT 4yr'!T16</f>
        <v>888471.31799999997</v>
      </c>
      <c r="U16" s="92">
        <f>+'ACADEMIC SUPP 4yr'!U16+'STU SERVICES 4yr'!U16+'INST SUPPORT 4yr'!U16</f>
        <v>826960.94500000007</v>
      </c>
      <c r="V16" s="92">
        <f>+'ACADEMIC SUPP 4yr'!V16+'STU SERVICES 4yr'!V16+'INST SUPPORT 4yr'!V16</f>
        <v>1003753.99</v>
      </c>
      <c r="W16" s="92">
        <f>+'ACADEMIC SUPP 4yr'!W16+'STU SERVICES 4yr'!W16+'INST SUPPORT 4yr'!W16</f>
        <v>1031425.4979999999</v>
      </c>
      <c r="X16" s="92">
        <f>+'ACADEMIC SUPP 4yr'!X16+'STU SERVICES 4yr'!X16+'INST SUPPORT 4yr'!X16</f>
        <v>1091255.581</v>
      </c>
      <c r="Y16" s="92">
        <f>+'ACADEMIC SUPP 4yr'!Y16+'STU SERVICES 4yr'!Y16+'INST SUPPORT 4yr'!Y16</f>
        <v>1158555.125</v>
      </c>
      <c r="Z16" s="92">
        <f>+'ACADEMIC SUPP 4yr'!Z16+'STU SERVICES 4yr'!Z16+'INST SUPPORT 4yr'!Z16</f>
        <v>1225523.331</v>
      </c>
      <c r="AA16" s="92">
        <f>+'ACADEMIC SUPP 4yr'!AA16+'STU SERVICES 4yr'!AA16+'INST SUPPORT 4yr'!AA16</f>
        <v>1250386.2849999999</v>
      </c>
    </row>
    <row r="17" spans="1:27">
      <c r="A17" s="22" t="s">
        <v>10</v>
      </c>
      <c r="B17" s="92">
        <f>+'ACADEMIC SUPP 4yr'!B17+'STU SERVICES 4yr'!B17+'INST SUPPORT 4yr'!B17</f>
        <v>76206</v>
      </c>
      <c r="C17" s="92">
        <f>+'ACADEMIC SUPP 4yr'!C17+'STU SERVICES 4yr'!C17+'INST SUPPORT 4yr'!C17</f>
        <v>80751</v>
      </c>
      <c r="D17" s="92">
        <f>+'ACADEMIC SUPP 4yr'!D17+'STU SERVICES 4yr'!D17+'INST SUPPORT 4yr'!D17</f>
        <v>89490</v>
      </c>
      <c r="E17" s="92">
        <f>+'ACADEMIC SUPP 4yr'!E17+'STU SERVICES 4yr'!E17+'INST SUPPORT 4yr'!E17</f>
        <v>128938.482</v>
      </c>
      <c r="F17" s="92">
        <f>+'ACADEMIC SUPP 4yr'!F17+'STU SERVICES 4yr'!F17+'INST SUPPORT 4yr'!F17</f>
        <v>133300.17000000001</v>
      </c>
      <c r="G17" s="92">
        <f>+'ACADEMIC SUPP 4yr'!G17+'STU SERVICES 4yr'!G17+'INST SUPPORT 4yr'!G17</f>
        <v>147569.96600000001</v>
      </c>
      <c r="H17" s="92">
        <f>+'ACADEMIC SUPP 4yr'!H17+'STU SERVICES 4yr'!H17+'INST SUPPORT 4yr'!H17</f>
        <v>161588.603</v>
      </c>
      <c r="I17" s="92">
        <f>+'ACADEMIC SUPP 4yr'!I17+'STU SERVICES 4yr'!I17+'INST SUPPORT 4yr'!I17</f>
        <v>179331.90299999999</v>
      </c>
      <c r="J17" s="92">
        <f>+'ACADEMIC SUPP 4yr'!J17+'STU SERVICES 4yr'!J17+'INST SUPPORT 4yr'!J17</f>
        <v>196906.389</v>
      </c>
      <c r="K17" s="92">
        <f>+'ACADEMIC SUPP 4yr'!K17+'STU SERVICES 4yr'!K17+'INST SUPPORT 4yr'!K17</f>
        <v>199272.93599999999</v>
      </c>
      <c r="L17" s="92">
        <f>+'ACADEMIC SUPP 4yr'!L17+'STU SERVICES 4yr'!L17+'INST SUPPORT 4yr'!L17</f>
        <v>264687.02</v>
      </c>
      <c r="M17" s="92">
        <f>+'ACADEMIC SUPP 4yr'!M17+'STU SERVICES 4yr'!M17+'INST SUPPORT 4yr'!M17</f>
        <v>247604.399</v>
      </c>
      <c r="N17" s="92">
        <f>+'ACADEMIC SUPP 4yr'!N17+'STU SERVICES 4yr'!N17+'INST SUPPORT 4yr'!N17</f>
        <v>254070.27799999999</v>
      </c>
      <c r="O17" s="92">
        <f>+'ACADEMIC SUPP 4yr'!O17+'STU SERVICES 4yr'!O17+'INST SUPPORT 4yr'!O17</f>
        <v>283234.08199999999</v>
      </c>
      <c r="P17" s="92">
        <f>+'ACADEMIC SUPP 4yr'!P17+'STU SERVICES 4yr'!P17+'INST SUPPORT 4yr'!P17</f>
        <v>299858.92800000001</v>
      </c>
      <c r="Q17" s="92">
        <f>+'ACADEMIC SUPP 4yr'!Q17+'STU SERVICES 4yr'!Q17+'INST SUPPORT 4yr'!Q17</f>
        <v>322166.43299999996</v>
      </c>
      <c r="R17" s="92">
        <f>+'ACADEMIC SUPP 4yr'!R17+'STU SERVICES 4yr'!R17+'INST SUPPORT 4yr'!R17</f>
        <v>352567.783</v>
      </c>
      <c r="S17" s="92">
        <f>+'ACADEMIC SUPP 4yr'!S17+'STU SERVICES 4yr'!S17+'INST SUPPORT 4yr'!S17</f>
        <v>379918.16700000002</v>
      </c>
      <c r="T17" s="92">
        <f>+'ACADEMIC SUPP 4yr'!T17+'STU SERVICES 4yr'!T17+'INST SUPPORT 4yr'!T17</f>
        <v>407338.62400000001</v>
      </c>
      <c r="U17" s="92">
        <f>+'ACADEMIC SUPP 4yr'!U17+'STU SERVICES 4yr'!U17+'INST SUPPORT 4yr'!U17</f>
        <v>336631.08600000001</v>
      </c>
      <c r="V17" s="92">
        <f>+'ACADEMIC SUPP 4yr'!V17+'STU SERVICES 4yr'!V17+'INST SUPPORT 4yr'!V17</f>
        <v>455802.462</v>
      </c>
      <c r="W17" s="92">
        <f>+'ACADEMIC SUPP 4yr'!W17+'STU SERVICES 4yr'!W17+'INST SUPPORT 4yr'!W17</f>
        <v>469286.42300000001</v>
      </c>
      <c r="X17" s="92">
        <f>+'ACADEMIC SUPP 4yr'!X17+'STU SERVICES 4yr'!X17+'INST SUPPORT 4yr'!X17</f>
        <v>521202.62899999996</v>
      </c>
      <c r="Y17" s="92">
        <f>+'ACADEMIC SUPP 4yr'!Y17+'STU SERVICES 4yr'!Y17+'INST SUPPORT 4yr'!Y17</f>
        <v>521848.55599999998</v>
      </c>
      <c r="Z17" s="92">
        <f>+'ACADEMIC SUPP 4yr'!Z17+'STU SERVICES 4yr'!Z17+'INST SUPPORT 4yr'!Z17</f>
        <v>577258.28099999996</v>
      </c>
      <c r="AA17" s="92">
        <f>+'ACADEMIC SUPP 4yr'!AA17+'STU SERVICES 4yr'!AA17+'INST SUPPORT 4yr'!AA17</f>
        <v>573133.77399999998</v>
      </c>
    </row>
    <row r="18" spans="1:27">
      <c r="A18" s="22" t="s">
        <v>11</v>
      </c>
      <c r="B18" s="92">
        <f>+'ACADEMIC SUPP 4yr'!B18+'STU SERVICES 4yr'!B18+'INST SUPPORT 4yr'!B18</f>
        <v>167582</v>
      </c>
      <c r="C18" s="92">
        <f>+'ACADEMIC SUPP 4yr'!C18+'STU SERVICES 4yr'!C18+'INST SUPPORT 4yr'!C18</f>
        <v>191588</v>
      </c>
      <c r="D18" s="92">
        <f>+'ACADEMIC SUPP 4yr'!D18+'STU SERVICES 4yr'!D18+'INST SUPPORT 4yr'!D18</f>
        <v>215209</v>
      </c>
      <c r="E18" s="92">
        <f>+'ACADEMIC SUPP 4yr'!E18+'STU SERVICES 4yr'!E18+'INST SUPPORT 4yr'!E18</f>
        <v>308754.09100000001</v>
      </c>
      <c r="F18" s="92">
        <f>+'ACADEMIC SUPP 4yr'!F18+'STU SERVICES 4yr'!F18+'INST SUPPORT 4yr'!F18</f>
        <v>322964.11200000002</v>
      </c>
      <c r="G18" s="92">
        <f>+'ACADEMIC SUPP 4yr'!G18+'STU SERVICES 4yr'!G18+'INST SUPPORT 4yr'!G18</f>
        <v>365804.91899999999</v>
      </c>
      <c r="H18" s="92">
        <f>+'ACADEMIC SUPP 4yr'!H18+'STU SERVICES 4yr'!H18+'INST SUPPORT 4yr'!H18</f>
        <v>402649.74</v>
      </c>
      <c r="I18" s="92">
        <f>+'ACADEMIC SUPP 4yr'!I18+'STU SERVICES 4yr'!I18+'INST SUPPORT 4yr'!I18</f>
        <v>414870.185</v>
      </c>
      <c r="J18" s="92">
        <f>+'ACADEMIC SUPP 4yr'!J18+'STU SERVICES 4yr'!J18+'INST SUPPORT 4yr'!J18</f>
        <v>451685.13199999998</v>
      </c>
      <c r="K18" s="92">
        <f>+'ACADEMIC SUPP 4yr'!K18+'STU SERVICES 4yr'!K18+'INST SUPPORT 4yr'!K18</f>
        <v>488256.20699999994</v>
      </c>
      <c r="L18" s="92">
        <f>+'ACADEMIC SUPP 4yr'!L18+'STU SERVICES 4yr'!L18+'INST SUPPORT 4yr'!L18</f>
        <v>564086.50800000003</v>
      </c>
      <c r="M18" s="92">
        <f>+'ACADEMIC SUPP 4yr'!M18+'STU SERVICES 4yr'!M18+'INST SUPPORT 4yr'!M18</f>
        <v>615747.74199999997</v>
      </c>
      <c r="N18" s="92">
        <f>+'ACADEMIC SUPP 4yr'!N18+'STU SERVICES 4yr'!N18+'INST SUPPORT 4yr'!N18</f>
        <v>595761.45799999998</v>
      </c>
      <c r="O18" s="92">
        <f>+'ACADEMIC SUPP 4yr'!O18+'STU SERVICES 4yr'!O18+'INST SUPPORT 4yr'!O18</f>
        <v>656935.69900000002</v>
      </c>
      <c r="P18" s="92">
        <f>+'ACADEMIC SUPP 4yr'!P18+'STU SERVICES 4yr'!P18+'INST SUPPORT 4yr'!P18</f>
        <v>704379.70500000007</v>
      </c>
      <c r="Q18" s="92">
        <f>+'ACADEMIC SUPP 4yr'!Q18+'STU SERVICES 4yr'!Q18+'INST SUPPORT 4yr'!Q18</f>
        <v>754118.17200000002</v>
      </c>
      <c r="R18" s="92">
        <f>+'ACADEMIC SUPP 4yr'!R18+'STU SERVICES 4yr'!R18+'INST SUPPORT 4yr'!R18</f>
        <v>812737.53500000003</v>
      </c>
      <c r="S18" s="92">
        <f>+'ACADEMIC SUPP 4yr'!S18+'STU SERVICES 4yr'!S18+'INST SUPPORT 4yr'!S18</f>
        <v>905547.84200000006</v>
      </c>
      <c r="T18" s="92">
        <f>+'ACADEMIC SUPP 4yr'!T18+'STU SERVICES 4yr'!T18+'INST SUPPORT 4yr'!T18</f>
        <v>974293.82000000007</v>
      </c>
      <c r="U18" s="92">
        <f>+'ACADEMIC SUPP 4yr'!U18+'STU SERVICES 4yr'!U18+'INST SUPPORT 4yr'!U18</f>
        <v>973809.09100000001</v>
      </c>
      <c r="V18" s="92">
        <f>+'ACADEMIC SUPP 4yr'!V18+'STU SERVICES 4yr'!V18+'INST SUPPORT 4yr'!V18</f>
        <v>1170696.23</v>
      </c>
      <c r="W18" s="92">
        <f>+'ACADEMIC SUPP 4yr'!W18+'STU SERVICES 4yr'!W18+'INST SUPPORT 4yr'!W18</f>
        <v>1214113.216</v>
      </c>
      <c r="X18" s="92">
        <f>+'ACADEMIC SUPP 4yr'!X18+'STU SERVICES 4yr'!X18+'INST SUPPORT 4yr'!X18</f>
        <v>1208880.024</v>
      </c>
      <c r="Y18" s="92">
        <f>+'ACADEMIC SUPP 4yr'!Y18+'STU SERVICES 4yr'!Y18+'INST SUPPORT 4yr'!Y18</f>
        <v>1303762.1499999999</v>
      </c>
      <c r="Z18" s="92">
        <f>+'ACADEMIC SUPP 4yr'!Z18+'STU SERVICES 4yr'!Z18+'INST SUPPORT 4yr'!Z18</f>
        <v>1335516.5890000002</v>
      </c>
      <c r="AA18" s="92">
        <f>+'ACADEMIC SUPP 4yr'!AA18+'STU SERVICES 4yr'!AA18+'INST SUPPORT 4yr'!AA18</f>
        <v>1376917.4309999999</v>
      </c>
    </row>
    <row r="19" spans="1:27">
      <c r="A19" s="22" t="s">
        <v>12</v>
      </c>
      <c r="B19" s="92">
        <f>+'ACADEMIC SUPP 4yr'!B19+'STU SERVICES 4yr'!B19+'INST SUPPORT 4yr'!B19</f>
        <v>61693</v>
      </c>
      <c r="C19" s="92">
        <f>+'ACADEMIC SUPP 4yr'!C19+'STU SERVICES 4yr'!C19+'INST SUPPORT 4yr'!C19</f>
        <v>65659</v>
      </c>
      <c r="D19" s="92">
        <f>+'ACADEMIC SUPP 4yr'!D19+'STU SERVICES 4yr'!D19+'INST SUPPORT 4yr'!D19</f>
        <v>78754</v>
      </c>
      <c r="E19" s="92">
        <f>+'ACADEMIC SUPP 4yr'!E19+'STU SERVICES 4yr'!E19+'INST SUPPORT 4yr'!E19</f>
        <v>125736.864</v>
      </c>
      <c r="F19" s="92">
        <f>+'ACADEMIC SUPP 4yr'!F19+'STU SERVICES 4yr'!F19+'INST SUPPORT 4yr'!F19</f>
        <v>150481.98700000002</v>
      </c>
      <c r="G19" s="92">
        <f>+'ACADEMIC SUPP 4yr'!G19+'STU SERVICES 4yr'!G19+'INST SUPPORT 4yr'!G19</f>
        <v>164171.02499999999</v>
      </c>
      <c r="H19" s="92">
        <f>+'ACADEMIC SUPP 4yr'!H19+'STU SERVICES 4yr'!H19+'INST SUPPORT 4yr'!H19</f>
        <v>162836.39600000001</v>
      </c>
      <c r="I19" s="92">
        <f>+'ACADEMIC SUPP 4yr'!I19+'STU SERVICES 4yr'!I19+'INST SUPPORT 4yr'!I19</f>
        <v>167622.51999999999</v>
      </c>
      <c r="J19" s="92">
        <f>+'ACADEMIC SUPP 4yr'!J19+'STU SERVICES 4yr'!J19+'INST SUPPORT 4yr'!J19</f>
        <v>174249.41399999999</v>
      </c>
      <c r="K19" s="92">
        <f>+'ACADEMIC SUPP 4yr'!K19+'STU SERVICES 4yr'!K19+'INST SUPPORT 4yr'!K19</f>
        <v>192944.67945</v>
      </c>
      <c r="L19" s="92">
        <f>+'ACADEMIC SUPP 4yr'!L19+'STU SERVICES 4yr'!L19+'INST SUPPORT 4yr'!L19</f>
        <v>271963.53499999997</v>
      </c>
      <c r="M19" s="92">
        <f>+'ACADEMIC SUPP 4yr'!M19+'STU SERVICES 4yr'!M19+'INST SUPPORT 4yr'!M19</f>
        <v>284564.04499999998</v>
      </c>
      <c r="N19" s="92">
        <f>+'ACADEMIC SUPP 4yr'!N19+'STU SERVICES 4yr'!N19+'INST SUPPORT 4yr'!N19</f>
        <v>265069.64899999998</v>
      </c>
      <c r="O19" s="92">
        <f>+'ACADEMIC SUPP 4yr'!O19+'STU SERVICES 4yr'!O19+'INST SUPPORT 4yr'!O19</f>
        <v>277366.56900000002</v>
      </c>
      <c r="P19" s="92">
        <f>+'ACADEMIC SUPP 4yr'!P19+'STU SERVICES 4yr'!P19+'INST SUPPORT 4yr'!P19</f>
        <v>298980.12</v>
      </c>
      <c r="Q19" s="92">
        <f>+'ACADEMIC SUPP 4yr'!Q19+'STU SERVICES 4yr'!Q19+'INST SUPPORT 4yr'!Q19</f>
        <v>301156.77999999997</v>
      </c>
      <c r="R19" s="92">
        <f>+'ACADEMIC SUPP 4yr'!R19+'STU SERVICES 4yr'!R19+'INST SUPPORT 4yr'!R19</f>
        <v>335022.51700000005</v>
      </c>
      <c r="S19" s="92">
        <f>+'ACADEMIC SUPP 4yr'!S19+'STU SERVICES 4yr'!S19+'INST SUPPORT 4yr'!S19</f>
        <v>373968.571</v>
      </c>
      <c r="T19" s="92">
        <f>+'ACADEMIC SUPP 4yr'!T19+'STU SERVICES 4yr'!T19+'INST SUPPORT 4yr'!T19</f>
        <v>457057.50199999998</v>
      </c>
      <c r="U19" s="92">
        <f>+'ACADEMIC SUPP 4yr'!U19+'STU SERVICES 4yr'!U19+'INST SUPPORT 4yr'!U19</f>
        <v>397109.66500000004</v>
      </c>
      <c r="V19" s="92">
        <f>+'ACADEMIC SUPP 4yr'!V19+'STU SERVICES 4yr'!V19+'INST SUPPORT 4yr'!V19</f>
        <v>542229.48300000001</v>
      </c>
      <c r="W19" s="92">
        <f>+'ACADEMIC SUPP 4yr'!W19+'STU SERVICES 4yr'!W19+'INST SUPPORT 4yr'!W19</f>
        <v>533650.59899999993</v>
      </c>
      <c r="X19" s="92">
        <f>+'ACADEMIC SUPP 4yr'!X19+'STU SERVICES 4yr'!X19+'INST SUPPORT 4yr'!X19</f>
        <v>558713.09899999993</v>
      </c>
      <c r="Y19" s="92">
        <f>+'ACADEMIC SUPP 4yr'!Y19+'STU SERVICES 4yr'!Y19+'INST SUPPORT 4yr'!Y19</f>
        <v>555321.31599999999</v>
      </c>
      <c r="Z19" s="92">
        <f>+'ACADEMIC SUPP 4yr'!Z19+'STU SERVICES 4yr'!Z19+'INST SUPPORT 4yr'!Z19</f>
        <v>578391.076</v>
      </c>
      <c r="AA19" s="92">
        <f>+'ACADEMIC SUPP 4yr'!AA19+'STU SERVICES 4yr'!AA19+'INST SUPPORT 4yr'!AA19</f>
        <v>600145.54300000006</v>
      </c>
    </row>
    <row r="20" spans="1:27">
      <c r="A20" s="22" t="s">
        <v>13</v>
      </c>
      <c r="B20" s="92">
        <f>+'ACADEMIC SUPP 4yr'!B20+'STU SERVICES 4yr'!B20+'INST SUPPORT 4yr'!B20</f>
        <v>110763</v>
      </c>
      <c r="C20" s="92">
        <f>+'ACADEMIC SUPP 4yr'!C20+'STU SERVICES 4yr'!C20+'INST SUPPORT 4yr'!C20</f>
        <v>131455</v>
      </c>
      <c r="D20" s="92">
        <f>+'ACADEMIC SUPP 4yr'!D20+'STU SERVICES 4yr'!D20+'INST SUPPORT 4yr'!D20</f>
        <v>141724</v>
      </c>
      <c r="E20" s="92">
        <f>+'ACADEMIC SUPP 4yr'!E20+'STU SERVICES 4yr'!E20+'INST SUPPORT 4yr'!E20</f>
        <v>199270.467</v>
      </c>
      <c r="F20" s="92">
        <f>+'ACADEMIC SUPP 4yr'!F20+'STU SERVICES 4yr'!F20+'INST SUPPORT 4yr'!F20</f>
        <v>196248.86</v>
      </c>
      <c r="G20" s="92">
        <f>+'ACADEMIC SUPP 4yr'!G20+'STU SERVICES 4yr'!G20+'INST SUPPORT 4yr'!G20</f>
        <v>205056.67599999998</v>
      </c>
      <c r="H20" s="92">
        <f>+'ACADEMIC SUPP 4yr'!H20+'STU SERVICES 4yr'!H20+'INST SUPPORT 4yr'!H20</f>
        <v>222887.71299999999</v>
      </c>
      <c r="I20" s="92">
        <f>+'ACADEMIC SUPP 4yr'!I20+'STU SERVICES 4yr'!I20+'INST SUPPORT 4yr'!I20</f>
        <v>227037.44500000001</v>
      </c>
      <c r="J20" s="92">
        <f>+'ACADEMIC SUPP 4yr'!J20+'STU SERVICES 4yr'!J20+'INST SUPPORT 4yr'!J20</f>
        <v>247784.78399999999</v>
      </c>
      <c r="K20" s="92">
        <f>+'ACADEMIC SUPP 4yr'!K20+'STU SERVICES 4yr'!K20+'INST SUPPORT 4yr'!K20</f>
        <v>259157.147</v>
      </c>
      <c r="L20" s="92">
        <f>+'ACADEMIC SUPP 4yr'!L20+'STU SERVICES 4yr'!L20+'INST SUPPORT 4yr'!L20</f>
        <v>319436.22600000002</v>
      </c>
      <c r="M20" s="92">
        <f>+'ACADEMIC SUPP 4yr'!M20+'STU SERVICES 4yr'!M20+'INST SUPPORT 4yr'!M20</f>
        <v>334257.70599999995</v>
      </c>
      <c r="N20" s="92">
        <f>+'ACADEMIC SUPP 4yr'!N20+'STU SERVICES 4yr'!N20+'INST SUPPORT 4yr'!N20</f>
        <v>336857.74700000003</v>
      </c>
      <c r="O20" s="92">
        <f>+'ACADEMIC SUPP 4yr'!O20+'STU SERVICES 4yr'!O20+'INST SUPPORT 4yr'!O20</f>
        <v>354420.90299999999</v>
      </c>
      <c r="P20" s="92">
        <f>+'ACADEMIC SUPP 4yr'!P20+'STU SERVICES 4yr'!P20+'INST SUPPORT 4yr'!P20</f>
        <v>366742.41099999996</v>
      </c>
      <c r="Q20" s="92">
        <f>+'ACADEMIC SUPP 4yr'!Q20+'STU SERVICES 4yr'!Q20+'INST SUPPORT 4yr'!Q20</f>
        <v>407196.71100000001</v>
      </c>
      <c r="R20" s="92">
        <f>+'ACADEMIC SUPP 4yr'!R20+'STU SERVICES 4yr'!R20+'INST SUPPORT 4yr'!R20</f>
        <v>451921.51</v>
      </c>
      <c r="S20" s="92">
        <f>+'ACADEMIC SUPP 4yr'!S20+'STU SERVICES 4yr'!S20+'INST SUPPORT 4yr'!S20</f>
        <v>482522.64399999997</v>
      </c>
      <c r="T20" s="92">
        <f>+'ACADEMIC SUPP 4yr'!T20+'STU SERVICES 4yr'!T20+'INST SUPPORT 4yr'!T20</f>
        <v>537404.47699999996</v>
      </c>
      <c r="U20" s="92">
        <f>+'ACADEMIC SUPP 4yr'!U20+'STU SERVICES 4yr'!U20+'INST SUPPORT 4yr'!U20</f>
        <v>439403.02899999998</v>
      </c>
      <c r="V20" s="92">
        <f>+'ACADEMIC SUPP 4yr'!V20+'STU SERVICES 4yr'!V20+'INST SUPPORT 4yr'!V20</f>
        <v>616016.34300000011</v>
      </c>
      <c r="W20" s="92">
        <f>+'ACADEMIC SUPP 4yr'!W20+'STU SERVICES 4yr'!W20+'INST SUPPORT 4yr'!W20</f>
        <v>645365.60100000002</v>
      </c>
      <c r="X20" s="92">
        <f>+'ACADEMIC SUPP 4yr'!X20+'STU SERVICES 4yr'!X20+'INST SUPPORT 4yr'!X20</f>
        <v>686987.24699999997</v>
      </c>
      <c r="Y20" s="92">
        <f>+'ACADEMIC SUPP 4yr'!Y20+'STU SERVICES 4yr'!Y20+'INST SUPPORT 4yr'!Y20</f>
        <v>747112.06799999997</v>
      </c>
      <c r="Z20" s="92">
        <f>+'ACADEMIC SUPP 4yr'!Z20+'STU SERVICES 4yr'!Z20+'INST SUPPORT 4yr'!Z20</f>
        <v>792717.321</v>
      </c>
      <c r="AA20" s="92">
        <f>+'ACADEMIC SUPP 4yr'!AA20+'STU SERVICES 4yr'!AA20+'INST SUPPORT 4yr'!AA20</f>
        <v>852154.0290000001</v>
      </c>
    </row>
    <row r="21" spans="1:27" s="17" customFormat="1">
      <c r="A21" s="22" t="s">
        <v>14</v>
      </c>
      <c r="B21" s="92">
        <f>+'ACADEMIC SUPP 4yr'!B21+'STU SERVICES 4yr'!B21+'INST SUPPORT 4yr'!B21</f>
        <v>135865</v>
      </c>
      <c r="C21" s="92">
        <f>+'ACADEMIC SUPP 4yr'!C21+'STU SERVICES 4yr'!C21+'INST SUPPORT 4yr'!C21</f>
        <v>154937</v>
      </c>
      <c r="D21" s="92">
        <f>+'ACADEMIC SUPP 4yr'!D21+'STU SERVICES 4yr'!D21+'INST SUPPORT 4yr'!D21</f>
        <v>173284</v>
      </c>
      <c r="E21" s="92">
        <f>+'ACADEMIC SUPP 4yr'!E21+'STU SERVICES 4yr'!E21+'INST SUPPORT 4yr'!E21</f>
        <v>247555.90100000001</v>
      </c>
      <c r="F21" s="92">
        <f>+'ACADEMIC SUPP 4yr'!F21+'STU SERVICES 4yr'!F21+'INST SUPPORT 4yr'!F21</f>
        <v>224316.823</v>
      </c>
      <c r="G21" s="92">
        <f>+'ACADEMIC SUPP 4yr'!G21+'STU SERVICES 4yr'!G21+'INST SUPPORT 4yr'!G21</f>
        <v>263434.50400000002</v>
      </c>
      <c r="H21" s="92">
        <f>+'ACADEMIC SUPP 4yr'!H21+'STU SERVICES 4yr'!H21+'INST SUPPORT 4yr'!H21</f>
        <v>291109.03200000001</v>
      </c>
      <c r="I21" s="92">
        <f>+'ACADEMIC SUPP 4yr'!I21+'STU SERVICES 4yr'!I21+'INST SUPPORT 4yr'!I21</f>
        <v>295570.16499999998</v>
      </c>
      <c r="J21" s="92">
        <f>+'ACADEMIC SUPP 4yr'!J21+'STU SERVICES 4yr'!J21+'INST SUPPORT 4yr'!J21</f>
        <v>340450.18</v>
      </c>
      <c r="K21" s="92">
        <f>+'ACADEMIC SUPP 4yr'!K21+'STU SERVICES 4yr'!K21+'INST SUPPORT 4yr'!K21</f>
        <v>344285.73157</v>
      </c>
      <c r="L21" s="92">
        <f>+'ACADEMIC SUPP 4yr'!L21+'STU SERVICES 4yr'!L21+'INST SUPPORT 4yr'!L21</f>
        <v>379878.18900000001</v>
      </c>
      <c r="M21" s="92">
        <f>+'ACADEMIC SUPP 4yr'!M21+'STU SERVICES 4yr'!M21+'INST SUPPORT 4yr'!M21</f>
        <v>423976.00699999998</v>
      </c>
      <c r="N21" s="92">
        <f>+'ACADEMIC SUPP 4yr'!N21+'STU SERVICES 4yr'!N21+'INST SUPPORT 4yr'!N21</f>
        <v>430490.946</v>
      </c>
      <c r="O21" s="92">
        <f>+'ACADEMIC SUPP 4yr'!O21+'STU SERVICES 4yr'!O21+'INST SUPPORT 4yr'!O21</f>
        <v>468713.31299999997</v>
      </c>
      <c r="P21" s="92">
        <f>+'ACADEMIC SUPP 4yr'!P21+'STU SERVICES 4yr'!P21+'INST SUPPORT 4yr'!P21</f>
        <v>464803.67700000003</v>
      </c>
      <c r="Q21" s="92">
        <f>+'ACADEMIC SUPP 4yr'!Q21+'STU SERVICES 4yr'!Q21+'INST SUPPORT 4yr'!Q21</f>
        <v>509040.45600000001</v>
      </c>
      <c r="R21" s="92">
        <f>+'ACADEMIC SUPP 4yr'!R21+'STU SERVICES 4yr'!R21+'INST SUPPORT 4yr'!R21</f>
        <v>524260.13500000001</v>
      </c>
      <c r="S21" s="92">
        <f>+'ACADEMIC SUPP 4yr'!S21+'STU SERVICES 4yr'!S21+'INST SUPPORT 4yr'!S21</f>
        <v>546828.93299999996</v>
      </c>
      <c r="T21" s="92">
        <f>+'ACADEMIC SUPP 4yr'!T21+'STU SERVICES 4yr'!T21+'INST SUPPORT 4yr'!T21</f>
        <v>603717.25099999993</v>
      </c>
      <c r="U21" s="92">
        <f>+'ACADEMIC SUPP 4yr'!U21+'STU SERVICES 4yr'!U21+'INST SUPPORT 4yr'!U21</f>
        <v>618379.67700000003</v>
      </c>
      <c r="V21" s="92">
        <f>+'ACADEMIC SUPP 4yr'!V21+'STU SERVICES 4yr'!V21+'INST SUPPORT 4yr'!V21</f>
        <v>722942.52299999993</v>
      </c>
      <c r="W21" s="92">
        <f>+'ACADEMIC SUPP 4yr'!W21+'STU SERVICES 4yr'!W21+'INST SUPPORT 4yr'!W21</f>
        <v>758466.59400000004</v>
      </c>
      <c r="X21" s="92">
        <f>+'ACADEMIC SUPP 4yr'!X21+'STU SERVICES 4yr'!X21+'INST SUPPORT 4yr'!X21</f>
        <v>845866.73399999994</v>
      </c>
      <c r="Y21" s="92">
        <f>+'ACADEMIC SUPP 4yr'!Y21+'STU SERVICES 4yr'!Y21+'INST SUPPORT 4yr'!Y21</f>
        <v>845917.55900000001</v>
      </c>
      <c r="Z21" s="92">
        <f>+'ACADEMIC SUPP 4yr'!Z21+'STU SERVICES 4yr'!Z21+'INST SUPPORT 4yr'!Z21</f>
        <v>902131.09400000004</v>
      </c>
      <c r="AA21" s="92">
        <f>+'ACADEMIC SUPP 4yr'!AA21+'STU SERVICES 4yr'!AA21+'INST SUPPORT 4yr'!AA21</f>
        <v>888681.897</v>
      </c>
    </row>
    <row r="22" spans="1:27">
      <c r="A22" s="22" t="s">
        <v>15</v>
      </c>
      <c r="B22" s="92">
        <f>+'ACADEMIC SUPP 4yr'!B22+'STU SERVICES 4yr'!B22+'INST SUPPORT 4yr'!B22</f>
        <v>496540</v>
      </c>
      <c r="C22" s="92">
        <f>+'ACADEMIC SUPP 4yr'!C22+'STU SERVICES 4yr'!C22+'INST SUPPORT 4yr'!C22</f>
        <v>541872</v>
      </c>
      <c r="D22" s="92">
        <f>+'ACADEMIC SUPP 4yr'!D22+'STU SERVICES 4yr'!D22+'INST SUPPORT 4yr'!D22</f>
        <v>587775</v>
      </c>
      <c r="E22" s="92">
        <f>+'ACADEMIC SUPP 4yr'!E22+'STU SERVICES 4yr'!E22+'INST SUPPORT 4yr'!E22</f>
        <v>837054.42400000012</v>
      </c>
      <c r="F22" s="92">
        <f>+'ACADEMIC SUPP 4yr'!F22+'STU SERVICES 4yr'!F22+'INST SUPPORT 4yr'!F22</f>
        <v>828645.16599999997</v>
      </c>
      <c r="G22" s="92">
        <f>+'ACADEMIC SUPP 4yr'!G22+'STU SERVICES 4yr'!G22+'INST SUPPORT 4yr'!G22</f>
        <v>900950.98</v>
      </c>
      <c r="H22" s="92">
        <f>+'ACADEMIC SUPP 4yr'!H22+'STU SERVICES 4yr'!H22+'INST SUPPORT 4yr'!H22</f>
        <v>943926.42800000007</v>
      </c>
      <c r="I22" s="92">
        <f>+'ACADEMIC SUPP 4yr'!I22+'STU SERVICES 4yr'!I22+'INST SUPPORT 4yr'!I22</f>
        <v>984866.59100000001</v>
      </c>
      <c r="J22" s="92">
        <f>+'ACADEMIC SUPP 4yr'!J22+'STU SERVICES 4yr'!J22+'INST SUPPORT 4yr'!J22</f>
        <v>1100249.298</v>
      </c>
      <c r="K22" s="92">
        <f>+'ACADEMIC SUPP 4yr'!K22+'STU SERVICES 4yr'!K22+'INST SUPPORT 4yr'!K22</f>
        <v>1182433.199</v>
      </c>
      <c r="L22" s="92">
        <f>+'ACADEMIC SUPP 4yr'!L22+'STU SERVICES 4yr'!L22+'INST SUPPORT 4yr'!L22</f>
        <v>1504333.7250000001</v>
      </c>
      <c r="M22" s="92">
        <f>+'ACADEMIC SUPP 4yr'!M22+'STU SERVICES 4yr'!M22+'INST SUPPORT 4yr'!M22</f>
        <v>1712058.3399999999</v>
      </c>
      <c r="N22" s="92">
        <f>+'ACADEMIC SUPP 4yr'!N22+'STU SERVICES 4yr'!N22+'INST SUPPORT 4yr'!N22</f>
        <v>1851890.645</v>
      </c>
      <c r="O22" s="92">
        <f>+'ACADEMIC SUPP 4yr'!O22+'STU SERVICES 4yr'!O22+'INST SUPPORT 4yr'!O22</f>
        <v>1908895.9640000002</v>
      </c>
      <c r="P22" s="92">
        <f>+'ACADEMIC SUPP 4yr'!P22+'STU SERVICES 4yr'!P22+'INST SUPPORT 4yr'!P22</f>
        <v>2019826.9469999999</v>
      </c>
      <c r="Q22" s="92">
        <f>+'ACADEMIC SUPP 4yr'!Q22+'STU SERVICES 4yr'!Q22+'INST SUPPORT 4yr'!Q22</f>
        <v>2138276.8629999999</v>
      </c>
      <c r="R22" s="92">
        <f>+'ACADEMIC SUPP 4yr'!R22+'STU SERVICES 4yr'!R22+'INST SUPPORT 4yr'!R22</f>
        <v>2168819.5129999998</v>
      </c>
      <c r="S22" s="92">
        <f>+'ACADEMIC SUPP 4yr'!S22+'STU SERVICES 4yr'!S22+'INST SUPPORT 4yr'!S22</f>
        <v>2306817.85</v>
      </c>
      <c r="T22" s="92">
        <f>+'ACADEMIC SUPP 4yr'!T22+'STU SERVICES 4yr'!T22+'INST SUPPORT 4yr'!T22</f>
        <v>2597043.0999999996</v>
      </c>
      <c r="U22" s="92">
        <f>+'ACADEMIC SUPP 4yr'!U22+'STU SERVICES 4yr'!U22+'INST SUPPORT 4yr'!U22</f>
        <v>2196682.96</v>
      </c>
      <c r="V22" s="92">
        <f>+'ACADEMIC SUPP 4yr'!V22+'STU SERVICES 4yr'!V22+'INST SUPPORT 4yr'!V22</f>
        <v>3378734.3810000001</v>
      </c>
      <c r="W22" s="92">
        <f>+'ACADEMIC SUPP 4yr'!W22+'STU SERVICES 4yr'!W22+'INST SUPPORT 4yr'!W22</f>
        <v>3682030.7439999999</v>
      </c>
      <c r="X22" s="92">
        <f>+'ACADEMIC SUPP 4yr'!X22+'STU SERVICES 4yr'!X22+'INST SUPPORT 4yr'!X22</f>
        <v>3511389.7989999996</v>
      </c>
      <c r="Y22" s="92">
        <f>+'ACADEMIC SUPP 4yr'!Y22+'STU SERVICES 4yr'!Y22+'INST SUPPORT 4yr'!Y22</f>
        <v>3082067.77</v>
      </c>
      <c r="Z22" s="92">
        <f>+'ACADEMIC SUPP 4yr'!Z22+'STU SERVICES 4yr'!Z22+'INST SUPPORT 4yr'!Z22</f>
        <v>3264765.6639999999</v>
      </c>
      <c r="AA22" s="92">
        <f>+'ACADEMIC SUPP 4yr'!AA22+'STU SERVICES 4yr'!AA22+'INST SUPPORT 4yr'!AA22</f>
        <v>3470942.5869999998</v>
      </c>
    </row>
    <row r="23" spans="1:27">
      <c r="A23" s="22" t="s">
        <v>16</v>
      </c>
      <c r="B23" s="92">
        <f>+'ACADEMIC SUPP 4yr'!B23+'STU SERVICES 4yr'!B23+'INST SUPPORT 4yr'!B23</f>
        <v>202505</v>
      </c>
      <c r="C23" s="92">
        <f>+'ACADEMIC SUPP 4yr'!C23+'STU SERVICES 4yr'!C23+'INST SUPPORT 4yr'!C23</f>
        <v>244633</v>
      </c>
      <c r="D23" s="92">
        <f>+'ACADEMIC SUPP 4yr'!D23+'STU SERVICES 4yr'!D23+'INST SUPPORT 4yr'!D23</f>
        <v>261651</v>
      </c>
      <c r="E23" s="92">
        <f>+'ACADEMIC SUPP 4yr'!E23+'STU SERVICES 4yr'!E23+'INST SUPPORT 4yr'!E23</f>
        <v>370343.603</v>
      </c>
      <c r="F23" s="92">
        <f>+'ACADEMIC SUPP 4yr'!F23+'STU SERVICES 4yr'!F23+'INST SUPPORT 4yr'!F23</f>
        <v>373395.34400000004</v>
      </c>
      <c r="G23" s="92">
        <f>+'ACADEMIC SUPP 4yr'!G23+'STU SERVICES 4yr'!G23+'INST SUPPORT 4yr'!G23</f>
        <v>388101.03899999999</v>
      </c>
      <c r="H23" s="92">
        <f>+'ACADEMIC SUPP 4yr'!H23+'STU SERVICES 4yr'!H23+'INST SUPPORT 4yr'!H23</f>
        <v>431509.99099999992</v>
      </c>
      <c r="I23" s="92">
        <f>+'ACADEMIC SUPP 4yr'!I23+'STU SERVICES 4yr'!I23+'INST SUPPORT 4yr'!I23</f>
        <v>455724.71600000001</v>
      </c>
      <c r="J23" s="92">
        <f>+'ACADEMIC SUPP 4yr'!J23+'STU SERVICES 4yr'!J23+'INST SUPPORT 4yr'!J23</f>
        <v>463006.19200000004</v>
      </c>
      <c r="K23" s="92">
        <f>+'ACADEMIC SUPP 4yr'!K23+'STU SERVICES 4yr'!K23+'INST SUPPORT 4yr'!K23</f>
        <v>511604.527</v>
      </c>
      <c r="L23" s="92">
        <f>+'ACADEMIC SUPP 4yr'!L23+'STU SERVICES 4yr'!L23+'INST SUPPORT 4yr'!L23</f>
        <v>617348.10800000001</v>
      </c>
      <c r="M23" s="92">
        <f>+'ACADEMIC SUPP 4yr'!M23+'STU SERVICES 4yr'!M23+'INST SUPPORT 4yr'!M23</f>
        <v>652413.96699999995</v>
      </c>
      <c r="N23" s="92">
        <f>+'ACADEMIC SUPP 4yr'!N23+'STU SERVICES 4yr'!N23+'INST SUPPORT 4yr'!N23</f>
        <v>645110.16299999994</v>
      </c>
      <c r="O23" s="92">
        <f>+'ACADEMIC SUPP 4yr'!O23+'STU SERVICES 4yr'!O23+'INST SUPPORT 4yr'!O23</f>
        <v>599680.15500000003</v>
      </c>
      <c r="P23" s="92">
        <f>+'ACADEMIC SUPP 4yr'!P23+'STU SERVICES 4yr'!P23+'INST SUPPORT 4yr'!P23</f>
        <v>636528.49699999997</v>
      </c>
      <c r="Q23" s="92">
        <f>+'ACADEMIC SUPP 4yr'!Q23+'STU SERVICES 4yr'!Q23+'INST SUPPORT 4yr'!Q23</f>
        <v>703596.13400000008</v>
      </c>
      <c r="R23" s="92">
        <f>+'ACADEMIC SUPP 4yr'!R23+'STU SERVICES 4yr'!R23+'INST SUPPORT 4yr'!R23</f>
        <v>787141.91799999995</v>
      </c>
      <c r="S23" s="92">
        <f>+'ACADEMIC SUPP 4yr'!S23+'STU SERVICES 4yr'!S23+'INST SUPPORT 4yr'!S23</f>
        <v>863159.25</v>
      </c>
      <c r="T23" s="92">
        <f>+'ACADEMIC SUPP 4yr'!T23+'STU SERVICES 4yr'!T23+'INST SUPPORT 4yr'!T23</f>
        <v>954394.52099999995</v>
      </c>
      <c r="U23" s="92">
        <f>+'ACADEMIC SUPP 4yr'!U23+'STU SERVICES 4yr'!U23+'INST SUPPORT 4yr'!U23</f>
        <v>994739.87700000009</v>
      </c>
      <c r="V23" s="92">
        <f>+'ACADEMIC SUPP 4yr'!V23+'STU SERVICES 4yr'!V23+'INST SUPPORT 4yr'!V23</f>
        <v>1118719.5419999999</v>
      </c>
      <c r="W23" s="92">
        <f>+'ACADEMIC SUPP 4yr'!W23+'STU SERVICES 4yr'!W23+'INST SUPPORT 4yr'!W23</f>
        <v>1167070.642</v>
      </c>
      <c r="X23" s="92">
        <f>+'ACADEMIC SUPP 4yr'!X23+'STU SERVICES 4yr'!X23+'INST SUPPORT 4yr'!X23</f>
        <v>1213831.4850000001</v>
      </c>
      <c r="Y23" s="92">
        <f>+'ACADEMIC SUPP 4yr'!Y23+'STU SERVICES 4yr'!Y23+'INST SUPPORT 4yr'!Y23</f>
        <v>1272501.844</v>
      </c>
      <c r="Z23" s="92">
        <f>+'ACADEMIC SUPP 4yr'!Z23+'STU SERVICES 4yr'!Z23+'INST SUPPORT 4yr'!Z23</f>
        <v>1346914.5730000001</v>
      </c>
      <c r="AA23" s="92">
        <f>+'ACADEMIC SUPP 4yr'!AA23+'STU SERVICES 4yr'!AA23+'INST SUPPORT 4yr'!AA23</f>
        <v>1421705.2689999999</v>
      </c>
    </row>
    <row r="24" spans="1:27">
      <c r="A24" s="83" t="s">
        <v>17</v>
      </c>
      <c r="B24" s="93">
        <f>+'ACADEMIC SUPP 4yr'!B24+'STU SERVICES 4yr'!B24+'INST SUPPORT 4yr'!B24</f>
        <v>68950</v>
      </c>
      <c r="C24" s="93">
        <f>+'ACADEMIC SUPP 4yr'!C24+'STU SERVICES 4yr'!C24+'INST SUPPORT 4yr'!C24</f>
        <v>74924</v>
      </c>
      <c r="D24" s="93">
        <f>+'ACADEMIC SUPP 4yr'!D24+'STU SERVICES 4yr'!D24+'INST SUPPORT 4yr'!D24</f>
        <v>82619</v>
      </c>
      <c r="E24" s="93">
        <f>+'ACADEMIC SUPP 4yr'!E24+'STU SERVICES 4yr'!E24+'INST SUPPORT 4yr'!E24</f>
        <v>107555.772</v>
      </c>
      <c r="F24" s="93">
        <f>+'ACADEMIC SUPP 4yr'!F24+'STU SERVICES 4yr'!F24+'INST SUPPORT 4yr'!F24</f>
        <v>107088.06299999999</v>
      </c>
      <c r="G24" s="93">
        <f>+'ACADEMIC SUPP 4yr'!G24+'STU SERVICES 4yr'!G24+'INST SUPPORT 4yr'!G24</f>
        <v>116767.291</v>
      </c>
      <c r="H24" s="93">
        <f>+'ACADEMIC SUPP 4yr'!H24+'STU SERVICES 4yr'!H24+'INST SUPPORT 4yr'!H24</f>
        <v>128734.49599999998</v>
      </c>
      <c r="I24" s="93">
        <f>+'ACADEMIC SUPP 4yr'!I24+'STU SERVICES 4yr'!I24+'INST SUPPORT 4yr'!I24</f>
        <v>132033.891</v>
      </c>
      <c r="J24" s="93">
        <f>+'ACADEMIC SUPP 4yr'!J24+'STU SERVICES 4yr'!J24+'INST SUPPORT 4yr'!J24</f>
        <v>143134.598</v>
      </c>
      <c r="K24" s="93">
        <f>+'ACADEMIC SUPP 4yr'!K24+'STU SERVICES 4yr'!K24+'INST SUPPORT 4yr'!K24</f>
        <v>151251.01938000001</v>
      </c>
      <c r="L24" s="93">
        <f>+'ACADEMIC SUPP 4yr'!L24+'STU SERVICES 4yr'!L24+'INST SUPPORT 4yr'!L24</f>
        <v>182537.39900000003</v>
      </c>
      <c r="M24" s="93">
        <f>+'ACADEMIC SUPP 4yr'!M24+'STU SERVICES 4yr'!M24+'INST SUPPORT 4yr'!M24</f>
        <v>192443.842</v>
      </c>
      <c r="N24" s="93">
        <f>+'ACADEMIC SUPP 4yr'!N24+'STU SERVICES 4yr'!N24+'INST SUPPORT 4yr'!N24</f>
        <v>191797.83199999999</v>
      </c>
      <c r="O24" s="93">
        <f>+'ACADEMIC SUPP 4yr'!O24+'STU SERVICES 4yr'!O24+'INST SUPPORT 4yr'!O24</f>
        <v>210470.15600000002</v>
      </c>
      <c r="P24" s="93">
        <f>+'ACADEMIC SUPP 4yr'!P24+'STU SERVICES 4yr'!P24+'INST SUPPORT 4yr'!P24</f>
        <v>202856.03</v>
      </c>
      <c r="Q24" s="93">
        <f>+'ACADEMIC SUPP 4yr'!Q24+'STU SERVICES 4yr'!Q24+'INST SUPPORT 4yr'!Q24</f>
        <v>208214.38199999998</v>
      </c>
      <c r="R24" s="93">
        <f>+'ACADEMIC SUPP 4yr'!R24+'STU SERVICES 4yr'!R24+'INST SUPPORT 4yr'!R24</f>
        <v>236824.57800000001</v>
      </c>
      <c r="S24" s="93">
        <f>+'ACADEMIC SUPP 4yr'!S24+'STU SERVICES 4yr'!S24+'INST SUPPORT 4yr'!S24</f>
        <v>252370.43</v>
      </c>
      <c r="T24" s="93">
        <f>+'ACADEMIC SUPP 4yr'!T24+'STU SERVICES 4yr'!T24+'INST SUPPORT 4yr'!T24</f>
        <v>268771.98100000003</v>
      </c>
      <c r="U24" s="93">
        <f>+'ACADEMIC SUPP 4yr'!U24+'STU SERVICES 4yr'!U24+'INST SUPPORT 4yr'!U24</f>
        <v>275705.65599999996</v>
      </c>
      <c r="V24" s="93">
        <f>+'ACADEMIC SUPP 4yr'!V24+'STU SERVICES 4yr'!V24+'INST SUPPORT 4yr'!V24</f>
        <v>339632.61100000003</v>
      </c>
      <c r="W24" s="93">
        <f>+'ACADEMIC SUPP 4yr'!W24+'STU SERVICES 4yr'!W24+'INST SUPPORT 4yr'!W24</f>
        <v>373294.66799999995</v>
      </c>
      <c r="X24" s="93">
        <f>+'ACADEMIC SUPP 4yr'!X24+'STU SERVICES 4yr'!X24+'INST SUPPORT 4yr'!X24</f>
        <v>395397.62300000002</v>
      </c>
      <c r="Y24" s="93">
        <f>+'ACADEMIC SUPP 4yr'!Y24+'STU SERVICES 4yr'!Y24+'INST SUPPORT 4yr'!Y24</f>
        <v>383838.21100000001</v>
      </c>
      <c r="Z24" s="93">
        <f>+'ACADEMIC SUPP 4yr'!Z24+'STU SERVICES 4yr'!Z24+'INST SUPPORT 4yr'!Z24</f>
        <v>384267.98800000001</v>
      </c>
      <c r="AA24" s="93">
        <f>+'ACADEMIC SUPP 4yr'!AA24+'STU SERVICES 4yr'!AA24+'INST SUPPORT 4yr'!AA24</f>
        <v>408552.53200000001</v>
      </c>
    </row>
    <row r="25" spans="1:27">
      <c r="A25" s="79" t="s">
        <v>120</v>
      </c>
      <c r="B25" s="90">
        <f>+'ACADEMIC SUPP 4yr'!B25+'STU SERVICES 4yr'!B25+'INST SUPPORT 4yr'!B25</f>
        <v>0</v>
      </c>
      <c r="C25" s="90">
        <f>+'ACADEMIC SUPP 4yr'!C25+'STU SERVICES 4yr'!C25+'INST SUPPORT 4yr'!C25</f>
        <v>0</v>
      </c>
      <c r="D25" s="90">
        <f>+'ACADEMIC SUPP 4yr'!D25+'STU SERVICES 4yr'!D25+'INST SUPPORT 4yr'!D25</f>
        <v>0</v>
      </c>
      <c r="E25" s="90">
        <f>+'ACADEMIC SUPP 4yr'!E25+'STU SERVICES 4yr'!E25+'INST SUPPORT 4yr'!E25</f>
        <v>0</v>
      </c>
      <c r="F25" s="90">
        <f>+'ACADEMIC SUPP 4yr'!F25+'STU SERVICES 4yr'!F25+'INST SUPPORT 4yr'!F25</f>
        <v>3433351.2309999997</v>
      </c>
      <c r="G25" s="90">
        <f>+'ACADEMIC SUPP 4yr'!G25+'STU SERVICES 4yr'!G25+'INST SUPPORT 4yr'!G25</f>
        <v>0</v>
      </c>
      <c r="H25" s="90">
        <f>+'ACADEMIC SUPP 4yr'!H25+'STU SERVICES 4yr'!H25+'INST SUPPORT 4yr'!H25</f>
        <v>0</v>
      </c>
      <c r="I25" s="90">
        <f>+'ACADEMIC SUPP 4yr'!I25+'STU SERVICES 4yr'!I25+'INST SUPPORT 4yr'!I25</f>
        <v>3979450.8369999994</v>
      </c>
      <c r="J25" s="90">
        <f>+'ACADEMIC SUPP 4yr'!J25+'STU SERVICES 4yr'!J25+'INST SUPPORT 4yr'!J25</f>
        <v>0</v>
      </c>
      <c r="K25" s="90">
        <f>+'ACADEMIC SUPP 4yr'!K25+'STU SERVICES 4yr'!K25+'INST SUPPORT 4yr'!K25</f>
        <v>4798753.7239999995</v>
      </c>
      <c r="L25" s="90">
        <f>+'ACADEMIC SUPP 4yr'!L25+'STU SERVICES 4yr'!L25+'INST SUPPORT 4yr'!L25</f>
        <v>5509974.8229999989</v>
      </c>
      <c r="M25" s="90">
        <f>+'ACADEMIC SUPP 4yr'!M25+'STU SERVICES 4yr'!M25+'INST SUPPORT 4yr'!M25</f>
        <v>5910719.0789999999</v>
      </c>
      <c r="N25" s="90">
        <f>+'ACADEMIC SUPP 4yr'!N25+'STU SERVICES 4yr'!N25+'INST SUPPORT 4yr'!N25</f>
        <v>5828009.7280000001</v>
      </c>
      <c r="O25" s="90">
        <f>+'ACADEMIC SUPP 4yr'!O25+'STU SERVICES 4yr'!O25+'INST SUPPORT 4yr'!O25</f>
        <v>5996812.7259999998</v>
      </c>
      <c r="P25" s="90">
        <f>+'ACADEMIC SUPP 4yr'!P25+'STU SERVICES 4yr'!P25+'INST SUPPORT 4yr'!P25</f>
        <v>6171924.8829999994</v>
      </c>
      <c r="Q25" s="90">
        <f>+'ACADEMIC SUPP 4yr'!Q25+'STU SERVICES 4yr'!Q25+'INST SUPPORT 4yr'!Q25</f>
        <v>6442172.8169999998</v>
      </c>
      <c r="R25" s="90">
        <f>+'ACADEMIC SUPP 4yr'!R25+'STU SERVICES 4yr'!R25+'INST SUPPORT 4yr'!R25</f>
        <v>6838420.9809999997</v>
      </c>
      <c r="S25" s="90">
        <f>+'ACADEMIC SUPP 4yr'!S25+'STU SERVICES 4yr'!S25+'INST SUPPORT 4yr'!S25</f>
        <v>7465942.7769999988</v>
      </c>
      <c r="T25" s="90">
        <f>+'ACADEMIC SUPP 4yr'!T25+'STU SERVICES 4yr'!T25+'INST SUPPORT 4yr'!T25</f>
        <v>8716084.074000001</v>
      </c>
      <c r="U25" s="90">
        <f>+'ACADEMIC SUPP 4yr'!U25+'STU SERVICES 4yr'!U25+'INST SUPPORT 4yr'!U25</f>
        <v>8203403.8319999995</v>
      </c>
      <c r="V25" s="90">
        <f>+'ACADEMIC SUPP 4yr'!V25+'STU SERVICES 4yr'!V25+'INST SUPPORT 4yr'!V25</f>
        <v>9583845.6070000008</v>
      </c>
      <c r="W25" s="90">
        <f>+'ACADEMIC SUPP 4yr'!W25+'STU SERVICES 4yr'!W25+'INST SUPPORT 4yr'!W25</f>
        <v>10226858.290000001</v>
      </c>
      <c r="X25" s="90">
        <f>+'ACADEMIC SUPP 4yr'!X25+'STU SERVICES 4yr'!X25+'INST SUPPORT 4yr'!X25</f>
        <v>11132250.914000001</v>
      </c>
      <c r="Y25" s="90">
        <f>+'ACADEMIC SUPP 4yr'!Y25+'STU SERVICES 4yr'!Y25+'INST SUPPORT 4yr'!Y25</f>
        <v>11803052.436999997</v>
      </c>
      <c r="Z25" s="90">
        <f>+'ACADEMIC SUPP 4yr'!Z25+'STU SERVICES 4yr'!Z25+'INST SUPPORT 4yr'!Z25</f>
        <v>12672069.944999998</v>
      </c>
      <c r="AA25" s="90">
        <f>+'ACADEMIC SUPP 4yr'!AA25+'STU SERVICES 4yr'!AA25+'INST SUPPORT 4yr'!AA25</f>
        <v>13492906.645</v>
      </c>
    </row>
    <row r="26" spans="1:27">
      <c r="A26" s="79" t="s">
        <v>119</v>
      </c>
      <c r="B26" s="90">
        <f>+'ACADEMIC SUPP 4yr'!B26+'STU SERVICES 4yr'!B26+'INST SUPPORT 4yr'!B26</f>
        <v>0</v>
      </c>
      <c r="C26" s="90">
        <f>+'ACADEMIC SUPP 4yr'!C26+'STU SERVICES 4yr'!C26+'INST SUPPORT 4yr'!C26</f>
        <v>0</v>
      </c>
      <c r="D26" s="90">
        <f>+'ACADEMIC SUPP 4yr'!D26+'STU SERVICES 4yr'!D26+'INST SUPPORT 4yr'!D26</f>
        <v>0</v>
      </c>
      <c r="E26" s="90">
        <f>+'ACADEMIC SUPP 4yr'!E26+'STU SERVICES 4yr'!E26+'INST SUPPORT 4yr'!E26</f>
        <v>0</v>
      </c>
      <c r="F26" s="90">
        <f>+'ACADEMIC SUPP 4yr'!F26+'STU SERVICES 4yr'!F26+'INST SUPPORT 4yr'!F26</f>
        <v>0</v>
      </c>
      <c r="G26" s="90">
        <f>+'ACADEMIC SUPP 4yr'!G26+'STU SERVICES 4yr'!G26+'INST SUPPORT 4yr'!G26</f>
        <v>0</v>
      </c>
      <c r="H26" s="90">
        <f>+'ACADEMIC SUPP 4yr'!H26+'STU SERVICES 4yr'!H26+'INST SUPPORT 4yr'!H26</f>
        <v>0</v>
      </c>
      <c r="I26" s="90">
        <f>+'ACADEMIC SUPP 4yr'!I26+'STU SERVICES 4yr'!I26+'INST SUPPORT 4yr'!I26</f>
        <v>0</v>
      </c>
      <c r="J26" s="90">
        <f>+'ACADEMIC SUPP 4yr'!J26+'STU SERVICES 4yr'!J26+'INST SUPPORT 4yr'!J26</f>
        <v>0</v>
      </c>
      <c r="K26" s="90">
        <f>+'ACADEMIC SUPP 4yr'!K26+'STU SERVICES 4yr'!K26+'INST SUPPORT 4yr'!K26</f>
        <v>0</v>
      </c>
      <c r="L26" s="90">
        <f>+'ACADEMIC SUPP 4yr'!L26+'STU SERVICES 4yr'!L26+'INST SUPPORT 4yr'!L26</f>
        <v>0</v>
      </c>
      <c r="M26" s="90">
        <f>+'ACADEMIC SUPP 4yr'!M26+'STU SERVICES 4yr'!M26+'INST SUPPORT 4yr'!M26</f>
        <v>0</v>
      </c>
      <c r="N26" s="90">
        <f>+'ACADEMIC SUPP 4yr'!N26+'STU SERVICES 4yr'!N26+'INST SUPPORT 4yr'!N26</f>
        <v>0</v>
      </c>
      <c r="O26" s="90">
        <f>+'ACADEMIC SUPP 4yr'!O26+'STU SERVICES 4yr'!O26+'INST SUPPORT 4yr'!O26</f>
        <v>0</v>
      </c>
      <c r="P26" s="90">
        <f>+'ACADEMIC SUPP 4yr'!P26+'STU SERVICES 4yr'!P26+'INST SUPPORT 4yr'!P26</f>
        <v>0</v>
      </c>
      <c r="Q26" s="90">
        <f>+'ACADEMIC SUPP 4yr'!Q26+'STU SERVICES 4yr'!Q26+'INST SUPPORT 4yr'!Q26</f>
        <v>0</v>
      </c>
      <c r="R26" s="90">
        <f>+'ACADEMIC SUPP 4yr'!R26+'STU SERVICES 4yr'!R26+'INST SUPPORT 4yr'!R26</f>
        <v>0</v>
      </c>
      <c r="S26" s="90">
        <f>+'ACADEMIC SUPP 4yr'!S26+'STU SERVICES 4yr'!S26+'INST SUPPORT 4yr'!S26</f>
        <v>0</v>
      </c>
      <c r="T26" s="90">
        <f>+'ACADEMIC SUPP 4yr'!T26+'STU SERVICES 4yr'!T26+'INST SUPPORT 4yr'!T26</f>
        <v>0</v>
      </c>
      <c r="U26" s="90">
        <f>+'ACADEMIC SUPP 4yr'!U26+'STU SERVICES 4yr'!U26+'INST SUPPORT 4yr'!U26</f>
        <v>0</v>
      </c>
      <c r="V26" s="90">
        <f>+'ACADEMIC SUPP 4yr'!V26+'STU SERVICES 4yr'!V26+'INST SUPPORT 4yr'!V26</f>
        <v>0</v>
      </c>
      <c r="W26" s="90">
        <f>+'ACADEMIC SUPP 4yr'!W26+'STU SERVICES 4yr'!W26+'INST SUPPORT 4yr'!W26</f>
        <v>0</v>
      </c>
      <c r="X26" s="90">
        <f>+'ACADEMIC SUPP 4yr'!X26+'STU SERVICES 4yr'!X26+'INST SUPPORT 4yr'!X26</f>
        <v>0</v>
      </c>
      <c r="Y26" s="90"/>
      <c r="Z26" s="90"/>
      <c r="AA26" s="90"/>
    </row>
    <row r="27" spans="1:27">
      <c r="A27" s="23" t="s">
        <v>85</v>
      </c>
      <c r="B27" s="92">
        <f>+'ACADEMIC SUPP 4yr'!B27+'STU SERVICES 4yr'!B27+'INST SUPPORT 4yr'!B27</f>
        <v>0</v>
      </c>
      <c r="C27" s="92">
        <f>+'ACADEMIC SUPP 4yr'!C27+'STU SERVICES 4yr'!C27+'INST SUPPORT 4yr'!C27</f>
        <v>0</v>
      </c>
      <c r="D27" s="92">
        <f>+'ACADEMIC SUPP 4yr'!D27+'STU SERVICES 4yr'!D27+'INST SUPPORT 4yr'!D27</f>
        <v>0</v>
      </c>
      <c r="E27" s="92">
        <f>+'ACADEMIC SUPP 4yr'!E27+'STU SERVICES 4yr'!E27+'INST SUPPORT 4yr'!E27</f>
        <v>0</v>
      </c>
      <c r="F27" s="92">
        <f>+'ACADEMIC SUPP 4yr'!F27+'STU SERVICES 4yr'!F27+'INST SUPPORT 4yr'!F27</f>
        <v>61818.926999999996</v>
      </c>
      <c r="G27" s="92">
        <f>+'ACADEMIC SUPP 4yr'!G27+'STU SERVICES 4yr'!G27+'INST SUPPORT 4yr'!G27</f>
        <v>0</v>
      </c>
      <c r="H27" s="92">
        <f>+'ACADEMIC SUPP 4yr'!H27+'STU SERVICES 4yr'!H27+'INST SUPPORT 4yr'!H27</f>
        <v>0</v>
      </c>
      <c r="I27" s="92">
        <f>+'ACADEMIC SUPP 4yr'!I27+'STU SERVICES 4yr'!I27+'INST SUPPORT 4yr'!I27</f>
        <v>73245.406000000003</v>
      </c>
      <c r="J27" s="92">
        <f>+'ACADEMIC SUPP 4yr'!J27+'STU SERVICES 4yr'!J27+'INST SUPPORT 4yr'!J27</f>
        <v>0</v>
      </c>
      <c r="K27" s="92">
        <f>+'ACADEMIC SUPP 4yr'!K27+'STU SERVICES 4yr'!K27+'INST SUPPORT 4yr'!K27</f>
        <v>95379.818999999989</v>
      </c>
      <c r="L27" s="92">
        <f>+'ACADEMIC SUPP 4yr'!L27+'STU SERVICES 4yr'!L27+'INST SUPPORT 4yr'!L27</f>
        <v>77461.706000000006</v>
      </c>
      <c r="M27" s="92">
        <f>+'ACADEMIC SUPP 4yr'!M27+'STU SERVICES 4yr'!M27+'INST SUPPORT 4yr'!M27</f>
        <v>83898.042000000001</v>
      </c>
      <c r="N27" s="92">
        <f>+'ACADEMIC SUPP 4yr'!N27+'STU SERVICES 4yr'!N27+'INST SUPPORT 4yr'!N27</f>
        <v>89671.206999999995</v>
      </c>
      <c r="O27" s="92">
        <f>+'ACADEMIC SUPP 4yr'!O27+'STU SERVICES 4yr'!O27+'INST SUPPORT 4yr'!O27</f>
        <v>94972.918000000005</v>
      </c>
      <c r="P27" s="92">
        <f>+'ACADEMIC SUPP 4yr'!P27+'STU SERVICES 4yr'!P27+'INST SUPPORT 4yr'!P27</f>
        <v>101456.246</v>
      </c>
      <c r="Q27" s="92">
        <f>+'ACADEMIC SUPP 4yr'!Q27+'STU SERVICES 4yr'!Q27+'INST SUPPORT 4yr'!Q27</f>
        <v>111289.038</v>
      </c>
      <c r="R27" s="92">
        <f>+'ACADEMIC SUPP 4yr'!R27+'STU SERVICES 4yr'!R27+'INST SUPPORT 4yr'!R27</f>
        <v>120691.10399999999</v>
      </c>
      <c r="S27" s="92">
        <f>+'ACADEMIC SUPP 4yr'!S27+'STU SERVICES 4yr'!S27+'INST SUPPORT 4yr'!S27</f>
        <v>135643.326</v>
      </c>
      <c r="T27" s="92">
        <f>+'ACADEMIC SUPP 4yr'!T27+'STU SERVICES 4yr'!T27+'INST SUPPORT 4yr'!T27</f>
        <v>143636.48200000002</v>
      </c>
      <c r="U27" s="92">
        <f>+'ACADEMIC SUPP 4yr'!U27+'STU SERVICES 4yr'!U27+'INST SUPPORT 4yr'!U27</f>
        <v>186907.69699999999</v>
      </c>
      <c r="V27" s="92">
        <f>+'ACADEMIC SUPP 4yr'!V27+'STU SERVICES 4yr'!V27+'INST SUPPORT 4yr'!V27</f>
        <v>190965.63800000001</v>
      </c>
      <c r="W27" s="92">
        <f>+'ACADEMIC SUPP 4yr'!W27+'STU SERVICES 4yr'!W27+'INST SUPPORT 4yr'!W27</f>
        <v>196279.02000000002</v>
      </c>
      <c r="X27" s="92">
        <f>+'ACADEMIC SUPP 4yr'!X27+'STU SERVICES 4yr'!X27+'INST SUPPORT 4yr'!X27</f>
        <v>208127.29300000001</v>
      </c>
      <c r="Y27" s="92">
        <f>+'ACADEMIC SUPP 4yr'!Y27+'STU SERVICES 4yr'!Y27+'INST SUPPORT 4yr'!Y27</f>
        <v>214525.81300000002</v>
      </c>
      <c r="Z27" s="92">
        <f>+'ACADEMIC SUPP 4yr'!Z27+'STU SERVICES 4yr'!Z27+'INST SUPPORT 4yr'!Z27</f>
        <v>222297.929</v>
      </c>
      <c r="AA27" s="92">
        <f>+'ACADEMIC SUPP 4yr'!AA27+'STU SERVICES 4yr'!AA27+'INST SUPPORT 4yr'!AA27</f>
        <v>222453.18799999999</v>
      </c>
    </row>
    <row r="28" spans="1:27">
      <c r="A28" s="23" t="s">
        <v>86</v>
      </c>
      <c r="B28" s="92">
        <f>+'ACADEMIC SUPP 4yr'!B28+'STU SERVICES 4yr'!B28+'INST SUPPORT 4yr'!B28</f>
        <v>0</v>
      </c>
      <c r="C28" s="92">
        <f>+'ACADEMIC SUPP 4yr'!C28+'STU SERVICES 4yr'!C28+'INST SUPPORT 4yr'!C28</f>
        <v>0</v>
      </c>
      <c r="D28" s="92">
        <f>+'ACADEMIC SUPP 4yr'!D28+'STU SERVICES 4yr'!D28+'INST SUPPORT 4yr'!D28</f>
        <v>0</v>
      </c>
      <c r="E28" s="92">
        <f>+'ACADEMIC SUPP 4yr'!E28+'STU SERVICES 4yr'!E28+'INST SUPPORT 4yr'!E28</f>
        <v>0</v>
      </c>
      <c r="F28" s="92">
        <f>+'ACADEMIC SUPP 4yr'!F28+'STU SERVICES 4yr'!F28+'INST SUPPORT 4yr'!F28</f>
        <v>255143.18400000001</v>
      </c>
      <c r="G28" s="92">
        <f>+'ACADEMIC SUPP 4yr'!G28+'STU SERVICES 4yr'!G28+'INST SUPPORT 4yr'!G28</f>
        <v>0</v>
      </c>
      <c r="H28" s="92">
        <f>+'ACADEMIC SUPP 4yr'!H28+'STU SERVICES 4yr'!H28+'INST SUPPORT 4yr'!H28</f>
        <v>0</v>
      </c>
      <c r="I28" s="92">
        <f>+'ACADEMIC SUPP 4yr'!I28+'STU SERVICES 4yr'!I28+'INST SUPPORT 4yr'!I28</f>
        <v>285647.77799999999</v>
      </c>
      <c r="J28" s="92">
        <f>+'ACADEMIC SUPP 4yr'!J28+'STU SERVICES 4yr'!J28+'INST SUPPORT 4yr'!J28</f>
        <v>0</v>
      </c>
      <c r="K28" s="92">
        <f>+'ACADEMIC SUPP 4yr'!K28+'STU SERVICES 4yr'!K28+'INST SUPPORT 4yr'!K28</f>
        <v>325883.73800000001</v>
      </c>
      <c r="L28" s="92">
        <f>+'ACADEMIC SUPP 4yr'!L28+'STU SERVICES 4yr'!L28+'INST SUPPORT 4yr'!L28</f>
        <v>382430.20000000007</v>
      </c>
      <c r="M28" s="92">
        <f>+'ACADEMIC SUPP 4yr'!M28+'STU SERVICES 4yr'!M28+'INST SUPPORT 4yr'!M28</f>
        <v>412144.74</v>
      </c>
      <c r="N28" s="92">
        <f>+'ACADEMIC SUPP 4yr'!N28+'STU SERVICES 4yr'!N28+'INST SUPPORT 4yr'!N28</f>
        <v>386553.14199999999</v>
      </c>
      <c r="O28" s="92">
        <f>+'ACADEMIC SUPP 4yr'!O28+'STU SERVICES 4yr'!O28+'INST SUPPORT 4yr'!O28</f>
        <v>394271.53399999999</v>
      </c>
      <c r="P28" s="92">
        <f>+'ACADEMIC SUPP 4yr'!P28+'STU SERVICES 4yr'!P28+'INST SUPPORT 4yr'!P28</f>
        <v>435082.95300000004</v>
      </c>
      <c r="Q28" s="92">
        <f>+'ACADEMIC SUPP 4yr'!Q28+'STU SERVICES 4yr'!Q28+'INST SUPPORT 4yr'!Q28</f>
        <v>487679.42000000004</v>
      </c>
      <c r="R28" s="92">
        <f>+'ACADEMIC SUPP 4yr'!R28+'STU SERVICES 4yr'!R28+'INST SUPPORT 4yr'!R28</f>
        <v>553397.03200000001</v>
      </c>
      <c r="S28" s="92">
        <f>+'ACADEMIC SUPP 4yr'!S28+'STU SERVICES 4yr'!S28+'INST SUPPORT 4yr'!S28</f>
        <v>596388.51800000004</v>
      </c>
      <c r="T28" s="92">
        <f>+'ACADEMIC SUPP 4yr'!T28+'STU SERVICES 4yr'!T28+'INST SUPPORT 4yr'!T28</f>
        <v>661771.07299999997</v>
      </c>
      <c r="U28" s="92">
        <f>+'ACADEMIC SUPP 4yr'!U28+'STU SERVICES 4yr'!U28+'INST SUPPORT 4yr'!U28</f>
        <v>659872.29700000002</v>
      </c>
      <c r="V28" s="92">
        <f>+'ACADEMIC SUPP 4yr'!V28+'STU SERVICES 4yr'!V28+'INST SUPPORT 4yr'!V28</f>
        <v>768937.65800000005</v>
      </c>
      <c r="W28" s="92">
        <f>+'ACADEMIC SUPP 4yr'!W28+'STU SERVICES 4yr'!W28+'INST SUPPORT 4yr'!W28</f>
        <v>839301.84199999995</v>
      </c>
      <c r="X28" s="92">
        <f>+'ACADEMIC SUPP 4yr'!X28+'STU SERVICES 4yr'!X28+'INST SUPPORT 4yr'!X28</f>
        <v>904394.85800000001</v>
      </c>
      <c r="Y28" s="92">
        <f>+'ACADEMIC SUPP 4yr'!Y28+'STU SERVICES 4yr'!Y28+'INST SUPPORT 4yr'!Y28</f>
        <v>971120.8060000001</v>
      </c>
      <c r="Z28" s="92">
        <f>+'ACADEMIC SUPP 4yr'!Z28+'STU SERVICES 4yr'!Z28+'INST SUPPORT 4yr'!Z28</f>
        <v>1085812.389</v>
      </c>
      <c r="AA28" s="92">
        <f>+'ACADEMIC SUPP 4yr'!AA28+'STU SERVICES 4yr'!AA28+'INST SUPPORT 4yr'!AA28</f>
        <v>1241064.959</v>
      </c>
    </row>
    <row r="29" spans="1:27">
      <c r="A29" s="23" t="s">
        <v>87</v>
      </c>
      <c r="B29" s="92">
        <f>+'ACADEMIC SUPP 4yr'!B29+'STU SERVICES 4yr'!B29+'INST SUPPORT 4yr'!B29</f>
        <v>0</v>
      </c>
      <c r="C29" s="92">
        <f>+'ACADEMIC SUPP 4yr'!C29+'STU SERVICES 4yr'!C29+'INST SUPPORT 4yr'!C29</f>
        <v>0</v>
      </c>
      <c r="D29" s="92">
        <f>+'ACADEMIC SUPP 4yr'!D29+'STU SERVICES 4yr'!D29+'INST SUPPORT 4yr'!D29</f>
        <v>0</v>
      </c>
      <c r="E29" s="92">
        <f>+'ACADEMIC SUPP 4yr'!E29+'STU SERVICES 4yr'!E29+'INST SUPPORT 4yr'!E29</f>
        <v>0</v>
      </c>
      <c r="F29" s="92">
        <f>+'ACADEMIC SUPP 4yr'!F29+'STU SERVICES 4yr'!F29+'INST SUPPORT 4yr'!F29</f>
        <v>1853741.4350000001</v>
      </c>
      <c r="G29" s="92">
        <f>+'ACADEMIC SUPP 4yr'!G29+'STU SERVICES 4yr'!G29+'INST SUPPORT 4yr'!G29</f>
        <v>0</v>
      </c>
      <c r="H29" s="92">
        <f>+'ACADEMIC SUPP 4yr'!H29+'STU SERVICES 4yr'!H29+'INST SUPPORT 4yr'!H29</f>
        <v>0</v>
      </c>
      <c r="I29" s="92">
        <f>+'ACADEMIC SUPP 4yr'!I29+'STU SERVICES 4yr'!I29+'INST SUPPORT 4yr'!I29</f>
        <v>2132199.7379999999</v>
      </c>
      <c r="J29" s="92">
        <f>+'ACADEMIC SUPP 4yr'!J29+'STU SERVICES 4yr'!J29+'INST SUPPORT 4yr'!J29</f>
        <v>0</v>
      </c>
      <c r="K29" s="92">
        <f>+'ACADEMIC SUPP 4yr'!K29+'STU SERVICES 4yr'!K29+'INST SUPPORT 4yr'!K29</f>
        <v>2602552.7379999999</v>
      </c>
      <c r="L29" s="92">
        <f>+'ACADEMIC SUPP 4yr'!L29+'STU SERVICES 4yr'!L29+'INST SUPPORT 4yr'!L29</f>
        <v>3071184.8</v>
      </c>
      <c r="M29" s="92">
        <f>+'ACADEMIC SUPP 4yr'!M29+'STU SERVICES 4yr'!M29+'INST SUPPORT 4yr'!M29</f>
        <v>3288758.9439999997</v>
      </c>
      <c r="N29" s="92">
        <f>+'ACADEMIC SUPP 4yr'!N29+'STU SERVICES 4yr'!N29+'INST SUPPORT 4yr'!N29</f>
        <v>3133165.8049999997</v>
      </c>
      <c r="O29" s="92">
        <f>+'ACADEMIC SUPP 4yr'!O29+'STU SERVICES 4yr'!O29+'INST SUPPORT 4yr'!O29</f>
        <v>3301377.1260000002</v>
      </c>
      <c r="P29" s="92">
        <f>+'ACADEMIC SUPP 4yr'!P29+'STU SERVICES 4yr'!P29+'INST SUPPORT 4yr'!P29</f>
        <v>3346474.0530000003</v>
      </c>
      <c r="Q29" s="92">
        <f>+'ACADEMIC SUPP 4yr'!Q29+'STU SERVICES 4yr'!Q29+'INST SUPPORT 4yr'!Q29</f>
        <v>3231187.4570000004</v>
      </c>
      <c r="R29" s="92">
        <f>+'ACADEMIC SUPP 4yr'!R29+'STU SERVICES 4yr'!R29+'INST SUPPORT 4yr'!R29</f>
        <v>3519522.2179999999</v>
      </c>
      <c r="S29" s="92">
        <f>+'ACADEMIC SUPP 4yr'!S29+'STU SERVICES 4yr'!S29+'INST SUPPORT 4yr'!S29</f>
        <v>3823951.9970000004</v>
      </c>
      <c r="T29" s="92">
        <f>+'ACADEMIC SUPP 4yr'!T29+'STU SERVICES 4yr'!T29+'INST SUPPORT 4yr'!T29</f>
        <v>4565751.6579999998</v>
      </c>
      <c r="U29" s="92">
        <f>+'ACADEMIC SUPP 4yr'!U29+'STU SERVICES 4yr'!U29+'INST SUPPORT 4yr'!U29</f>
        <v>4288960.4800000004</v>
      </c>
      <c r="V29" s="92">
        <f>+'ACADEMIC SUPP 4yr'!V29+'STU SERVICES 4yr'!V29+'INST SUPPORT 4yr'!V29</f>
        <v>4923909.7690000003</v>
      </c>
      <c r="W29" s="92">
        <f>+'ACADEMIC SUPP 4yr'!W29+'STU SERVICES 4yr'!W29+'INST SUPPORT 4yr'!W29</f>
        <v>5372171.608</v>
      </c>
      <c r="X29" s="92">
        <f>+'ACADEMIC SUPP 4yr'!X29+'STU SERVICES 4yr'!X29+'INST SUPPORT 4yr'!X29</f>
        <v>5942457.6799999997</v>
      </c>
      <c r="Y29" s="92">
        <f>+'ACADEMIC SUPP 4yr'!Y29+'STU SERVICES 4yr'!Y29+'INST SUPPORT 4yr'!Y29</f>
        <v>6281947.3159999996</v>
      </c>
      <c r="Z29" s="92">
        <f>+'ACADEMIC SUPP 4yr'!Z29+'STU SERVICES 4yr'!Z29+'INST SUPPORT 4yr'!Z29</f>
        <v>6708510.2309999997</v>
      </c>
      <c r="AA29" s="92">
        <f>+'ACADEMIC SUPP 4yr'!AA29+'STU SERVICES 4yr'!AA29+'INST SUPPORT 4yr'!AA29</f>
        <v>7109889.2939999998</v>
      </c>
    </row>
    <row r="30" spans="1:27">
      <c r="A30" s="23" t="s">
        <v>88</v>
      </c>
      <c r="B30" s="92">
        <f>+'ACADEMIC SUPP 4yr'!B30+'STU SERVICES 4yr'!B30+'INST SUPPORT 4yr'!B30</f>
        <v>0</v>
      </c>
      <c r="C30" s="92">
        <f>+'ACADEMIC SUPP 4yr'!C30+'STU SERVICES 4yr'!C30+'INST SUPPORT 4yr'!C30</f>
        <v>0</v>
      </c>
      <c r="D30" s="92">
        <f>+'ACADEMIC SUPP 4yr'!D30+'STU SERVICES 4yr'!D30+'INST SUPPORT 4yr'!D30</f>
        <v>0</v>
      </c>
      <c r="E30" s="92">
        <f>+'ACADEMIC SUPP 4yr'!E30+'STU SERVICES 4yr'!E30+'INST SUPPORT 4yr'!E30</f>
        <v>0</v>
      </c>
      <c r="F30" s="92">
        <f>+'ACADEMIC SUPP 4yr'!F30+'STU SERVICES 4yr'!F30+'INST SUPPORT 4yr'!F30</f>
        <v>276139.261</v>
      </c>
      <c r="G30" s="92">
        <f>+'ACADEMIC SUPP 4yr'!G30+'STU SERVICES 4yr'!G30+'INST SUPPORT 4yr'!G30</f>
        <v>0</v>
      </c>
      <c r="H30" s="92">
        <f>+'ACADEMIC SUPP 4yr'!H30+'STU SERVICES 4yr'!H30+'INST SUPPORT 4yr'!H30</f>
        <v>0</v>
      </c>
      <c r="I30" s="92">
        <f>+'ACADEMIC SUPP 4yr'!I30+'STU SERVICES 4yr'!I30+'INST SUPPORT 4yr'!I30</f>
        <v>315896.97899999999</v>
      </c>
      <c r="J30" s="92">
        <f>+'ACADEMIC SUPP 4yr'!J30+'STU SERVICES 4yr'!J30+'INST SUPPORT 4yr'!J30</f>
        <v>0</v>
      </c>
      <c r="K30" s="92">
        <f>+'ACADEMIC SUPP 4yr'!K30+'STU SERVICES 4yr'!K30+'INST SUPPORT 4yr'!K30</f>
        <v>358612.79858</v>
      </c>
      <c r="L30" s="92">
        <f>+'ACADEMIC SUPP 4yr'!L30+'STU SERVICES 4yr'!L30+'INST SUPPORT 4yr'!L30</f>
        <v>385047.25200000004</v>
      </c>
      <c r="M30" s="92">
        <f>+'ACADEMIC SUPP 4yr'!M30+'STU SERVICES 4yr'!M30+'INST SUPPORT 4yr'!M30</f>
        <v>412261.95800000004</v>
      </c>
      <c r="N30" s="92">
        <f>+'ACADEMIC SUPP 4yr'!N30+'STU SERVICES 4yr'!N30+'INST SUPPORT 4yr'!N30</f>
        <v>404645.76400000002</v>
      </c>
      <c r="O30" s="92">
        <f>+'ACADEMIC SUPP 4yr'!O30+'STU SERVICES 4yr'!O30+'INST SUPPORT 4yr'!O30</f>
        <v>400154.45900000003</v>
      </c>
      <c r="P30" s="92">
        <f>+'ACADEMIC SUPP 4yr'!P30+'STU SERVICES 4yr'!P30+'INST SUPPORT 4yr'!P30</f>
        <v>349025.03799999994</v>
      </c>
      <c r="Q30" s="92">
        <f>+'ACADEMIC SUPP 4yr'!Q30+'STU SERVICES 4yr'!Q30+'INST SUPPORT 4yr'!Q30</f>
        <v>540236.31499999994</v>
      </c>
      <c r="R30" s="92">
        <f>+'ACADEMIC SUPP 4yr'!R30+'STU SERVICES 4yr'!R30+'INST SUPPORT 4yr'!R30</f>
        <v>440105.65800000005</v>
      </c>
      <c r="S30" s="92">
        <f>+'ACADEMIC SUPP 4yr'!S30+'STU SERVICES 4yr'!S30+'INST SUPPORT 4yr'!S30</f>
        <v>455271.34699999995</v>
      </c>
      <c r="T30" s="92">
        <f>+'ACADEMIC SUPP 4yr'!T30+'STU SERVICES 4yr'!T30+'INST SUPPORT 4yr'!T30</f>
        <v>499290.92599999998</v>
      </c>
      <c r="U30" s="92">
        <f>+'ACADEMIC SUPP 4yr'!U30+'STU SERVICES 4yr'!U30+'INST SUPPORT 4yr'!U30</f>
        <v>515626.9</v>
      </c>
      <c r="V30" s="92">
        <f>+'ACADEMIC SUPP 4yr'!V30+'STU SERVICES 4yr'!V30+'INST SUPPORT 4yr'!V30</f>
        <v>610742.23300000001</v>
      </c>
      <c r="W30" s="92">
        <f>+'ACADEMIC SUPP 4yr'!W30+'STU SERVICES 4yr'!W30+'INST SUPPORT 4yr'!W30</f>
        <v>638409.9040000001</v>
      </c>
      <c r="X30" s="92">
        <f>+'ACADEMIC SUPP 4yr'!X30+'STU SERVICES 4yr'!X30+'INST SUPPORT 4yr'!X30</f>
        <v>728861.65299999993</v>
      </c>
      <c r="Y30" s="92">
        <f>+'ACADEMIC SUPP 4yr'!Y30+'STU SERVICES 4yr'!Y30+'INST SUPPORT 4yr'!Y30</f>
        <v>776388.70900000003</v>
      </c>
      <c r="Z30" s="92">
        <f>+'ACADEMIC SUPP 4yr'!Z30+'STU SERVICES 4yr'!Z30+'INST SUPPORT 4yr'!Z30</f>
        <v>862285.92700000003</v>
      </c>
      <c r="AA30" s="92">
        <f>+'ACADEMIC SUPP 4yr'!AA30+'STU SERVICES 4yr'!AA30+'INST SUPPORT 4yr'!AA30</f>
        <v>962051.08100000001</v>
      </c>
    </row>
    <row r="31" spans="1:27">
      <c r="A31" s="23" t="s">
        <v>91</v>
      </c>
      <c r="B31" s="92">
        <f>+'ACADEMIC SUPP 4yr'!B31+'STU SERVICES 4yr'!B31+'INST SUPPORT 4yr'!B31</f>
        <v>0</v>
      </c>
      <c r="C31" s="92">
        <f>+'ACADEMIC SUPP 4yr'!C31+'STU SERVICES 4yr'!C31+'INST SUPPORT 4yr'!C31</f>
        <v>0</v>
      </c>
      <c r="D31" s="92">
        <f>+'ACADEMIC SUPP 4yr'!D31+'STU SERVICES 4yr'!D31+'INST SUPPORT 4yr'!D31</f>
        <v>0</v>
      </c>
      <c r="E31" s="92">
        <f>+'ACADEMIC SUPP 4yr'!E31+'STU SERVICES 4yr'!E31+'INST SUPPORT 4yr'!E31</f>
        <v>0</v>
      </c>
      <c r="F31" s="92">
        <f>+'ACADEMIC SUPP 4yr'!F31+'STU SERVICES 4yr'!F31+'INST SUPPORT 4yr'!F31</f>
        <v>64665.823000000004</v>
      </c>
      <c r="G31" s="92">
        <f>+'ACADEMIC SUPP 4yr'!G31+'STU SERVICES 4yr'!G31+'INST SUPPORT 4yr'!G31</f>
        <v>0</v>
      </c>
      <c r="H31" s="92">
        <f>+'ACADEMIC SUPP 4yr'!H31+'STU SERVICES 4yr'!H31+'INST SUPPORT 4yr'!H31</f>
        <v>0</v>
      </c>
      <c r="I31" s="92">
        <f>+'ACADEMIC SUPP 4yr'!I31+'STU SERVICES 4yr'!I31+'INST SUPPORT 4yr'!I31</f>
        <v>70474.486999999994</v>
      </c>
      <c r="J31" s="92">
        <f>+'ACADEMIC SUPP 4yr'!J31+'STU SERVICES 4yr'!J31+'INST SUPPORT 4yr'!J31</f>
        <v>0</v>
      </c>
      <c r="K31" s="92">
        <f>+'ACADEMIC SUPP 4yr'!K31+'STU SERVICES 4yr'!K31+'INST SUPPORT 4yr'!K31</f>
        <v>111155.486</v>
      </c>
      <c r="L31" s="92">
        <f>+'ACADEMIC SUPP 4yr'!L31+'STU SERVICES 4yr'!L31+'INST SUPPORT 4yr'!L31</f>
        <v>73268.054000000004</v>
      </c>
      <c r="M31" s="92">
        <f>+'ACADEMIC SUPP 4yr'!M31+'STU SERVICES 4yr'!M31+'INST SUPPORT 4yr'!M31</f>
        <v>78950.823000000004</v>
      </c>
      <c r="N31" s="92">
        <f>+'ACADEMIC SUPP 4yr'!N31+'STU SERVICES 4yr'!N31+'INST SUPPORT 4yr'!N31</f>
        <v>77250.642999999996</v>
      </c>
      <c r="O31" s="92">
        <f>+'ACADEMIC SUPP 4yr'!O31+'STU SERVICES 4yr'!O31+'INST SUPPORT 4yr'!O31</f>
        <v>89629.448000000004</v>
      </c>
      <c r="P31" s="92">
        <f>+'ACADEMIC SUPP 4yr'!P31+'STU SERVICES 4yr'!P31+'INST SUPPORT 4yr'!P31</f>
        <v>96808.055999999997</v>
      </c>
      <c r="Q31" s="92">
        <f>+'ACADEMIC SUPP 4yr'!Q31+'STU SERVICES 4yr'!Q31+'INST SUPPORT 4yr'!Q31</f>
        <v>103652.22899999999</v>
      </c>
      <c r="R31" s="92">
        <f>+'ACADEMIC SUPP 4yr'!R31+'STU SERVICES 4yr'!R31+'INST SUPPORT 4yr'!R31</f>
        <v>115197.01400000001</v>
      </c>
      <c r="S31" s="92">
        <f>+'ACADEMIC SUPP 4yr'!S31+'STU SERVICES 4yr'!S31+'INST SUPPORT 4yr'!S31</f>
        <v>119822.06099999999</v>
      </c>
      <c r="T31" s="92">
        <f>+'ACADEMIC SUPP 4yr'!T31+'STU SERVICES 4yr'!T31+'INST SUPPORT 4yr'!T31</f>
        <v>140026.318</v>
      </c>
      <c r="U31" s="92">
        <f>+'ACADEMIC SUPP 4yr'!U31+'STU SERVICES 4yr'!U31+'INST SUPPORT 4yr'!U31</f>
        <v>151576.43600000002</v>
      </c>
      <c r="V31" s="92">
        <f>+'ACADEMIC SUPP 4yr'!V31+'STU SERVICES 4yr'!V31+'INST SUPPORT 4yr'!V31</f>
        <v>153157.42300000001</v>
      </c>
      <c r="W31" s="92">
        <f>+'ACADEMIC SUPP 4yr'!W31+'STU SERVICES 4yr'!W31+'INST SUPPORT 4yr'!W31</f>
        <v>178787.609</v>
      </c>
      <c r="X31" s="92">
        <f>+'ACADEMIC SUPP 4yr'!X31+'STU SERVICES 4yr'!X31+'INST SUPPORT 4yr'!X31</f>
        <v>192024.09599999999</v>
      </c>
      <c r="Y31" s="92">
        <f>+'ACADEMIC SUPP 4yr'!Y31+'STU SERVICES 4yr'!Y31+'INST SUPPORT 4yr'!Y31</f>
        <v>216757.467</v>
      </c>
      <c r="Z31" s="92">
        <f>+'ACADEMIC SUPP 4yr'!Z31+'STU SERVICES 4yr'!Z31+'INST SUPPORT 4yr'!Z31</f>
        <v>214253.76300000004</v>
      </c>
      <c r="AA31" s="92">
        <f>+'ACADEMIC SUPP 4yr'!AA31+'STU SERVICES 4yr'!AA31+'INST SUPPORT 4yr'!AA31</f>
        <v>176949.12299999999</v>
      </c>
    </row>
    <row r="32" spans="1:27">
      <c r="A32" s="23" t="s">
        <v>92</v>
      </c>
      <c r="B32" s="92">
        <f>+'ACADEMIC SUPP 4yr'!B32+'STU SERVICES 4yr'!B32+'INST SUPPORT 4yr'!B32</f>
        <v>0</v>
      </c>
      <c r="C32" s="92">
        <f>+'ACADEMIC SUPP 4yr'!C32+'STU SERVICES 4yr'!C32+'INST SUPPORT 4yr'!C32</f>
        <v>0</v>
      </c>
      <c r="D32" s="92">
        <f>+'ACADEMIC SUPP 4yr'!D32+'STU SERVICES 4yr'!D32+'INST SUPPORT 4yr'!D32</f>
        <v>0</v>
      </c>
      <c r="E32" s="92">
        <f>+'ACADEMIC SUPP 4yr'!E32+'STU SERVICES 4yr'!E32+'INST SUPPORT 4yr'!E32</f>
        <v>0</v>
      </c>
      <c r="F32" s="92">
        <f>+'ACADEMIC SUPP 4yr'!F32+'STU SERVICES 4yr'!F32+'INST SUPPORT 4yr'!F32</f>
        <v>64500.582999999999</v>
      </c>
      <c r="G32" s="92">
        <f>+'ACADEMIC SUPP 4yr'!G32+'STU SERVICES 4yr'!G32+'INST SUPPORT 4yr'!G32</f>
        <v>0</v>
      </c>
      <c r="H32" s="92">
        <f>+'ACADEMIC SUPP 4yr'!H32+'STU SERVICES 4yr'!H32+'INST SUPPORT 4yr'!H32</f>
        <v>0</v>
      </c>
      <c r="I32" s="92">
        <f>+'ACADEMIC SUPP 4yr'!I32+'STU SERVICES 4yr'!I32+'INST SUPPORT 4yr'!I32</f>
        <v>78937.925000000003</v>
      </c>
      <c r="J32" s="92">
        <f>+'ACADEMIC SUPP 4yr'!J32+'STU SERVICES 4yr'!J32+'INST SUPPORT 4yr'!J32</f>
        <v>0</v>
      </c>
      <c r="K32" s="92">
        <f>+'ACADEMIC SUPP 4yr'!K32+'STU SERVICES 4yr'!K32+'INST SUPPORT 4yr'!K32</f>
        <v>87402.838999999993</v>
      </c>
      <c r="L32" s="92">
        <f>+'ACADEMIC SUPP 4yr'!L32+'STU SERVICES 4yr'!L32+'INST SUPPORT 4yr'!L32</f>
        <v>110830.317</v>
      </c>
      <c r="M32" s="92">
        <f>+'ACADEMIC SUPP 4yr'!M32+'STU SERVICES 4yr'!M32+'INST SUPPORT 4yr'!M32</f>
        <v>118472.372</v>
      </c>
      <c r="N32" s="92">
        <f>+'ACADEMIC SUPP 4yr'!N32+'STU SERVICES 4yr'!N32+'INST SUPPORT 4yr'!N32</f>
        <v>125525.33</v>
      </c>
      <c r="O32" s="92">
        <f>+'ACADEMIC SUPP 4yr'!O32+'STU SERVICES 4yr'!O32+'INST SUPPORT 4yr'!O32</f>
        <v>126455.38699999999</v>
      </c>
      <c r="P32" s="92">
        <f>+'ACADEMIC SUPP 4yr'!P32+'STU SERVICES 4yr'!P32+'INST SUPPORT 4yr'!P32</f>
        <v>115370.54499999998</v>
      </c>
      <c r="Q32" s="92">
        <f>+'ACADEMIC SUPP 4yr'!Q32+'STU SERVICES 4yr'!Q32+'INST SUPPORT 4yr'!Q32</f>
        <v>119780.13399999999</v>
      </c>
      <c r="R32" s="92">
        <f>+'ACADEMIC SUPP 4yr'!R32+'STU SERVICES 4yr'!R32+'INST SUPPORT 4yr'!R32</f>
        <v>122806.357</v>
      </c>
      <c r="S32" s="92">
        <f>+'ACADEMIC SUPP 4yr'!S32+'STU SERVICES 4yr'!S32+'INST SUPPORT 4yr'!S32</f>
        <v>133488.88800000001</v>
      </c>
      <c r="T32" s="92">
        <f>+'ACADEMIC SUPP 4yr'!T32+'STU SERVICES 4yr'!T32+'INST SUPPORT 4yr'!T32</f>
        <v>157015.24099999998</v>
      </c>
      <c r="U32" s="92">
        <f>+'ACADEMIC SUPP 4yr'!U32+'STU SERVICES 4yr'!U32+'INST SUPPORT 4yr'!U32</f>
        <v>163275.22700000001</v>
      </c>
      <c r="V32" s="92">
        <f>+'ACADEMIC SUPP 4yr'!V32+'STU SERVICES 4yr'!V32+'INST SUPPORT 4yr'!V32</f>
        <v>184301.163</v>
      </c>
      <c r="W32" s="92">
        <f>+'ACADEMIC SUPP 4yr'!W32+'STU SERVICES 4yr'!W32+'INST SUPPORT 4yr'!W32</f>
        <v>183811.89300000001</v>
      </c>
      <c r="X32" s="92">
        <f>+'ACADEMIC SUPP 4yr'!X32+'STU SERVICES 4yr'!X32+'INST SUPPORT 4yr'!X32</f>
        <v>192424.198</v>
      </c>
      <c r="Y32" s="92">
        <f>+'ACADEMIC SUPP 4yr'!Y32+'STU SERVICES 4yr'!Y32+'INST SUPPORT 4yr'!Y32</f>
        <v>203382.09100000001</v>
      </c>
      <c r="Z32" s="92">
        <f>+'ACADEMIC SUPP 4yr'!Z32+'STU SERVICES 4yr'!Z32+'INST SUPPORT 4yr'!Z32</f>
        <v>217168.34599999999</v>
      </c>
      <c r="AA32" s="92">
        <f>+'ACADEMIC SUPP 4yr'!AA32+'STU SERVICES 4yr'!AA32+'INST SUPPORT 4yr'!AA32</f>
        <v>228801.446</v>
      </c>
    </row>
    <row r="33" spans="1:27">
      <c r="A33" s="23" t="s">
        <v>100</v>
      </c>
      <c r="B33" s="90">
        <f>+'ACADEMIC SUPP 4yr'!B33+'STU SERVICES 4yr'!B33+'INST SUPPORT 4yr'!B33</f>
        <v>0</v>
      </c>
      <c r="C33" s="90">
        <f>+'ACADEMIC SUPP 4yr'!C33+'STU SERVICES 4yr'!C33+'INST SUPPORT 4yr'!C33</f>
        <v>0</v>
      </c>
      <c r="D33" s="90">
        <f>+'ACADEMIC SUPP 4yr'!D33+'STU SERVICES 4yr'!D33+'INST SUPPORT 4yr'!D33</f>
        <v>0</v>
      </c>
      <c r="E33" s="90">
        <f>+'ACADEMIC SUPP 4yr'!E33+'STU SERVICES 4yr'!E33+'INST SUPPORT 4yr'!E33</f>
        <v>0</v>
      </c>
      <c r="F33" s="90">
        <f>+'ACADEMIC SUPP 4yr'!F33+'STU SERVICES 4yr'!F33+'INST SUPPORT 4yr'!F33</f>
        <v>61652.557000000001</v>
      </c>
      <c r="G33" s="90">
        <f>+'ACADEMIC SUPP 4yr'!G33+'STU SERVICES 4yr'!G33+'INST SUPPORT 4yr'!G33</f>
        <v>0</v>
      </c>
      <c r="H33" s="90">
        <f>+'ACADEMIC SUPP 4yr'!H33+'STU SERVICES 4yr'!H33+'INST SUPPORT 4yr'!H33</f>
        <v>0</v>
      </c>
      <c r="I33" s="90">
        <f>+'ACADEMIC SUPP 4yr'!I33+'STU SERVICES 4yr'!I33+'INST SUPPORT 4yr'!I33</f>
        <v>73964.004000000001</v>
      </c>
      <c r="J33" s="90">
        <f>+'ACADEMIC SUPP 4yr'!J33+'STU SERVICES 4yr'!J33+'INST SUPPORT 4yr'!J33</f>
        <v>0</v>
      </c>
      <c r="K33" s="90">
        <f>+'ACADEMIC SUPP 4yr'!K33+'STU SERVICES 4yr'!K33+'INST SUPPORT 4yr'!K33</f>
        <v>103182.64599999999</v>
      </c>
      <c r="L33" s="90">
        <f>+'ACADEMIC SUPP 4yr'!L33+'STU SERVICES 4yr'!L33+'INST SUPPORT 4yr'!L33</f>
        <v>93420.754000000001</v>
      </c>
      <c r="M33" s="90">
        <f>+'ACADEMIC SUPP 4yr'!M33+'STU SERVICES 4yr'!M33+'INST SUPPORT 4yr'!M33</f>
        <v>99879.952999999994</v>
      </c>
      <c r="N33" s="90">
        <f>+'ACADEMIC SUPP 4yr'!N33+'STU SERVICES 4yr'!N33+'INST SUPPORT 4yr'!N33</f>
        <v>96007.481</v>
      </c>
      <c r="O33" s="90">
        <f>+'ACADEMIC SUPP 4yr'!O33+'STU SERVICES 4yr'!O33+'INST SUPPORT 4yr'!O33</f>
        <v>107900.76300000001</v>
      </c>
      <c r="P33" s="90">
        <f>+'ACADEMIC SUPP 4yr'!P33+'STU SERVICES 4yr'!P33+'INST SUPPORT 4yr'!P33</f>
        <v>110581.66099999999</v>
      </c>
      <c r="Q33" s="90">
        <f>+'ACADEMIC SUPP 4yr'!Q33+'STU SERVICES 4yr'!Q33+'INST SUPPORT 4yr'!Q33</f>
        <v>116328.33499999999</v>
      </c>
      <c r="R33" s="90">
        <f>+'ACADEMIC SUPP 4yr'!R33+'STU SERVICES 4yr'!R33+'INST SUPPORT 4yr'!R33</f>
        <v>125608.64799999999</v>
      </c>
      <c r="S33" s="90">
        <f>+'ACADEMIC SUPP 4yr'!S33+'STU SERVICES 4yr'!S33+'INST SUPPORT 4yr'!S33</f>
        <v>136969.13500000001</v>
      </c>
      <c r="T33" s="90">
        <f>+'ACADEMIC SUPP 4yr'!T33+'STU SERVICES 4yr'!T33+'INST SUPPORT 4yr'!T33</f>
        <v>151919.53</v>
      </c>
      <c r="U33" s="90">
        <f>+'ACADEMIC SUPP 4yr'!U33+'STU SERVICES 4yr'!U33+'INST SUPPORT 4yr'!U33</f>
        <v>177362.61700000003</v>
      </c>
      <c r="V33" s="90">
        <f>+'ACADEMIC SUPP 4yr'!V33+'STU SERVICES 4yr'!V33+'INST SUPPORT 4yr'!V33</f>
        <v>192753.01300000001</v>
      </c>
      <c r="W33" s="90">
        <f>+'ACADEMIC SUPP 4yr'!W33+'STU SERVICES 4yr'!W33+'INST SUPPORT 4yr'!W33</f>
        <v>201462.61900000001</v>
      </c>
      <c r="X33" s="90">
        <f>+'ACADEMIC SUPP 4yr'!X33+'STU SERVICES 4yr'!X33+'INST SUPPORT 4yr'!X33</f>
        <v>209518.21900000001</v>
      </c>
      <c r="Y33" s="90">
        <f>+'ACADEMIC SUPP 4yr'!Y33+'STU SERVICES 4yr'!Y33+'INST SUPPORT 4yr'!Y33</f>
        <v>216283.30999999997</v>
      </c>
      <c r="Z33" s="90">
        <f>+'ACADEMIC SUPP 4yr'!Z33+'STU SERVICES 4yr'!Z33+'INST SUPPORT 4yr'!Z33</f>
        <v>221999.12699999998</v>
      </c>
      <c r="AA33" s="90">
        <f>+'ACADEMIC SUPP 4yr'!AA33+'STU SERVICES 4yr'!AA33+'INST SUPPORT 4yr'!AA33</f>
        <v>230157.03900000002</v>
      </c>
    </row>
    <row r="34" spans="1:27">
      <c r="A34" s="23" t="s">
        <v>102</v>
      </c>
      <c r="B34" s="90">
        <f>+'ACADEMIC SUPP 4yr'!B34+'STU SERVICES 4yr'!B34+'INST SUPPORT 4yr'!B34</f>
        <v>0</v>
      </c>
      <c r="C34" s="90">
        <f>+'ACADEMIC SUPP 4yr'!C34+'STU SERVICES 4yr'!C34+'INST SUPPORT 4yr'!C34</f>
        <v>0</v>
      </c>
      <c r="D34" s="90">
        <f>+'ACADEMIC SUPP 4yr'!D34+'STU SERVICES 4yr'!D34+'INST SUPPORT 4yr'!D34</f>
        <v>0</v>
      </c>
      <c r="E34" s="90">
        <f>+'ACADEMIC SUPP 4yr'!E34+'STU SERVICES 4yr'!E34+'INST SUPPORT 4yr'!E34</f>
        <v>0</v>
      </c>
      <c r="F34" s="90">
        <f>+'ACADEMIC SUPP 4yr'!F34+'STU SERVICES 4yr'!F34+'INST SUPPORT 4yr'!F34</f>
        <v>74779.527999999991</v>
      </c>
      <c r="G34" s="90">
        <f>+'ACADEMIC SUPP 4yr'!G34+'STU SERVICES 4yr'!G34+'INST SUPPORT 4yr'!G34</f>
        <v>0</v>
      </c>
      <c r="H34" s="90">
        <f>+'ACADEMIC SUPP 4yr'!H34+'STU SERVICES 4yr'!H34+'INST SUPPORT 4yr'!H34</f>
        <v>0</v>
      </c>
      <c r="I34" s="90">
        <f>+'ACADEMIC SUPP 4yr'!I34+'STU SERVICES 4yr'!I34+'INST SUPPORT 4yr'!I34</f>
        <v>82054.028999999995</v>
      </c>
      <c r="J34" s="90">
        <f>+'ACADEMIC SUPP 4yr'!J34+'STU SERVICES 4yr'!J34+'INST SUPPORT 4yr'!J34</f>
        <v>0</v>
      </c>
      <c r="K34" s="90">
        <f>+'ACADEMIC SUPP 4yr'!K34+'STU SERVICES 4yr'!K34+'INST SUPPORT 4yr'!K34</f>
        <v>106382.70299999999</v>
      </c>
      <c r="L34" s="90">
        <f>+'ACADEMIC SUPP 4yr'!L34+'STU SERVICES 4yr'!L34+'INST SUPPORT 4yr'!L34</f>
        <v>115330.247</v>
      </c>
      <c r="M34" s="90">
        <f>+'ACADEMIC SUPP 4yr'!M34+'STU SERVICES 4yr'!M34+'INST SUPPORT 4yr'!M34</f>
        <v>123173.467</v>
      </c>
      <c r="N34" s="90">
        <f>+'ACADEMIC SUPP 4yr'!N34+'STU SERVICES 4yr'!N34+'INST SUPPORT 4yr'!N34</f>
        <v>128503.17299999998</v>
      </c>
      <c r="O34" s="90">
        <f>+'ACADEMIC SUPP 4yr'!O34+'STU SERVICES 4yr'!O34+'INST SUPPORT 4yr'!O34</f>
        <v>145006.53</v>
      </c>
      <c r="P34" s="90">
        <f>+'ACADEMIC SUPP 4yr'!P34+'STU SERVICES 4yr'!P34+'INST SUPPORT 4yr'!P34</f>
        <v>197820.745</v>
      </c>
      <c r="Q34" s="90">
        <f>+'ACADEMIC SUPP 4yr'!Q34+'STU SERVICES 4yr'!Q34+'INST SUPPORT 4yr'!Q34</f>
        <v>216662.44900000002</v>
      </c>
      <c r="R34" s="90">
        <f>+'ACADEMIC SUPP 4yr'!R34+'STU SERVICES 4yr'!R34+'INST SUPPORT 4yr'!R34</f>
        <v>243668.16700000002</v>
      </c>
      <c r="S34" s="90">
        <f>+'ACADEMIC SUPP 4yr'!S34+'STU SERVICES 4yr'!S34+'INST SUPPORT 4yr'!S34</f>
        <v>279750.62599999999</v>
      </c>
      <c r="T34" s="90">
        <f>+'ACADEMIC SUPP 4yr'!T34+'STU SERVICES 4yr'!T34+'INST SUPPORT 4yr'!T34</f>
        <v>302572.06400000001</v>
      </c>
      <c r="U34" s="90">
        <f>+'ACADEMIC SUPP 4yr'!U34+'STU SERVICES 4yr'!U34+'INST SUPPORT 4yr'!U34</f>
        <v>229282.606</v>
      </c>
      <c r="V34" s="90">
        <f>+'ACADEMIC SUPP 4yr'!V34+'STU SERVICES 4yr'!V34+'INST SUPPORT 4yr'!V34</f>
        <v>258404.685</v>
      </c>
      <c r="W34" s="90">
        <f>+'ACADEMIC SUPP 4yr'!W34+'STU SERVICES 4yr'!W34+'INST SUPPORT 4yr'!W34</f>
        <v>258715.50099999999</v>
      </c>
      <c r="X34" s="90">
        <f>+'ACADEMIC SUPP 4yr'!X34+'STU SERVICES 4yr'!X34+'INST SUPPORT 4yr'!X34</f>
        <v>263069.93599999999</v>
      </c>
      <c r="Y34" s="90">
        <f>+'ACADEMIC SUPP 4yr'!Y34+'STU SERVICES 4yr'!Y34+'INST SUPPORT 4yr'!Y34</f>
        <v>282712.45900000003</v>
      </c>
      <c r="Z34" s="90">
        <f>+'ACADEMIC SUPP 4yr'!Z34+'STU SERVICES 4yr'!Z34+'INST SUPPORT 4yr'!Z34</f>
        <v>320022.565</v>
      </c>
      <c r="AA34" s="90">
        <f>+'ACADEMIC SUPP 4yr'!AA34+'STU SERVICES 4yr'!AA34+'INST SUPPORT 4yr'!AA34</f>
        <v>352197.18699999998</v>
      </c>
    </row>
    <row r="35" spans="1:27">
      <c r="A35" s="23" t="s">
        <v>105</v>
      </c>
      <c r="B35" s="90">
        <f>+'ACADEMIC SUPP 4yr'!B35+'STU SERVICES 4yr'!B35+'INST SUPPORT 4yr'!B35</f>
        <v>0</v>
      </c>
      <c r="C35" s="90">
        <f>+'ACADEMIC SUPP 4yr'!C35+'STU SERVICES 4yr'!C35+'INST SUPPORT 4yr'!C35</f>
        <v>0</v>
      </c>
      <c r="D35" s="90">
        <f>+'ACADEMIC SUPP 4yr'!D35+'STU SERVICES 4yr'!D35+'INST SUPPORT 4yr'!D35</f>
        <v>0</v>
      </c>
      <c r="E35" s="90">
        <f>+'ACADEMIC SUPP 4yr'!E35+'STU SERVICES 4yr'!E35+'INST SUPPORT 4yr'!E35</f>
        <v>0</v>
      </c>
      <c r="F35" s="90">
        <f>+'ACADEMIC SUPP 4yr'!F35+'STU SERVICES 4yr'!F35+'INST SUPPORT 4yr'!F35</f>
        <v>96687.097000000009</v>
      </c>
      <c r="G35" s="90">
        <f>+'ACADEMIC SUPP 4yr'!G35+'STU SERVICES 4yr'!G35+'INST SUPPORT 4yr'!G35</f>
        <v>0</v>
      </c>
      <c r="H35" s="90">
        <f>+'ACADEMIC SUPP 4yr'!H35+'STU SERVICES 4yr'!H35+'INST SUPPORT 4yr'!H35</f>
        <v>0</v>
      </c>
      <c r="I35" s="90">
        <f>+'ACADEMIC SUPP 4yr'!I35+'STU SERVICES 4yr'!I35+'INST SUPPORT 4yr'!I35</f>
        <v>117533.54</v>
      </c>
      <c r="J35" s="90">
        <f>+'ACADEMIC SUPP 4yr'!J35+'STU SERVICES 4yr'!J35+'INST SUPPORT 4yr'!J35</f>
        <v>0</v>
      </c>
      <c r="K35" s="90">
        <f>+'ACADEMIC SUPP 4yr'!K35+'STU SERVICES 4yr'!K35+'INST SUPPORT 4yr'!K35</f>
        <v>135571.56742000001</v>
      </c>
      <c r="L35" s="90">
        <f>+'ACADEMIC SUPP 4yr'!L35+'STU SERVICES 4yr'!L35+'INST SUPPORT 4yr'!L35</f>
        <v>133557.098</v>
      </c>
      <c r="M35" s="90">
        <f>+'ACADEMIC SUPP 4yr'!M35+'STU SERVICES 4yr'!M35+'INST SUPPORT 4yr'!M35</f>
        <v>147390.34600000002</v>
      </c>
      <c r="N35" s="90">
        <f>+'ACADEMIC SUPP 4yr'!N35+'STU SERVICES 4yr'!N35+'INST SUPPORT 4yr'!N35</f>
        <v>142509.77100000001</v>
      </c>
      <c r="O35" s="90">
        <f>+'ACADEMIC SUPP 4yr'!O35+'STU SERVICES 4yr'!O35+'INST SUPPORT 4yr'!O35</f>
        <v>152257.49099999998</v>
      </c>
      <c r="P35" s="90">
        <f>+'ACADEMIC SUPP 4yr'!P35+'STU SERVICES 4yr'!P35+'INST SUPPORT 4yr'!P35</f>
        <v>157035.69500000001</v>
      </c>
      <c r="Q35" s="90">
        <f>+'ACADEMIC SUPP 4yr'!Q35+'STU SERVICES 4yr'!Q35+'INST SUPPORT 4yr'!Q35</f>
        <v>181628.08600000001</v>
      </c>
      <c r="R35" s="90">
        <f>+'ACADEMIC SUPP 4yr'!R35+'STU SERVICES 4yr'!R35+'INST SUPPORT 4yr'!R35</f>
        <v>191669.41200000001</v>
      </c>
      <c r="S35" s="90">
        <f>+'ACADEMIC SUPP 4yr'!S35+'STU SERVICES 4yr'!S35+'INST SUPPORT 4yr'!S35</f>
        <v>205704.72700000001</v>
      </c>
      <c r="T35" s="90">
        <f>+'ACADEMIC SUPP 4yr'!T35+'STU SERVICES 4yr'!T35+'INST SUPPORT 4yr'!T35</f>
        <v>221419.307</v>
      </c>
      <c r="U35" s="90">
        <f>+'ACADEMIC SUPP 4yr'!U35+'STU SERVICES 4yr'!U35+'INST SUPPORT 4yr'!U35</f>
        <v>225115.60800000001</v>
      </c>
      <c r="V35" s="90">
        <f>+'ACADEMIC SUPP 4yr'!V35+'STU SERVICES 4yr'!V35+'INST SUPPORT 4yr'!V35</f>
        <v>250210.049</v>
      </c>
      <c r="W35" s="90">
        <f>+'ACADEMIC SUPP 4yr'!W35+'STU SERVICES 4yr'!W35+'INST SUPPORT 4yr'!W35</f>
        <v>250927.26</v>
      </c>
      <c r="X35" s="90">
        <f>+'ACADEMIC SUPP 4yr'!X35+'STU SERVICES 4yr'!X35+'INST SUPPORT 4yr'!X35</f>
        <v>262897.27499999997</v>
      </c>
      <c r="Y35" s="90">
        <f>+'ACADEMIC SUPP 4yr'!Y35+'STU SERVICES 4yr'!Y35+'INST SUPPORT 4yr'!Y35</f>
        <v>261651.12899999999</v>
      </c>
      <c r="Z35" s="90">
        <f>+'ACADEMIC SUPP 4yr'!Z35+'STU SERVICES 4yr'!Z35+'INST SUPPORT 4yr'!Z35</f>
        <v>271404.935</v>
      </c>
      <c r="AA35" s="90">
        <f>+'ACADEMIC SUPP 4yr'!AA35+'STU SERVICES 4yr'!AA35+'INST SUPPORT 4yr'!AA35</f>
        <v>287758.11</v>
      </c>
    </row>
    <row r="36" spans="1:27">
      <c r="A36" s="23" t="s">
        <v>109</v>
      </c>
      <c r="B36" s="90">
        <f>+'ACADEMIC SUPP 4yr'!B36+'STU SERVICES 4yr'!B36+'INST SUPPORT 4yr'!B36</f>
        <v>0</v>
      </c>
      <c r="C36" s="90">
        <f>+'ACADEMIC SUPP 4yr'!C36+'STU SERVICES 4yr'!C36+'INST SUPPORT 4yr'!C36</f>
        <v>0</v>
      </c>
      <c r="D36" s="90">
        <f>+'ACADEMIC SUPP 4yr'!D36+'STU SERVICES 4yr'!D36+'INST SUPPORT 4yr'!D36</f>
        <v>0</v>
      </c>
      <c r="E36" s="90">
        <f>+'ACADEMIC SUPP 4yr'!E36+'STU SERVICES 4yr'!E36+'INST SUPPORT 4yr'!E36</f>
        <v>0</v>
      </c>
      <c r="F36" s="90">
        <f>+'ACADEMIC SUPP 4yr'!F36+'STU SERVICES 4yr'!F36+'INST SUPPORT 4yr'!F36</f>
        <v>162432.26300000001</v>
      </c>
      <c r="G36" s="90">
        <f>+'ACADEMIC SUPP 4yr'!G36+'STU SERVICES 4yr'!G36+'INST SUPPORT 4yr'!G36</f>
        <v>0</v>
      </c>
      <c r="H36" s="90">
        <f>+'ACADEMIC SUPP 4yr'!H36+'STU SERVICES 4yr'!H36+'INST SUPPORT 4yr'!H36</f>
        <v>0</v>
      </c>
      <c r="I36" s="90">
        <f>+'ACADEMIC SUPP 4yr'!I36+'STU SERVICES 4yr'!I36+'INST SUPPORT 4yr'!I36</f>
        <v>182958.62699999998</v>
      </c>
      <c r="J36" s="90">
        <f>+'ACADEMIC SUPP 4yr'!J36+'STU SERVICES 4yr'!J36+'INST SUPPORT 4yr'!J36</f>
        <v>0</v>
      </c>
      <c r="K36" s="90">
        <f>+'ACADEMIC SUPP 4yr'!K36+'STU SERVICES 4yr'!K36+'INST SUPPORT 4yr'!K36</f>
        <v>233985.948</v>
      </c>
      <c r="L36" s="90">
        <f>+'ACADEMIC SUPP 4yr'!L36+'STU SERVICES 4yr'!L36+'INST SUPPORT 4yr'!L36</f>
        <v>263973.92</v>
      </c>
      <c r="M36" s="90">
        <f>+'ACADEMIC SUPP 4yr'!M36+'STU SERVICES 4yr'!M36+'INST SUPPORT 4yr'!M36</f>
        <v>281731.71600000001</v>
      </c>
      <c r="N36" s="90">
        <f>+'ACADEMIC SUPP 4yr'!N36+'STU SERVICES 4yr'!N36+'INST SUPPORT 4yr'!N36</f>
        <v>334995.59899999999</v>
      </c>
      <c r="O36" s="90">
        <f>+'ACADEMIC SUPP 4yr'!O36+'STU SERVICES 4yr'!O36+'INST SUPPORT 4yr'!O36</f>
        <v>357107.16299999994</v>
      </c>
      <c r="P36" s="90">
        <f>+'ACADEMIC SUPP 4yr'!P36+'STU SERVICES 4yr'!P36+'INST SUPPORT 4yr'!P36</f>
        <v>374694.38</v>
      </c>
      <c r="Q36" s="90">
        <f>+'ACADEMIC SUPP 4yr'!Q36+'STU SERVICES 4yr'!Q36+'INST SUPPORT 4yr'!Q36</f>
        <v>407973.43400000001</v>
      </c>
      <c r="R36" s="90">
        <f>+'ACADEMIC SUPP 4yr'!R36+'STU SERVICES 4yr'!R36+'INST SUPPORT 4yr'!R36</f>
        <v>415032.20500000002</v>
      </c>
      <c r="S36" s="90">
        <f>+'ACADEMIC SUPP 4yr'!S36+'STU SERVICES 4yr'!S36+'INST SUPPORT 4yr'!S36</f>
        <v>452906.93799999997</v>
      </c>
      <c r="T36" s="90">
        <f>+'ACADEMIC SUPP 4yr'!T36+'STU SERVICES 4yr'!T36+'INST SUPPORT 4yr'!T36</f>
        <v>568222.28600000008</v>
      </c>
      <c r="U36" s="90">
        <f>+'ACADEMIC SUPP 4yr'!U36+'STU SERVICES 4yr'!U36+'INST SUPPORT 4yr'!U36</f>
        <v>370134.72099999996</v>
      </c>
      <c r="V36" s="90">
        <f>+'ACADEMIC SUPP 4yr'!V36+'STU SERVICES 4yr'!V36+'INST SUPPORT 4yr'!V36</f>
        <v>633695.87</v>
      </c>
      <c r="W36" s="90">
        <f>+'ACADEMIC SUPP 4yr'!W36+'STU SERVICES 4yr'!W36+'INST SUPPORT 4yr'!W36</f>
        <v>628318.15800000005</v>
      </c>
      <c r="X36" s="90">
        <f>+'ACADEMIC SUPP 4yr'!X36+'STU SERVICES 4yr'!X36+'INST SUPPORT 4yr'!X36</f>
        <v>678367.96500000008</v>
      </c>
      <c r="Y36" s="90">
        <f>+'ACADEMIC SUPP 4yr'!Y36+'STU SERVICES 4yr'!Y36+'INST SUPPORT 4yr'!Y36</f>
        <v>718630.125</v>
      </c>
      <c r="Z36" s="90">
        <f>+'ACADEMIC SUPP 4yr'!Z36+'STU SERVICES 4yr'!Z36+'INST SUPPORT 4yr'!Z36</f>
        <v>788588.97200000007</v>
      </c>
      <c r="AA36" s="90">
        <f>+'ACADEMIC SUPP 4yr'!AA36+'STU SERVICES 4yr'!AA36+'INST SUPPORT 4yr'!AA36</f>
        <v>793185.54099999997</v>
      </c>
    </row>
    <row r="37" spans="1:27">
      <c r="A37" s="23" t="s">
        <v>113</v>
      </c>
      <c r="B37" s="90">
        <f>+'ACADEMIC SUPP 4yr'!B37+'STU SERVICES 4yr'!B37+'INST SUPPORT 4yr'!B37</f>
        <v>0</v>
      </c>
      <c r="C37" s="90">
        <f>+'ACADEMIC SUPP 4yr'!C37+'STU SERVICES 4yr'!C37+'INST SUPPORT 4yr'!C37</f>
        <v>0</v>
      </c>
      <c r="D37" s="90">
        <f>+'ACADEMIC SUPP 4yr'!D37+'STU SERVICES 4yr'!D37+'INST SUPPORT 4yr'!D37</f>
        <v>0</v>
      </c>
      <c r="E37" s="90">
        <f>+'ACADEMIC SUPP 4yr'!E37+'STU SERVICES 4yr'!E37+'INST SUPPORT 4yr'!E37</f>
        <v>0</v>
      </c>
      <c r="F37" s="90">
        <f>+'ACADEMIC SUPP 4yr'!F37+'STU SERVICES 4yr'!F37+'INST SUPPORT 4yr'!F37</f>
        <v>128927.48699999999</v>
      </c>
      <c r="G37" s="90">
        <f>+'ACADEMIC SUPP 4yr'!G37+'STU SERVICES 4yr'!G37+'INST SUPPORT 4yr'!G37</f>
        <v>0</v>
      </c>
      <c r="H37" s="90">
        <f>+'ACADEMIC SUPP 4yr'!H37+'STU SERVICES 4yr'!H37+'INST SUPPORT 4yr'!H37</f>
        <v>0</v>
      </c>
      <c r="I37" s="90">
        <f>+'ACADEMIC SUPP 4yr'!I37+'STU SERVICES 4yr'!I37+'INST SUPPORT 4yr'!I37</f>
        <v>173391.427</v>
      </c>
      <c r="J37" s="90">
        <f>+'ACADEMIC SUPP 4yr'!J37+'STU SERVICES 4yr'!J37+'INST SUPPORT 4yr'!J37</f>
        <v>0</v>
      </c>
      <c r="K37" s="90">
        <f>+'ACADEMIC SUPP 4yr'!K37+'STU SERVICES 4yr'!K37+'INST SUPPORT 4yr'!K37</f>
        <v>210851.397</v>
      </c>
      <c r="L37" s="90">
        <f>+'ACADEMIC SUPP 4yr'!L37+'STU SERVICES 4yr'!L37+'INST SUPPORT 4yr'!L37</f>
        <v>286490.88699999999</v>
      </c>
      <c r="M37" s="90">
        <f>+'ACADEMIC SUPP 4yr'!M37+'STU SERVICES 4yr'!M37+'INST SUPPORT 4yr'!M37</f>
        <v>282172.772</v>
      </c>
      <c r="N37" s="90">
        <f>+'ACADEMIC SUPP 4yr'!N37+'STU SERVICES 4yr'!N37+'INST SUPPORT 4yr'!N37</f>
        <v>283980.08100000001</v>
      </c>
      <c r="O37" s="90">
        <f>+'ACADEMIC SUPP 4yr'!O37+'STU SERVICES 4yr'!O37+'INST SUPPORT 4yr'!O37</f>
        <v>284573.97500000003</v>
      </c>
      <c r="P37" s="90">
        <f>+'ACADEMIC SUPP 4yr'!P37+'STU SERVICES 4yr'!P37+'INST SUPPORT 4yr'!P37</f>
        <v>307078.78000000003</v>
      </c>
      <c r="Q37" s="90">
        <f>+'ACADEMIC SUPP 4yr'!Q37+'STU SERVICES 4yr'!Q37+'INST SUPPORT 4yr'!Q37</f>
        <v>317869.67200000002</v>
      </c>
      <c r="R37" s="90">
        <f>+'ACADEMIC SUPP 4yr'!R37+'STU SERVICES 4yr'!R37+'INST SUPPORT 4yr'!R37</f>
        <v>348097.864</v>
      </c>
      <c r="S37" s="90">
        <f>+'ACADEMIC SUPP 4yr'!S37+'STU SERVICES 4yr'!S37+'INST SUPPORT 4yr'!S37</f>
        <v>370711.76899999997</v>
      </c>
      <c r="T37" s="90">
        <f>+'ACADEMIC SUPP 4yr'!T37+'STU SERVICES 4yr'!T37+'INST SUPPORT 4yr'!T37</f>
        <v>416015.549</v>
      </c>
      <c r="U37" s="90">
        <f>+'ACADEMIC SUPP 4yr'!U37+'STU SERVICES 4yr'!U37+'INST SUPPORT 4yr'!U37</f>
        <v>425151.495</v>
      </c>
      <c r="V37" s="90">
        <f>+'ACADEMIC SUPP 4yr'!V37+'STU SERVICES 4yr'!V37+'INST SUPPORT 4yr'!V37</f>
        <v>488442.05199999997</v>
      </c>
      <c r="W37" s="90">
        <f>+'ACADEMIC SUPP 4yr'!W37+'STU SERVICES 4yr'!W37+'INST SUPPORT 4yr'!W37</f>
        <v>520053.07</v>
      </c>
      <c r="X37" s="90">
        <f>+'ACADEMIC SUPP 4yr'!X37+'STU SERVICES 4yr'!X37+'INST SUPPORT 4yr'!X37</f>
        <v>545094.55500000005</v>
      </c>
      <c r="Y37" s="90">
        <f>+'ACADEMIC SUPP 4yr'!Y37+'STU SERVICES 4yr'!Y37+'INST SUPPORT 4yr'!Y37</f>
        <v>573279.77500000002</v>
      </c>
      <c r="Z37" s="90">
        <f>+'ACADEMIC SUPP 4yr'!Z37+'STU SERVICES 4yr'!Z37+'INST SUPPORT 4yr'!Z37</f>
        <v>557348.24699999997</v>
      </c>
      <c r="AA37" s="90">
        <f>+'ACADEMIC SUPP 4yr'!AA37+'STU SERVICES 4yr'!AA37+'INST SUPPORT 4yr'!AA37</f>
        <v>623693.25199999998</v>
      </c>
    </row>
    <row r="38" spans="1:27">
      <c r="A38" s="23" t="s">
        <v>115</v>
      </c>
      <c r="B38" s="90">
        <f>+'ACADEMIC SUPP 4yr'!B38+'STU SERVICES 4yr'!B38+'INST SUPPORT 4yr'!B38</f>
        <v>0</v>
      </c>
      <c r="C38" s="90">
        <f>+'ACADEMIC SUPP 4yr'!C38+'STU SERVICES 4yr'!C38+'INST SUPPORT 4yr'!C38</f>
        <v>0</v>
      </c>
      <c r="D38" s="90">
        <f>+'ACADEMIC SUPP 4yr'!D38+'STU SERVICES 4yr'!D38+'INST SUPPORT 4yr'!D38</f>
        <v>0</v>
      </c>
      <c r="E38" s="90">
        <f>+'ACADEMIC SUPP 4yr'!E38+'STU SERVICES 4yr'!E38+'INST SUPPORT 4yr'!E38</f>
        <v>0</v>
      </c>
      <c r="F38" s="90">
        <f>+'ACADEMIC SUPP 4yr'!F38+'STU SERVICES 4yr'!F38+'INST SUPPORT 4yr'!F38</f>
        <v>301351.88400000002</v>
      </c>
      <c r="G38" s="90">
        <f>+'ACADEMIC SUPP 4yr'!G38+'STU SERVICES 4yr'!G38+'INST SUPPORT 4yr'!G38</f>
        <v>0</v>
      </c>
      <c r="H38" s="90">
        <f>+'ACADEMIC SUPP 4yr'!H38+'STU SERVICES 4yr'!H38+'INST SUPPORT 4yr'!H38</f>
        <v>0</v>
      </c>
      <c r="I38" s="90">
        <f>+'ACADEMIC SUPP 4yr'!I38+'STU SERVICES 4yr'!I38+'INST SUPPORT 4yr'!I38</f>
        <v>358617.18400000001</v>
      </c>
      <c r="J38" s="90">
        <f>+'ACADEMIC SUPP 4yr'!J38+'STU SERVICES 4yr'!J38+'INST SUPPORT 4yr'!J38</f>
        <v>0</v>
      </c>
      <c r="K38" s="90">
        <f>+'ACADEMIC SUPP 4yr'!K38+'STU SERVICES 4yr'!K38+'INST SUPPORT 4yr'!K38</f>
        <v>393813.25300000003</v>
      </c>
      <c r="L38" s="90">
        <f>+'ACADEMIC SUPP 4yr'!L38+'STU SERVICES 4yr'!L38+'INST SUPPORT 4yr'!L38</f>
        <v>474005.74100000004</v>
      </c>
      <c r="M38" s="90">
        <f>+'ACADEMIC SUPP 4yr'!M38+'STU SERVICES 4yr'!M38+'INST SUPPORT 4yr'!M38</f>
        <v>535426.02899999998</v>
      </c>
      <c r="N38" s="90">
        <f>+'ACADEMIC SUPP 4yr'!N38+'STU SERVICES 4yr'!N38+'INST SUPPORT 4yr'!N38</f>
        <v>579171.54399999999</v>
      </c>
      <c r="O38" s="90">
        <f>+'ACADEMIC SUPP 4yr'!O38+'STU SERVICES 4yr'!O38+'INST SUPPORT 4yr'!O38</f>
        <v>494859.29800000007</v>
      </c>
      <c r="P38" s="90">
        <f>+'ACADEMIC SUPP 4yr'!P38+'STU SERVICES 4yr'!P38+'INST SUPPORT 4yr'!P38</f>
        <v>528401.46</v>
      </c>
      <c r="Q38" s="90">
        <f>+'ACADEMIC SUPP 4yr'!Q38+'STU SERVICES 4yr'!Q38+'INST SUPPORT 4yr'!Q38</f>
        <v>550217.89100000006</v>
      </c>
      <c r="R38" s="90">
        <f>+'ACADEMIC SUPP 4yr'!R38+'STU SERVICES 4yr'!R38+'INST SUPPORT 4yr'!R38</f>
        <v>581962.68800000008</v>
      </c>
      <c r="S38" s="90">
        <f>+'ACADEMIC SUPP 4yr'!S38+'STU SERVICES 4yr'!S38+'INST SUPPORT 4yr'!S38</f>
        <v>692203.10100000002</v>
      </c>
      <c r="T38" s="90">
        <f>+'ACADEMIC SUPP 4yr'!T38+'STU SERVICES 4yr'!T38+'INST SUPPORT 4yr'!T38</f>
        <v>814259.14500000002</v>
      </c>
      <c r="U38" s="90">
        <f>+'ACADEMIC SUPP 4yr'!U38+'STU SERVICES 4yr'!U38+'INST SUPPORT 4yr'!U38</f>
        <v>741217.05200000003</v>
      </c>
      <c r="V38" s="90">
        <f>+'ACADEMIC SUPP 4yr'!V38+'STU SERVICES 4yr'!V38+'INST SUPPORT 4yr'!V38</f>
        <v>840872.33699999994</v>
      </c>
      <c r="W38" s="90">
        <f>+'ACADEMIC SUPP 4yr'!W38+'STU SERVICES 4yr'!W38+'INST SUPPORT 4yr'!W38</f>
        <v>873889.46000000008</v>
      </c>
      <c r="X38" s="90">
        <f>+'ACADEMIC SUPP 4yr'!X38+'STU SERVICES 4yr'!X38+'INST SUPPORT 4yr'!X38</f>
        <v>905702.63500000001</v>
      </c>
      <c r="Y38" s="90">
        <f>+'ACADEMIC SUPP 4yr'!Y38+'STU SERVICES 4yr'!Y38+'INST SUPPORT 4yr'!Y38</f>
        <v>986695.04099999997</v>
      </c>
      <c r="Z38" s="90">
        <f>+'ACADEMIC SUPP 4yr'!Z38+'STU SERVICES 4yr'!Z38+'INST SUPPORT 4yr'!Z38</f>
        <v>1095590.976</v>
      </c>
      <c r="AA38" s="90">
        <f>+'ACADEMIC SUPP 4yr'!AA38+'STU SERVICES 4yr'!AA38+'INST SUPPORT 4yr'!AA38</f>
        <v>1154357.588</v>
      </c>
    </row>
    <row r="39" spans="1:27">
      <c r="A39" s="45" t="s">
        <v>117</v>
      </c>
      <c r="B39" s="94">
        <f>+'ACADEMIC SUPP 4yr'!B39+'STU SERVICES 4yr'!B39+'INST SUPPORT 4yr'!B39</f>
        <v>0</v>
      </c>
      <c r="C39" s="94">
        <f>+'ACADEMIC SUPP 4yr'!C39+'STU SERVICES 4yr'!C39+'INST SUPPORT 4yr'!C39</f>
        <v>0</v>
      </c>
      <c r="D39" s="94">
        <f>+'ACADEMIC SUPP 4yr'!D39+'STU SERVICES 4yr'!D39+'INST SUPPORT 4yr'!D39</f>
        <v>0</v>
      </c>
      <c r="E39" s="94">
        <f>+'ACADEMIC SUPP 4yr'!E39+'STU SERVICES 4yr'!E39+'INST SUPPORT 4yr'!E39</f>
        <v>0</v>
      </c>
      <c r="F39" s="94">
        <f>+'ACADEMIC SUPP 4yr'!F39+'STU SERVICES 4yr'!F39+'INST SUPPORT 4yr'!F39</f>
        <v>31511.202000000001</v>
      </c>
      <c r="G39" s="94">
        <f>+'ACADEMIC SUPP 4yr'!G39+'STU SERVICES 4yr'!G39+'INST SUPPORT 4yr'!G39</f>
        <v>0</v>
      </c>
      <c r="H39" s="94">
        <f>+'ACADEMIC SUPP 4yr'!H39+'STU SERVICES 4yr'!H39+'INST SUPPORT 4yr'!H39</f>
        <v>0</v>
      </c>
      <c r="I39" s="94">
        <f>+'ACADEMIC SUPP 4yr'!I39+'STU SERVICES 4yr'!I39+'INST SUPPORT 4yr'!I39</f>
        <v>34529.713000000003</v>
      </c>
      <c r="J39" s="94">
        <f>+'ACADEMIC SUPP 4yr'!J39+'STU SERVICES 4yr'!J39+'INST SUPPORT 4yr'!J39</f>
        <v>0</v>
      </c>
      <c r="K39" s="94">
        <f>+'ACADEMIC SUPP 4yr'!K39+'STU SERVICES 4yr'!K39+'INST SUPPORT 4yr'!K39</f>
        <v>33978.790999999997</v>
      </c>
      <c r="L39" s="94">
        <f>+'ACADEMIC SUPP 4yr'!L39+'STU SERVICES 4yr'!L39+'INST SUPPORT 4yr'!L39</f>
        <v>42973.846999999994</v>
      </c>
      <c r="M39" s="94">
        <f>+'ACADEMIC SUPP 4yr'!M39+'STU SERVICES 4yr'!M39+'INST SUPPORT 4yr'!M39</f>
        <v>46457.917000000001</v>
      </c>
      <c r="N39" s="94">
        <f>+'ACADEMIC SUPP 4yr'!N39+'STU SERVICES 4yr'!N39+'INST SUPPORT 4yr'!N39</f>
        <v>46030.188000000002</v>
      </c>
      <c r="O39" s="94">
        <f>+'ACADEMIC SUPP 4yr'!O39+'STU SERVICES 4yr'!O39+'INST SUPPORT 4yr'!O39</f>
        <v>48246.633999999998</v>
      </c>
      <c r="P39" s="94">
        <f>+'ACADEMIC SUPP 4yr'!P39+'STU SERVICES 4yr'!P39+'INST SUPPORT 4yr'!P39</f>
        <v>52095.270999999993</v>
      </c>
      <c r="Q39" s="94">
        <f>+'ACADEMIC SUPP 4yr'!Q39+'STU SERVICES 4yr'!Q39+'INST SUPPORT 4yr'!Q39</f>
        <v>57668.357000000004</v>
      </c>
      <c r="R39" s="94">
        <f>+'ACADEMIC SUPP 4yr'!R39+'STU SERVICES 4yr'!R39+'INST SUPPORT 4yr'!R39</f>
        <v>60662.614000000001</v>
      </c>
      <c r="S39" s="94">
        <f>+'ACADEMIC SUPP 4yr'!S39+'STU SERVICES 4yr'!S39+'INST SUPPORT 4yr'!S39</f>
        <v>63130.343999999997</v>
      </c>
      <c r="T39" s="94">
        <f>+'ACADEMIC SUPP 4yr'!T39+'STU SERVICES 4yr'!T39+'INST SUPPORT 4yr'!T39</f>
        <v>74184.494999999995</v>
      </c>
      <c r="U39" s="94">
        <f>+'ACADEMIC SUPP 4yr'!U39+'STU SERVICES 4yr'!U39+'INST SUPPORT 4yr'!U39</f>
        <v>68920.695999999996</v>
      </c>
      <c r="V39" s="94">
        <f>+'ACADEMIC SUPP 4yr'!V39+'STU SERVICES 4yr'!V39+'INST SUPPORT 4yr'!V39</f>
        <v>87453.717000000004</v>
      </c>
      <c r="W39" s="94">
        <f>+'ACADEMIC SUPP 4yr'!W39+'STU SERVICES 4yr'!W39+'INST SUPPORT 4yr'!W39</f>
        <v>84730.34599999999</v>
      </c>
      <c r="X39" s="94">
        <f>+'ACADEMIC SUPP 4yr'!X39+'STU SERVICES 4yr'!X39+'INST SUPPORT 4yr'!X39</f>
        <v>99310.551000000007</v>
      </c>
      <c r="Y39" s="94">
        <f>+'ACADEMIC SUPP 4yr'!Y39+'STU SERVICES 4yr'!Y39+'INST SUPPORT 4yr'!Y39</f>
        <v>99678.395999999993</v>
      </c>
      <c r="Z39" s="94">
        <f>+'ACADEMIC SUPP 4yr'!Z39+'STU SERVICES 4yr'!Z39+'INST SUPPORT 4yr'!Z39</f>
        <v>106786.538</v>
      </c>
      <c r="AA39" s="94">
        <f>+'ACADEMIC SUPP 4yr'!AA39+'STU SERVICES 4yr'!AA39+'INST SUPPORT 4yr'!AA39</f>
        <v>110348.837</v>
      </c>
    </row>
    <row r="40" spans="1:27">
      <c r="A40" s="79" t="s">
        <v>121</v>
      </c>
      <c r="B40" s="90">
        <f>+'ACADEMIC SUPP 4yr'!B40+'STU SERVICES 4yr'!B40+'INST SUPPORT 4yr'!B40</f>
        <v>0</v>
      </c>
      <c r="C40" s="90">
        <f>+'ACADEMIC SUPP 4yr'!C40+'STU SERVICES 4yr'!C40+'INST SUPPORT 4yr'!C40</f>
        <v>0</v>
      </c>
      <c r="D40" s="90">
        <f>+'ACADEMIC SUPP 4yr'!D40+'STU SERVICES 4yr'!D40+'INST SUPPORT 4yr'!D40</f>
        <v>0</v>
      </c>
      <c r="E40" s="90">
        <f>+'ACADEMIC SUPP 4yr'!E40+'STU SERVICES 4yr'!E40+'INST SUPPORT 4yr'!E40</f>
        <v>0</v>
      </c>
      <c r="F40" s="90">
        <f>+'ACADEMIC SUPP 4yr'!F40+'STU SERVICES 4yr'!F40+'INST SUPPORT 4yr'!F40</f>
        <v>3714318.8489999999</v>
      </c>
      <c r="G40" s="90">
        <f>+'ACADEMIC SUPP 4yr'!G40+'STU SERVICES 4yr'!G40+'INST SUPPORT 4yr'!G40</f>
        <v>0</v>
      </c>
      <c r="H40" s="90">
        <f>+'ACADEMIC SUPP 4yr'!H40+'STU SERVICES 4yr'!H40+'INST SUPPORT 4yr'!H40</f>
        <v>0</v>
      </c>
      <c r="I40" s="90">
        <f>+'ACADEMIC SUPP 4yr'!I40+'STU SERVICES 4yr'!I40+'INST SUPPORT 4yr'!I40</f>
        <v>4222095.5590000004</v>
      </c>
      <c r="J40" s="90">
        <f>+'ACADEMIC SUPP 4yr'!J40+'STU SERVICES 4yr'!J40+'INST SUPPORT 4yr'!J40</f>
        <v>0</v>
      </c>
      <c r="K40" s="90">
        <f>+'ACADEMIC SUPP 4yr'!K40+'STU SERVICES 4yr'!K40+'INST SUPPORT 4yr'!K40</f>
        <v>4825847.5863300003</v>
      </c>
      <c r="L40" s="90">
        <f>+'ACADEMIC SUPP 4yr'!L40+'STU SERVICES 4yr'!L40+'INST SUPPORT 4yr'!L40</f>
        <v>5716080.142</v>
      </c>
      <c r="M40" s="90">
        <f>+'ACADEMIC SUPP 4yr'!M40+'STU SERVICES 4yr'!M40+'INST SUPPORT 4yr'!M40</f>
        <v>6249086.5510000009</v>
      </c>
      <c r="N40" s="90">
        <f>+'ACADEMIC SUPP 4yr'!N40+'STU SERVICES 4yr'!N40+'INST SUPPORT 4yr'!N40</f>
        <v>6209466.023</v>
      </c>
      <c r="O40" s="90">
        <f>+'ACADEMIC SUPP 4yr'!O40+'STU SERVICES 4yr'!O40+'INST SUPPORT 4yr'!O40</f>
        <v>6355144.3780000005</v>
      </c>
      <c r="P40" s="90">
        <f>+'ACADEMIC SUPP 4yr'!P40+'STU SERVICES 4yr'!P40+'INST SUPPORT 4yr'!P40</f>
        <v>6694366.6109999996</v>
      </c>
      <c r="Q40" s="90">
        <f>+'ACADEMIC SUPP 4yr'!Q40+'STU SERVICES 4yr'!Q40+'INST SUPPORT 4yr'!Q40</f>
        <v>6869592.8989999993</v>
      </c>
      <c r="R40" s="90">
        <f>+'ACADEMIC SUPP 4yr'!R40+'STU SERVICES 4yr'!R40+'INST SUPPORT 4yr'!R40</f>
        <v>7168452.0010000002</v>
      </c>
      <c r="S40" s="90">
        <f>+'ACADEMIC SUPP 4yr'!S40+'STU SERVICES 4yr'!S40+'INST SUPPORT 4yr'!S40</f>
        <v>7645964.743999999</v>
      </c>
      <c r="T40" s="90">
        <f>+'ACADEMIC SUPP 4yr'!T40+'STU SERVICES 4yr'!T40+'INST SUPPORT 4yr'!T40</f>
        <v>8592348.1750000007</v>
      </c>
      <c r="U40" s="90">
        <f>+'ACADEMIC SUPP 4yr'!U40+'STU SERVICES 4yr'!U40+'INST SUPPORT 4yr'!U40</f>
        <v>9229127.6850000005</v>
      </c>
      <c r="V40" s="90">
        <f>+'ACADEMIC SUPP 4yr'!V40+'STU SERVICES 4yr'!V40+'INST SUPPORT 4yr'!V40</f>
        <v>10243386.335999999</v>
      </c>
      <c r="W40" s="90">
        <f>+'ACADEMIC SUPP 4yr'!W40+'STU SERVICES 4yr'!W40+'INST SUPPORT 4yr'!W40</f>
        <v>10586887.255000001</v>
      </c>
      <c r="X40" s="90">
        <f>+'ACADEMIC SUPP 4yr'!X40+'STU SERVICES 4yr'!X40+'INST SUPPORT 4yr'!X40</f>
        <v>11051273.125999998</v>
      </c>
      <c r="Y40" s="90">
        <f>+'ACADEMIC SUPP 4yr'!Y40+'STU SERVICES 4yr'!Y40+'INST SUPPORT 4yr'!Y40</f>
        <v>11599347.953</v>
      </c>
      <c r="Z40" s="90">
        <f>+'ACADEMIC SUPP 4yr'!Z40+'STU SERVICES 4yr'!Z40+'INST SUPPORT 4yr'!Z40</f>
        <v>12240403.692000002</v>
      </c>
      <c r="AA40" s="90">
        <f>+'ACADEMIC SUPP 4yr'!AA40+'STU SERVICES 4yr'!AA40+'INST SUPPORT 4yr'!AA40</f>
        <v>12651992.095999999</v>
      </c>
    </row>
    <row r="41" spans="1:27">
      <c r="A41" s="79" t="s">
        <v>119</v>
      </c>
      <c r="B41" s="90">
        <f>+'ACADEMIC SUPP 4yr'!B41+'STU SERVICES 4yr'!B41+'INST SUPPORT 4yr'!B41</f>
        <v>0</v>
      </c>
      <c r="C41" s="90">
        <f>+'ACADEMIC SUPP 4yr'!C41+'STU SERVICES 4yr'!C41+'INST SUPPORT 4yr'!C41</f>
        <v>0</v>
      </c>
      <c r="D41" s="90">
        <f>+'ACADEMIC SUPP 4yr'!D41+'STU SERVICES 4yr'!D41+'INST SUPPORT 4yr'!D41</f>
        <v>0</v>
      </c>
      <c r="E41" s="90">
        <f>+'ACADEMIC SUPP 4yr'!E41+'STU SERVICES 4yr'!E41+'INST SUPPORT 4yr'!E41</f>
        <v>0</v>
      </c>
      <c r="F41" s="90">
        <f>+'ACADEMIC SUPP 4yr'!F41+'STU SERVICES 4yr'!F41+'INST SUPPORT 4yr'!F41</f>
        <v>0</v>
      </c>
      <c r="G41" s="90">
        <f>+'ACADEMIC SUPP 4yr'!G41+'STU SERVICES 4yr'!G41+'INST SUPPORT 4yr'!G41</f>
        <v>0</v>
      </c>
      <c r="H41" s="90">
        <f>+'ACADEMIC SUPP 4yr'!H41+'STU SERVICES 4yr'!H41+'INST SUPPORT 4yr'!H41</f>
        <v>0</v>
      </c>
      <c r="I41" s="90">
        <f>+'ACADEMIC SUPP 4yr'!I41+'STU SERVICES 4yr'!I41+'INST SUPPORT 4yr'!I41</f>
        <v>0</v>
      </c>
      <c r="J41" s="90">
        <f>+'ACADEMIC SUPP 4yr'!J41+'STU SERVICES 4yr'!J41+'INST SUPPORT 4yr'!J41</f>
        <v>0</v>
      </c>
      <c r="K41" s="90">
        <f>+'ACADEMIC SUPP 4yr'!K41+'STU SERVICES 4yr'!K41+'INST SUPPORT 4yr'!K41</f>
        <v>0</v>
      </c>
      <c r="L41" s="90">
        <f>+'ACADEMIC SUPP 4yr'!L41+'STU SERVICES 4yr'!L41+'INST SUPPORT 4yr'!L41</f>
        <v>0</v>
      </c>
      <c r="M41" s="90">
        <f>+'ACADEMIC SUPP 4yr'!M41+'STU SERVICES 4yr'!M41+'INST SUPPORT 4yr'!M41</f>
        <v>0</v>
      </c>
      <c r="N41" s="90">
        <f>+'ACADEMIC SUPP 4yr'!N41+'STU SERVICES 4yr'!N41+'INST SUPPORT 4yr'!N41</f>
        <v>0</v>
      </c>
      <c r="O41" s="90">
        <f>+'ACADEMIC SUPP 4yr'!O41+'STU SERVICES 4yr'!O41+'INST SUPPORT 4yr'!O41</f>
        <v>0</v>
      </c>
      <c r="P41" s="90">
        <f>+'ACADEMIC SUPP 4yr'!P41+'STU SERVICES 4yr'!P41+'INST SUPPORT 4yr'!P41</f>
        <v>0</v>
      </c>
      <c r="Q41" s="90">
        <f>+'ACADEMIC SUPP 4yr'!Q41+'STU SERVICES 4yr'!Q41+'INST SUPPORT 4yr'!Q41</f>
        <v>0</v>
      </c>
      <c r="R41" s="90">
        <f>+'ACADEMIC SUPP 4yr'!R41+'STU SERVICES 4yr'!R41+'INST SUPPORT 4yr'!R41</f>
        <v>0</v>
      </c>
      <c r="S41" s="90">
        <f>+'ACADEMIC SUPP 4yr'!S41+'STU SERVICES 4yr'!S41+'INST SUPPORT 4yr'!S41</f>
        <v>0</v>
      </c>
      <c r="T41" s="90">
        <f>+'ACADEMIC SUPP 4yr'!T41+'STU SERVICES 4yr'!T41+'INST SUPPORT 4yr'!T41</f>
        <v>0</v>
      </c>
      <c r="U41" s="90">
        <f>+'ACADEMIC SUPP 4yr'!U41+'STU SERVICES 4yr'!U41+'INST SUPPORT 4yr'!U41</f>
        <v>0</v>
      </c>
      <c r="V41" s="90">
        <f>+'ACADEMIC SUPP 4yr'!V41+'STU SERVICES 4yr'!V41+'INST SUPPORT 4yr'!V41</f>
        <v>0</v>
      </c>
      <c r="W41" s="90">
        <f>+'ACADEMIC SUPP 4yr'!W41+'STU SERVICES 4yr'!W41+'INST SUPPORT 4yr'!W41</f>
        <v>0</v>
      </c>
      <c r="X41" s="90">
        <f>+'ACADEMIC SUPP 4yr'!X41+'STU SERVICES 4yr'!X41+'INST SUPPORT 4yr'!X41</f>
        <v>0</v>
      </c>
      <c r="Y41" s="90"/>
      <c r="Z41" s="90"/>
      <c r="AA41" s="90"/>
    </row>
    <row r="42" spans="1:27">
      <c r="A42" s="23" t="s">
        <v>93</v>
      </c>
      <c r="B42" s="92">
        <f>+'ACADEMIC SUPP 4yr'!B42+'STU SERVICES 4yr'!B42+'INST SUPPORT 4yr'!B42</f>
        <v>0</v>
      </c>
      <c r="C42" s="92">
        <f>+'ACADEMIC SUPP 4yr'!C42+'STU SERVICES 4yr'!C42+'INST SUPPORT 4yr'!C42</f>
        <v>0</v>
      </c>
      <c r="D42" s="92">
        <f>+'ACADEMIC SUPP 4yr'!D42+'STU SERVICES 4yr'!D42+'INST SUPPORT 4yr'!D42</f>
        <v>0</v>
      </c>
      <c r="E42" s="92">
        <f>+'ACADEMIC SUPP 4yr'!E42+'STU SERVICES 4yr'!E42+'INST SUPPORT 4yr'!E42</f>
        <v>0</v>
      </c>
      <c r="F42" s="92">
        <f>+'ACADEMIC SUPP 4yr'!F42+'STU SERVICES 4yr'!F42+'INST SUPPORT 4yr'!F42</f>
        <v>508838.201</v>
      </c>
      <c r="G42" s="92">
        <f>+'ACADEMIC SUPP 4yr'!G42+'STU SERVICES 4yr'!G42+'INST SUPPORT 4yr'!G42</f>
        <v>0</v>
      </c>
      <c r="H42" s="92">
        <f>+'ACADEMIC SUPP 4yr'!H42+'STU SERVICES 4yr'!H42+'INST SUPPORT 4yr'!H42</f>
        <v>0</v>
      </c>
      <c r="I42" s="92">
        <f>+'ACADEMIC SUPP 4yr'!I42+'STU SERVICES 4yr'!I42+'INST SUPPORT 4yr'!I42</f>
        <v>588699.5959999999</v>
      </c>
      <c r="J42" s="92">
        <f>+'ACADEMIC SUPP 4yr'!J42+'STU SERVICES 4yr'!J42+'INST SUPPORT 4yr'!J42</f>
        <v>0</v>
      </c>
      <c r="K42" s="92">
        <f>+'ACADEMIC SUPP 4yr'!K42+'STU SERVICES 4yr'!K42+'INST SUPPORT 4yr'!K42</f>
        <v>740570.96499999997</v>
      </c>
      <c r="L42" s="92">
        <f>+'ACADEMIC SUPP 4yr'!L42+'STU SERVICES 4yr'!L42+'INST SUPPORT 4yr'!L42</f>
        <v>777290.98499999987</v>
      </c>
      <c r="M42" s="92">
        <f>+'ACADEMIC SUPP 4yr'!M42+'STU SERVICES 4yr'!M42+'INST SUPPORT 4yr'!M42</f>
        <v>825567.20099999988</v>
      </c>
      <c r="N42" s="92">
        <f>+'ACADEMIC SUPP 4yr'!N42+'STU SERVICES 4yr'!N42+'INST SUPPORT 4yr'!N42</f>
        <v>844981.68400000001</v>
      </c>
      <c r="O42" s="92">
        <f>+'ACADEMIC SUPP 4yr'!O42+'STU SERVICES 4yr'!O42+'INST SUPPORT 4yr'!O42</f>
        <v>825744.68200000003</v>
      </c>
      <c r="P42" s="92">
        <f>+'ACADEMIC SUPP 4yr'!P42+'STU SERVICES 4yr'!P42+'INST SUPPORT 4yr'!P42</f>
        <v>982777.77</v>
      </c>
      <c r="Q42" s="92">
        <f>+'ACADEMIC SUPP 4yr'!Q42+'STU SERVICES 4yr'!Q42+'INST SUPPORT 4yr'!Q42</f>
        <v>924903.90699999989</v>
      </c>
      <c r="R42" s="92">
        <f>+'ACADEMIC SUPP 4yr'!R42+'STU SERVICES 4yr'!R42+'INST SUPPORT 4yr'!R42</f>
        <v>888144.93199999991</v>
      </c>
      <c r="S42" s="92">
        <f>+'ACADEMIC SUPP 4yr'!S42+'STU SERVICES 4yr'!S42+'INST SUPPORT 4yr'!S42</f>
        <v>972749.76300000004</v>
      </c>
      <c r="T42" s="92">
        <f>+'ACADEMIC SUPP 4yr'!T42+'STU SERVICES 4yr'!T42+'INST SUPPORT 4yr'!T42</f>
        <v>1062263.591</v>
      </c>
      <c r="U42" s="92">
        <f>+'ACADEMIC SUPP 4yr'!U42+'STU SERVICES 4yr'!U42+'INST SUPPORT 4yr'!U42</f>
        <v>1198217.078</v>
      </c>
      <c r="V42" s="92">
        <f>+'ACADEMIC SUPP 4yr'!V42+'STU SERVICES 4yr'!V42+'INST SUPPORT 4yr'!V42</f>
        <v>1462647.2309999999</v>
      </c>
      <c r="W42" s="92">
        <f>+'ACADEMIC SUPP 4yr'!W42+'STU SERVICES 4yr'!W42+'INST SUPPORT 4yr'!W42</f>
        <v>1475872.8020000001</v>
      </c>
      <c r="X42" s="92">
        <f>+'ACADEMIC SUPP 4yr'!X42+'STU SERVICES 4yr'!X42+'INST SUPPORT 4yr'!X42</f>
        <v>1567685.493</v>
      </c>
      <c r="Y42" s="92">
        <f>+'ACADEMIC SUPP 4yr'!Y42+'STU SERVICES 4yr'!Y42+'INST SUPPORT 4yr'!Y42</f>
        <v>1736543.3510000003</v>
      </c>
      <c r="Z42" s="92">
        <f>+'ACADEMIC SUPP 4yr'!Z42+'STU SERVICES 4yr'!Z42+'INST SUPPORT 4yr'!Z42</f>
        <v>1834631.872</v>
      </c>
      <c r="AA42" s="92">
        <f>+'ACADEMIC SUPP 4yr'!AA42+'STU SERVICES 4yr'!AA42+'INST SUPPORT 4yr'!AA42</f>
        <v>1939169.986</v>
      </c>
    </row>
    <row r="43" spans="1:27">
      <c r="A43" s="23" t="s">
        <v>58</v>
      </c>
      <c r="B43" s="92">
        <f>+'ACADEMIC SUPP 4yr'!B43+'STU SERVICES 4yr'!B43+'INST SUPPORT 4yr'!B43</f>
        <v>0</v>
      </c>
      <c r="C43" s="92">
        <f>+'ACADEMIC SUPP 4yr'!C43+'STU SERVICES 4yr'!C43+'INST SUPPORT 4yr'!C43</f>
        <v>0</v>
      </c>
      <c r="D43" s="92">
        <f>+'ACADEMIC SUPP 4yr'!D43+'STU SERVICES 4yr'!D43+'INST SUPPORT 4yr'!D43</f>
        <v>0</v>
      </c>
      <c r="E43" s="92">
        <f>+'ACADEMIC SUPP 4yr'!E43+'STU SERVICES 4yr'!E43+'INST SUPPORT 4yr'!E43</f>
        <v>0</v>
      </c>
      <c r="F43" s="92">
        <f>+'ACADEMIC SUPP 4yr'!F43+'STU SERVICES 4yr'!F43+'INST SUPPORT 4yr'!F43</f>
        <v>392596.84399999998</v>
      </c>
      <c r="G43" s="92">
        <f>+'ACADEMIC SUPP 4yr'!G43+'STU SERVICES 4yr'!G43+'INST SUPPORT 4yr'!G43</f>
        <v>0</v>
      </c>
      <c r="H43" s="92">
        <f>+'ACADEMIC SUPP 4yr'!H43+'STU SERVICES 4yr'!H43+'INST SUPPORT 4yr'!H43</f>
        <v>0</v>
      </c>
      <c r="I43" s="92">
        <f>+'ACADEMIC SUPP 4yr'!I43+'STU SERVICES 4yr'!I43+'INST SUPPORT 4yr'!I43</f>
        <v>441497.93300000002</v>
      </c>
      <c r="J43" s="92">
        <f>+'ACADEMIC SUPP 4yr'!J43+'STU SERVICES 4yr'!J43+'INST SUPPORT 4yr'!J43</f>
        <v>0</v>
      </c>
      <c r="K43" s="92">
        <f>+'ACADEMIC SUPP 4yr'!K43+'STU SERVICES 4yr'!K43+'INST SUPPORT 4yr'!K43</f>
        <v>487916.929</v>
      </c>
      <c r="L43" s="92">
        <f>+'ACADEMIC SUPP 4yr'!L43+'STU SERVICES 4yr'!L43+'INST SUPPORT 4yr'!L43</f>
        <v>572479.50800000003</v>
      </c>
      <c r="M43" s="92">
        <f>+'ACADEMIC SUPP 4yr'!M43+'STU SERVICES 4yr'!M43+'INST SUPPORT 4yr'!M43</f>
        <v>616602.03500000003</v>
      </c>
      <c r="N43" s="92">
        <f>+'ACADEMIC SUPP 4yr'!N43+'STU SERVICES 4yr'!N43+'INST SUPPORT 4yr'!N43</f>
        <v>699681.21400000004</v>
      </c>
      <c r="O43" s="92">
        <f>+'ACADEMIC SUPP 4yr'!O43+'STU SERVICES 4yr'!O43+'INST SUPPORT 4yr'!O43</f>
        <v>664318.75699999998</v>
      </c>
      <c r="P43" s="92">
        <f>+'ACADEMIC SUPP 4yr'!P43+'STU SERVICES 4yr'!P43+'INST SUPPORT 4yr'!P43</f>
        <v>721654.94700000004</v>
      </c>
      <c r="Q43" s="92">
        <f>+'ACADEMIC SUPP 4yr'!Q43+'STU SERVICES 4yr'!Q43+'INST SUPPORT 4yr'!Q43</f>
        <v>767590.37300000002</v>
      </c>
      <c r="R43" s="92">
        <f>+'ACADEMIC SUPP 4yr'!R43+'STU SERVICES 4yr'!R43+'INST SUPPORT 4yr'!R43</f>
        <v>799843.58400000003</v>
      </c>
      <c r="S43" s="92">
        <f>+'ACADEMIC SUPP 4yr'!S43+'STU SERVICES 4yr'!S43+'INST SUPPORT 4yr'!S43</f>
        <v>857386.19500000007</v>
      </c>
      <c r="T43" s="92">
        <f>+'ACADEMIC SUPP 4yr'!T43+'STU SERVICES 4yr'!T43+'INST SUPPORT 4yr'!T43</f>
        <v>901826.58100000001</v>
      </c>
      <c r="U43" s="92">
        <f>+'ACADEMIC SUPP 4yr'!U43+'STU SERVICES 4yr'!U43+'INST SUPPORT 4yr'!U43</f>
        <v>948980.84199999995</v>
      </c>
      <c r="V43" s="92">
        <f>+'ACADEMIC SUPP 4yr'!V43+'STU SERVICES 4yr'!V43+'INST SUPPORT 4yr'!V43</f>
        <v>1084032.8629999999</v>
      </c>
      <c r="W43" s="92">
        <f>+'ACADEMIC SUPP 4yr'!W43+'STU SERVICES 4yr'!W43+'INST SUPPORT 4yr'!W43</f>
        <v>1084936.8559999999</v>
      </c>
      <c r="X43" s="92">
        <f>+'ACADEMIC SUPP 4yr'!X43+'STU SERVICES 4yr'!X43+'INST SUPPORT 4yr'!X43</f>
        <v>1197729.226</v>
      </c>
      <c r="Y43" s="92">
        <f>+'ACADEMIC SUPP 4yr'!Y43+'STU SERVICES 4yr'!Y43+'INST SUPPORT 4yr'!Y43</f>
        <v>1294148.4280000001</v>
      </c>
      <c r="Z43" s="92">
        <f>+'ACADEMIC SUPP 4yr'!Z43+'STU SERVICES 4yr'!Z43+'INST SUPPORT 4yr'!Z43</f>
        <v>1376711.561</v>
      </c>
      <c r="AA43" s="92">
        <f>+'ACADEMIC SUPP 4yr'!AA43+'STU SERVICES 4yr'!AA43+'INST SUPPORT 4yr'!AA43</f>
        <v>1402584.537</v>
      </c>
    </row>
    <row r="44" spans="1:27">
      <c r="A44" s="23" t="s">
        <v>94</v>
      </c>
      <c r="B44" s="92">
        <f>+'ACADEMIC SUPP 4yr'!B44+'STU SERVICES 4yr'!B44+'INST SUPPORT 4yr'!B44</f>
        <v>0</v>
      </c>
      <c r="C44" s="92">
        <f>+'ACADEMIC SUPP 4yr'!C44+'STU SERVICES 4yr'!C44+'INST SUPPORT 4yr'!C44</f>
        <v>0</v>
      </c>
      <c r="D44" s="92">
        <f>+'ACADEMIC SUPP 4yr'!D44+'STU SERVICES 4yr'!D44+'INST SUPPORT 4yr'!D44</f>
        <v>0</v>
      </c>
      <c r="E44" s="92">
        <f>+'ACADEMIC SUPP 4yr'!E44+'STU SERVICES 4yr'!E44+'INST SUPPORT 4yr'!E44</f>
        <v>0</v>
      </c>
      <c r="F44" s="92">
        <f>+'ACADEMIC SUPP 4yr'!F44+'STU SERVICES 4yr'!F44+'INST SUPPORT 4yr'!F44</f>
        <v>174696.17099999997</v>
      </c>
      <c r="G44" s="92">
        <f>+'ACADEMIC SUPP 4yr'!G44+'STU SERVICES 4yr'!G44+'INST SUPPORT 4yr'!G44</f>
        <v>0</v>
      </c>
      <c r="H44" s="92">
        <f>+'ACADEMIC SUPP 4yr'!H44+'STU SERVICES 4yr'!H44+'INST SUPPORT 4yr'!H44</f>
        <v>0</v>
      </c>
      <c r="I44" s="92">
        <f>+'ACADEMIC SUPP 4yr'!I44+'STU SERVICES 4yr'!I44+'INST SUPPORT 4yr'!I44</f>
        <v>210270.32199999999</v>
      </c>
      <c r="J44" s="92">
        <f>+'ACADEMIC SUPP 4yr'!J44+'STU SERVICES 4yr'!J44+'INST SUPPORT 4yr'!J44</f>
        <v>0</v>
      </c>
      <c r="K44" s="92">
        <f>+'ACADEMIC SUPP 4yr'!K44+'STU SERVICES 4yr'!K44+'INST SUPPORT 4yr'!K44</f>
        <v>234962.033</v>
      </c>
      <c r="L44" s="92">
        <f>+'ACADEMIC SUPP 4yr'!L44+'STU SERVICES 4yr'!L44+'INST SUPPORT 4yr'!L44</f>
        <v>280345.41899999999</v>
      </c>
      <c r="M44" s="92">
        <f>+'ACADEMIC SUPP 4yr'!M44+'STU SERVICES 4yr'!M44+'INST SUPPORT 4yr'!M44</f>
        <v>318284.755</v>
      </c>
      <c r="N44" s="92">
        <f>+'ACADEMIC SUPP 4yr'!N44+'STU SERVICES 4yr'!N44+'INST SUPPORT 4yr'!N44</f>
        <v>290589.61</v>
      </c>
      <c r="O44" s="92">
        <f>+'ACADEMIC SUPP 4yr'!O44+'STU SERVICES 4yr'!O44+'INST SUPPORT 4yr'!O44</f>
        <v>322073.47700000001</v>
      </c>
      <c r="P44" s="92">
        <f>+'ACADEMIC SUPP 4yr'!P44+'STU SERVICES 4yr'!P44+'INST SUPPORT 4yr'!P44</f>
        <v>326769.47499999998</v>
      </c>
      <c r="Q44" s="92">
        <f>+'ACADEMIC SUPP 4yr'!Q44+'STU SERVICES 4yr'!Q44+'INST SUPPORT 4yr'!Q44</f>
        <v>341162.29099999997</v>
      </c>
      <c r="R44" s="92">
        <f>+'ACADEMIC SUPP 4yr'!R44+'STU SERVICES 4yr'!R44+'INST SUPPORT 4yr'!R44</f>
        <v>356097.36200000002</v>
      </c>
      <c r="S44" s="92">
        <f>+'ACADEMIC SUPP 4yr'!S44+'STU SERVICES 4yr'!S44+'INST SUPPORT 4yr'!S44</f>
        <v>385458.745</v>
      </c>
      <c r="T44" s="92">
        <f>+'ACADEMIC SUPP 4yr'!T44+'STU SERVICES 4yr'!T44+'INST SUPPORT 4yr'!T44</f>
        <v>416740.84600000002</v>
      </c>
      <c r="U44" s="92">
        <f>+'ACADEMIC SUPP 4yr'!U44+'STU SERVICES 4yr'!U44+'INST SUPPORT 4yr'!U44</f>
        <v>473226.44700000004</v>
      </c>
      <c r="V44" s="92">
        <f>+'ACADEMIC SUPP 4yr'!V44+'STU SERVICES 4yr'!V44+'INST SUPPORT 4yr'!V44</f>
        <v>554448.66300000006</v>
      </c>
      <c r="W44" s="92">
        <f>+'ACADEMIC SUPP 4yr'!W44+'STU SERVICES 4yr'!W44+'INST SUPPORT 4yr'!W44</f>
        <v>541335.06000000006</v>
      </c>
      <c r="X44" s="92">
        <f>+'ACADEMIC SUPP 4yr'!X44+'STU SERVICES 4yr'!X44+'INST SUPPORT 4yr'!X44</f>
        <v>571246.95199999993</v>
      </c>
      <c r="Y44" s="92">
        <f>+'ACADEMIC SUPP 4yr'!Y44+'STU SERVICES 4yr'!Y44+'INST SUPPORT 4yr'!Y44</f>
        <v>635164.68900000001</v>
      </c>
      <c r="Z44" s="92">
        <f>+'ACADEMIC SUPP 4yr'!Z44+'STU SERVICES 4yr'!Z44+'INST SUPPORT 4yr'!Z44</f>
        <v>637641.06299999997</v>
      </c>
      <c r="AA44" s="92">
        <f>+'ACADEMIC SUPP 4yr'!AA44+'STU SERVICES 4yr'!AA44+'INST SUPPORT 4yr'!AA44</f>
        <v>693260.32799999998</v>
      </c>
    </row>
    <row r="45" spans="1:27">
      <c r="A45" s="23" t="s">
        <v>95</v>
      </c>
      <c r="B45" s="92">
        <f>+'ACADEMIC SUPP 4yr'!B45+'STU SERVICES 4yr'!B45+'INST SUPPORT 4yr'!B45</f>
        <v>0</v>
      </c>
      <c r="C45" s="92">
        <f>+'ACADEMIC SUPP 4yr'!C45+'STU SERVICES 4yr'!C45+'INST SUPPORT 4yr'!C45</f>
        <v>0</v>
      </c>
      <c r="D45" s="92">
        <f>+'ACADEMIC SUPP 4yr'!D45+'STU SERVICES 4yr'!D45+'INST SUPPORT 4yr'!D45</f>
        <v>0</v>
      </c>
      <c r="E45" s="92">
        <f>+'ACADEMIC SUPP 4yr'!E45+'STU SERVICES 4yr'!E45+'INST SUPPORT 4yr'!E45</f>
        <v>0</v>
      </c>
      <c r="F45" s="92">
        <f>+'ACADEMIC SUPP 4yr'!F45+'STU SERVICES 4yr'!F45+'INST SUPPORT 4yr'!F45</f>
        <v>180654.15400000001</v>
      </c>
      <c r="G45" s="92">
        <f>+'ACADEMIC SUPP 4yr'!G45+'STU SERVICES 4yr'!G45+'INST SUPPORT 4yr'!G45</f>
        <v>0</v>
      </c>
      <c r="H45" s="92">
        <f>+'ACADEMIC SUPP 4yr'!H45+'STU SERVICES 4yr'!H45+'INST SUPPORT 4yr'!H45</f>
        <v>0</v>
      </c>
      <c r="I45" s="92">
        <f>+'ACADEMIC SUPP 4yr'!I45+'STU SERVICES 4yr'!I45+'INST SUPPORT 4yr'!I45</f>
        <v>215351.424</v>
      </c>
      <c r="J45" s="92">
        <f>+'ACADEMIC SUPP 4yr'!J45+'STU SERVICES 4yr'!J45+'INST SUPPORT 4yr'!J45</f>
        <v>0</v>
      </c>
      <c r="K45" s="92">
        <f>+'ACADEMIC SUPP 4yr'!K45+'STU SERVICES 4yr'!K45+'INST SUPPORT 4yr'!K45</f>
        <v>232622.95598999999</v>
      </c>
      <c r="L45" s="92">
        <f>+'ACADEMIC SUPP 4yr'!L45+'STU SERVICES 4yr'!L45+'INST SUPPORT 4yr'!L45</f>
        <v>290345.66100000002</v>
      </c>
      <c r="M45" s="92">
        <f>+'ACADEMIC SUPP 4yr'!M45+'STU SERVICES 4yr'!M45+'INST SUPPORT 4yr'!M45</f>
        <v>287519.13199999998</v>
      </c>
      <c r="N45" s="92">
        <f>+'ACADEMIC SUPP 4yr'!N45+'STU SERVICES 4yr'!N45+'INST SUPPORT 4yr'!N45</f>
        <v>318318.96100000001</v>
      </c>
      <c r="O45" s="92">
        <f>+'ACADEMIC SUPP 4yr'!O45+'STU SERVICES 4yr'!O45+'INST SUPPORT 4yr'!O45</f>
        <v>313825.90100000001</v>
      </c>
      <c r="P45" s="92">
        <f>+'ACADEMIC SUPP 4yr'!P45+'STU SERVICES 4yr'!P45+'INST SUPPORT 4yr'!P45</f>
        <v>314666.06900000002</v>
      </c>
      <c r="Q45" s="92">
        <f>+'ACADEMIC SUPP 4yr'!Q45+'STU SERVICES 4yr'!Q45+'INST SUPPORT 4yr'!Q45</f>
        <v>340303.55600000004</v>
      </c>
      <c r="R45" s="92">
        <f>+'ACADEMIC SUPP 4yr'!R45+'STU SERVICES 4yr'!R45+'INST SUPPORT 4yr'!R45</f>
        <v>361318.288</v>
      </c>
      <c r="S45" s="92">
        <f>+'ACADEMIC SUPP 4yr'!S45+'STU SERVICES 4yr'!S45+'INST SUPPORT 4yr'!S45</f>
        <v>377805.78200000001</v>
      </c>
      <c r="T45" s="92">
        <f>+'ACADEMIC SUPP 4yr'!T45+'STU SERVICES 4yr'!T45+'INST SUPPORT 4yr'!T45</f>
        <v>415693.94199999998</v>
      </c>
      <c r="U45" s="92">
        <f>+'ACADEMIC SUPP 4yr'!U45+'STU SERVICES 4yr'!U45+'INST SUPPORT 4yr'!U45</f>
        <v>456860.82399999996</v>
      </c>
      <c r="V45" s="92">
        <f>+'ACADEMIC SUPP 4yr'!V45+'STU SERVICES 4yr'!V45+'INST SUPPORT 4yr'!V45</f>
        <v>515919.95600000001</v>
      </c>
      <c r="W45" s="92">
        <f>+'ACADEMIC SUPP 4yr'!W45+'STU SERVICES 4yr'!W45+'INST SUPPORT 4yr'!W45</f>
        <v>547154.24100000004</v>
      </c>
      <c r="X45" s="92">
        <f>+'ACADEMIC SUPP 4yr'!X45+'STU SERVICES 4yr'!X45+'INST SUPPORT 4yr'!X45</f>
        <v>584296.22600000002</v>
      </c>
      <c r="Y45" s="92">
        <f>+'ACADEMIC SUPP 4yr'!Y45+'STU SERVICES 4yr'!Y45+'INST SUPPORT 4yr'!Y45</f>
        <v>553480.79399999999</v>
      </c>
      <c r="Z45" s="92">
        <f>+'ACADEMIC SUPP 4yr'!Z45+'STU SERVICES 4yr'!Z45+'INST SUPPORT 4yr'!Z45</f>
        <v>578914.10400000005</v>
      </c>
      <c r="AA45" s="92">
        <f>+'ACADEMIC SUPP 4yr'!AA45+'STU SERVICES 4yr'!AA45+'INST SUPPORT 4yr'!AA45</f>
        <v>603922.97900000005</v>
      </c>
    </row>
    <row r="46" spans="1:27">
      <c r="A46" s="23" t="s">
        <v>98</v>
      </c>
      <c r="B46" s="92">
        <f>+'ACADEMIC SUPP 4yr'!B46+'STU SERVICES 4yr'!B46+'INST SUPPORT 4yr'!B46</f>
        <v>0</v>
      </c>
      <c r="C46" s="92">
        <f>+'ACADEMIC SUPP 4yr'!C46+'STU SERVICES 4yr'!C46+'INST SUPPORT 4yr'!C46</f>
        <v>0</v>
      </c>
      <c r="D46" s="92">
        <f>+'ACADEMIC SUPP 4yr'!D46+'STU SERVICES 4yr'!D46+'INST SUPPORT 4yr'!D46</f>
        <v>0</v>
      </c>
      <c r="E46" s="92">
        <f>+'ACADEMIC SUPP 4yr'!E46+'STU SERVICES 4yr'!E46+'INST SUPPORT 4yr'!E46</f>
        <v>0</v>
      </c>
      <c r="F46" s="92">
        <f>+'ACADEMIC SUPP 4yr'!F46+'STU SERVICES 4yr'!F46+'INST SUPPORT 4yr'!F46</f>
        <v>664410.77099999995</v>
      </c>
      <c r="G46" s="92">
        <f>+'ACADEMIC SUPP 4yr'!G46+'STU SERVICES 4yr'!G46+'INST SUPPORT 4yr'!G46</f>
        <v>0</v>
      </c>
      <c r="H46" s="92">
        <f>+'ACADEMIC SUPP 4yr'!H46+'STU SERVICES 4yr'!H46+'INST SUPPORT 4yr'!H46</f>
        <v>0</v>
      </c>
      <c r="I46" s="92">
        <f>+'ACADEMIC SUPP 4yr'!I46+'STU SERVICES 4yr'!I46+'INST SUPPORT 4yr'!I46</f>
        <v>737925.68599999999</v>
      </c>
      <c r="J46" s="92">
        <f>+'ACADEMIC SUPP 4yr'!J46+'STU SERVICES 4yr'!J46+'INST SUPPORT 4yr'!J46</f>
        <v>0</v>
      </c>
      <c r="K46" s="92">
        <f>+'ACADEMIC SUPP 4yr'!K46+'STU SERVICES 4yr'!K46+'INST SUPPORT 4yr'!K46</f>
        <v>830118.21600000001</v>
      </c>
      <c r="L46" s="92">
        <f>+'ACADEMIC SUPP 4yr'!L46+'STU SERVICES 4yr'!L46+'INST SUPPORT 4yr'!L46</f>
        <v>1008783.883</v>
      </c>
      <c r="M46" s="92">
        <f>+'ACADEMIC SUPP 4yr'!M46+'STU SERVICES 4yr'!M46+'INST SUPPORT 4yr'!M46</f>
        <v>1096029.1839999999</v>
      </c>
      <c r="N46" s="92">
        <f>+'ACADEMIC SUPP 4yr'!N46+'STU SERVICES 4yr'!N46+'INST SUPPORT 4yr'!N46</f>
        <v>1056977.091</v>
      </c>
      <c r="O46" s="92">
        <f>+'ACADEMIC SUPP 4yr'!O46+'STU SERVICES 4yr'!O46+'INST SUPPORT 4yr'!O46</f>
        <v>1095878.4350000001</v>
      </c>
      <c r="P46" s="92">
        <f>+'ACADEMIC SUPP 4yr'!P46+'STU SERVICES 4yr'!P46+'INST SUPPORT 4yr'!P46</f>
        <v>1076451.7319999998</v>
      </c>
      <c r="Q46" s="92">
        <f>+'ACADEMIC SUPP 4yr'!Q46+'STU SERVICES 4yr'!Q46+'INST SUPPORT 4yr'!Q46</f>
        <v>1115016.7509999999</v>
      </c>
      <c r="R46" s="92">
        <f>+'ACADEMIC SUPP 4yr'!R46+'STU SERVICES 4yr'!R46+'INST SUPPORT 4yr'!R46</f>
        <v>1180547.7220000001</v>
      </c>
      <c r="S46" s="92">
        <f>+'ACADEMIC SUPP 4yr'!S46+'STU SERVICES 4yr'!S46+'INST SUPPORT 4yr'!S46</f>
        <v>1218923.3799999999</v>
      </c>
      <c r="T46" s="92">
        <f>+'ACADEMIC SUPP 4yr'!T46+'STU SERVICES 4yr'!T46+'INST SUPPORT 4yr'!T46</f>
        <v>1622552.4959999998</v>
      </c>
      <c r="U46" s="92">
        <f>+'ACADEMIC SUPP 4yr'!U46+'STU SERVICES 4yr'!U46+'INST SUPPORT 4yr'!U46</f>
        <v>1733723.3289999999</v>
      </c>
      <c r="V46" s="92">
        <f>+'ACADEMIC SUPP 4yr'!V46+'STU SERVICES 4yr'!V46+'INST SUPPORT 4yr'!V46</f>
        <v>1795934.4350000001</v>
      </c>
      <c r="W46" s="92">
        <f>+'ACADEMIC SUPP 4yr'!W46+'STU SERVICES 4yr'!W46+'INST SUPPORT 4yr'!W46</f>
        <v>1822567.15</v>
      </c>
      <c r="X46" s="92">
        <f>+'ACADEMIC SUPP 4yr'!X46+'STU SERVICES 4yr'!X46+'INST SUPPORT 4yr'!X46</f>
        <v>1918149.9300000002</v>
      </c>
      <c r="Y46" s="92">
        <f>+'ACADEMIC SUPP 4yr'!Y46+'STU SERVICES 4yr'!Y46+'INST SUPPORT 4yr'!Y46</f>
        <v>1989130.4270000001</v>
      </c>
      <c r="Z46" s="92">
        <f>+'ACADEMIC SUPP 4yr'!Z46+'STU SERVICES 4yr'!Z46+'INST SUPPORT 4yr'!Z46</f>
        <v>2063417.5750000002</v>
      </c>
      <c r="AA46" s="92">
        <f>+'ACADEMIC SUPP 4yr'!AA46+'STU SERVICES 4yr'!AA46+'INST SUPPORT 4yr'!AA46</f>
        <v>2177279.9720000001</v>
      </c>
    </row>
    <row r="47" spans="1:27">
      <c r="A47" s="23" t="s">
        <v>99</v>
      </c>
      <c r="B47" s="90">
        <f>+'ACADEMIC SUPP 4yr'!B47+'STU SERVICES 4yr'!B47+'INST SUPPORT 4yr'!B47</f>
        <v>0</v>
      </c>
      <c r="C47" s="90">
        <f>+'ACADEMIC SUPP 4yr'!C47+'STU SERVICES 4yr'!C47+'INST SUPPORT 4yr'!C47</f>
        <v>0</v>
      </c>
      <c r="D47" s="90">
        <f>+'ACADEMIC SUPP 4yr'!D47+'STU SERVICES 4yr'!D47+'INST SUPPORT 4yr'!D47</f>
        <v>0</v>
      </c>
      <c r="E47" s="90">
        <f>+'ACADEMIC SUPP 4yr'!E47+'STU SERVICES 4yr'!E47+'INST SUPPORT 4yr'!E47</f>
        <v>0</v>
      </c>
      <c r="F47" s="90">
        <f>+'ACADEMIC SUPP 4yr'!F47+'STU SERVICES 4yr'!F47+'INST SUPPORT 4yr'!F47</f>
        <v>332485.16099999996</v>
      </c>
      <c r="G47" s="90">
        <f>+'ACADEMIC SUPP 4yr'!G47+'STU SERVICES 4yr'!G47+'INST SUPPORT 4yr'!G47</f>
        <v>0</v>
      </c>
      <c r="H47" s="90">
        <f>+'ACADEMIC SUPP 4yr'!H47+'STU SERVICES 4yr'!H47+'INST SUPPORT 4yr'!H47</f>
        <v>0</v>
      </c>
      <c r="I47" s="90">
        <f>+'ACADEMIC SUPP 4yr'!I47+'STU SERVICES 4yr'!I47+'INST SUPPORT 4yr'!I47</f>
        <v>398945.63100000005</v>
      </c>
      <c r="J47" s="90">
        <f>+'ACADEMIC SUPP 4yr'!J47+'STU SERVICES 4yr'!J47+'INST SUPPORT 4yr'!J47</f>
        <v>0</v>
      </c>
      <c r="K47" s="90">
        <f>+'ACADEMIC SUPP 4yr'!K47+'STU SERVICES 4yr'!K47+'INST SUPPORT 4yr'!K47</f>
        <v>430675.7</v>
      </c>
      <c r="L47" s="90">
        <f>+'ACADEMIC SUPP 4yr'!L47+'STU SERVICES 4yr'!L47+'INST SUPPORT 4yr'!L47</f>
        <v>587514.16099999996</v>
      </c>
      <c r="M47" s="90">
        <f>+'ACADEMIC SUPP 4yr'!M47+'STU SERVICES 4yr'!M47+'INST SUPPORT 4yr'!M47</f>
        <v>586031.80200000003</v>
      </c>
      <c r="N47" s="90">
        <f>+'ACADEMIC SUPP 4yr'!N47+'STU SERVICES 4yr'!N47+'INST SUPPORT 4yr'!N47</f>
        <v>605153.70299999998</v>
      </c>
      <c r="O47" s="90">
        <f>+'ACADEMIC SUPP 4yr'!O47+'STU SERVICES 4yr'!O47+'INST SUPPORT 4yr'!O47</f>
        <v>643100.41999999993</v>
      </c>
      <c r="P47" s="90">
        <f>+'ACADEMIC SUPP 4yr'!P47+'STU SERVICES 4yr'!P47+'INST SUPPORT 4yr'!P47</f>
        <v>632060.83799999999</v>
      </c>
      <c r="Q47" s="90">
        <f>+'ACADEMIC SUPP 4yr'!Q47+'STU SERVICES 4yr'!Q47+'INST SUPPORT 4yr'!Q47</f>
        <v>653615.70699999994</v>
      </c>
      <c r="R47" s="90">
        <f>+'ACADEMIC SUPP 4yr'!R47+'STU SERVICES 4yr'!R47+'INST SUPPORT 4yr'!R47</f>
        <v>719529.62</v>
      </c>
      <c r="S47" s="90">
        <f>+'ACADEMIC SUPP 4yr'!S47+'STU SERVICES 4yr'!S47+'INST SUPPORT 4yr'!S47</f>
        <v>810783.11499999999</v>
      </c>
      <c r="T47" s="90">
        <f>+'ACADEMIC SUPP 4yr'!T47+'STU SERVICES 4yr'!T47+'INST SUPPORT 4yr'!T47</f>
        <v>868481.06099999999</v>
      </c>
      <c r="U47" s="90">
        <f>+'ACADEMIC SUPP 4yr'!U47+'STU SERVICES 4yr'!U47+'INST SUPPORT 4yr'!U47</f>
        <v>1115637.632</v>
      </c>
      <c r="V47" s="90">
        <f>+'ACADEMIC SUPP 4yr'!V47+'STU SERVICES 4yr'!V47+'INST SUPPORT 4yr'!V47</f>
        <v>1131814.693</v>
      </c>
      <c r="W47" s="90">
        <f>+'ACADEMIC SUPP 4yr'!W47+'STU SERVICES 4yr'!W47+'INST SUPPORT 4yr'!W47</f>
        <v>1096174.6259999999</v>
      </c>
      <c r="X47" s="90">
        <f>+'ACADEMIC SUPP 4yr'!X47+'STU SERVICES 4yr'!X47+'INST SUPPORT 4yr'!X47</f>
        <v>1103275.111</v>
      </c>
      <c r="Y47" s="90">
        <f>+'ACADEMIC SUPP 4yr'!Y47+'STU SERVICES 4yr'!Y47+'INST SUPPORT 4yr'!Y47</f>
        <v>1140495.03</v>
      </c>
      <c r="Z47" s="90">
        <f>+'ACADEMIC SUPP 4yr'!Z47+'STU SERVICES 4yr'!Z47+'INST SUPPORT 4yr'!Z47</f>
        <v>1264082.611</v>
      </c>
      <c r="AA47" s="90">
        <f>+'ACADEMIC SUPP 4yr'!AA47+'STU SERVICES 4yr'!AA47+'INST SUPPORT 4yr'!AA47</f>
        <v>1233554.6569999999</v>
      </c>
    </row>
    <row r="48" spans="1:27">
      <c r="A48" s="23" t="s">
        <v>59</v>
      </c>
      <c r="B48" s="90">
        <f>+'ACADEMIC SUPP 4yr'!B48+'STU SERVICES 4yr'!B48+'INST SUPPORT 4yr'!B48</f>
        <v>0</v>
      </c>
      <c r="C48" s="90">
        <f>+'ACADEMIC SUPP 4yr'!C48+'STU SERVICES 4yr'!C48+'INST SUPPORT 4yr'!C48</f>
        <v>0</v>
      </c>
      <c r="D48" s="90">
        <f>+'ACADEMIC SUPP 4yr'!D48+'STU SERVICES 4yr'!D48+'INST SUPPORT 4yr'!D48</f>
        <v>0</v>
      </c>
      <c r="E48" s="90">
        <f>+'ACADEMIC SUPP 4yr'!E48+'STU SERVICES 4yr'!E48+'INST SUPPORT 4yr'!E48</f>
        <v>0</v>
      </c>
      <c r="F48" s="90">
        <f>+'ACADEMIC SUPP 4yr'!F48+'STU SERVICES 4yr'!F48+'INST SUPPORT 4yr'!F48</f>
        <v>218127.74700000003</v>
      </c>
      <c r="G48" s="90">
        <f>+'ACADEMIC SUPP 4yr'!G48+'STU SERVICES 4yr'!G48+'INST SUPPORT 4yr'!G48</f>
        <v>0</v>
      </c>
      <c r="H48" s="90">
        <f>+'ACADEMIC SUPP 4yr'!H48+'STU SERVICES 4yr'!H48+'INST SUPPORT 4yr'!H48</f>
        <v>0</v>
      </c>
      <c r="I48" s="90">
        <f>+'ACADEMIC SUPP 4yr'!I48+'STU SERVICES 4yr'!I48+'INST SUPPORT 4yr'!I48</f>
        <v>263624.38199999998</v>
      </c>
      <c r="J48" s="90">
        <f>+'ACADEMIC SUPP 4yr'!J48+'STU SERVICES 4yr'!J48+'INST SUPPORT 4yr'!J48</f>
        <v>0</v>
      </c>
      <c r="K48" s="90">
        <f>+'ACADEMIC SUPP 4yr'!K48+'STU SERVICES 4yr'!K48+'INST SUPPORT 4yr'!K48</f>
        <v>323358.89899999998</v>
      </c>
      <c r="L48" s="90">
        <f>+'ACADEMIC SUPP 4yr'!L48+'STU SERVICES 4yr'!L48+'INST SUPPORT 4yr'!L48</f>
        <v>360631.54600000003</v>
      </c>
      <c r="M48" s="90">
        <f>+'ACADEMIC SUPP 4yr'!M48+'STU SERVICES 4yr'!M48+'INST SUPPORT 4yr'!M48</f>
        <v>511748.91099999996</v>
      </c>
      <c r="N48" s="90">
        <f>+'ACADEMIC SUPP 4yr'!N48+'STU SERVICES 4yr'!N48+'INST SUPPORT 4yr'!N48</f>
        <v>397072.45300000004</v>
      </c>
      <c r="O48" s="90">
        <f>+'ACADEMIC SUPP 4yr'!O48+'STU SERVICES 4yr'!O48+'INST SUPPORT 4yr'!O48</f>
        <v>378191.97200000007</v>
      </c>
      <c r="P48" s="90">
        <f>+'ACADEMIC SUPP 4yr'!P48+'STU SERVICES 4yr'!P48+'INST SUPPORT 4yr'!P48</f>
        <v>412750.88</v>
      </c>
      <c r="Q48" s="90">
        <f>+'ACADEMIC SUPP 4yr'!Q48+'STU SERVICES 4yr'!Q48+'INST SUPPORT 4yr'!Q48</f>
        <v>445123.67500000005</v>
      </c>
      <c r="R48" s="90">
        <f>+'ACADEMIC SUPP 4yr'!R48+'STU SERVICES 4yr'!R48+'INST SUPPORT 4yr'!R48</f>
        <v>450697.34700000001</v>
      </c>
      <c r="S48" s="90">
        <f>+'ACADEMIC SUPP 4yr'!S48+'STU SERVICES 4yr'!S48+'INST SUPPORT 4yr'!S48</f>
        <v>454026.76300000004</v>
      </c>
      <c r="T48" s="90">
        <f>+'ACADEMIC SUPP 4yr'!T48+'STU SERVICES 4yr'!T48+'INST SUPPORT 4yr'!T48</f>
        <v>511633.26300000004</v>
      </c>
      <c r="U48" s="90">
        <f>+'ACADEMIC SUPP 4yr'!U48+'STU SERVICES 4yr'!U48+'INST SUPPORT 4yr'!U48</f>
        <v>529049.902</v>
      </c>
      <c r="V48" s="90">
        <f>+'ACADEMIC SUPP 4yr'!V48+'STU SERVICES 4yr'!V48+'INST SUPPORT 4yr'!V48</f>
        <v>546913.60499999998</v>
      </c>
      <c r="W48" s="90">
        <f>+'ACADEMIC SUPP 4yr'!W48+'STU SERVICES 4yr'!W48+'INST SUPPORT 4yr'!W48</f>
        <v>590797.56099999999</v>
      </c>
      <c r="X48" s="90">
        <f>+'ACADEMIC SUPP 4yr'!X48+'STU SERVICES 4yr'!X48+'INST SUPPORT 4yr'!X48</f>
        <v>624922.43299999996</v>
      </c>
      <c r="Y48" s="90">
        <f>+'ACADEMIC SUPP 4yr'!Y48+'STU SERVICES 4yr'!Y48+'INST SUPPORT 4yr'!Y48</f>
        <v>621704.81200000003</v>
      </c>
      <c r="Z48" s="90">
        <f>+'ACADEMIC SUPP 4yr'!Z48+'STU SERVICES 4yr'!Z48+'INST SUPPORT 4yr'!Z48</f>
        <v>659827.43900000001</v>
      </c>
      <c r="AA48" s="90">
        <f>+'ACADEMIC SUPP 4yr'!AA48+'STU SERVICES 4yr'!AA48+'INST SUPPORT 4yr'!AA48</f>
        <v>704131.31499999994</v>
      </c>
    </row>
    <row r="49" spans="1:27">
      <c r="A49" s="23" t="s">
        <v>101</v>
      </c>
      <c r="B49" s="90">
        <f>+'ACADEMIC SUPP 4yr'!B49+'STU SERVICES 4yr'!B49+'INST SUPPORT 4yr'!B49</f>
        <v>0</v>
      </c>
      <c r="C49" s="90">
        <f>+'ACADEMIC SUPP 4yr'!C49+'STU SERVICES 4yr'!C49+'INST SUPPORT 4yr'!C49</f>
        <v>0</v>
      </c>
      <c r="D49" s="90">
        <f>+'ACADEMIC SUPP 4yr'!D49+'STU SERVICES 4yr'!D49+'INST SUPPORT 4yr'!D49</f>
        <v>0</v>
      </c>
      <c r="E49" s="90">
        <f>+'ACADEMIC SUPP 4yr'!E49+'STU SERVICES 4yr'!E49+'INST SUPPORT 4yr'!E49</f>
        <v>0</v>
      </c>
      <c r="F49" s="90">
        <f>+'ACADEMIC SUPP 4yr'!F49+'STU SERVICES 4yr'!F49+'INST SUPPORT 4yr'!F49</f>
        <v>111719.201</v>
      </c>
      <c r="G49" s="90">
        <f>+'ACADEMIC SUPP 4yr'!G49+'STU SERVICES 4yr'!G49+'INST SUPPORT 4yr'!G49</f>
        <v>0</v>
      </c>
      <c r="H49" s="90">
        <f>+'ACADEMIC SUPP 4yr'!H49+'STU SERVICES 4yr'!H49+'INST SUPPORT 4yr'!H49</f>
        <v>0</v>
      </c>
      <c r="I49" s="90">
        <f>+'ACADEMIC SUPP 4yr'!I49+'STU SERVICES 4yr'!I49+'INST SUPPORT 4yr'!I49</f>
        <v>124821.448</v>
      </c>
      <c r="J49" s="90">
        <f>+'ACADEMIC SUPP 4yr'!J49+'STU SERVICES 4yr'!J49+'INST SUPPORT 4yr'!J49</f>
        <v>0</v>
      </c>
      <c r="K49" s="90">
        <f>+'ACADEMIC SUPP 4yr'!K49+'STU SERVICES 4yr'!K49+'INST SUPPORT 4yr'!K49</f>
        <v>146638.43599999999</v>
      </c>
      <c r="L49" s="90">
        <f>+'ACADEMIC SUPP 4yr'!L49+'STU SERVICES 4yr'!L49+'INST SUPPORT 4yr'!L49</f>
        <v>159091.79399999999</v>
      </c>
      <c r="M49" s="90">
        <f>+'ACADEMIC SUPP 4yr'!M49+'STU SERVICES 4yr'!M49+'INST SUPPORT 4yr'!M49</f>
        <v>168066.573</v>
      </c>
      <c r="N49" s="90">
        <f>+'ACADEMIC SUPP 4yr'!N49+'STU SERVICES 4yr'!N49+'INST SUPPORT 4yr'!N49</f>
        <v>177342.50299999997</v>
      </c>
      <c r="O49" s="90">
        <f>+'ACADEMIC SUPP 4yr'!O49+'STU SERVICES 4yr'!O49+'INST SUPPORT 4yr'!O49</f>
        <v>180574.50900000002</v>
      </c>
      <c r="P49" s="90">
        <f>+'ACADEMIC SUPP 4yr'!P49+'STU SERVICES 4yr'!P49+'INST SUPPORT 4yr'!P49</f>
        <v>186300.91600000003</v>
      </c>
      <c r="Q49" s="90">
        <f>+'ACADEMIC SUPP 4yr'!Q49+'STU SERVICES 4yr'!Q49+'INST SUPPORT 4yr'!Q49</f>
        <v>199702.022</v>
      </c>
      <c r="R49" s="90">
        <f>+'ACADEMIC SUPP 4yr'!R49+'STU SERVICES 4yr'!R49+'INST SUPPORT 4yr'!R49</f>
        <v>206826.25300000003</v>
      </c>
      <c r="S49" s="90">
        <f>+'ACADEMIC SUPP 4yr'!S49+'STU SERVICES 4yr'!S49+'INST SUPPORT 4yr'!S49</f>
        <v>214627.59500000003</v>
      </c>
      <c r="T49" s="90">
        <f>+'ACADEMIC SUPP 4yr'!T49+'STU SERVICES 4yr'!T49+'INST SUPPORT 4yr'!T49</f>
        <v>236209.85000000003</v>
      </c>
      <c r="U49" s="90">
        <f>+'ACADEMIC SUPP 4yr'!U49+'STU SERVICES 4yr'!U49+'INST SUPPORT 4yr'!U49</f>
        <v>192757.36300000001</v>
      </c>
      <c r="V49" s="90">
        <f>+'ACADEMIC SUPP 4yr'!V49+'STU SERVICES 4yr'!V49+'INST SUPPORT 4yr'!V49</f>
        <v>274664.09900000005</v>
      </c>
      <c r="W49" s="90">
        <f>+'ACADEMIC SUPP 4yr'!W49+'STU SERVICES 4yr'!W49+'INST SUPPORT 4yr'!W49</f>
        <v>297681.24300000002</v>
      </c>
      <c r="X49" s="90">
        <f>+'ACADEMIC SUPP 4yr'!X49+'STU SERVICES 4yr'!X49+'INST SUPPORT 4yr'!X49</f>
        <v>311923.10499999998</v>
      </c>
      <c r="Y49" s="90">
        <f>+'ACADEMIC SUPP 4yr'!Y49+'STU SERVICES 4yr'!Y49+'INST SUPPORT 4yr'!Y49</f>
        <v>318367.255</v>
      </c>
      <c r="Z49" s="90">
        <f>+'ACADEMIC SUPP 4yr'!Z49+'STU SERVICES 4yr'!Z49+'INST SUPPORT 4yr'!Z49</f>
        <v>333082.163</v>
      </c>
      <c r="AA49" s="90">
        <f>+'ACADEMIC SUPP 4yr'!AA49+'STU SERVICES 4yr'!AA49+'INST SUPPORT 4yr'!AA49</f>
        <v>360810.424</v>
      </c>
    </row>
    <row r="50" spans="1:27">
      <c r="A50" s="23" t="s">
        <v>107</v>
      </c>
      <c r="B50" s="90">
        <f>+'ACADEMIC SUPP 4yr'!B50+'STU SERVICES 4yr'!B50+'INST SUPPORT 4yr'!B50</f>
        <v>0</v>
      </c>
      <c r="C50" s="90">
        <f>+'ACADEMIC SUPP 4yr'!C50+'STU SERVICES 4yr'!C50+'INST SUPPORT 4yr'!C50</f>
        <v>0</v>
      </c>
      <c r="D50" s="90">
        <f>+'ACADEMIC SUPP 4yr'!D50+'STU SERVICES 4yr'!D50+'INST SUPPORT 4yr'!D50</f>
        <v>0</v>
      </c>
      <c r="E50" s="90">
        <f>+'ACADEMIC SUPP 4yr'!E50+'STU SERVICES 4yr'!E50+'INST SUPPORT 4yr'!E50</f>
        <v>0</v>
      </c>
      <c r="F50" s="90">
        <f>+'ACADEMIC SUPP 4yr'!F50+'STU SERVICES 4yr'!F50+'INST SUPPORT 4yr'!F50</f>
        <v>61555.686999999998</v>
      </c>
      <c r="G50" s="90">
        <f>+'ACADEMIC SUPP 4yr'!G50+'STU SERVICES 4yr'!G50+'INST SUPPORT 4yr'!G50</f>
        <v>0</v>
      </c>
      <c r="H50" s="90">
        <f>+'ACADEMIC SUPP 4yr'!H50+'STU SERVICES 4yr'!H50+'INST SUPPORT 4yr'!H50</f>
        <v>0</v>
      </c>
      <c r="I50" s="90">
        <f>+'ACADEMIC SUPP 4yr'!I50+'STU SERVICES 4yr'!I50+'INST SUPPORT 4yr'!I50</f>
        <v>65785.176999999996</v>
      </c>
      <c r="J50" s="90">
        <f>+'ACADEMIC SUPP 4yr'!J50+'STU SERVICES 4yr'!J50+'INST SUPPORT 4yr'!J50</f>
        <v>0</v>
      </c>
      <c r="K50" s="90">
        <f>+'ACADEMIC SUPP 4yr'!K50+'STU SERVICES 4yr'!K50+'INST SUPPORT 4yr'!K50</f>
        <v>72616.019</v>
      </c>
      <c r="L50" s="90">
        <f>+'ACADEMIC SUPP 4yr'!L50+'STU SERVICES 4yr'!L50+'INST SUPPORT 4yr'!L50</f>
        <v>76940.475000000006</v>
      </c>
      <c r="M50" s="90">
        <f>+'ACADEMIC SUPP 4yr'!M50+'STU SERVICES 4yr'!M50+'INST SUPPORT 4yr'!M50</f>
        <v>86194.66</v>
      </c>
      <c r="N50" s="90">
        <f>+'ACADEMIC SUPP 4yr'!N50+'STU SERVICES 4yr'!N50+'INST SUPPORT 4yr'!N50</f>
        <v>92249.19</v>
      </c>
      <c r="O50" s="90">
        <f>+'ACADEMIC SUPP 4yr'!O50+'STU SERVICES 4yr'!O50+'INST SUPPORT 4yr'!O50</f>
        <v>95894.181000000011</v>
      </c>
      <c r="P50" s="90">
        <f>+'ACADEMIC SUPP 4yr'!P50+'STU SERVICES 4yr'!P50+'INST SUPPORT 4yr'!P50</f>
        <v>103018.011</v>
      </c>
      <c r="Q50" s="90">
        <f>+'ACADEMIC SUPP 4yr'!Q50+'STU SERVICES 4yr'!Q50+'INST SUPPORT 4yr'!Q50</f>
        <v>121292.16700000002</v>
      </c>
      <c r="R50" s="90">
        <f>+'ACADEMIC SUPP 4yr'!R50+'STU SERVICES 4yr'!R50+'INST SUPPORT 4yr'!R50</f>
        <v>125168.726</v>
      </c>
      <c r="S50" s="90">
        <f>+'ACADEMIC SUPP 4yr'!S50+'STU SERVICES 4yr'!S50+'INST SUPPORT 4yr'!S50</f>
        <v>131206.59400000001</v>
      </c>
      <c r="T50" s="90">
        <f>+'ACADEMIC SUPP 4yr'!T50+'STU SERVICES 4yr'!T50+'INST SUPPORT 4yr'!T50</f>
        <v>144954.448</v>
      </c>
      <c r="U50" s="90">
        <f>+'ACADEMIC SUPP 4yr'!U50+'STU SERVICES 4yr'!U50+'INST SUPPORT 4yr'!U50</f>
        <v>152367.04300000001</v>
      </c>
      <c r="V50" s="90">
        <f>+'ACADEMIC SUPP 4yr'!V50+'STU SERVICES 4yr'!V50+'INST SUPPORT 4yr'!V50</f>
        <v>173251.87699999998</v>
      </c>
      <c r="W50" s="90">
        <f>+'ACADEMIC SUPP 4yr'!W50+'STU SERVICES 4yr'!W50+'INST SUPPORT 4yr'!W50</f>
        <v>188886.21</v>
      </c>
      <c r="X50" s="90">
        <f>+'ACADEMIC SUPP 4yr'!X50+'STU SERVICES 4yr'!X50+'INST SUPPORT 4yr'!X50</f>
        <v>177368.99799999999</v>
      </c>
      <c r="Y50" s="90">
        <f>+'ACADEMIC SUPP 4yr'!Y50+'STU SERVICES 4yr'!Y50+'INST SUPPORT 4yr'!Y50</f>
        <v>185707.481</v>
      </c>
      <c r="Z50" s="90">
        <f>+'ACADEMIC SUPP 4yr'!Z50+'STU SERVICES 4yr'!Z50+'INST SUPPORT 4yr'!Z50</f>
        <v>231542.82</v>
      </c>
      <c r="AA50" s="90">
        <f>+'ACADEMIC SUPP 4yr'!AA50+'STU SERVICES 4yr'!AA50+'INST SUPPORT 4yr'!AA50</f>
        <v>247742.467</v>
      </c>
    </row>
    <row r="51" spans="1:27">
      <c r="A51" s="23" t="s">
        <v>108</v>
      </c>
      <c r="B51" s="90">
        <f>+'ACADEMIC SUPP 4yr'!B51+'STU SERVICES 4yr'!B51+'INST SUPPORT 4yr'!B51</f>
        <v>0</v>
      </c>
      <c r="C51" s="90">
        <f>+'ACADEMIC SUPP 4yr'!C51+'STU SERVICES 4yr'!C51+'INST SUPPORT 4yr'!C51</f>
        <v>0</v>
      </c>
      <c r="D51" s="90">
        <f>+'ACADEMIC SUPP 4yr'!D51+'STU SERVICES 4yr'!D51+'INST SUPPORT 4yr'!D51</f>
        <v>0</v>
      </c>
      <c r="E51" s="90">
        <f>+'ACADEMIC SUPP 4yr'!E51+'STU SERVICES 4yr'!E51+'INST SUPPORT 4yr'!E51</f>
        <v>0</v>
      </c>
      <c r="F51" s="90">
        <f>+'ACADEMIC SUPP 4yr'!F51+'STU SERVICES 4yr'!F51+'INST SUPPORT 4yr'!F51</f>
        <v>638792.30599999998</v>
      </c>
      <c r="G51" s="90">
        <f>+'ACADEMIC SUPP 4yr'!G51+'STU SERVICES 4yr'!G51+'INST SUPPORT 4yr'!G51</f>
        <v>0</v>
      </c>
      <c r="H51" s="90">
        <f>+'ACADEMIC SUPP 4yr'!H51+'STU SERVICES 4yr'!H51+'INST SUPPORT 4yr'!H51</f>
        <v>0</v>
      </c>
      <c r="I51" s="90">
        <f>+'ACADEMIC SUPP 4yr'!I51+'STU SERVICES 4yr'!I51+'INST SUPPORT 4yr'!I51</f>
        <v>699923.26600000006</v>
      </c>
      <c r="J51" s="90">
        <f>+'ACADEMIC SUPP 4yr'!J51+'STU SERVICES 4yr'!J51+'INST SUPPORT 4yr'!J51</f>
        <v>0</v>
      </c>
      <c r="K51" s="90">
        <f>+'ACADEMIC SUPP 4yr'!K51+'STU SERVICES 4yr'!K51+'INST SUPPORT 4yr'!K51</f>
        <v>798385.32899999991</v>
      </c>
      <c r="L51" s="90">
        <f>+'ACADEMIC SUPP 4yr'!L51+'STU SERVICES 4yr'!L51+'INST SUPPORT 4yr'!L51</f>
        <v>984073.31099999999</v>
      </c>
      <c r="M51" s="90">
        <f>+'ACADEMIC SUPP 4yr'!M51+'STU SERVICES 4yr'!M51+'INST SUPPORT 4yr'!M51</f>
        <v>1063382.4369999999</v>
      </c>
      <c r="N51" s="90">
        <f>+'ACADEMIC SUPP 4yr'!N51+'STU SERVICES 4yr'!N51+'INST SUPPORT 4yr'!N51</f>
        <v>1041495.586</v>
      </c>
      <c r="O51" s="90">
        <f>+'ACADEMIC SUPP 4yr'!O51+'STU SERVICES 4yr'!O51+'INST SUPPORT 4yr'!O51</f>
        <v>1109858.7830000001</v>
      </c>
      <c r="P51" s="90">
        <f>+'ACADEMIC SUPP 4yr'!P51+'STU SERVICES 4yr'!P51+'INST SUPPORT 4yr'!P51</f>
        <v>1189237.9010000001</v>
      </c>
      <c r="Q51" s="90">
        <f>+'ACADEMIC SUPP 4yr'!Q51+'STU SERVICES 4yr'!Q51+'INST SUPPORT 4yr'!Q51</f>
        <v>1203721.578</v>
      </c>
      <c r="R51" s="90">
        <f>+'ACADEMIC SUPP 4yr'!R51+'STU SERVICES 4yr'!R51+'INST SUPPORT 4yr'!R51</f>
        <v>1310580.246</v>
      </c>
      <c r="S51" s="90">
        <f>+'ACADEMIC SUPP 4yr'!S51+'STU SERVICES 4yr'!S51+'INST SUPPORT 4yr'!S51</f>
        <v>1383190.632</v>
      </c>
      <c r="T51" s="90">
        <f>+'ACADEMIC SUPP 4yr'!T51+'STU SERVICES 4yr'!T51+'INST SUPPORT 4yr'!T51</f>
        <v>1532607.0530000001</v>
      </c>
      <c r="U51" s="90">
        <f>+'ACADEMIC SUPP 4yr'!U51+'STU SERVICES 4yr'!U51+'INST SUPPORT 4yr'!U51</f>
        <v>1499299.4550000001</v>
      </c>
      <c r="V51" s="90">
        <f>+'ACADEMIC SUPP 4yr'!V51+'STU SERVICES 4yr'!V51+'INST SUPPORT 4yr'!V51</f>
        <v>1662802.4909999999</v>
      </c>
      <c r="W51" s="90">
        <f>+'ACADEMIC SUPP 4yr'!W51+'STU SERVICES 4yr'!W51+'INST SUPPORT 4yr'!W51</f>
        <v>1858050.754</v>
      </c>
      <c r="X51" s="90">
        <f>+'ACADEMIC SUPP 4yr'!X51+'STU SERVICES 4yr'!X51+'INST SUPPORT 4yr'!X51</f>
        <v>1849755.216</v>
      </c>
      <c r="Y51" s="90">
        <f>+'ACADEMIC SUPP 4yr'!Y51+'STU SERVICES 4yr'!Y51+'INST SUPPORT 4yr'!Y51</f>
        <v>1950173.9920000001</v>
      </c>
      <c r="Z51" s="90">
        <f>+'ACADEMIC SUPP 4yr'!Z51+'STU SERVICES 4yr'!Z51+'INST SUPPORT 4yr'!Z51</f>
        <v>2014834.497</v>
      </c>
      <c r="AA51" s="90">
        <f>+'ACADEMIC SUPP 4yr'!AA51+'STU SERVICES 4yr'!AA51+'INST SUPPORT 4yr'!AA51</f>
        <v>2012936.0499999998</v>
      </c>
    </row>
    <row r="52" spans="1:27">
      <c r="A52" s="23" t="s">
        <v>112</v>
      </c>
      <c r="B52" s="90">
        <f>+'ACADEMIC SUPP 4yr'!B52+'STU SERVICES 4yr'!B52+'INST SUPPORT 4yr'!B52</f>
        <v>0</v>
      </c>
      <c r="C52" s="90">
        <f>+'ACADEMIC SUPP 4yr'!C52+'STU SERVICES 4yr'!C52+'INST SUPPORT 4yr'!C52</f>
        <v>0</v>
      </c>
      <c r="D52" s="90">
        <f>+'ACADEMIC SUPP 4yr'!D52+'STU SERVICES 4yr'!D52+'INST SUPPORT 4yr'!D52</f>
        <v>0</v>
      </c>
      <c r="E52" s="90">
        <f>+'ACADEMIC SUPP 4yr'!E52+'STU SERVICES 4yr'!E52+'INST SUPPORT 4yr'!E52</f>
        <v>0</v>
      </c>
      <c r="F52" s="90">
        <f>+'ACADEMIC SUPP 4yr'!F52+'STU SERVICES 4yr'!F52+'INST SUPPORT 4yr'!F52</f>
        <v>46147.740999999995</v>
      </c>
      <c r="G52" s="90">
        <f>+'ACADEMIC SUPP 4yr'!G52+'STU SERVICES 4yr'!G52+'INST SUPPORT 4yr'!G52</f>
        <v>0</v>
      </c>
      <c r="H52" s="90">
        <f>+'ACADEMIC SUPP 4yr'!H52+'STU SERVICES 4yr'!H52+'INST SUPPORT 4yr'!H52</f>
        <v>0</v>
      </c>
      <c r="I52" s="90">
        <f>+'ACADEMIC SUPP 4yr'!I52+'STU SERVICES 4yr'!I52+'INST SUPPORT 4yr'!I52</f>
        <v>60515.345000000001</v>
      </c>
      <c r="J52" s="90">
        <f>+'ACADEMIC SUPP 4yr'!J52+'STU SERVICES 4yr'!J52+'INST SUPPORT 4yr'!J52</f>
        <v>0</v>
      </c>
      <c r="K52" s="90">
        <f>+'ACADEMIC SUPP 4yr'!K52+'STU SERVICES 4yr'!K52+'INST SUPPORT 4yr'!K52</f>
        <v>65933.530339999998</v>
      </c>
      <c r="L52" s="90">
        <f>+'ACADEMIC SUPP 4yr'!L52+'STU SERVICES 4yr'!L52+'INST SUPPORT 4yr'!L52</f>
        <v>78344.152000000002</v>
      </c>
      <c r="M52" s="90">
        <f>+'ACADEMIC SUPP 4yr'!M52+'STU SERVICES 4yr'!M52+'INST SUPPORT 4yr'!M52</f>
        <v>83690.801000000007</v>
      </c>
      <c r="N52" s="90">
        <f>+'ACADEMIC SUPP 4yr'!N52+'STU SERVICES 4yr'!N52+'INST SUPPORT 4yr'!N52</f>
        <v>88826.152000000002</v>
      </c>
      <c r="O52" s="90">
        <f>+'ACADEMIC SUPP 4yr'!O52+'STU SERVICES 4yr'!O52+'INST SUPPORT 4yr'!O52</f>
        <v>93572.410999999993</v>
      </c>
      <c r="P52" s="90">
        <f>+'ACADEMIC SUPP 4yr'!P52+'STU SERVICES 4yr'!P52+'INST SUPPORT 4yr'!P52</f>
        <v>96376.866999999998</v>
      </c>
      <c r="Q52" s="90">
        <f>+'ACADEMIC SUPP 4yr'!Q52+'STU SERVICES 4yr'!Q52+'INST SUPPORT 4yr'!Q52</f>
        <v>106768.065</v>
      </c>
      <c r="R52" s="90">
        <f>+'ACADEMIC SUPP 4yr'!R52+'STU SERVICES 4yr'!R52+'INST SUPPORT 4yr'!R52</f>
        <v>107032.822</v>
      </c>
      <c r="S52" s="90">
        <f>+'ACADEMIC SUPP 4yr'!S52+'STU SERVICES 4yr'!S52+'INST SUPPORT 4yr'!S52</f>
        <v>121989.886</v>
      </c>
      <c r="T52" s="90">
        <f>+'ACADEMIC SUPP 4yr'!T52+'STU SERVICES 4yr'!T52+'INST SUPPORT 4yr'!T52</f>
        <v>135935.149</v>
      </c>
      <c r="U52" s="90">
        <f>+'ACADEMIC SUPP 4yr'!U52+'STU SERVICES 4yr'!U52+'INST SUPPORT 4yr'!U52</f>
        <v>132000.291</v>
      </c>
      <c r="V52" s="90">
        <f>+'ACADEMIC SUPP 4yr'!V52+'STU SERVICES 4yr'!V52+'INST SUPPORT 4yr'!V52</f>
        <v>160442.29399999999</v>
      </c>
      <c r="W52" s="90">
        <f>+'ACADEMIC SUPP 4yr'!W52+'STU SERVICES 4yr'!W52+'INST SUPPORT 4yr'!W52</f>
        <v>162198.99599999998</v>
      </c>
      <c r="X52" s="90">
        <f>+'ACADEMIC SUPP 4yr'!X52+'STU SERVICES 4yr'!X52+'INST SUPPORT 4yr'!X52</f>
        <v>181433.19500000001</v>
      </c>
      <c r="Y52" s="90">
        <f>+'ACADEMIC SUPP 4yr'!Y52+'STU SERVICES 4yr'!Y52+'INST SUPPORT 4yr'!Y52</f>
        <v>180253.15299999999</v>
      </c>
      <c r="Z52" s="90">
        <f>+'ACADEMIC SUPP 4yr'!Z52+'STU SERVICES 4yr'!Z52+'INST SUPPORT 4yr'!Z52</f>
        <v>188908.58000000002</v>
      </c>
      <c r="AA52" s="90">
        <f>+'ACADEMIC SUPP 4yr'!AA52+'STU SERVICES 4yr'!AA52+'INST SUPPORT 4yr'!AA52</f>
        <v>191926.00699999998</v>
      </c>
    </row>
    <row r="53" spans="1:27">
      <c r="A53" s="45" t="s">
        <v>116</v>
      </c>
      <c r="B53" s="94">
        <f>+'ACADEMIC SUPP 4yr'!B53+'STU SERVICES 4yr'!B53+'INST SUPPORT 4yr'!B53</f>
        <v>0</v>
      </c>
      <c r="C53" s="94">
        <f>+'ACADEMIC SUPP 4yr'!C53+'STU SERVICES 4yr'!C53+'INST SUPPORT 4yr'!C53</f>
        <v>0</v>
      </c>
      <c r="D53" s="94">
        <f>+'ACADEMIC SUPP 4yr'!D53+'STU SERVICES 4yr'!D53+'INST SUPPORT 4yr'!D53</f>
        <v>0</v>
      </c>
      <c r="E53" s="94">
        <f>+'ACADEMIC SUPP 4yr'!E53+'STU SERVICES 4yr'!E53+'INST SUPPORT 4yr'!E53</f>
        <v>0</v>
      </c>
      <c r="F53" s="94">
        <f>+'ACADEMIC SUPP 4yr'!F53+'STU SERVICES 4yr'!F53+'INST SUPPORT 4yr'!F53</f>
        <v>384294.86499999999</v>
      </c>
      <c r="G53" s="94">
        <f>+'ACADEMIC SUPP 4yr'!G53+'STU SERVICES 4yr'!G53+'INST SUPPORT 4yr'!G53</f>
        <v>0</v>
      </c>
      <c r="H53" s="94">
        <f>+'ACADEMIC SUPP 4yr'!H53+'STU SERVICES 4yr'!H53+'INST SUPPORT 4yr'!H53</f>
        <v>0</v>
      </c>
      <c r="I53" s="94">
        <f>+'ACADEMIC SUPP 4yr'!I53+'STU SERVICES 4yr'!I53+'INST SUPPORT 4yr'!I53</f>
        <v>414735.34899999999</v>
      </c>
      <c r="J53" s="94">
        <f>+'ACADEMIC SUPP 4yr'!J53+'STU SERVICES 4yr'!J53+'INST SUPPORT 4yr'!J53</f>
        <v>0</v>
      </c>
      <c r="K53" s="94">
        <f>+'ACADEMIC SUPP 4yr'!K53+'STU SERVICES 4yr'!K53+'INST SUPPORT 4yr'!K53</f>
        <v>462048.57400000002</v>
      </c>
      <c r="L53" s="94">
        <f>+'ACADEMIC SUPP 4yr'!L53+'STU SERVICES 4yr'!L53+'INST SUPPORT 4yr'!L53</f>
        <v>540239.24699999997</v>
      </c>
      <c r="M53" s="94">
        <f>+'ACADEMIC SUPP 4yr'!M53+'STU SERVICES 4yr'!M53+'INST SUPPORT 4yr'!M53</f>
        <v>605969.06000000006</v>
      </c>
      <c r="N53" s="94">
        <f>+'ACADEMIC SUPP 4yr'!N53+'STU SERVICES 4yr'!N53+'INST SUPPORT 4yr'!N53</f>
        <v>596777.87600000005</v>
      </c>
      <c r="O53" s="94">
        <f>+'ACADEMIC SUPP 4yr'!O53+'STU SERVICES 4yr'!O53+'INST SUPPORT 4yr'!O53</f>
        <v>632110.85</v>
      </c>
      <c r="P53" s="94">
        <f>+'ACADEMIC SUPP 4yr'!P53+'STU SERVICES 4yr'!P53+'INST SUPPORT 4yr'!P53</f>
        <v>652301.20500000007</v>
      </c>
      <c r="Q53" s="94">
        <f>+'ACADEMIC SUPP 4yr'!Q53+'STU SERVICES 4yr'!Q53+'INST SUPPORT 4yr'!Q53</f>
        <v>650392.80700000003</v>
      </c>
      <c r="R53" s="94">
        <f>+'ACADEMIC SUPP 4yr'!R53+'STU SERVICES 4yr'!R53+'INST SUPPORT 4yr'!R53</f>
        <v>662665.09899999993</v>
      </c>
      <c r="S53" s="94">
        <f>+'ACADEMIC SUPP 4yr'!S53+'STU SERVICES 4yr'!S53+'INST SUPPORT 4yr'!S53</f>
        <v>717816.29399999999</v>
      </c>
      <c r="T53" s="94">
        <f>+'ACADEMIC SUPP 4yr'!T53+'STU SERVICES 4yr'!T53+'INST SUPPORT 4yr'!T53</f>
        <v>743449.89500000002</v>
      </c>
      <c r="U53" s="94">
        <f>+'ACADEMIC SUPP 4yr'!U53+'STU SERVICES 4yr'!U53+'INST SUPPORT 4yr'!U53</f>
        <v>797007.47900000005</v>
      </c>
      <c r="V53" s="94">
        <f>+'ACADEMIC SUPP 4yr'!V53+'STU SERVICES 4yr'!V53+'INST SUPPORT 4yr'!V53</f>
        <v>880514.12899999996</v>
      </c>
      <c r="W53" s="94">
        <f>+'ACADEMIC SUPP 4yr'!W53+'STU SERVICES 4yr'!W53+'INST SUPPORT 4yr'!W53</f>
        <v>921231.75600000005</v>
      </c>
      <c r="X53" s="94">
        <f>+'ACADEMIC SUPP 4yr'!X53+'STU SERVICES 4yr'!X53+'INST SUPPORT 4yr'!X53</f>
        <v>963487.24099999992</v>
      </c>
      <c r="Y53" s="94">
        <f>+'ACADEMIC SUPP 4yr'!Y53+'STU SERVICES 4yr'!Y53+'INST SUPPORT 4yr'!Y53</f>
        <v>994178.54099999997</v>
      </c>
      <c r="Z53" s="94">
        <f>+'ACADEMIC SUPP 4yr'!Z53+'STU SERVICES 4yr'!Z53+'INST SUPPORT 4yr'!Z53</f>
        <v>1056809.4070000001</v>
      </c>
      <c r="AA53" s="94">
        <f>+'ACADEMIC SUPP 4yr'!AA53+'STU SERVICES 4yr'!AA53+'INST SUPPORT 4yr'!AA53</f>
        <v>1084673.3740000001</v>
      </c>
    </row>
    <row r="54" spans="1:27">
      <c r="A54" s="79" t="s">
        <v>122</v>
      </c>
      <c r="B54" s="90">
        <f>+'ACADEMIC SUPP 4yr'!B54+'STU SERVICES 4yr'!B54+'INST SUPPORT 4yr'!B54</f>
        <v>0</v>
      </c>
      <c r="C54" s="90">
        <f>+'ACADEMIC SUPP 4yr'!C54+'STU SERVICES 4yr'!C54+'INST SUPPORT 4yr'!C54</f>
        <v>0</v>
      </c>
      <c r="D54" s="90">
        <f>+'ACADEMIC SUPP 4yr'!D54+'STU SERVICES 4yr'!D54+'INST SUPPORT 4yr'!D54</f>
        <v>0</v>
      </c>
      <c r="E54" s="90">
        <f>+'ACADEMIC SUPP 4yr'!E54+'STU SERVICES 4yr'!E54+'INST SUPPORT 4yr'!E54</f>
        <v>0</v>
      </c>
      <c r="F54" s="90">
        <f>+'ACADEMIC SUPP 4yr'!F54+'STU SERVICES 4yr'!F54+'INST SUPPORT 4yr'!F54</f>
        <v>2417934.5080000004</v>
      </c>
      <c r="G54" s="90">
        <f>+'ACADEMIC SUPP 4yr'!G54+'STU SERVICES 4yr'!G54+'INST SUPPORT 4yr'!G54</f>
        <v>0</v>
      </c>
      <c r="H54" s="90">
        <f>+'ACADEMIC SUPP 4yr'!H54+'STU SERVICES 4yr'!H54+'INST SUPPORT 4yr'!H54</f>
        <v>0</v>
      </c>
      <c r="I54" s="90">
        <f>+'ACADEMIC SUPP 4yr'!I54+'STU SERVICES 4yr'!I54+'INST SUPPORT 4yr'!I54</f>
        <v>2840333.5389999999</v>
      </c>
      <c r="J54" s="90">
        <f>+'ACADEMIC SUPP 4yr'!J54+'STU SERVICES 4yr'!J54+'INST SUPPORT 4yr'!J54</f>
        <v>0</v>
      </c>
      <c r="K54" s="90">
        <f>+'ACADEMIC SUPP 4yr'!K54+'STU SERVICES 4yr'!K54+'INST SUPPORT 4yr'!K54</f>
        <v>3445790.1710000001</v>
      </c>
      <c r="L54" s="90">
        <f>+'ACADEMIC SUPP 4yr'!L54+'STU SERVICES 4yr'!L54+'INST SUPPORT 4yr'!L54</f>
        <v>3703836.0619999999</v>
      </c>
      <c r="M54" s="90">
        <f>+'ACADEMIC SUPP 4yr'!M54+'STU SERVICES 4yr'!M54+'INST SUPPORT 4yr'!M54</f>
        <v>3716609.6869999999</v>
      </c>
      <c r="N54" s="90">
        <f>+'ACADEMIC SUPP 4yr'!N54+'STU SERVICES 4yr'!N54+'INST SUPPORT 4yr'!N54</f>
        <v>3537366.6560000004</v>
      </c>
      <c r="O54" s="90">
        <f>+'ACADEMIC SUPP 4yr'!O54+'STU SERVICES 4yr'!O54+'INST SUPPORT 4yr'!O54</f>
        <v>3254534.1469999999</v>
      </c>
      <c r="P54" s="90">
        <f>+'ACADEMIC SUPP 4yr'!P54+'STU SERVICES 4yr'!P54+'INST SUPPORT 4yr'!P54</f>
        <v>3452140.57</v>
      </c>
      <c r="Q54" s="90">
        <f>+'ACADEMIC SUPP 4yr'!Q54+'STU SERVICES 4yr'!Q54+'INST SUPPORT 4yr'!Q54</f>
        <v>4229958.3550000004</v>
      </c>
      <c r="R54" s="90">
        <f>+'ACADEMIC SUPP 4yr'!R54+'STU SERVICES 4yr'!R54+'INST SUPPORT 4yr'!R54</f>
        <v>4177120.8770000003</v>
      </c>
      <c r="S54" s="90">
        <f>+'ACADEMIC SUPP 4yr'!S54+'STU SERVICES 4yr'!S54+'INST SUPPORT 4yr'!S54</f>
        <v>4534481.8159999996</v>
      </c>
      <c r="T54" s="90">
        <f>+'ACADEMIC SUPP 4yr'!T54+'STU SERVICES 4yr'!T54+'INST SUPPORT 4yr'!T54</f>
        <v>5181500.7569999993</v>
      </c>
      <c r="U54" s="90">
        <f>+'ACADEMIC SUPP 4yr'!U54+'STU SERVICES 4yr'!U54+'INST SUPPORT 4yr'!U54</f>
        <v>5095534.08</v>
      </c>
      <c r="V54" s="90">
        <f>+'ACADEMIC SUPP 4yr'!V54+'STU SERVICES 4yr'!V54+'INST SUPPORT 4yr'!V54</f>
        <v>6459678.334999999</v>
      </c>
      <c r="W54" s="90">
        <f>+'ACADEMIC SUPP 4yr'!W54+'STU SERVICES 4yr'!W54+'INST SUPPORT 4yr'!W54</f>
        <v>6743226.5329999998</v>
      </c>
      <c r="X54" s="90">
        <f>+'ACADEMIC SUPP 4yr'!X54+'STU SERVICES 4yr'!X54+'INST SUPPORT 4yr'!X54</f>
        <v>6962262.8809999991</v>
      </c>
      <c r="Y54" s="90">
        <f>+'ACADEMIC SUPP 4yr'!Y54+'STU SERVICES 4yr'!Y54+'INST SUPPORT 4yr'!Y54</f>
        <v>6903847.686999999</v>
      </c>
      <c r="Z54" s="90">
        <f>+'ACADEMIC SUPP 4yr'!Z54+'STU SERVICES 4yr'!Z54+'INST SUPPORT 4yr'!Z54</f>
        <v>7421577.8149999995</v>
      </c>
      <c r="AA54" s="90">
        <f>+'ACADEMIC SUPP 4yr'!AA54+'STU SERVICES 4yr'!AA54+'INST SUPPORT 4yr'!AA54</f>
        <v>7401935.7670000009</v>
      </c>
    </row>
    <row r="55" spans="1:27">
      <c r="A55" s="79" t="s">
        <v>119</v>
      </c>
      <c r="B55" s="90">
        <f>+'ACADEMIC SUPP 4yr'!B55+'STU SERVICES 4yr'!B55+'INST SUPPORT 4yr'!B55</f>
        <v>0</v>
      </c>
      <c r="C55" s="90">
        <f>+'ACADEMIC SUPP 4yr'!C55+'STU SERVICES 4yr'!C55+'INST SUPPORT 4yr'!C55</f>
        <v>0</v>
      </c>
      <c r="D55" s="90">
        <f>+'ACADEMIC SUPP 4yr'!D55+'STU SERVICES 4yr'!D55+'INST SUPPORT 4yr'!D55</f>
        <v>0</v>
      </c>
      <c r="E55" s="90">
        <f>+'ACADEMIC SUPP 4yr'!E55+'STU SERVICES 4yr'!E55+'INST SUPPORT 4yr'!E55</f>
        <v>0</v>
      </c>
      <c r="F55" s="90">
        <f>+'ACADEMIC SUPP 4yr'!F55+'STU SERVICES 4yr'!F55+'INST SUPPORT 4yr'!F55</f>
        <v>0</v>
      </c>
      <c r="G55" s="90">
        <f>+'ACADEMIC SUPP 4yr'!G55+'STU SERVICES 4yr'!G55+'INST SUPPORT 4yr'!G55</f>
        <v>0</v>
      </c>
      <c r="H55" s="90">
        <f>+'ACADEMIC SUPP 4yr'!H55+'STU SERVICES 4yr'!H55+'INST SUPPORT 4yr'!H55</f>
        <v>0</v>
      </c>
      <c r="I55" s="90">
        <f>+'ACADEMIC SUPP 4yr'!I55+'STU SERVICES 4yr'!I55+'INST SUPPORT 4yr'!I55</f>
        <v>0</v>
      </c>
      <c r="J55" s="90">
        <f>+'ACADEMIC SUPP 4yr'!J55+'STU SERVICES 4yr'!J55+'INST SUPPORT 4yr'!J55</f>
        <v>0</v>
      </c>
      <c r="K55" s="90">
        <f>+'ACADEMIC SUPP 4yr'!K55+'STU SERVICES 4yr'!K55+'INST SUPPORT 4yr'!K55</f>
        <v>0</v>
      </c>
      <c r="L55" s="90">
        <f>+'ACADEMIC SUPP 4yr'!L55+'STU SERVICES 4yr'!L55+'INST SUPPORT 4yr'!L55</f>
        <v>0</v>
      </c>
      <c r="M55" s="90">
        <f>+'ACADEMIC SUPP 4yr'!M55+'STU SERVICES 4yr'!M55+'INST SUPPORT 4yr'!M55</f>
        <v>0</v>
      </c>
      <c r="N55" s="90">
        <f>+'ACADEMIC SUPP 4yr'!N55+'STU SERVICES 4yr'!N55+'INST SUPPORT 4yr'!N55</f>
        <v>0</v>
      </c>
      <c r="O55" s="90">
        <f>+'ACADEMIC SUPP 4yr'!O55+'STU SERVICES 4yr'!O55+'INST SUPPORT 4yr'!O55</f>
        <v>0</v>
      </c>
      <c r="P55" s="90">
        <f>+'ACADEMIC SUPP 4yr'!P55+'STU SERVICES 4yr'!P55+'INST SUPPORT 4yr'!P55</f>
        <v>0</v>
      </c>
      <c r="Q55" s="90">
        <f>+'ACADEMIC SUPP 4yr'!Q55+'STU SERVICES 4yr'!Q55+'INST SUPPORT 4yr'!Q55</f>
        <v>0</v>
      </c>
      <c r="R55" s="90">
        <f>+'ACADEMIC SUPP 4yr'!R55+'STU SERVICES 4yr'!R55+'INST SUPPORT 4yr'!R55</f>
        <v>0</v>
      </c>
      <c r="S55" s="90">
        <f>+'ACADEMIC SUPP 4yr'!S55+'STU SERVICES 4yr'!S55+'INST SUPPORT 4yr'!S55</f>
        <v>0</v>
      </c>
      <c r="T55" s="90">
        <f>+'ACADEMIC SUPP 4yr'!T55+'STU SERVICES 4yr'!T55+'INST SUPPORT 4yr'!T55</f>
        <v>0</v>
      </c>
      <c r="U55" s="90">
        <f>+'ACADEMIC SUPP 4yr'!U55+'STU SERVICES 4yr'!U55+'INST SUPPORT 4yr'!U55</f>
        <v>0</v>
      </c>
      <c r="V55" s="90">
        <f>+'ACADEMIC SUPP 4yr'!V55+'STU SERVICES 4yr'!V55+'INST SUPPORT 4yr'!V55</f>
        <v>0</v>
      </c>
      <c r="W55" s="90">
        <f>+'ACADEMIC SUPP 4yr'!W55+'STU SERVICES 4yr'!W55+'INST SUPPORT 4yr'!W55</f>
        <v>0</v>
      </c>
      <c r="X55" s="90">
        <f>+'ACADEMIC SUPP 4yr'!X55+'STU SERVICES 4yr'!X55+'INST SUPPORT 4yr'!X55</f>
        <v>0</v>
      </c>
      <c r="Y55" s="90"/>
      <c r="Z55" s="90"/>
      <c r="AA55" s="90"/>
    </row>
    <row r="56" spans="1:27" s="23" customFormat="1">
      <c r="A56" s="23" t="s">
        <v>89</v>
      </c>
      <c r="B56" s="92">
        <f>+'ACADEMIC SUPP 4yr'!B56+'STU SERVICES 4yr'!B56+'INST SUPPORT 4yr'!B56</f>
        <v>0</v>
      </c>
      <c r="C56" s="92">
        <f>+'ACADEMIC SUPP 4yr'!C56+'STU SERVICES 4yr'!C56+'INST SUPPORT 4yr'!C56</f>
        <v>0</v>
      </c>
      <c r="D56" s="92">
        <f>+'ACADEMIC SUPP 4yr'!D56+'STU SERVICES 4yr'!D56+'INST SUPPORT 4yr'!D56</f>
        <v>0</v>
      </c>
      <c r="E56" s="92">
        <f>+'ACADEMIC SUPP 4yr'!E56+'STU SERVICES 4yr'!E56+'INST SUPPORT 4yr'!E56</f>
        <v>0</v>
      </c>
      <c r="F56" s="92">
        <f>+'ACADEMIC SUPP 4yr'!F56+'STU SERVICES 4yr'!F56+'INST SUPPORT 4yr'!F56</f>
        <v>187518.70300000001</v>
      </c>
      <c r="G56" s="92"/>
      <c r="H56" s="92">
        <f>+'ACADEMIC SUPP 4yr'!H56+'STU SERVICES 4yr'!H56+'INST SUPPORT 4yr'!H56</f>
        <v>0</v>
      </c>
      <c r="I56" s="92">
        <f>+'ACADEMIC SUPP 4yr'!I56+'STU SERVICES 4yr'!I56+'INST SUPPORT 4yr'!I56</f>
        <v>202237.44199999998</v>
      </c>
      <c r="J56" s="92">
        <f>+'ACADEMIC SUPP 4yr'!J56+'STU SERVICES 4yr'!J56+'INST SUPPORT 4yr'!J56</f>
        <v>0</v>
      </c>
      <c r="K56" s="92">
        <f>+'ACADEMIC SUPP 4yr'!K56+'STU SERVICES 4yr'!K56+'INST SUPPORT 4yr'!K56</f>
        <v>225983.24900000001</v>
      </c>
      <c r="L56" s="92">
        <f>+'ACADEMIC SUPP 4yr'!L56+'STU SERVICES 4yr'!L56+'INST SUPPORT 4yr'!L56</f>
        <v>295751.48</v>
      </c>
      <c r="M56" s="92">
        <f>+'ACADEMIC SUPP 4yr'!M56+'STU SERVICES 4yr'!M56+'INST SUPPORT 4yr'!M56</f>
        <v>294953.98099999997</v>
      </c>
      <c r="N56" s="92">
        <f>+'ACADEMIC SUPP 4yr'!N56+'STU SERVICES 4yr'!N56+'INST SUPPORT 4yr'!N56</f>
        <v>332423.179</v>
      </c>
      <c r="O56" s="92">
        <f>+'ACADEMIC SUPP 4yr'!O56+'STU SERVICES 4yr'!O56+'INST SUPPORT 4yr'!O56</f>
        <v>340701.554</v>
      </c>
      <c r="P56" s="92">
        <f>+'ACADEMIC SUPP 4yr'!P56+'STU SERVICES 4yr'!P56+'INST SUPPORT 4yr'!P56</f>
        <v>357777.13799999998</v>
      </c>
      <c r="Q56" s="92">
        <f>+'ACADEMIC SUPP 4yr'!Q56+'STU SERVICES 4yr'!Q56+'INST SUPPORT 4yr'!Q56</f>
        <v>414972.37699999998</v>
      </c>
      <c r="R56" s="92">
        <f>+'ACADEMIC SUPP 4yr'!R56+'STU SERVICES 4yr'!R56+'INST SUPPORT 4yr'!R56</f>
        <v>409573.47100000002</v>
      </c>
      <c r="S56" s="92">
        <f>+'ACADEMIC SUPP 4yr'!S56+'STU SERVICES 4yr'!S56+'INST SUPPORT 4yr'!S56</f>
        <v>445977.97900000005</v>
      </c>
      <c r="T56" s="92">
        <f>+'ACADEMIC SUPP 4yr'!T56+'STU SERVICES 4yr'!T56+'INST SUPPORT 4yr'!T56</f>
        <v>518981.82500000007</v>
      </c>
      <c r="U56" s="92">
        <f>+'ACADEMIC SUPP 4yr'!U56+'STU SERVICES 4yr'!U56+'INST SUPPORT 4yr'!U56</f>
        <v>575088.51500000001</v>
      </c>
      <c r="V56" s="92">
        <f>+'ACADEMIC SUPP 4yr'!V56+'STU SERVICES 4yr'!V56+'INST SUPPORT 4yr'!V56</f>
        <v>614587.81299999997</v>
      </c>
      <c r="W56" s="92">
        <f>+'ACADEMIC SUPP 4yr'!W56+'STU SERVICES 4yr'!W56+'INST SUPPORT 4yr'!W56</f>
        <v>643485.01600000006</v>
      </c>
      <c r="X56" s="92">
        <f>+'ACADEMIC SUPP 4yr'!X56+'STU SERVICES 4yr'!X56+'INST SUPPORT 4yr'!X56</f>
        <v>624765.12299999991</v>
      </c>
      <c r="Y56" s="92">
        <f>+'ACADEMIC SUPP 4yr'!Y56+'STU SERVICES 4yr'!Y56+'INST SUPPORT 4yr'!Y56</f>
        <v>621049.47699999996</v>
      </c>
      <c r="Z56" s="92">
        <f>+'ACADEMIC SUPP 4yr'!Z56+'STU SERVICES 4yr'!Z56+'INST SUPPORT 4yr'!Z56</f>
        <v>665741.85600000003</v>
      </c>
      <c r="AA56" s="92">
        <f>+'ACADEMIC SUPP 4yr'!AA56+'STU SERVICES 4yr'!AA56+'INST SUPPORT 4yr'!AA56</f>
        <v>741329.91299999994</v>
      </c>
    </row>
    <row r="57" spans="1:27" s="23" customFormat="1">
      <c r="A57" s="23" t="s">
        <v>96</v>
      </c>
      <c r="B57" s="92">
        <f>+'ACADEMIC SUPP 4yr'!B57+'STU SERVICES 4yr'!B57+'INST SUPPORT 4yr'!B57</f>
        <v>0</v>
      </c>
      <c r="C57" s="92">
        <f>+'ACADEMIC SUPP 4yr'!C57+'STU SERVICES 4yr'!C57+'INST SUPPORT 4yr'!C57</f>
        <v>0</v>
      </c>
      <c r="D57" s="92">
        <f>+'ACADEMIC SUPP 4yr'!D57+'STU SERVICES 4yr'!D57+'INST SUPPORT 4yr'!D57</f>
        <v>0</v>
      </c>
      <c r="E57" s="92">
        <f>+'ACADEMIC SUPP 4yr'!E57+'STU SERVICES 4yr'!E57+'INST SUPPORT 4yr'!E57</f>
        <v>0</v>
      </c>
      <c r="F57" s="92">
        <f>+'ACADEMIC SUPP 4yr'!F57+'STU SERVICES 4yr'!F57+'INST SUPPORT 4yr'!F57</f>
        <v>74092.464000000007</v>
      </c>
      <c r="G57" s="92">
        <f>+'ACADEMIC SUPP 4yr'!G57+'STU SERVICES 4yr'!G57+'INST SUPPORT 4yr'!G57</f>
        <v>0</v>
      </c>
      <c r="H57" s="92">
        <f>+'ACADEMIC SUPP 4yr'!H57+'STU SERVICES 4yr'!H57+'INST SUPPORT 4yr'!H57</f>
        <v>0</v>
      </c>
      <c r="I57" s="92">
        <f>+'ACADEMIC SUPP 4yr'!I57+'STU SERVICES 4yr'!I57+'INST SUPPORT 4yr'!I57</f>
        <v>78577.027000000002</v>
      </c>
      <c r="J57" s="92">
        <f>+'ACADEMIC SUPP 4yr'!J57+'STU SERVICES 4yr'!J57+'INST SUPPORT 4yr'!J57</f>
        <v>0</v>
      </c>
      <c r="K57" s="92">
        <f>+'ACADEMIC SUPP 4yr'!K57+'STU SERVICES 4yr'!K57+'INST SUPPORT 4yr'!K57</f>
        <v>103913.372</v>
      </c>
      <c r="L57" s="92">
        <f>+'ACADEMIC SUPP 4yr'!L57+'STU SERVICES 4yr'!L57+'INST SUPPORT 4yr'!L57</f>
        <v>99171.974999999991</v>
      </c>
      <c r="M57" s="92">
        <f>+'ACADEMIC SUPP 4yr'!M57+'STU SERVICES 4yr'!M57+'INST SUPPORT 4yr'!M57</f>
        <v>107677.30800000002</v>
      </c>
      <c r="N57" s="92">
        <f>+'ACADEMIC SUPP 4yr'!N57+'STU SERVICES 4yr'!N57+'INST SUPPORT 4yr'!N57</f>
        <v>114098.67599999999</v>
      </c>
      <c r="O57" s="92">
        <f>+'ACADEMIC SUPP 4yr'!O57+'STU SERVICES 4yr'!O57+'INST SUPPORT 4yr'!O57</f>
        <v>120638.042</v>
      </c>
      <c r="P57" s="92">
        <f>+'ACADEMIC SUPP 4yr'!P57+'STU SERVICES 4yr'!P57+'INST SUPPORT 4yr'!P57</f>
        <v>133477.568</v>
      </c>
      <c r="Q57" s="92">
        <f>+'ACADEMIC SUPP 4yr'!Q57+'STU SERVICES 4yr'!Q57+'INST SUPPORT 4yr'!Q57</f>
        <v>137141.88999999998</v>
      </c>
      <c r="R57" s="92">
        <f>+'ACADEMIC SUPP 4yr'!R57+'STU SERVICES 4yr'!R57+'INST SUPPORT 4yr'!R57</f>
        <v>136412.745</v>
      </c>
      <c r="S57" s="92">
        <f>+'ACADEMIC SUPP 4yr'!S57+'STU SERVICES 4yr'!S57+'INST SUPPORT 4yr'!S57</f>
        <v>146999.984</v>
      </c>
      <c r="T57" s="92">
        <f>+'ACADEMIC SUPP 4yr'!T57+'STU SERVICES 4yr'!T57+'INST SUPPORT 4yr'!T57</f>
        <v>157884.22</v>
      </c>
      <c r="U57" s="92">
        <f>+'ACADEMIC SUPP 4yr'!U57+'STU SERVICES 4yr'!U57+'INST SUPPORT 4yr'!U57</f>
        <v>163516.95799999998</v>
      </c>
      <c r="V57" s="92">
        <f>+'ACADEMIC SUPP 4yr'!V57+'STU SERVICES 4yr'!V57+'INST SUPPORT 4yr'!V57</f>
        <v>188817.44999999998</v>
      </c>
      <c r="W57" s="92">
        <f>+'ACADEMIC SUPP 4yr'!W57+'STU SERVICES 4yr'!W57+'INST SUPPORT 4yr'!W57</f>
        <v>193123.98799999998</v>
      </c>
      <c r="X57" s="92">
        <f>+'ACADEMIC SUPP 4yr'!X57+'STU SERVICES 4yr'!X57+'INST SUPPORT 4yr'!X57</f>
        <v>198196.663</v>
      </c>
      <c r="Y57" s="92">
        <f>+'ACADEMIC SUPP 4yr'!Y57+'STU SERVICES 4yr'!Y57+'INST SUPPORT 4yr'!Y57</f>
        <v>201067.995</v>
      </c>
      <c r="Z57" s="92">
        <f>+'ACADEMIC SUPP 4yr'!Z57+'STU SERVICES 4yr'!Z57+'INST SUPPORT 4yr'!Z57</f>
        <v>200568.163</v>
      </c>
      <c r="AA57" s="92">
        <f>+'ACADEMIC SUPP 4yr'!AA57+'STU SERVICES 4yr'!AA57+'INST SUPPORT 4yr'!AA57</f>
        <v>202856.75399999996</v>
      </c>
    </row>
    <row r="58" spans="1:27" s="17" customFormat="1">
      <c r="A58" s="23" t="s">
        <v>97</v>
      </c>
      <c r="B58" s="92">
        <f>+'ACADEMIC SUPP 4yr'!B58+'STU SERVICES 4yr'!B58+'INST SUPPORT 4yr'!B58</f>
        <v>0</v>
      </c>
      <c r="C58" s="92">
        <f>+'ACADEMIC SUPP 4yr'!C58+'STU SERVICES 4yr'!C58+'INST SUPPORT 4yr'!C58</f>
        <v>0</v>
      </c>
      <c r="D58" s="92">
        <f>+'ACADEMIC SUPP 4yr'!D58+'STU SERVICES 4yr'!D58+'INST SUPPORT 4yr'!D58</f>
        <v>0</v>
      </c>
      <c r="E58" s="92">
        <f>+'ACADEMIC SUPP 4yr'!E58+'STU SERVICES 4yr'!E58+'INST SUPPORT 4yr'!E58</f>
        <v>0</v>
      </c>
      <c r="F58" s="92">
        <f>+'ACADEMIC SUPP 4yr'!F58+'STU SERVICES 4yr'!F58+'INST SUPPORT 4yr'!F58</f>
        <v>222564.26799999998</v>
      </c>
      <c r="G58" s="92">
        <f>+'ACADEMIC SUPP 4yr'!G58+'STU SERVICES 4yr'!G58+'INST SUPPORT 4yr'!G58</f>
        <v>0</v>
      </c>
      <c r="H58" s="92">
        <f>+'ACADEMIC SUPP 4yr'!H58+'STU SERVICES 4yr'!H58+'INST SUPPORT 4yr'!H58</f>
        <v>0</v>
      </c>
      <c r="I58" s="92">
        <f>+'ACADEMIC SUPP 4yr'!I58+'STU SERVICES 4yr'!I58+'INST SUPPORT 4yr'!I58</f>
        <v>299403.37700000004</v>
      </c>
      <c r="J58" s="92">
        <f>+'ACADEMIC SUPP 4yr'!J58+'STU SERVICES 4yr'!J58+'INST SUPPORT 4yr'!J58</f>
        <v>0</v>
      </c>
      <c r="K58" s="92">
        <f>+'ACADEMIC SUPP 4yr'!K58+'STU SERVICES 4yr'!K58+'INST SUPPORT 4yr'!K58</f>
        <v>353045.20499999996</v>
      </c>
      <c r="L58" s="92">
        <f>+'ACADEMIC SUPP 4yr'!L58+'STU SERVICES 4yr'!L58+'INST SUPPORT 4yr'!L58</f>
        <v>411288.33699999994</v>
      </c>
      <c r="M58" s="92">
        <f>+'ACADEMIC SUPP 4yr'!M58+'STU SERVICES 4yr'!M58+'INST SUPPORT 4yr'!M58</f>
        <v>436659.71400000004</v>
      </c>
      <c r="N58" s="92">
        <f>+'ACADEMIC SUPP 4yr'!N58+'STU SERVICES 4yr'!N58+'INST SUPPORT 4yr'!N58</f>
        <v>423381.56</v>
      </c>
      <c r="O58" s="92">
        <f>+'ACADEMIC SUPP 4yr'!O58+'STU SERVICES 4yr'!O58+'INST SUPPORT 4yr'!O58</f>
        <v>417152.92700000003</v>
      </c>
      <c r="P58" s="92">
        <f>+'ACADEMIC SUPP 4yr'!P58+'STU SERVICES 4yr'!P58+'INST SUPPORT 4yr'!P58</f>
        <v>430114.83799999999</v>
      </c>
      <c r="Q58" s="92">
        <f>+'ACADEMIC SUPP 4yr'!Q58+'STU SERVICES 4yr'!Q58+'INST SUPPORT 4yr'!Q58</f>
        <v>491568.22199999995</v>
      </c>
      <c r="R58" s="92">
        <f>+'ACADEMIC SUPP 4yr'!R58+'STU SERVICES 4yr'!R58+'INST SUPPORT 4yr'!R58</f>
        <v>528015.91</v>
      </c>
      <c r="S58" s="92">
        <f>+'ACADEMIC SUPP 4yr'!S58+'STU SERVICES 4yr'!S58+'INST SUPPORT 4yr'!S58</f>
        <v>570635.40599999996</v>
      </c>
      <c r="T58" s="92">
        <f>+'ACADEMIC SUPP 4yr'!T58+'STU SERVICES 4yr'!T58+'INST SUPPORT 4yr'!T58</f>
        <v>622255.76500000001</v>
      </c>
      <c r="U58" s="92">
        <f>+'ACADEMIC SUPP 4yr'!U58+'STU SERVICES 4yr'!U58+'INST SUPPORT 4yr'!U58</f>
        <v>501960.14299999998</v>
      </c>
      <c r="V58" s="92">
        <f>+'ACADEMIC SUPP 4yr'!V58+'STU SERVICES 4yr'!V58+'INST SUPPORT 4yr'!V58</f>
        <v>711834.647</v>
      </c>
      <c r="W58" s="92">
        <f>+'ACADEMIC SUPP 4yr'!W58+'STU SERVICES 4yr'!W58+'INST SUPPORT 4yr'!W58</f>
        <v>776384.76300000004</v>
      </c>
      <c r="X58" s="92">
        <f>+'ACADEMIC SUPP 4yr'!X58+'STU SERVICES 4yr'!X58+'INST SUPPORT 4yr'!X58</f>
        <v>835997.87100000004</v>
      </c>
      <c r="Y58" s="92">
        <f>+'ACADEMIC SUPP 4yr'!Y58+'STU SERVICES 4yr'!Y58+'INST SUPPORT 4yr'!Y58</f>
        <v>851038.55700000003</v>
      </c>
      <c r="Z58" s="92">
        <f>+'ACADEMIC SUPP 4yr'!Z58+'STU SERVICES 4yr'!Z58+'INST SUPPORT 4yr'!Z58</f>
        <v>915020.78300000005</v>
      </c>
      <c r="AA58" s="92">
        <f>+'ACADEMIC SUPP 4yr'!AA58+'STU SERVICES 4yr'!AA58+'INST SUPPORT 4yr'!AA58</f>
        <v>986314.777</v>
      </c>
    </row>
    <row r="59" spans="1:27" s="14" customFormat="1">
      <c r="A59" s="23" t="s">
        <v>103</v>
      </c>
      <c r="B59" s="90">
        <f>+'ACADEMIC SUPP 4yr'!B59+'STU SERVICES 4yr'!B59+'INST SUPPORT 4yr'!B59</f>
        <v>0</v>
      </c>
      <c r="C59" s="90">
        <f>+'ACADEMIC SUPP 4yr'!C59+'STU SERVICES 4yr'!C59+'INST SUPPORT 4yr'!C59</f>
        <v>0</v>
      </c>
      <c r="D59" s="90">
        <f>+'ACADEMIC SUPP 4yr'!D59+'STU SERVICES 4yr'!D59+'INST SUPPORT 4yr'!D59</f>
        <v>0</v>
      </c>
      <c r="E59" s="90">
        <f>+'ACADEMIC SUPP 4yr'!E59+'STU SERVICES 4yr'!E59+'INST SUPPORT 4yr'!E59</f>
        <v>0</v>
      </c>
      <c r="F59" s="90">
        <f>+'ACADEMIC SUPP 4yr'!F59+'STU SERVICES 4yr'!F59+'INST SUPPORT 4yr'!F59</f>
        <v>57029.687999999995</v>
      </c>
      <c r="G59" s="90">
        <f>+'ACADEMIC SUPP 4yr'!G59+'STU SERVICES 4yr'!G59+'INST SUPPORT 4yr'!G59</f>
        <v>0</v>
      </c>
      <c r="H59" s="90">
        <f>+'ACADEMIC SUPP 4yr'!H59+'STU SERVICES 4yr'!H59+'INST SUPPORT 4yr'!H59</f>
        <v>0</v>
      </c>
      <c r="I59" s="90">
        <f>+'ACADEMIC SUPP 4yr'!I59+'STU SERVICES 4yr'!I59+'INST SUPPORT 4yr'!I59</f>
        <v>63353.940999999992</v>
      </c>
      <c r="J59" s="90">
        <f>+'ACADEMIC SUPP 4yr'!J59+'STU SERVICES 4yr'!J59+'INST SUPPORT 4yr'!J59</f>
        <v>0</v>
      </c>
      <c r="K59" s="90">
        <f>+'ACADEMIC SUPP 4yr'!K59+'STU SERVICES 4yr'!K59+'INST SUPPORT 4yr'!K59</f>
        <v>70748.885000000009</v>
      </c>
      <c r="L59" s="90">
        <f>+'ACADEMIC SUPP 4yr'!L59+'STU SERVICES 4yr'!L59+'INST SUPPORT 4yr'!L59</f>
        <v>77093.133000000002</v>
      </c>
      <c r="M59" s="90">
        <f>+'ACADEMIC SUPP 4yr'!M59+'STU SERVICES 4yr'!M59+'INST SUPPORT 4yr'!M59</f>
        <v>79956.997000000003</v>
      </c>
      <c r="N59" s="90">
        <f>+'ACADEMIC SUPP 4yr'!N59+'STU SERVICES 4yr'!N59+'INST SUPPORT 4yr'!N59</f>
        <v>90486.010000000009</v>
      </c>
      <c r="O59" s="90">
        <f>+'ACADEMIC SUPP 4yr'!O59+'STU SERVICES 4yr'!O59+'INST SUPPORT 4yr'!O59</f>
        <v>99712.933000000005</v>
      </c>
      <c r="P59" s="90">
        <f>+'ACADEMIC SUPP 4yr'!P59+'STU SERVICES 4yr'!P59+'INST SUPPORT 4yr'!P59</f>
        <v>104895.117</v>
      </c>
      <c r="Q59" s="90">
        <f>+'ACADEMIC SUPP 4yr'!Q59+'STU SERVICES 4yr'!Q59+'INST SUPPORT 4yr'!Q59</f>
        <v>109810.30299999999</v>
      </c>
      <c r="R59" s="90">
        <f>+'ACADEMIC SUPP 4yr'!R59+'STU SERVICES 4yr'!R59+'INST SUPPORT 4yr'!R59</f>
        <v>113808.96300000002</v>
      </c>
      <c r="S59" s="90">
        <f>+'ACADEMIC SUPP 4yr'!S59+'STU SERVICES 4yr'!S59+'INST SUPPORT 4yr'!S59</f>
        <v>114048.62700000001</v>
      </c>
      <c r="T59" s="90">
        <f>+'ACADEMIC SUPP 4yr'!T59+'STU SERVICES 4yr'!T59+'INST SUPPORT 4yr'!T59</f>
        <v>140664.37199999997</v>
      </c>
      <c r="U59" s="90">
        <f>+'ACADEMIC SUPP 4yr'!U59+'STU SERVICES 4yr'!U59+'INST SUPPORT 4yr'!U59</f>
        <v>150755.07799999998</v>
      </c>
      <c r="V59" s="90">
        <f>+'ACADEMIC SUPP 4yr'!V59+'STU SERVICES 4yr'!V59+'INST SUPPORT 4yr'!V59</f>
        <v>154096.92600000001</v>
      </c>
      <c r="W59" s="90">
        <f>+'ACADEMIC SUPP 4yr'!W59+'STU SERVICES 4yr'!W59+'INST SUPPORT 4yr'!W59</f>
        <v>160049.394</v>
      </c>
      <c r="X59" s="90">
        <f>+'ACADEMIC SUPP 4yr'!X59+'STU SERVICES 4yr'!X59+'INST SUPPORT 4yr'!X59</f>
        <v>156607.62099999998</v>
      </c>
      <c r="Y59" s="90">
        <f>+'ACADEMIC SUPP 4yr'!Y59+'STU SERVICES 4yr'!Y59+'INST SUPPORT 4yr'!Y59</f>
        <v>168646.85100000002</v>
      </c>
      <c r="Z59" s="90">
        <f>+'ACADEMIC SUPP 4yr'!Z59+'STU SERVICES 4yr'!Z59+'INST SUPPORT 4yr'!Z59</f>
        <v>169109.742</v>
      </c>
      <c r="AA59" s="90">
        <f>+'ACADEMIC SUPP 4yr'!AA59+'STU SERVICES 4yr'!AA59+'INST SUPPORT 4yr'!AA59</f>
        <v>180800.55300000001</v>
      </c>
    </row>
    <row r="60" spans="1:27" s="14" customFormat="1">
      <c r="A60" s="23" t="s">
        <v>104</v>
      </c>
      <c r="B60" s="90">
        <f>+'ACADEMIC SUPP 4yr'!B60+'STU SERVICES 4yr'!B60+'INST SUPPORT 4yr'!B60</f>
        <v>0</v>
      </c>
      <c r="C60" s="90">
        <f>+'ACADEMIC SUPP 4yr'!C60+'STU SERVICES 4yr'!C60+'INST SUPPORT 4yr'!C60</f>
        <v>0</v>
      </c>
      <c r="D60" s="90">
        <f>+'ACADEMIC SUPP 4yr'!D60+'STU SERVICES 4yr'!D60+'INST SUPPORT 4yr'!D60</f>
        <v>0</v>
      </c>
      <c r="E60" s="90">
        <f>+'ACADEMIC SUPP 4yr'!E60+'STU SERVICES 4yr'!E60+'INST SUPPORT 4yr'!E60</f>
        <v>0</v>
      </c>
      <c r="F60" s="90">
        <f>+'ACADEMIC SUPP 4yr'!F60+'STU SERVICES 4yr'!F60+'INST SUPPORT 4yr'!F60</f>
        <v>245351.399</v>
      </c>
      <c r="G60" s="90">
        <f>+'ACADEMIC SUPP 4yr'!G60+'STU SERVICES 4yr'!G60+'INST SUPPORT 4yr'!G60</f>
        <v>0</v>
      </c>
      <c r="H60" s="90">
        <f>+'ACADEMIC SUPP 4yr'!H60+'STU SERVICES 4yr'!H60+'INST SUPPORT 4yr'!H60</f>
        <v>0</v>
      </c>
      <c r="I60" s="90">
        <f>+'ACADEMIC SUPP 4yr'!I60+'STU SERVICES 4yr'!I60+'INST SUPPORT 4yr'!I60</f>
        <v>284486.65399999998</v>
      </c>
      <c r="J60" s="90">
        <f>+'ACADEMIC SUPP 4yr'!J60+'STU SERVICES 4yr'!J60+'INST SUPPORT 4yr'!J60</f>
        <v>0</v>
      </c>
      <c r="K60" s="90">
        <f>+'ACADEMIC SUPP 4yr'!K60+'STU SERVICES 4yr'!K60+'INST SUPPORT 4yr'!K60</f>
        <v>494899.97899999999</v>
      </c>
      <c r="L60" s="90">
        <f>+'ACADEMIC SUPP 4yr'!L60+'STU SERVICES 4yr'!L60+'INST SUPPORT 4yr'!L60</f>
        <v>409543.451</v>
      </c>
      <c r="M60" s="90">
        <f>+'ACADEMIC SUPP 4yr'!M60+'STU SERVICES 4yr'!M60+'INST SUPPORT 4yr'!M60</f>
        <v>424651.38</v>
      </c>
      <c r="N60" s="90">
        <f>+'ACADEMIC SUPP 4yr'!N60+'STU SERVICES 4yr'!N60+'INST SUPPORT 4yr'!N60</f>
        <v>446303.39600000001</v>
      </c>
      <c r="O60" s="90">
        <f>+'ACADEMIC SUPP 4yr'!O60+'STU SERVICES 4yr'!O60+'INST SUPPORT 4yr'!O60</f>
        <v>445101.33</v>
      </c>
      <c r="P60" s="90">
        <f>+'ACADEMIC SUPP 4yr'!P60+'STU SERVICES 4yr'!P60+'INST SUPPORT 4yr'!P60</f>
        <v>485751.67300000001</v>
      </c>
      <c r="Q60" s="90">
        <f>+'ACADEMIC SUPP 4yr'!Q60+'STU SERVICES 4yr'!Q60+'INST SUPPORT 4yr'!Q60</f>
        <v>807455.60499999998</v>
      </c>
      <c r="R60" s="90">
        <f>+'ACADEMIC SUPP 4yr'!R60+'STU SERVICES 4yr'!R60+'INST SUPPORT 4yr'!R60</f>
        <v>807065.049</v>
      </c>
      <c r="S60" s="90">
        <f>+'ACADEMIC SUPP 4yr'!S60+'STU SERVICES 4yr'!S60+'INST SUPPORT 4yr'!S60</f>
        <v>848327.59900000005</v>
      </c>
      <c r="T60" s="90">
        <f>+'ACADEMIC SUPP 4yr'!T60+'STU SERVICES 4yr'!T60+'INST SUPPORT 4yr'!T60</f>
        <v>1073725.1310000001</v>
      </c>
      <c r="U60" s="90">
        <f>+'ACADEMIC SUPP 4yr'!U60+'STU SERVICES 4yr'!U60+'INST SUPPORT 4yr'!U60</f>
        <v>849941.50200000009</v>
      </c>
      <c r="V60" s="90">
        <f>+'ACADEMIC SUPP 4yr'!V60+'STU SERVICES 4yr'!V60+'INST SUPPORT 4yr'!V60</f>
        <v>1099695.0550000002</v>
      </c>
      <c r="W60" s="90">
        <f>+'ACADEMIC SUPP 4yr'!W60+'STU SERVICES 4yr'!W60+'INST SUPPORT 4yr'!W60</f>
        <v>1129235.9129999999</v>
      </c>
      <c r="X60" s="90">
        <f>+'ACADEMIC SUPP 4yr'!X60+'STU SERVICES 4yr'!X60+'INST SUPPORT 4yr'!X60</f>
        <v>1217546.0249999999</v>
      </c>
      <c r="Y60" s="90">
        <f>+'ACADEMIC SUPP 4yr'!Y60+'STU SERVICES 4yr'!Y60+'INST SUPPORT 4yr'!Y60</f>
        <v>1135674.3389999999</v>
      </c>
      <c r="Z60" s="90">
        <f>+'ACADEMIC SUPP 4yr'!Z60+'STU SERVICES 4yr'!Z60+'INST SUPPORT 4yr'!Z60</f>
        <v>1427577.5970000001</v>
      </c>
      <c r="AA60" s="90">
        <f>+'ACADEMIC SUPP 4yr'!AA60+'STU SERVICES 4yr'!AA60+'INST SUPPORT 4yr'!AA60</f>
        <v>1412534.92</v>
      </c>
    </row>
    <row r="61" spans="1:27" s="14" customFormat="1">
      <c r="A61" s="23" t="s">
        <v>106</v>
      </c>
      <c r="B61" s="90">
        <f>+'ACADEMIC SUPP 4yr'!B61+'STU SERVICES 4yr'!B61+'INST SUPPORT 4yr'!B61</f>
        <v>0</v>
      </c>
      <c r="C61" s="90">
        <f>+'ACADEMIC SUPP 4yr'!C61+'STU SERVICES 4yr'!C61+'INST SUPPORT 4yr'!C61</f>
        <v>0</v>
      </c>
      <c r="D61" s="90">
        <f>+'ACADEMIC SUPP 4yr'!D61+'STU SERVICES 4yr'!D61+'INST SUPPORT 4yr'!D61</f>
        <v>0</v>
      </c>
      <c r="E61" s="90">
        <f>+'ACADEMIC SUPP 4yr'!E61+'STU SERVICES 4yr'!E61+'INST SUPPORT 4yr'!E61</f>
        <v>0</v>
      </c>
      <c r="F61" s="90">
        <f>+'ACADEMIC SUPP 4yr'!F61+'STU SERVICES 4yr'!F61+'INST SUPPORT 4yr'!F61</f>
        <v>794102.21799999999</v>
      </c>
      <c r="G61" s="90">
        <f>+'ACADEMIC SUPP 4yr'!G61+'STU SERVICES 4yr'!G61+'INST SUPPORT 4yr'!G61</f>
        <v>0</v>
      </c>
      <c r="H61" s="90">
        <f>+'ACADEMIC SUPP 4yr'!H61+'STU SERVICES 4yr'!H61+'INST SUPPORT 4yr'!H61</f>
        <v>0</v>
      </c>
      <c r="I61" s="90">
        <f>+'ACADEMIC SUPP 4yr'!I61+'STU SERVICES 4yr'!I61+'INST SUPPORT 4yr'!I61</f>
        <v>935283.13</v>
      </c>
      <c r="J61" s="90">
        <f>+'ACADEMIC SUPP 4yr'!J61+'STU SERVICES 4yr'!J61+'INST SUPPORT 4yr'!J61</f>
        <v>0</v>
      </c>
      <c r="K61" s="90">
        <f>+'ACADEMIC SUPP 4yr'!K61+'STU SERVICES 4yr'!K61+'INST SUPPORT 4yr'!K61</f>
        <v>1115389.301</v>
      </c>
      <c r="L61" s="90">
        <f>+'ACADEMIC SUPP 4yr'!L61+'STU SERVICES 4yr'!L61+'INST SUPPORT 4yr'!L61</f>
        <v>1106549.5389999999</v>
      </c>
      <c r="M61" s="90">
        <f>+'ACADEMIC SUPP 4yr'!M61+'STU SERVICES 4yr'!M61+'INST SUPPORT 4yr'!M61</f>
        <v>1208986.466</v>
      </c>
      <c r="N61" s="90">
        <f>+'ACADEMIC SUPP 4yr'!N61+'STU SERVICES 4yr'!N61+'INST SUPPORT 4yr'!N61</f>
        <v>1302843.3900000001</v>
      </c>
      <c r="O61" s="90">
        <f>+'ACADEMIC SUPP 4yr'!O61+'STU SERVICES 4yr'!O61+'INST SUPPORT 4yr'!O61</f>
        <v>1233171.5560000001</v>
      </c>
      <c r="P61" s="90">
        <f>+'ACADEMIC SUPP 4yr'!P61+'STU SERVICES 4yr'!P61+'INST SUPPORT 4yr'!P61</f>
        <v>1267440.2450000001</v>
      </c>
      <c r="Q61" s="90">
        <f>+'ACADEMIC SUPP 4yr'!Q61+'STU SERVICES 4yr'!Q61+'INST SUPPORT 4yr'!Q61</f>
        <v>1589455.6880000001</v>
      </c>
      <c r="R61" s="90">
        <f>+'ACADEMIC SUPP 4yr'!R61+'STU SERVICES 4yr'!R61+'INST SUPPORT 4yr'!R61</f>
        <v>1475984.1600000001</v>
      </c>
      <c r="S61" s="90">
        <f>+'ACADEMIC SUPP 4yr'!S61+'STU SERVICES 4yr'!S61+'INST SUPPORT 4yr'!S61</f>
        <v>1646668.7680000002</v>
      </c>
      <c r="T61" s="90">
        <f>+'ACADEMIC SUPP 4yr'!T61+'STU SERVICES 4yr'!T61+'INST SUPPORT 4yr'!T61</f>
        <v>1815901.709</v>
      </c>
      <c r="U61" s="90">
        <f>+'ACADEMIC SUPP 4yr'!U61+'STU SERVICES 4yr'!U61+'INST SUPPORT 4yr'!U61</f>
        <v>2000662.4709999999</v>
      </c>
      <c r="V61" s="90">
        <f>+'ACADEMIC SUPP 4yr'!V61+'STU SERVICES 4yr'!V61+'INST SUPPORT 4yr'!V61</f>
        <v>2648438.4879999999</v>
      </c>
      <c r="W61" s="90">
        <f>+'ACADEMIC SUPP 4yr'!W61+'STU SERVICES 4yr'!W61+'INST SUPPORT 4yr'!W61</f>
        <v>2788256.0759999999</v>
      </c>
      <c r="X61" s="90">
        <f>+'ACADEMIC SUPP 4yr'!X61+'STU SERVICES 4yr'!X61+'INST SUPPORT 4yr'!X61</f>
        <v>2848809.9160000002</v>
      </c>
      <c r="Y61" s="90">
        <f>+'ACADEMIC SUPP 4yr'!Y61+'STU SERVICES 4yr'!Y61+'INST SUPPORT 4yr'!Y61</f>
        <v>2833228.9680000003</v>
      </c>
      <c r="Z61" s="90">
        <f>+'ACADEMIC SUPP 4yr'!Z61+'STU SERVICES 4yr'!Z61+'INST SUPPORT 4yr'!Z61</f>
        <v>2916139.122</v>
      </c>
      <c r="AA61" s="90">
        <f>+'ACADEMIC SUPP 4yr'!AA61+'STU SERVICES 4yr'!AA61+'INST SUPPORT 4yr'!AA61</f>
        <v>2765189.1009999998</v>
      </c>
    </row>
    <row r="62" spans="1:27" s="14" customFormat="1">
      <c r="A62" s="23" t="s">
        <v>110</v>
      </c>
      <c r="B62" s="90">
        <f>+'ACADEMIC SUPP 4yr'!B62+'STU SERVICES 4yr'!B62+'INST SUPPORT 4yr'!B62</f>
        <v>0</v>
      </c>
      <c r="C62" s="90">
        <f>+'ACADEMIC SUPP 4yr'!C62+'STU SERVICES 4yr'!C62+'INST SUPPORT 4yr'!C62</f>
        <v>0</v>
      </c>
      <c r="D62" s="90">
        <f>+'ACADEMIC SUPP 4yr'!D62+'STU SERVICES 4yr'!D62+'INST SUPPORT 4yr'!D62</f>
        <v>0</v>
      </c>
      <c r="E62" s="90">
        <f>+'ACADEMIC SUPP 4yr'!E62+'STU SERVICES 4yr'!E62+'INST SUPPORT 4yr'!E62</f>
        <v>0</v>
      </c>
      <c r="F62" s="90">
        <f>+'ACADEMIC SUPP 4yr'!F62+'STU SERVICES 4yr'!F62+'INST SUPPORT 4yr'!F62</f>
        <v>711432.28700000001</v>
      </c>
      <c r="G62" s="90">
        <f>+'ACADEMIC SUPP 4yr'!G62+'STU SERVICES 4yr'!G62+'INST SUPPORT 4yr'!G62</f>
        <v>0</v>
      </c>
      <c r="H62" s="90">
        <f>+'ACADEMIC SUPP 4yr'!H62+'STU SERVICES 4yr'!H62+'INST SUPPORT 4yr'!H62</f>
        <v>0</v>
      </c>
      <c r="I62" s="90">
        <f>+'ACADEMIC SUPP 4yr'!I62+'STU SERVICES 4yr'!I62+'INST SUPPORT 4yr'!I62</f>
        <v>834927.05499999993</v>
      </c>
      <c r="J62" s="90">
        <f>+'ACADEMIC SUPP 4yr'!J62+'STU SERVICES 4yr'!J62+'INST SUPPORT 4yr'!J62</f>
        <v>0</v>
      </c>
      <c r="K62" s="90">
        <f>+'ACADEMIC SUPP 4yr'!K62+'STU SERVICES 4yr'!K62+'INST SUPPORT 4yr'!K62</f>
        <v>912716.31900000002</v>
      </c>
      <c r="L62" s="90">
        <f>+'ACADEMIC SUPP 4yr'!L62+'STU SERVICES 4yr'!L62+'INST SUPPORT 4yr'!L62</f>
        <v>1105200.598</v>
      </c>
      <c r="M62" s="90">
        <f>+'ACADEMIC SUPP 4yr'!M62+'STU SERVICES 4yr'!M62+'INST SUPPORT 4yr'!M62</f>
        <v>973125.04799999995</v>
      </c>
      <c r="N62" s="90">
        <f>+'ACADEMIC SUPP 4yr'!N62+'STU SERVICES 4yr'!N62+'INST SUPPORT 4yr'!N62</f>
        <v>626527.88199999998</v>
      </c>
      <c r="O62" s="90">
        <f>+'ACADEMIC SUPP 4yr'!O62+'STU SERVICES 4yr'!O62+'INST SUPPORT 4yr'!O62</f>
        <v>413703.29800000001</v>
      </c>
      <c r="P62" s="90">
        <f>+'ACADEMIC SUPP 4yr'!P62+'STU SERVICES 4yr'!P62+'INST SUPPORT 4yr'!P62</f>
        <v>439884.47100000002</v>
      </c>
      <c r="Q62" s="90">
        <f>+'ACADEMIC SUPP 4yr'!Q62+'STU SERVICES 4yr'!Q62+'INST SUPPORT 4yr'!Q62</f>
        <v>428650.72600000002</v>
      </c>
      <c r="R62" s="90">
        <f>+'ACADEMIC SUPP 4yr'!R62+'STU SERVICES 4yr'!R62+'INST SUPPORT 4yr'!R62</f>
        <v>446337.228</v>
      </c>
      <c r="S62" s="90">
        <f>+'ACADEMIC SUPP 4yr'!S62+'STU SERVICES 4yr'!S62+'INST SUPPORT 4yr'!S62</f>
        <v>481041.86399999994</v>
      </c>
      <c r="T62" s="90">
        <f>+'ACADEMIC SUPP 4yr'!T62+'STU SERVICES 4yr'!T62+'INST SUPPORT 4yr'!T62</f>
        <v>521145.24699999997</v>
      </c>
      <c r="U62" s="90">
        <f>+'ACADEMIC SUPP 4yr'!U62+'STU SERVICES 4yr'!U62+'INST SUPPORT 4yr'!U62</f>
        <v>546725.00199999998</v>
      </c>
      <c r="V62" s="90">
        <f>+'ACADEMIC SUPP 4yr'!V62+'STU SERVICES 4yr'!V62+'INST SUPPORT 4yr'!V62</f>
        <v>663404.995</v>
      </c>
      <c r="W62" s="90">
        <f>+'ACADEMIC SUPP 4yr'!W62+'STU SERVICES 4yr'!W62+'INST SUPPORT 4yr'!W62</f>
        <v>668082.41599999997</v>
      </c>
      <c r="X62" s="90">
        <f>+'ACADEMIC SUPP 4yr'!X62+'STU SERVICES 4yr'!X62+'INST SUPPORT 4yr'!X62</f>
        <v>682257.38699999999</v>
      </c>
      <c r="Y62" s="90">
        <f>+'ACADEMIC SUPP 4yr'!Y62+'STU SERVICES 4yr'!Y62+'INST SUPPORT 4yr'!Y62</f>
        <v>709128.80899999989</v>
      </c>
      <c r="Z62" s="90">
        <f>+'ACADEMIC SUPP 4yr'!Z62+'STU SERVICES 4yr'!Z62+'INST SUPPORT 4yr'!Z62</f>
        <v>727330.87399999995</v>
      </c>
      <c r="AA62" s="90">
        <f>+'ACADEMIC SUPP 4yr'!AA62+'STU SERVICES 4yr'!AA62+'INST SUPPORT 4yr'!AA62</f>
        <v>722804.23699999996</v>
      </c>
    </row>
    <row r="63" spans="1:27" s="14" customFormat="1">
      <c r="A63" s="23" t="s">
        <v>111</v>
      </c>
      <c r="B63" s="90">
        <f>+'ACADEMIC SUPP 4yr'!B63+'STU SERVICES 4yr'!B63+'INST SUPPORT 4yr'!B63</f>
        <v>0</v>
      </c>
      <c r="C63" s="90">
        <f>+'ACADEMIC SUPP 4yr'!C63+'STU SERVICES 4yr'!C63+'INST SUPPORT 4yr'!C63</f>
        <v>0</v>
      </c>
      <c r="D63" s="90">
        <f>+'ACADEMIC SUPP 4yr'!D63+'STU SERVICES 4yr'!D63+'INST SUPPORT 4yr'!D63</f>
        <v>0</v>
      </c>
      <c r="E63" s="90">
        <f>+'ACADEMIC SUPP 4yr'!E63+'STU SERVICES 4yr'!E63+'INST SUPPORT 4yr'!E63</f>
        <v>0</v>
      </c>
      <c r="F63" s="90">
        <f>+'ACADEMIC SUPP 4yr'!F63+'STU SERVICES 4yr'!F63+'INST SUPPORT 4yr'!F63</f>
        <v>63892.110999999997</v>
      </c>
      <c r="G63" s="90">
        <f>+'ACADEMIC SUPP 4yr'!G63+'STU SERVICES 4yr'!G63+'INST SUPPORT 4yr'!G63</f>
        <v>0</v>
      </c>
      <c r="H63" s="90">
        <f>+'ACADEMIC SUPP 4yr'!H63+'STU SERVICES 4yr'!H63+'INST SUPPORT 4yr'!H63</f>
        <v>0</v>
      </c>
      <c r="I63" s="90">
        <f>+'ACADEMIC SUPP 4yr'!I63+'STU SERVICES 4yr'!I63+'INST SUPPORT 4yr'!I63</f>
        <v>69938.016000000003</v>
      </c>
      <c r="J63" s="90">
        <f>+'ACADEMIC SUPP 4yr'!J63+'STU SERVICES 4yr'!J63+'INST SUPPORT 4yr'!J63</f>
        <v>0</v>
      </c>
      <c r="K63" s="90">
        <f>+'ACADEMIC SUPP 4yr'!K63+'STU SERVICES 4yr'!K63+'INST SUPPORT 4yr'!K63</f>
        <v>81611.686000000002</v>
      </c>
      <c r="L63" s="90">
        <f>+'ACADEMIC SUPP 4yr'!L63+'STU SERVICES 4yr'!L63+'INST SUPPORT 4yr'!L63</f>
        <v>95689.515000000014</v>
      </c>
      <c r="M63" s="90">
        <f>+'ACADEMIC SUPP 4yr'!M63+'STU SERVICES 4yr'!M63+'INST SUPPORT 4yr'!M63</f>
        <v>97529.788</v>
      </c>
      <c r="N63" s="90">
        <f>+'ACADEMIC SUPP 4yr'!N63+'STU SERVICES 4yr'!N63+'INST SUPPORT 4yr'!N63</f>
        <v>98166.991000000009</v>
      </c>
      <c r="O63" s="90">
        <f>+'ACADEMIC SUPP 4yr'!O63+'STU SERVICES 4yr'!O63+'INST SUPPORT 4yr'!O63</f>
        <v>106805.503</v>
      </c>
      <c r="P63" s="90">
        <f>+'ACADEMIC SUPP 4yr'!P63+'STU SERVICES 4yr'!P63+'INST SUPPORT 4yr'!P63</f>
        <v>115416.63400000001</v>
      </c>
      <c r="Q63" s="90">
        <f>+'ACADEMIC SUPP 4yr'!Q63+'STU SERVICES 4yr'!Q63+'INST SUPPORT 4yr'!Q63</f>
        <v>125262.579</v>
      </c>
      <c r="R63" s="90">
        <f>+'ACADEMIC SUPP 4yr'!R63+'STU SERVICES 4yr'!R63+'INST SUPPORT 4yr'!R63</f>
        <v>127472.97900000001</v>
      </c>
      <c r="S63" s="90">
        <f>+'ACADEMIC SUPP 4yr'!S63+'STU SERVICES 4yr'!S63+'INST SUPPORT 4yr'!S63</f>
        <v>132539.842</v>
      </c>
      <c r="T63" s="90">
        <f>+'ACADEMIC SUPP 4yr'!T63+'STU SERVICES 4yr'!T63+'INST SUPPORT 4yr'!T63</f>
        <v>144787.261</v>
      </c>
      <c r="U63" s="90">
        <f>+'ACADEMIC SUPP 4yr'!U63+'STU SERVICES 4yr'!U63+'INST SUPPORT 4yr'!U63</f>
        <v>140875.05600000001</v>
      </c>
      <c r="V63" s="90">
        <f>+'ACADEMIC SUPP 4yr'!V63+'STU SERVICES 4yr'!V63+'INST SUPPORT 4yr'!V63</f>
        <v>166457.34399999998</v>
      </c>
      <c r="W63" s="90">
        <f>+'ACADEMIC SUPP 4yr'!W63+'STU SERVICES 4yr'!W63+'INST SUPPORT 4yr'!W63</f>
        <v>168943.06200000001</v>
      </c>
      <c r="X63" s="90">
        <f>+'ACADEMIC SUPP 4yr'!X63+'STU SERVICES 4yr'!X63+'INST SUPPORT 4yr'!X63</f>
        <v>178021.68699999998</v>
      </c>
      <c r="Y63" s="90">
        <f>+'ACADEMIC SUPP 4yr'!Y63+'STU SERVICES 4yr'!Y63+'INST SUPPORT 4yr'!Y63</f>
        <v>176796.391</v>
      </c>
      <c r="Z63" s="90">
        <f>+'ACADEMIC SUPP 4yr'!Z63+'STU SERVICES 4yr'!Z63+'INST SUPPORT 4yr'!Z63</f>
        <v>178008.348</v>
      </c>
      <c r="AA63" s="90">
        <f>+'ACADEMIC SUPP 4yr'!AA63+'STU SERVICES 4yr'!AA63+'INST SUPPORT 4yr'!AA63</f>
        <v>172724.09</v>
      </c>
    </row>
    <row r="64" spans="1:27" s="14" customFormat="1">
      <c r="A64" s="45" t="s">
        <v>114</v>
      </c>
      <c r="B64" s="94">
        <f>+'ACADEMIC SUPP 4yr'!B64+'STU SERVICES 4yr'!B64+'INST SUPPORT 4yr'!B64</f>
        <v>0</v>
      </c>
      <c r="C64" s="94">
        <f>+'ACADEMIC SUPP 4yr'!C64+'STU SERVICES 4yr'!C64+'INST SUPPORT 4yr'!C64</f>
        <v>0</v>
      </c>
      <c r="D64" s="94">
        <f>+'ACADEMIC SUPP 4yr'!D64+'STU SERVICES 4yr'!D64+'INST SUPPORT 4yr'!D64</f>
        <v>0</v>
      </c>
      <c r="E64" s="94">
        <f>+'ACADEMIC SUPP 4yr'!E64+'STU SERVICES 4yr'!E64+'INST SUPPORT 4yr'!E64</f>
        <v>0</v>
      </c>
      <c r="F64" s="94">
        <f>+'ACADEMIC SUPP 4yr'!F64+'STU SERVICES 4yr'!F64+'INST SUPPORT 4yr'!F64</f>
        <v>61951.37</v>
      </c>
      <c r="G64" s="94">
        <f>+'ACADEMIC SUPP 4yr'!G64+'STU SERVICES 4yr'!G64+'INST SUPPORT 4yr'!G64</f>
        <v>0</v>
      </c>
      <c r="H64" s="94">
        <f>+'ACADEMIC SUPP 4yr'!H64+'STU SERVICES 4yr'!H64+'INST SUPPORT 4yr'!H64</f>
        <v>0</v>
      </c>
      <c r="I64" s="94">
        <f>+'ACADEMIC SUPP 4yr'!I64+'STU SERVICES 4yr'!I64+'INST SUPPORT 4yr'!I64</f>
        <v>72126.896999999997</v>
      </c>
      <c r="J64" s="94">
        <f>+'ACADEMIC SUPP 4yr'!J64+'STU SERVICES 4yr'!J64+'INST SUPPORT 4yr'!J64</f>
        <v>0</v>
      </c>
      <c r="K64" s="94">
        <f>+'ACADEMIC SUPP 4yr'!K64+'STU SERVICES 4yr'!K64+'INST SUPPORT 4yr'!K64</f>
        <v>87482.175000000003</v>
      </c>
      <c r="L64" s="94">
        <f>+'ACADEMIC SUPP 4yr'!L64+'STU SERVICES 4yr'!L64+'INST SUPPORT 4yr'!L64</f>
        <v>103548.034</v>
      </c>
      <c r="M64" s="94">
        <f>+'ACADEMIC SUPP 4yr'!M64+'STU SERVICES 4yr'!M64+'INST SUPPORT 4yr'!M64</f>
        <v>93069.005000000005</v>
      </c>
      <c r="N64" s="94">
        <f>+'ACADEMIC SUPP 4yr'!N64+'STU SERVICES 4yr'!N64+'INST SUPPORT 4yr'!N64</f>
        <v>103135.57199999999</v>
      </c>
      <c r="O64" s="94">
        <f>+'ACADEMIC SUPP 4yr'!O64+'STU SERVICES 4yr'!O64+'INST SUPPORT 4yr'!O64</f>
        <v>77547.004000000001</v>
      </c>
      <c r="P64" s="94">
        <f>+'ACADEMIC SUPP 4yr'!P64+'STU SERVICES 4yr'!P64+'INST SUPPORT 4yr'!P64</f>
        <v>117382.886</v>
      </c>
      <c r="Q64" s="94">
        <f>+'ACADEMIC SUPP 4yr'!Q64+'STU SERVICES 4yr'!Q64+'INST SUPPORT 4yr'!Q64</f>
        <v>125640.965</v>
      </c>
      <c r="R64" s="94">
        <f>+'ACADEMIC SUPP 4yr'!R64+'STU SERVICES 4yr'!R64+'INST SUPPORT 4yr'!R64</f>
        <v>132450.372</v>
      </c>
      <c r="S64" s="94">
        <f>+'ACADEMIC SUPP 4yr'!S64+'STU SERVICES 4yr'!S64+'INST SUPPORT 4yr'!S64</f>
        <v>148241.74699999997</v>
      </c>
      <c r="T64" s="94">
        <f>+'ACADEMIC SUPP 4yr'!T64+'STU SERVICES 4yr'!T64+'INST SUPPORT 4yr'!T64</f>
        <v>186155.22700000001</v>
      </c>
      <c r="U64" s="94">
        <f>+'ACADEMIC SUPP 4yr'!U64+'STU SERVICES 4yr'!U64+'INST SUPPORT 4yr'!U64</f>
        <v>166009.35499999998</v>
      </c>
      <c r="V64" s="94">
        <f>+'ACADEMIC SUPP 4yr'!V64+'STU SERVICES 4yr'!V64+'INST SUPPORT 4yr'!V64</f>
        <v>212345.617</v>
      </c>
      <c r="W64" s="94">
        <f>+'ACADEMIC SUPP 4yr'!W64+'STU SERVICES 4yr'!W64+'INST SUPPORT 4yr'!W64</f>
        <v>215665.90499999997</v>
      </c>
      <c r="X64" s="94">
        <f>+'ACADEMIC SUPP 4yr'!X64+'STU SERVICES 4yr'!X64+'INST SUPPORT 4yr'!X64</f>
        <v>220060.58799999999</v>
      </c>
      <c r="Y64" s="94">
        <f>+'ACADEMIC SUPP 4yr'!Y64+'STU SERVICES 4yr'!Y64+'INST SUPPORT 4yr'!Y64</f>
        <v>207216.3</v>
      </c>
      <c r="Z64" s="94">
        <f>+'ACADEMIC SUPP 4yr'!Z64+'STU SERVICES 4yr'!Z64+'INST SUPPORT 4yr'!Z64</f>
        <v>222081.33000000002</v>
      </c>
      <c r="AA64" s="94">
        <f>+'ACADEMIC SUPP 4yr'!AA64+'STU SERVICES 4yr'!AA64+'INST SUPPORT 4yr'!AA64</f>
        <v>217381.42200000002</v>
      </c>
    </row>
    <row r="65" spans="1:27" s="14" customFormat="1">
      <c r="A65" s="88" t="s">
        <v>90</v>
      </c>
      <c r="B65" s="95">
        <f>+'ACADEMIC SUPP 4yr'!B65+'STU SERVICES 4yr'!B65+'INST SUPPORT 4yr'!B65</f>
        <v>0</v>
      </c>
      <c r="C65" s="95">
        <f>+'ACADEMIC SUPP 4yr'!C65+'STU SERVICES 4yr'!C65+'INST SUPPORT 4yr'!C65</f>
        <v>0</v>
      </c>
      <c r="D65" s="95">
        <f>+'ACADEMIC SUPP 4yr'!D65+'STU SERVICES 4yr'!D65+'INST SUPPORT 4yr'!D65</f>
        <v>0</v>
      </c>
      <c r="E65" s="95">
        <f>+'ACADEMIC SUPP 4yr'!E65+'STU SERVICES 4yr'!E65+'INST SUPPORT 4yr'!E65</f>
        <v>0</v>
      </c>
      <c r="F65" s="95">
        <f>+'ACADEMIC SUPP 4yr'!F65+'STU SERVICES 4yr'!F65+'INST SUPPORT 4yr'!F65</f>
        <v>37951.983999999997</v>
      </c>
      <c r="G65" s="95">
        <f>+'ACADEMIC SUPP 4yr'!G65+'STU SERVICES 4yr'!G65+'INST SUPPORT 4yr'!G65</f>
        <v>0</v>
      </c>
      <c r="H65" s="95">
        <f>+'ACADEMIC SUPP 4yr'!H65+'STU SERVICES 4yr'!H65+'INST SUPPORT 4yr'!H65</f>
        <v>0</v>
      </c>
      <c r="I65" s="95">
        <f>+'ACADEMIC SUPP 4yr'!I65+'STU SERVICES 4yr'!I65+'INST SUPPORT 4yr'!I65</f>
        <v>22890.483</v>
      </c>
      <c r="J65" s="95">
        <f>+'ACADEMIC SUPP 4yr'!J65+'STU SERVICES 4yr'!J65+'INST SUPPORT 4yr'!J65</f>
        <v>0</v>
      </c>
      <c r="K65" s="95">
        <f>+'ACADEMIC SUPP 4yr'!K65+'STU SERVICES 4yr'!K65+'INST SUPPORT 4yr'!K65</f>
        <v>26590.244140000003</v>
      </c>
      <c r="L65" s="95">
        <f>+'ACADEMIC SUPP 4yr'!L65+'STU SERVICES 4yr'!L65+'INST SUPPORT 4yr'!L65</f>
        <v>31861.194</v>
      </c>
      <c r="M65" s="95">
        <f>+'ACADEMIC SUPP 4yr'!M65+'STU SERVICES 4yr'!M65+'INST SUPPORT 4yr'!M65</f>
        <v>33133.017999999996</v>
      </c>
      <c r="N65" s="95">
        <f>+'ACADEMIC SUPP 4yr'!N65+'STU SERVICES 4yr'!N65+'INST SUPPORT 4yr'!N65</f>
        <v>34492.665999999997</v>
      </c>
      <c r="O65" s="95">
        <f>+'ACADEMIC SUPP 4yr'!O65+'STU SERVICES 4yr'!O65+'INST SUPPORT 4yr'!O65</f>
        <v>37342.918000000005</v>
      </c>
      <c r="P65" s="95">
        <f>+'ACADEMIC SUPP 4yr'!P65+'STU SERVICES 4yr'!P65+'INST SUPPORT 4yr'!P65</f>
        <v>31443.593999999997</v>
      </c>
      <c r="Q65" s="95">
        <f>+'ACADEMIC SUPP 4yr'!Q65+'STU SERVICES 4yr'!Q65+'INST SUPPORT 4yr'!Q65</f>
        <v>30523.652999999998</v>
      </c>
      <c r="R65" s="95">
        <f>+'ACADEMIC SUPP 4yr'!R65+'STU SERVICES 4yr'!R65+'INST SUPPORT 4yr'!R65</f>
        <v>43765.770000000004</v>
      </c>
      <c r="S65" s="95">
        <f>+'ACADEMIC SUPP 4yr'!S65+'STU SERVICES 4yr'!S65+'INST SUPPORT 4yr'!S65</f>
        <v>45967.834999999999</v>
      </c>
      <c r="T65" s="95">
        <f>+'ACADEMIC SUPP 4yr'!T65+'STU SERVICES 4yr'!T65+'INST SUPPORT 4yr'!T65</f>
        <v>51217.588499999998</v>
      </c>
      <c r="U65" s="95">
        <f>+'ACADEMIC SUPP 4yr'!U65+'STU SERVICES 4yr'!U65+'INST SUPPORT 4yr'!U65</f>
        <v>43885.665999999997</v>
      </c>
      <c r="V65" s="95">
        <f>+'ACADEMIC SUPP 4yr'!V65+'STU SERVICES 4yr'!V65+'INST SUPPORT 4yr'!V65</f>
        <v>48992</v>
      </c>
      <c r="W65" s="95">
        <f>+'ACADEMIC SUPP 4yr'!W65+'STU SERVICES 4yr'!W65+'INST SUPPORT 4yr'!W65</f>
        <v>54667.047000000006</v>
      </c>
      <c r="X65" s="95">
        <f>+'ACADEMIC SUPP 4yr'!X65+'STU SERVICES 4yr'!X65+'INST SUPPORT 4yr'!X65</f>
        <v>46493.322</v>
      </c>
      <c r="Y65" s="95">
        <f>+'ACADEMIC SUPP 4yr'!Y65+'STU SERVICES 4yr'!Y65+'INST SUPPORT 4yr'!Y65</f>
        <v>53895.373999999996</v>
      </c>
      <c r="Z65" s="95">
        <f>+'ACADEMIC SUPP 4yr'!Z65+'STU SERVICES 4yr'!Z65+'INST SUPPORT 4yr'!Z65</f>
        <v>43709.917000000001</v>
      </c>
      <c r="AA65" s="95">
        <f>+'ACADEMIC SUPP 4yr'!AA65+'STU SERVICES 4yr'!AA65+'INST SUPPORT 4yr'!AA65</f>
        <v>47797.368000000002</v>
      </c>
    </row>
    <row r="66" spans="1:27" s="14" customFormat="1">
      <c r="A66" s="80"/>
      <c r="F66" s="36"/>
    </row>
    <row r="67" spans="1:27">
      <c r="I67" s="14" t="s">
        <v>78</v>
      </c>
      <c r="P67" s="14" t="s">
        <v>78</v>
      </c>
      <c r="Q67" s="14" t="s">
        <v>78</v>
      </c>
      <c r="R67" s="14" t="s">
        <v>78</v>
      </c>
      <c r="S67" s="14" t="s">
        <v>78</v>
      </c>
      <c r="T67" s="14" t="s">
        <v>78</v>
      </c>
    </row>
    <row r="68" spans="1:27">
      <c r="I68" s="14" t="s">
        <v>79</v>
      </c>
      <c r="P68" s="14" t="s">
        <v>79</v>
      </c>
      <c r="Q68" s="14" t="s">
        <v>79</v>
      </c>
      <c r="R68" s="14" t="s">
        <v>79</v>
      </c>
      <c r="S68" s="14" t="s">
        <v>79</v>
      </c>
      <c r="T68" s="14" t="s">
        <v>79</v>
      </c>
    </row>
    <row r="69" spans="1:27">
      <c r="I69" s="14" t="s">
        <v>80</v>
      </c>
      <c r="P69" s="14" t="s">
        <v>80</v>
      </c>
      <c r="Q69" s="14" t="s">
        <v>80</v>
      </c>
      <c r="R69" s="14" t="s">
        <v>80</v>
      </c>
      <c r="S69" s="14" t="s">
        <v>80</v>
      </c>
      <c r="T69" s="14" t="s">
        <v>80</v>
      </c>
    </row>
  </sheetData>
  <phoneticPr fontId="6" type="noConversion"/>
  <pageMargins left="0.5" right="0.5" top="0.5" bottom="0.55000000000000004" header="0.5" footer="0.5"/>
  <pageSetup scale="76" orientation="landscape" verticalDpi="300" r:id="rId1"/>
  <headerFooter alignWithMargins="0">
    <oddFooter>&amp;LSREB Fact Book 1996/1997&amp;CUpdate&amp;R&amp;D</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6">
    <tabColor indexed="58"/>
  </sheetPr>
  <dimension ref="A1:AA69"/>
  <sheetViews>
    <sheetView showZeros="0" zoomScale="80" zoomScaleNormal="80" workbookViewId="0">
      <pane xSplit="1" ySplit="5" topLeftCell="T6" activePane="bottomRight" state="frozen"/>
      <selection activeCell="B52" sqref="B52"/>
      <selection pane="topRight" activeCell="B52" sqref="B52"/>
      <selection pane="bottomLeft" activeCell="B52" sqref="B52"/>
      <selection pane="bottomRight" activeCell="Z34" sqref="Z34"/>
    </sheetView>
  </sheetViews>
  <sheetFormatPr defaultColWidth="9.7109375" defaultRowHeight="12.75"/>
  <cols>
    <col min="1" max="1" width="23.42578125" style="80" customWidth="1"/>
    <col min="2" max="20" width="12.42578125" style="14" customWidth="1"/>
    <col min="21" max="21" width="12.5703125" style="2" customWidth="1"/>
    <col min="22" max="25" width="11.5703125" style="2" bestFit="1" customWidth="1"/>
    <col min="26" max="27" width="11.5703125" style="2" customWidth="1"/>
    <col min="28" max="16384" width="9.7109375" style="2"/>
  </cols>
  <sheetData>
    <row r="1" spans="1:27">
      <c r="A1" s="21" t="s">
        <v>39</v>
      </c>
      <c r="B1"/>
      <c r="C1"/>
      <c r="D1"/>
      <c r="E1"/>
      <c r="F1"/>
      <c r="G1"/>
      <c r="H1"/>
      <c r="I1"/>
      <c r="J1"/>
      <c r="K1"/>
      <c r="L1"/>
      <c r="M1"/>
      <c r="N1" s="46"/>
      <c r="O1" s="46"/>
      <c r="P1" s="46"/>
      <c r="Q1" s="46"/>
      <c r="R1" s="46"/>
      <c r="S1"/>
      <c r="T1"/>
    </row>
    <row r="2" spans="1:27">
      <c r="A2" s="21" t="s">
        <v>62</v>
      </c>
      <c r="B2" s="13"/>
      <c r="C2" s="12"/>
      <c r="D2" s="12"/>
      <c r="E2" s="12"/>
      <c r="F2" s="12"/>
      <c r="G2" s="13"/>
      <c r="H2" s="13"/>
      <c r="I2" s="13"/>
      <c r="J2" s="13"/>
      <c r="K2" s="13"/>
      <c r="L2" s="13"/>
      <c r="M2" s="13"/>
      <c r="N2" s="13"/>
      <c r="O2" s="13"/>
      <c r="P2" s="13"/>
      <c r="Q2" s="13"/>
      <c r="R2" s="13"/>
      <c r="S2" s="13"/>
      <c r="T2" s="13"/>
    </row>
    <row r="3" spans="1:27">
      <c r="A3" s="13" t="s">
        <v>61</v>
      </c>
      <c r="B3" s="13"/>
      <c r="C3" s="13"/>
      <c r="D3" s="13"/>
      <c r="E3" s="13"/>
      <c r="F3" s="13"/>
      <c r="G3" s="13"/>
      <c r="H3" s="13"/>
      <c r="I3" s="13"/>
      <c r="J3" s="13"/>
      <c r="K3" s="13"/>
      <c r="L3" s="13"/>
      <c r="M3" s="13"/>
      <c r="N3" s="13"/>
      <c r="O3" s="13"/>
      <c r="P3" s="13"/>
      <c r="Q3" s="13"/>
      <c r="R3" s="13"/>
      <c r="S3" s="13"/>
      <c r="T3" s="13"/>
    </row>
    <row r="4" spans="1:27" s="61" customFormat="1">
      <c r="A4" s="64" t="s">
        <v>60</v>
      </c>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74">
        <v>2005</v>
      </c>
      <c r="R4" s="74">
        <v>2006</v>
      </c>
      <c r="S4" s="74">
        <v>2007</v>
      </c>
      <c r="T4" s="74">
        <v>2008</v>
      </c>
      <c r="U4" s="74">
        <v>2009</v>
      </c>
      <c r="V4" s="74">
        <v>2010</v>
      </c>
      <c r="W4" s="74">
        <v>2011</v>
      </c>
      <c r="X4" s="173" t="s">
        <v>142</v>
      </c>
      <c r="Y4" s="173" t="s">
        <v>144</v>
      </c>
      <c r="Z4" s="173" t="s">
        <v>145</v>
      </c>
      <c r="AA4" s="173" t="s">
        <v>146</v>
      </c>
    </row>
    <row r="5" spans="1:27">
      <c r="B5" s="15" t="s">
        <v>2</v>
      </c>
      <c r="C5" s="15" t="s">
        <v>2</v>
      </c>
      <c r="D5" s="15" t="s">
        <v>2</v>
      </c>
      <c r="E5" s="15" t="s">
        <v>2</v>
      </c>
      <c r="F5" s="15" t="s">
        <v>2</v>
      </c>
      <c r="G5" s="15" t="s">
        <v>2</v>
      </c>
      <c r="H5" s="15" t="s">
        <v>2</v>
      </c>
      <c r="I5" s="15" t="s">
        <v>2</v>
      </c>
      <c r="J5" s="15" t="s">
        <v>2</v>
      </c>
      <c r="K5" s="15" t="s">
        <v>2</v>
      </c>
      <c r="L5" s="15" t="s">
        <v>2</v>
      </c>
      <c r="M5" s="15" t="s">
        <v>2</v>
      </c>
      <c r="N5" s="15" t="s">
        <v>2</v>
      </c>
      <c r="O5" s="15" t="s">
        <v>2</v>
      </c>
      <c r="P5" s="15" t="s">
        <v>2</v>
      </c>
      <c r="Q5" s="15" t="s">
        <v>2</v>
      </c>
      <c r="R5" s="15" t="s">
        <v>2</v>
      </c>
      <c r="S5" s="15" t="s">
        <v>2</v>
      </c>
      <c r="T5" s="15" t="s">
        <v>2</v>
      </c>
      <c r="U5" s="15" t="s">
        <v>2</v>
      </c>
      <c r="V5" s="15" t="s">
        <v>2</v>
      </c>
      <c r="W5" s="15" t="s">
        <v>2</v>
      </c>
      <c r="X5" s="19" t="s">
        <v>2</v>
      </c>
      <c r="Y5" s="19" t="s">
        <v>2</v>
      </c>
      <c r="Z5" s="19" t="s">
        <v>2</v>
      </c>
      <c r="AA5" s="19" t="s">
        <v>2</v>
      </c>
    </row>
    <row r="6" spans="1:27" s="23" customFormat="1">
      <c r="A6" s="63" t="s">
        <v>118</v>
      </c>
      <c r="B6" s="96">
        <f>'ACADEMIC SUPP 2yr'!B6+'STU SERVICES 2yr'!B6+'INST SUPPORT 2yr'!B6</f>
        <v>2787252</v>
      </c>
      <c r="C6" s="96">
        <f>'ACADEMIC SUPP 2yr'!C6+'STU SERVICES 2yr'!C6+'INST SUPPORT 2yr'!C6</f>
        <v>3053627</v>
      </c>
      <c r="D6" s="96">
        <f>'ACADEMIC SUPP 2yr'!D6+'STU SERVICES 2yr'!D6+'INST SUPPORT 2yr'!D6</f>
        <v>3339217</v>
      </c>
      <c r="E6" s="96">
        <f>'ACADEMIC SUPP 2yr'!E6+'STU SERVICES 2yr'!E6+'INST SUPPORT 2yr'!E6</f>
        <v>5132308.8670000006</v>
      </c>
      <c r="F6" s="96">
        <f>'ACADEMIC SUPP 2yr'!F6+'STU SERVICES 2yr'!F6+'INST SUPPORT 2yr'!F6</f>
        <v>5214282.0650000013</v>
      </c>
      <c r="G6" s="96">
        <f>'ACADEMIC SUPP 2yr'!G6+'STU SERVICES 2yr'!G6+'INST SUPPORT 2yr'!G6</f>
        <v>5787215.5019999994</v>
      </c>
      <c r="H6" s="96">
        <f>'ACADEMIC SUPP 2yr'!H6+'STU SERVICES 2yr'!H6+'INST SUPPORT 2yr'!H6</f>
        <v>6189371.7060000002</v>
      </c>
      <c r="I6" s="96">
        <f>'ACADEMIC SUPP 2yr'!I6+'STU SERVICES 2yr'!I6+'INST SUPPORT 2yr'!I6</f>
        <v>6128270.6939999992</v>
      </c>
      <c r="J6" s="96">
        <f>'ACADEMIC SUPP 2yr'!J6+'STU SERVICES 2yr'!J6+'INST SUPPORT 2yr'!J6</f>
        <v>6996385.0970000001</v>
      </c>
      <c r="K6" s="96">
        <f>'ACADEMIC SUPP 2yr'!K6+'STU SERVICES 2yr'!K6+'INST SUPPORT 2yr'!K6</f>
        <v>7429471.3381200004</v>
      </c>
      <c r="L6" s="96">
        <f>'ACADEMIC SUPP 2yr'!L6+'STU SERVICES 2yr'!L6+'INST SUPPORT 2yr'!L6</f>
        <v>8437518.9019999988</v>
      </c>
      <c r="M6" s="96">
        <f>'ACADEMIC SUPP 2yr'!M6+'STU SERVICES 2yr'!M6+'INST SUPPORT 2yr'!M6</f>
        <v>9268626.2359999996</v>
      </c>
      <c r="N6" s="96">
        <f>'ACADEMIC SUPP 2yr'!N6+'STU SERVICES 2yr'!N6+'INST SUPPORT 2yr'!N6</f>
        <v>9409403.0780000016</v>
      </c>
      <c r="O6" s="96">
        <f>'ACADEMIC SUPP 2yr'!O6+'STU SERVICES 2yr'!O6+'INST SUPPORT 2yr'!O6</f>
        <v>9487852.9459999986</v>
      </c>
      <c r="P6" s="96">
        <f>'ACADEMIC SUPP 2yr'!P6+'STU SERVICES 2yr'!P6+'INST SUPPORT 2yr'!P6</f>
        <v>9913356.7170000002</v>
      </c>
      <c r="Q6" s="96">
        <f>'ACADEMIC SUPP 2yr'!Q6+'STU SERVICES 2yr'!Q6+'INST SUPPORT 2yr'!Q6</f>
        <v>11015688.735000001</v>
      </c>
      <c r="R6" s="96">
        <f>'ACADEMIC SUPP 2yr'!R6+'STU SERVICES 2yr'!R6+'INST SUPPORT 2yr'!R6</f>
        <v>11671747.359999999</v>
      </c>
      <c r="S6" s="96">
        <f>'ACADEMIC SUPP 2yr'!S6+'STU SERVICES 2yr'!S6+'INST SUPPORT 2yr'!S6</f>
        <v>12493130.104</v>
      </c>
      <c r="T6" s="96">
        <f>'ACADEMIC SUPP 2yr'!T6+'STU SERVICES 2yr'!T6+'INST SUPPORT 2yr'!T6</f>
        <v>13803569.07</v>
      </c>
      <c r="U6" s="96">
        <f>'ACADEMIC SUPP 2yr'!U6+'STU SERVICES 2yr'!U6+'INST SUPPORT 2yr'!U6</f>
        <v>15142029.221999999</v>
      </c>
      <c r="V6" s="96">
        <f>'ACADEMIC SUPP 2yr'!V6+'STU SERVICES 2yr'!V6+'INST SUPPORT 2yr'!V6</f>
        <v>17577328.846999999</v>
      </c>
      <c r="W6" s="96">
        <f>'ACADEMIC SUPP 2yr'!W6+'STU SERVICES 2yr'!W6+'INST SUPPORT 2yr'!W6</f>
        <v>18459798.427999999</v>
      </c>
      <c r="X6" s="96">
        <f>'ACADEMIC SUPP 2yr'!X6+'STU SERVICES 2yr'!X6+'INST SUPPORT 2yr'!X6</f>
        <v>18866601.881999999</v>
      </c>
      <c r="Y6" s="96">
        <f>'ACADEMIC SUPP 2yr'!Y6+'STU SERVICES 2yr'!Y6+'INST SUPPORT 2yr'!Y6</f>
        <v>16465393.261</v>
      </c>
      <c r="Z6" s="96">
        <f>'ACADEMIC SUPP 2yr'!Z6+'STU SERVICES 2yr'!Z6+'INST SUPPORT 2yr'!Z6</f>
        <v>17201668.078000002</v>
      </c>
      <c r="AA6" s="96">
        <f>'ACADEMIC SUPP 2yr'!AA6+'STU SERVICES 2yr'!AA6+'INST SUPPORT 2yr'!AA6</f>
        <v>17519576.095999997</v>
      </c>
    </row>
    <row r="7" spans="1:27" s="23" customFormat="1">
      <c r="A7" s="22" t="s">
        <v>56</v>
      </c>
      <c r="B7" s="89">
        <f>'ACADEMIC SUPP 2yr'!B7+'STU SERVICES 2yr'!B7+'INST SUPPORT 2yr'!B7</f>
        <v>843581</v>
      </c>
      <c r="C7" s="89">
        <f>'ACADEMIC SUPP 2yr'!C7+'STU SERVICES 2yr'!C7+'INST SUPPORT 2yr'!C7</f>
        <v>927311</v>
      </c>
      <c r="D7" s="89">
        <f>'ACADEMIC SUPP 2yr'!D7+'STU SERVICES 2yr'!D7+'INST SUPPORT 2yr'!D7</f>
        <v>994871</v>
      </c>
      <c r="E7" s="89">
        <f>'ACADEMIC SUPP 2yr'!E7+'STU SERVICES 2yr'!E7+'INST SUPPORT 2yr'!E7</f>
        <v>1536749.8310000002</v>
      </c>
      <c r="F7" s="89">
        <f>'ACADEMIC SUPP 2yr'!F7+'STU SERVICES 2yr'!F7+'INST SUPPORT 2yr'!F7</f>
        <v>1564985.9120000002</v>
      </c>
      <c r="G7" s="89">
        <f>'ACADEMIC SUPP 2yr'!G7+'STU SERVICES 2yr'!G7+'INST SUPPORT 2yr'!G7</f>
        <v>1686210.1410000001</v>
      </c>
      <c r="H7" s="89">
        <f>'ACADEMIC SUPP 2yr'!H7+'STU SERVICES 2yr'!H7+'INST SUPPORT 2yr'!H7</f>
        <v>1835494.4800000002</v>
      </c>
      <c r="I7" s="89">
        <f>'ACADEMIC SUPP 2yr'!I7+'STU SERVICES 2yr'!I7+'INST SUPPORT 2yr'!I7</f>
        <v>1915316.06</v>
      </c>
      <c r="J7" s="89">
        <f>'ACADEMIC SUPP 2yr'!J7+'STU SERVICES 2yr'!J7+'INST SUPPORT 2yr'!J7</f>
        <v>2047141.0729999999</v>
      </c>
      <c r="K7" s="89">
        <f>'ACADEMIC SUPP 2yr'!K7+'STU SERVICES 2yr'!K7+'INST SUPPORT 2yr'!K7</f>
        <v>2147628.9709100001</v>
      </c>
      <c r="L7" s="89">
        <f>'ACADEMIC SUPP 2yr'!L7+'STU SERVICES 2yr'!L7+'INST SUPPORT 2yr'!L7</f>
        <v>2714539.3669999996</v>
      </c>
      <c r="M7" s="89">
        <f>'ACADEMIC SUPP 2yr'!M7+'STU SERVICES 2yr'!M7+'INST SUPPORT 2yr'!M7</f>
        <v>3057998.3569999998</v>
      </c>
      <c r="N7" s="89">
        <f>'ACADEMIC SUPP 2yr'!N7+'STU SERVICES 2yr'!N7+'INST SUPPORT 2yr'!N7</f>
        <v>2961333.7009999999</v>
      </c>
      <c r="O7" s="89">
        <f>'ACADEMIC SUPP 2yr'!O7+'STU SERVICES 2yr'!O7+'INST SUPPORT 2yr'!O7</f>
        <v>3006436.3480000002</v>
      </c>
      <c r="P7" s="89">
        <f>'ACADEMIC SUPP 2yr'!P7+'STU SERVICES 2yr'!P7+'INST SUPPORT 2yr'!P7</f>
        <v>3162518.8509999998</v>
      </c>
      <c r="Q7" s="89">
        <f>'ACADEMIC SUPP 2yr'!Q7+'STU SERVICES 2yr'!Q7+'INST SUPPORT 2yr'!Q7</f>
        <v>3501683.827</v>
      </c>
      <c r="R7" s="89">
        <f>'ACADEMIC SUPP 2yr'!R7+'STU SERVICES 2yr'!R7+'INST SUPPORT 2yr'!R7</f>
        <v>3702903.4399999995</v>
      </c>
      <c r="S7" s="89">
        <f>'ACADEMIC SUPP 2yr'!S7+'STU SERVICES 2yr'!S7+'INST SUPPORT 2yr'!S7</f>
        <v>4044443.531</v>
      </c>
      <c r="T7" s="89">
        <f>'ACADEMIC SUPP 2yr'!T7+'STU SERVICES 2yr'!T7+'INST SUPPORT 2yr'!T7</f>
        <v>4486109.8229999999</v>
      </c>
      <c r="U7" s="89">
        <f>'ACADEMIC SUPP 2yr'!U7+'STU SERVICES 2yr'!U7+'INST SUPPORT 2yr'!U7</f>
        <v>4921304.5389999999</v>
      </c>
      <c r="V7" s="89">
        <f>'ACADEMIC SUPP 2yr'!V7+'STU SERVICES 2yr'!V7+'INST SUPPORT 2yr'!V7</f>
        <v>5861889.0879999995</v>
      </c>
      <c r="W7" s="89">
        <f>'ACADEMIC SUPP 2yr'!W7+'STU SERVICES 2yr'!W7+'INST SUPPORT 2yr'!W7</f>
        <v>6215543.3229999999</v>
      </c>
      <c r="X7" s="89">
        <f>'ACADEMIC SUPP 2yr'!X7+'STU SERVICES 2yr'!X7+'INST SUPPORT 2yr'!X7</f>
        <v>6396906.1799999997</v>
      </c>
      <c r="Y7" s="89">
        <f>'ACADEMIC SUPP 2yr'!Y7+'STU SERVICES 2yr'!Y7+'INST SUPPORT 2yr'!Y7</f>
        <v>6232584.5989999995</v>
      </c>
      <c r="Z7" s="89">
        <f>'ACADEMIC SUPP 2yr'!Z7+'STU SERVICES 2yr'!Z7+'INST SUPPORT 2yr'!Z7</f>
        <v>6515607.0640000002</v>
      </c>
      <c r="AA7" s="89">
        <f>'ACADEMIC SUPP 2yr'!AA7+'STU SERVICES 2yr'!AA7+'INST SUPPORT 2yr'!AA7</f>
        <v>6589801.6729999986</v>
      </c>
    </row>
    <row r="8" spans="1:27">
      <c r="A8" s="79" t="s">
        <v>119</v>
      </c>
      <c r="B8" s="89">
        <f>'ACADEMIC SUPP 2yr'!B8+'STU SERVICES 2yr'!B8+'INST SUPPORT 2yr'!B8</f>
        <v>0</v>
      </c>
      <c r="C8" s="89">
        <f>'ACADEMIC SUPP 2yr'!C8+'STU SERVICES 2yr'!C8+'INST SUPPORT 2yr'!C8</f>
        <v>0</v>
      </c>
      <c r="D8" s="89">
        <f>'ACADEMIC SUPP 2yr'!D8+'STU SERVICES 2yr'!D8+'INST SUPPORT 2yr'!D8</f>
        <v>0</v>
      </c>
      <c r="E8" s="89">
        <f>'ACADEMIC SUPP 2yr'!E8+'STU SERVICES 2yr'!E8+'INST SUPPORT 2yr'!E8</f>
        <v>0</v>
      </c>
      <c r="F8" s="89">
        <f>'ACADEMIC SUPP 2yr'!F8+'STU SERVICES 2yr'!F8+'INST SUPPORT 2yr'!F8</f>
        <v>0</v>
      </c>
      <c r="G8" s="89">
        <f>'ACADEMIC SUPP 2yr'!G8+'STU SERVICES 2yr'!G8+'INST SUPPORT 2yr'!G8</f>
        <v>0</v>
      </c>
      <c r="H8" s="89">
        <f>'ACADEMIC SUPP 2yr'!H8+'STU SERVICES 2yr'!H8+'INST SUPPORT 2yr'!H8</f>
        <v>0</v>
      </c>
      <c r="I8" s="89">
        <f>'ACADEMIC SUPP 2yr'!I8+'STU SERVICES 2yr'!I8+'INST SUPPORT 2yr'!I8</f>
        <v>0</v>
      </c>
      <c r="J8" s="89">
        <f>'ACADEMIC SUPP 2yr'!J8+'STU SERVICES 2yr'!J8+'INST SUPPORT 2yr'!J8</f>
        <v>0</v>
      </c>
      <c r="K8" s="89">
        <f>'ACADEMIC SUPP 2yr'!K8+'STU SERVICES 2yr'!K8+'INST SUPPORT 2yr'!K8</f>
        <v>0</v>
      </c>
      <c r="L8" s="89">
        <f>'ACADEMIC SUPP 2yr'!L8+'STU SERVICES 2yr'!L8+'INST SUPPORT 2yr'!L8</f>
        <v>0</v>
      </c>
      <c r="M8" s="89">
        <f>'ACADEMIC SUPP 2yr'!M8+'STU SERVICES 2yr'!M8+'INST SUPPORT 2yr'!M8</f>
        <v>0</v>
      </c>
      <c r="N8" s="89">
        <f>'ACADEMIC SUPP 2yr'!N8+'STU SERVICES 2yr'!N8+'INST SUPPORT 2yr'!N8</f>
        <v>0</v>
      </c>
      <c r="O8" s="89">
        <f>'ACADEMIC SUPP 2yr'!O8+'STU SERVICES 2yr'!O8+'INST SUPPORT 2yr'!O8</f>
        <v>0</v>
      </c>
      <c r="P8" s="89">
        <f>'ACADEMIC SUPP 2yr'!P8+'STU SERVICES 2yr'!P8+'INST SUPPORT 2yr'!P8</f>
        <v>0</v>
      </c>
      <c r="Q8" s="89">
        <f>'ACADEMIC SUPP 2yr'!Q8+'STU SERVICES 2yr'!Q8+'INST SUPPORT 2yr'!Q8</f>
        <v>0</v>
      </c>
      <c r="R8" s="89">
        <f>'ACADEMIC SUPP 2yr'!R8+'STU SERVICES 2yr'!R8+'INST SUPPORT 2yr'!R8</f>
        <v>0</v>
      </c>
      <c r="S8" s="89">
        <f>'ACADEMIC SUPP 2yr'!S8+'STU SERVICES 2yr'!S8+'INST SUPPORT 2yr'!S8</f>
        <v>0</v>
      </c>
      <c r="T8" s="89">
        <f>'ACADEMIC SUPP 2yr'!T8+'STU SERVICES 2yr'!T8+'INST SUPPORT 2yr'!T8</f>
        <v>0</v>
      </c>
      <c r="U8" s="89">
        <f>'ACADEMIC SUPP 2yr'!U8+'STU SERVICES 2yr'!U8+'INST SUPPORT 2yr'!U8</f>
        <v>0</v>
      </c>
      <c r="V8" s="89">
        <f>'ACADEMIC SUPP 2yr'!V8+'STU SERVICES 2yr'!V8+'INST SUPPORT 2yr'!V8</f>
        <v>0</v>
      </c>
      <c r="W8" s="89">
        <f>'ACADEMIC SUPP 2yr'!W8+'STU SERVICES 2yr'!W8+'INST SUPPORT 2yr'!W8</f>
        <v>0</v>
      </c>
      <c r="X8" s="89">
        <f>'ACADEMIC SUPP 2yr'!X8+'STU SERVICES 2yr'!X8+'INST SUPPORT 2yr'!X8</f>
        <v>0</v>
      </c>
      <c r="Y8" s="89">
        <f>'ACADEMIC SUPP 2yr'!Y8+'STU SERVICES 2yr'!Y8+'INST SUPPORT 2yr'!Y8</f>
        <v>0</v>
      </c>
      <c r="Z8" s="89">
        <f>'ACADEMIC SUPP 2yr'!Z8+'STU SERVICES 2yr'!Z8+'INST SUPPORT 2yr'!Z8</f>
        <v>0</v>
      </c>
      <c r="AA8" s="89">
        <f>'ACADEMIC SUPP 2yr'!AA8+'STU SERVICES 2yr'!AA8+'INST SUPPORT 2yr'!AA8</f>
        <v>0</v>
      </c>
    </row>
    <row r="9" spans="1:27">
      <c r="A9" s="22" t="s">
        <v>3</v>
      </c>
      <c r="B9" s="89">
        <f>'ACADEMIC SUPP 2yr'!B9+'STU SERVICES 2yr'!B9+'INST SUPPORT 2yr'!B9</f>
        <v>30675</v>
      </c>
      <c r="C9" s="89">
        <f>'ACADEMIC SUPP 2yr'!C9+'STU SERVICES 2yr'!C9+'INST SUPPORT 2yr'!C9</f>
        <v>40774</v>
      </c>
      <c r="D9" s="89">
        <f>'ACADEMIC SUPP 2yr'!D9+'STU SERVICES 2yr'!D9+'INST SUPPORT 2yr'!D9</f>
        <v>48430</v>
      </c>
      <c r="E9" s="89">
        <f>'ACADEMIC SUPP 2yr'!E9+'STU SERVICES 2yr'!E9+'INST SUPPORT 2yr'!E9</f>
        <v>76591.108999999997</v>
      </c>
      <c r="F9" s="89">
        <f>'ACADEMIC SUPP 2yr'!F9+'STU SERVICES 2yr'!F9+'INST SUPPORT 2yr'!F9</f>
        <v>76455.417000000001</v>
      </c>
      <c r="G9" s="89">
        <f>'ACADEMIC SUPP 2yr'!G9+'STU SERVICES 2yr'!G9+'INST SUPPORT 2yr'!G9</f>
        <v>85746.786999999997</v>
      </c>
      <c r="H9" s="89">
        <f>'ACADEMIC SUPP 2yr'!H9+'STU SERVICES 2yr'!H9+'INST SUPPORT 2yr'!H9</f>
        <v>96011.627999999997</v>
      </c>
      <c r="I9" s="89">
        <f>'ACADEMIC SUPP 2yr'!I9+'STU SERVICES 2yr'!I9+'INST SUPPORT 2yr'!I9</f>
        <v>96734.657000000007</v>
      </c>
      <c r="J9" s="89">
        <f>'ACADEMIC SUPP 2yr'!J9+'STU SERVICES 2yr'!J9+'INST SUPPORT 2yr'!J9</f>
        <v>101311.315</v>
      </c>
      <c r="K9" s="89">
        <f>'ACADEMIC SUPP 2yr'!K9+'STU SERVICES 2yr'!K9+'INST SUPPORT 2yr'!K9</f>
        <v>100103.79354000001</v>
      </c>
      <c r="L9" s="89">
        <f>'ACADEMIC SUPP 2yr'!L9+'STU SERVICES 2yr'!L9+'INST SUPPORT 2yr'!L9</f>
        <v>124625.39500000002</v>
      </c>
      <c r="M9" s="89">
        <f>'ACADEMIC SUPP 2yr'!M9+'STU SERVICES 2yr'!M9+'INST SUPPORT 2yr'!M9</f>
        <v>132675.84</v>
      </c>
      <c r="N9" s="89">
        <f>'ACADEMIC SUPP 2yr'!N9+'STU SERVICES 2yr'!N9+'INST SUPPORT 2yr'!N9</f>
        <v>131429.33000000002</v>
      </c>
      <c r="O9" s="89">
        <f>'ACADEMIC SUPP 2yr'!O9+'STU SERVICES 2yr'!O9+'INST SUPPORT 2yr'!O9</f>
        <v>141433.25599999999</v>
      </c>
      <c r="P9" s="89">
        <f>'ACADEMIC SUPP 2yr'!P9+'STU SERVICES 2yr'!P9+'INST SUPPORT 2yr'!P9</f>
        <v>144492.995</v>
      </c>
      <c r="Q9" s="89">
        <f>'ACADEMIC SUPP 2yr'!Q9+'STU SERVICES 2yr'!Q9+'INST SUPPORT 2yr'!Q9</f>
        <v>157034.53999999998</v>
      </c>
      <c r="R9" s="89">
        <f>'ACADEMIC SUPP 2yr'!R9+'STU SERVICES 2yr'!R9+'INST SUPPORT 2yr'!R9</f>
        <v>173834.47</v>
      </c>
      <c r="S9" s="89">
        <f>'ACADEMIC SUPP 2yr'!S9+'STU SERVICES 2yr'!S9+'INST SUPPORT 2yr'!S9</f>
        <v>187566.821</v>
      </c>
      <c r="T9" s="89">
        <f>'ACADEMIC SUPP 2yr'!T9+'STU SERVICES 2yr'!T9+'INST SUPPORT 2yr'!T9</f>
        <v>248733.44400000002</v>
      </c>
      <c r="U9" s="89">
        <f>'ACADEMIC SUPP 2yr'!U9+'STU SERVICES 2yr'!U9+'INST SUPPORT 2yr'!U9</f>
        <v>229801.291</v>
      </c>
      <c r="V9" s="89">
        <f>'ACADEMIC SUPP 2yr'!V9+'STU SERVICES 2yr'!V9+'INST SUPPORT 2yr'!V9</f>
        <v>259334.09100000001</v>
      </c>
      <c r="W9" s="89">
        <f>'ACADEMIC SUPP 2yr'!W9+'STU SERVICES 2yr'!W9+'INST SUPPORT 2yr'!W9</f>
        <v>263577.57</v>
      </c>
      <c r="X9" s="89">
        <f>'ACADEMIC SUPP 2yr'!X9+'STU SERVICES 2yr'!X9+'INST SUPPORT 2yr'!X9</f>
        <v>261672.65000000002</v>
      </c>
      <c r="Y9" s="89">
        <f>'ACADEMIC SUPP 2yr'!Y9+'STU SERVICES 2yr'!Y9+'INST SUPPORT 2yr'!Y9</f>
        <v>252673.79600000003</v>
      </c>
      <c r="Z9" s="89">
        <f>'ACADEMIC SUPP 2yr'!Z9+'STU SERVICES 2yr'!Z9+'INST SUPPORT 2yr'!Z9</f>
        <v>257997.00599999999</v>
      </c>
      <c r="AA9" s="89">
        <f>'ACADEMIC SUPP 2yr'!AA9+'STU SERVICES 2yr'!AA9+'INST SUPPORT 2yr'!AA9</f>
        <v>260201.709</v>
      </c>
    </row>
    <row r="10" spans="1:27">
      <c r="A10" s="22" t="s">
        <v>4</v>
      </c>
      <c r="B10" s="89">
        <f>'ACADEMIC SUPP 2yr'!B10+'STU SERVICES 2yr'!B10+'INST SUPPORT 2yr'!B10</f>
        <v>10589</v>
      </c>
      <c r="C10" s="89">
        <f>'ACADEMIC SUPP 2yr'!C10+'STU SERVICES 2yr'!C10+'INST SUPPORT 2yr'!C10</f>
        <v>11935</v>
      </c>
      <c r="D10" s="89">
        <f>'ACADEMIC SUPP 2yr'!D10+'STU SERVICES 2yr'!D10+'INST SUPPORT 2yr'!D10</f>
        <v>13374</v>
      </c>
      <c r="E10" s="89">
        <f>'ACADEMIC SUPP 2yr'!E10+'STU SERVICES 2yr'!E10+'INST SUPPORT 2yr'!E10</f>
        <v>17215.648999999998</v>
      </c>
      <c r="F10" s="89">
        <f>'ACADEMIC SUPP 2yr'!F10+'STU SERVICES 2yr'!F10+'INST SUPPORT 2yr'!F10</f>
        <v>20001.353000000003</v>
      </c>
      <c r="G10" s="89">
        <f>'ACADEMIC SUPP 2yr'!G10+'STU SERVICES 2yr'!G10+'INST SUPPORT 2yr'!G10</f>
        <v>24892.997000000003</v>
      </c>
      <c r="H10" s="89">
        <f>'ACADEMIC SUPP 2yr'!H10+'STU SERVICES 2yr'!H10+'INST SUPPORT 2yr'!H10</f>
        <v>28210.932999999997</v>
      </c>
      <c r="I10" s="89">
        <f>'ACADEMIC SUPP 2yr'!I10+'STU SERVICES 2yr'!I10+'INST SUPPORT 2yr'!I10</f>
        <v>32051.107</v>
      </c>
      <c r="J10" s="89">
        <f>'ACADEMIC SUPP 2yr'!J10+'STU SERVICES 2yr'!J10+'INST SUPPORT 2yr'!J10</f>
        <v>45417.91</v>
      </c>
      <c r="K10" s="89">
        <f>'ACADEMIC SUPP 2yr'!K10+'STU SERVICES 2yr'!K10+'INST SUPPORT 2yr'!K10</f>
        <v>41427.921999999999</v>
      </c>
      <c r="L10" s="89">
        <f>'ACADEMIC SUPP 2yr'!L10+'STU SERVICES 2yr'!L10+'INST SUPPORT 2yr'!L10</f>
        <v>59882.127</v>
      </c>
      <c r="M10" s="89">
        <f>'ACADEMIC SUPP 2yr'!M10+'STU SERVICES 2yr'!M10+'INST SUPPORT 2yr'!M10</f>
        <v>67542.790999999997</v>
      </c>
      <c r="N10" s="89">
        <f>'ACADEMIC SUPP 2yr'!N10+'STU SERVICES 2yr'!N10+'INST SUPPORT 2yr'!N10</f>
        <v>65058.625</v>
      </c>
      <c r="O10" s="89">
        <f>'ACADEMIC SUPP 2yr'!O10+'STU SERVICES 2yr'!O10+'INST SUPPORT 2yr'!O10</f>
        <v>68843.255000000005</v>
      </c>
      <c r="P10" s="89">
        <f>'ACADEMIC SUPP 2yr'!P10+'STU SERVICES 2yr'!P10+'INST SUPPORT 2yr'!P10</f>
        <v>77688.417000000001</v>
      </c>
      <c r="Q10" s="89">
        <f>'ACADEMIC SUPP 2yr'!Q10+'STU SERVICES 2yr'!Q10+'INST SUPPORT 2yr'!Q10</f>
        <v>82072.524999999994</v>
      </c>
      <c r="R10" s="89">
        <f>'ACADEMIC SUPP 2yr'!R10+'STU SERVICES 2yr'!R10+'INST SUPPORT 2yr'!R10</f>
        <v>95709.851999999999</v>
      </c>
      <c r="S10" s="89">
        <f>'ACADEMIC SUPP 2yr'!S10+'STU SERVICES 2yr'!S10+'INST SUPPORT 2yr'!S10</f>
        <v>117289.697</v>
      </c>
      <c r="T10" s="89">
        <f>'ACADEMIC SUPP 2yr'!T10+'STU SERVICES 2yr'!T10+'INST SUPPORT 2yr'!T10</f>
        <v>132207.37299999999</v>
      </c>
      <c r="U10" s="89">
        <f>'ACADEMIC SUPP 2yr'!U10+'STU SERVICES 2yr'!U10+'INST SUPPORT 2yr'!U10</f>
        <v>128536.16999999998</v>
      </c>
      <c r="V10" s="89">
        <f>'ACADEMIC SUPP 2yr'!V10+'STU SERVICES 2yr'!V10+'INST SUPPORT 2yr'!V10</f>
        <v>162444.14600000001</v>
      </c>
      <c r="W10" s="89">
        <f>'ACADEMIC SUPP 2yr'!W10+'STU SERVICES 2yr'!W10+'INST SUPPORT 2yr'!W10</f>
        <v>173794.261</v>
      </c>
      <c r="X10" s="89">
        <f>'ACADEMIC SUPP 2yr'!X10+'STU SERVICES 2yr'!X10+'INST SUPPORT 2yr'!X10</f>
        <v>180448.231</v>
      </c>
      <c r="Y10" s="89">
        <f>'ACADEMIC SUPP 2yr'!Y10+'STU SERVICES 2yr'!Y10+'INST SUPPORT 2yr'!Y10</f>
        <v>181109.079</v>
      </c>
      <c r="Z10" s="89">
        <f>'ACADEMIC SUPP 2yr'!Z10+'STU SERVICES 2yr'!Z10+'INST SUPPORT 2yr'!Z10</f>
        <v>183753.08100000001</v>
      </c>
      <c r="AA10" s="89">
        <f>'ACADEMIC SUPP 2yr'!AA10+'STU SERVICES 2yr'!AA10+'INST SUPPORT 2yr'!AA10</f>
        <v>180327.29200000002</v>
      </c>
    </row>
    <row r="11" spans="1:27">
      <c r="A11" s="22" t="s">
        <v>52</v>
      </c>
      <c r="B11" s="89">
        <f>'ACADEMIC SUPP 2yr'!B11+'STU SERVICES 2yr'!B11+'INST SUPPORT 2yr'!B11</f>
        <v>0</v>
      </c>
      <c r="C11" s="89">
        <f>'ACADEMIC SUPP 2yr'!C11+'STU SERVICES 2yr'!C11+'INST SUPPORT 2yr'!C11</f>
        <v>0</v>
      </c>
      <c r="D11" s="89">
        <f>'ACADEMIC SUPP 2yr'!D11+'STU SERVICES 2yr'!D11+'INST SUPPORT 2yr'!D11</f>
        <v>7549</v>
      </c>
      <c r="E11" s="89">
        <f>'ACADEMIC SUPP 2yr'!E11+'STU SERVICES 2yr'!E11+'INST SUPPORT 2yr'!E11</f>
        <v>15829.564</v>
      </c>
      <c r="F11" s="89">
        <f>'ACADEMIC SUPP 2yr'!F11+'STU SERVICES 2yr'!F11+'INST SUPPORT 2yr'!F11</f>
        <v>17414.596000000001</v>
      </c>
      <c r="G11" s="89">
        <f>'ACADEMIC SUPP 2yr'!G11+'STU SERVICES 2yr'!G11+'INST SUPPORT 2yr'!G11</f>
        <v>0</v>
      </c>
      <c r="H11" s="89">
        <f>'ACADEMIC SUPP 2yr'!H11+'STU SERVICES 2yr'!H11+'INST SUPPORT 2yr'!H11</f>
        <v>0</v>
      </c>
      <c r="I11" s="89">
        <f>'ACADEMIC SUPP 2yr'!I11+'STU SERVICES 2yr'!I11+'INST SUPPORT 2yr'!I11</f>
        <v>32607.612000000001</v>
      </c>
      <c r="J11" s="89">
        <f>'ACADEMIC SUPP 2yr'!J11+'STU SERVICES 2yr'!J11+'INST SUPPORT 2yr'!J11</f>
        <v>25579.523000000001</v>
      </c>
      <c r="K11" s="89">
        <f>'ACADEMIC SUPP 2yr'!K11+'STU SERVICES 2yr'!K11+'INST SUPPORT 2yr'!K11</f>
        <v>25309.901000000002</v>
      </c>
      <c r="L11" s="89">
        <f>'ACADEMIC SUPP 2yr'!L11+'STU SERVICES 2yr'!L11+'INST SUPPORT 2yr'!L11</f>
        <v>22136.955000000002</v>
      </c>
      <c r="M11" s="89">
        <f>'ACADEMIC SUPP 2yr'!M11+'STU SERVICES 2yr'!M11+'INST SUPPORT 2yr'!M11</f>
        <v>25002.440999999999</v>
      </c>
      <c r="N11" s="89">
        <f>'ACADEMIC SUPP 2yr'!N11+'STU SERVICES 2yr'!N11+'INST SUPPORT 2yr'!N11</f>
        <v>24366.258999999998</v>
      </c>
      <c r="O11" s="89">
        <f>'ACADEMIC SUPP 2yr'!O11+'STU SERVICES 2yr'!O11+'INST SUPPORT 2yr'!O11</f>
        <v>26432.953000000001</v>
      </c>
      <c r="P11" s="89">
        <f>'ACADEMIC SUPP 2yr'!P11+'STU SERVICES 2yr'!P11+'INST SUPPORT 2yr'!P11</f>
        <v>27233.620999999999</v>
      </c>
      <c r="Q11" s="89">
        <f>'ACADEMIC SUPP 2yr'!Q11+'STU SERVICES 2yr'!Q11+'INST SUPPORT 2yr'!Q11</f>
        <v>30342.202000000001</v>
      </c>
      <c r="R11" s="89">
        <f>'ACADEMIC SUPP 2yr'!R11+'STU SERVICES 2yr'!R11+'INST SUPPORT 2yr'!R11</f>
        <v>33758.373999999996</v>
      </c>
      <c r="S11" s="89">
        <f>'ACADEMIC SUPP 2yr'!S11+'STU SERVICES 2yr'!S11+'INST SUPPORT 2yr'!S11</f>
        <v>33202.809000000001</v>
      </c>
      <c r="T11" s="89">
        <f>'ACADEMIC SUPP 2yr'!T11+'STU SERVICES 2yr'!T11+'INST SUPPORT 2yr'!T11</f>
        <v>37216.883000000002</v>
      </c>
      <c r="U11" s="89">
        <f>'ACADEMIC SUPP 2yr'!U11+'STU SERVICES 2yr'!U11+'INST SUPPORT 2yr'!U11</f>
        <v>35338.426000000007</v>
      </c>
      <c r="V11" s="89">
        <f>'ACADEMIC SUPP 2yr'!V11+'STU SERVICES 2yr'!V11+'INST SUPPORT 2yr'!V11</f>
        <v>39788.565000000002</v>
      </c>
      <c r="W11" s="89">
        <f>'ACADEMIC SUPP 2yr'!W11+'STU SERVICES 2yr'!W11+'INST SUPPORT 2yr'!W11</f>
        <v>44567.251000000004</v>
      </c>
      <c r="X11" s="89">
        <f>'ACADEMIC SUPP 2yr'!X11+'STU SERVICES 2yr'!X11+'INST SUPPORT 2yr'!X11</f>
        <v>45874.103999999999</v>
      </c>
      <c r="Y11" s="89">
        <f>'ACADEMIC SUPP 2yr'!Y11+'STU SERVICES 2yr'!Y11+'INST SUPPORT 2yr'!Y11</f>
        <v>47653.913</v>
      </c>
      <c r="Z11" s="89">
        <f>'ACADEMIC SUPP 2yr'!Z11+'STU SERVICES 2yr'!Z11+'INST SUPPORT 2yr'!Z11</f>
        <v>51816.004999999997</v>
      </c>
      <c r="AA11" s="89">
        <f>'ACADEMIC SUPP 2yr'!AA11+'STU SERVICES 2yr'!AA11+'INST SUPPORT 2yr'!AA11</f>
        <v>49178.703999999998</v>
      </c>
    </row>
    <row r="12" spans="1:27">
      <c r="A12" s="22" t="s">
        <v>5</v>
      </c>
      <c r="B12" s="89">
        <f>'ACADEMIC SUPP 2yr'!B12+'STU SERVICES 2yr'!B12+'INST SUPPORT 2yr'!B12</f>
        <v>175899</v>
      </c>
      <c r="C12" s="89">
        <f>'ACADEMIC SUPP 2yr'!C12+'STU SERVICES 2yr'!C12+'INST SUPPORT 2yr'!C12</f>
        <v>185355</v>
      </c>
      <c r="D12" s="89">
        <f>'ACADEMIC SUPP 2yr'!D12+'STU SERVICES 2yr'!D12+'INST SUPPORT 2yr'!D12</f>
        <v>196267</v>
      </c>
      <c r="E12" s="89">
        <f>'ACADEMIC SUPP 2yr'!E12+'STU SERVICES 2yr'!E12+'INST SUPPORT 2yr'!E12</f>
        <v>319972.92</v>
      </c>
      <c r="F12" s="89">
        <f>'ACADEMIC SUPP 2yr'!F12+'STU SERVICES 2yr'!F12+'INST SUPPORT 2yr'!F12</f>
        <v>329182.14500000002</v>
      </c>
      <c r="G12" s="89">
        <f>'ACADEMIC SUPP 2yr'!G12+'STU SERVICES 2yr'!G12+'INST SUPPORT 2yr'!G12</f>
        <v>360460.50600000005</v>
      </c>
      <c r="H12" s="89">
        <f>'ACADEMIC SUPP 2yr'!H12+'STU SERVICES 2yr'!H12+'INST SUPPORT 2yr'!H12</f>
        <v>382362.36699999997</v>
      </c>
      <c r="I12" s="89">
        <f>'ACADEMIC SUPP 2yr'!I12+'STU SERVICES 2yr'!I12+'INST SUPPORT 2yr'!I12</f>
        <v>393498.24599999998</v>
      </c>
      <c r="J12" s="89">
        <f>'ACADEMIC SUPP 2yr'!J12+'STU SERVICES 2yr'!J12+'INST SUPPORT 2yr'!J12</f>
        <v>398599.18099999998</v>
      </c>
      <c r="K12" s="89">
        <f>'ACADEMIC SUPP 2yr'!K12+'STU SERVICES 2yr'!K12+'INST SUPPORT 2yr'!K12</f>
        <v>420291.93000000005</v>
      </c>
      <c r="L12" s="89">
        <f>'ACADEMIC SUPP 2yr'!L12+'STU SERVICES 2yr'!L12+'INST SUPPORT 2yr'!L12</f>
        <v>555272.78599999996</v>
      </c>
      <c r="M12" s="89">
        <f>'ACADEMIC SUPP 2yr'!M12+'STU SERVICES 2yr'!M12+'INST SUPPORT 2yr'!M12</f>
        <v>636421.39400000009</v>
      </c>
      <c r="N12" s="89">
        <f>'ACADEMIC SUPP 2yr'!N12+'STU SERVICES 2yr'!N12+'INST SUPPORT 2yr'!N12</f>
        <v>574681.56700000004</v>
      </c>
      <c r="O12" s="89">
        <f>'ACADEMIC SUPP 2yr'!O12+'STU SERVICES 2yr'!O12+'INST SUPPORT 2yr'!O12</f>
        <v>475229.01500000001</v>
      </c>
      <c r="P12" s="89">
        <f>'ACADEMIC SUPP 2yr'!P12+'STU SERVICES 2yr'!P12+'INST SUPPORT 2yr'!P12</f>
        <v>504021.29300000006</v>
      </c>
      <c r="Q12" s="89">
        <f>'ACADEMIC SUPP 2yr'!Q12+'STU SERVICES 2yr'!Q12+'INST SUPPORT 2yr'!Q12</f>
        <v>530911.36899999995</v>
      </c>
      <c r="R12" s="89">
        <f>'ACADEMIC SUPP 2yr'!R12+'STU SERVICES 2yr'!R12+'INST SUPPORT 2yr'!R12</f>
        <v>551539.95799999998</v>
      </c>
      <c r="S12" s="89">
        <f>'ACADEMIC SUPP 2yr'!S12+'STU SERVICES 2yr'!S12+'INST SUPPORT 2yr'!S12</f>
        <v>667559.19700000004</v>
      </c>
      <c r="T12" s="89">
        <f>'ACADEMIC SUPP 2yr'!T12+'STU SERVICES 2yr'!T12+'INST SUPPORT 2yr'!T12</f>
        <v>675933.39500000002</v>
      </c>
      <c r="U12" s="89">
        <f>'ACADEMIC SUPP 2yr'!U12+'STU SERVICES 2yr'!U12+'INST SUPPORT 2yr'!U12</f>
        <v>1049072.6969999999</v>
      </c>
      <c r="V12" s="89">
        <f>'ACADEMIC SUPP 2yr'!V12+'STU SERVICES 2yr'!V12+'INST SUPPORT 2yr'!V12</f>
        <v>1053245.8470000001</v>
      </c>
      <c r="W12" s="89">
        <f>'ACADEMIC SUPP 2yr'!W12+'STU SERVICES 2yr'!W12+'INST SUPPORT 2yr'!W12</f>
        <v>1147347.615</v>
      </c>
      <c r="X12" s="89">
        <f>'ACADEMIC SUPP 2yr'!X12+'STU SERVICES 2yr'!X12+'INST SUPPORT 2yr'!X12</f>
        <v>1149135.632</v>
      </c>
      <c r="Y12" s="89">
        <f>'ACADEMIC SUPP 2yr'!Y12+'STU SERVICES 2yr'!Y12+'INST SUPPORT 2yr'!Y12</f>
        <v>1164165.3030000001</v>
      </c>
      <c r="Z12" s="89">
        <f>'ACADEMIC SUPP 2yr'!Z12+'STU SERVICES 2yr'!Z12+'INST SUPPORT 2yr'!Z12</f>
        <v>1234007.8290000001</v>
      </c>
      <c r="AA12" s="89">
        <f>'ACADEMIC SUPP 2yr'!AA12+'STU SERVICES 2yr'!AA12+'INST SUPPORT 2yr'!AA12</f>
        <v>1248568.625</v>
      </c>
    </row>
    <row r="13" spans="1:27">
      <c r="A13" s="22" t="s">
        <v>6</v>
      </c>
      <c r="B13" s="89">
        <f>'ACADEMIC SUPP 2yr'!B13+'STU SERVICES 2yr'!B13+'INST SUPPORT 2yr'!B13</f>
        <v>34701</v>
      </c>
      <c r="C13" s="89">
        <f>'ACADEMIC SUPP 2yr'!C13+'STU SERVICES 2yr'!C13+'INST SUPPORT 2yr'!C13</f>
        <v>37433</v>
      </c>
      <c r="D13" s="89">
        <f>'ACADEMIC SUPP 2yr'!D13+'STU SERVICES 2yr'!D13+'INST SUPPORT 2yr'!D13</f>
        <v>33651</v>
      </c>
      <c r="E13" s="89">
        <f>'ACADEMIC SUPP 2yr'!E13+'STU SERVICES 2yr'!E13+'INST SUPPORT 2yr'!E13</f>
        <v>73067.526000000013</v>
      </c>
      <c r="F13" s="89">
        <f>'ACADEMIC SUPP 2yr'!F13+'STU SERVICES 2yr'!F13+'INST SUPPORT 2yr'!F13</f>
        <v>87513.212</v>
      </c>
      <c r="G13" s="89">
        <f>'ACADEMIC SUPP 2yr'!G13+'STU SERVICES 2yr'!G13+'INST SUPPORT 2yr'!G13</f>
        <v>100707.784</v>
      </c>
      <c r="H13" s="89">
        <f>'ACADEMIC SUPP 2yr'!H13+'STU SERVICES 2yr'!H13+'INST SUPPORT 2yr'!H13</f>
        <v>114022.69899999999</v>
      </c>
      <c r="I13" s="89">
        <f>'ACADEMIC SUPP 2yr'!I13+'STU SERVICES 2yr'!I13+'INST SUPPORT 2yr'!I13</f>
        <v>133175.274</v>
      </c>
      <c r="J13" s="89">
        <f>'ACADEMIC SUPP 2yr'!J13+'STU SERVICES 2yr'!J13+'INST SUPPORT 2yr'!J13</f>
        <v>108426.62299999999</v>
      </c>
      <c r="K13" s="89">
        <f>'ACADEMIC SUPP 2yr'!K13+'STU SERVICES 2yr'!K13+'INST SUPPORT 2yr'!K13</f>
        <v>119904.83007999997</v>
      </c>
      <c r="L13" s="89">
        <f>'ACADEMIC SUPP 2yr'!L13+'STU SERVICES 2yr'!L13+'INST SUPPORT 2yr'!L13</f>
        <v>203956.70799999998</v>
      </c>
      <c r="M13" s="89">
        <f>'ACADEMIC SUPP 2yr'!M13+'STU SERVICES 2yr'!M13+'INST SUPPORT 2yr'!M13</f>
        <v>228795.60800000001</v>
      </c>
      <c r="N13" s="89">
        <f>'ACADEMIC SUPP 2yr'!N13+'STU SERVICES 2yr'!N13+'INST SUPPORT 2yr'!N13</f>
        <v>252711.18599999999</v>
      </c>
      <c r="O13" s="89">
        <f>'ACADEMIC SUPP 2yr'!O13+'STU SERVICES 2yr'!O13+'INST SUPPORT 2yr'!O13</f>
        <v>247985.91100000002</v>
      </c>
      <c r="P13" s="89">
        <f>'ACADEMIC SUPP 2yr'!P13+'STU SERVICES 2yr'!P13+'INST SUPPORT 2yr'!P13</f>
        <v>259260.86300000001</v>
      </c>
      <c r="Q13" s="89">
        <f>'ACADEMIC SUPP 2yr'!Q13+'STU SERVICES 2yr'!Q13+'INST SUPPORT 2yr'!Q13</f>
        <v>274358.489</v>
      </c>
      <c r="R13" s="89">
        <f>'ACADEMIC SUPP 2yr'!R13+'STU SERVICES 2yr'!R13+'INST SUPPORT 2yr'!R13</f>
        <v>291041.78399999999</v>
      </c>
      <c r="S13" s="89">
        <f>'ACADEMIC SUPP 2yr'!S13+'STU SERVICES 2yr'!S13+'INST SUPPORT 2yr'!S13</f>
        <v>295605.065</v>
      </c>
      <c r="T13" s="89">
        <f>'ACADEMIC SUPP 2yr'!T13+'STU SERVICES 2yr'!T13+'INST SUPPORT 2yr'!T13</f>
        <v>316562.15500000003</v>
      </c>
      <c r="U13" s="89">
        <f>'ACADEMIC SUPP 2yr'!U13+'STU SERVICES 2yr'!U13+'INST SUPPORT 2yr'!U13</f>
        <v>163322.851</v>
      </c>
      <c r="V13" s="89">
        <f>'ACADEMIC SUPP 2yr'!V13+'STU SERVICES 2yr'!V13+'INST SUPPORT 2yr'!V13</f>
        <v>437352.75600000005</v>
      </c>
      <c r="W13" s="89">
        <f>'ACADEMIC SUPP 2yr'!W13+'STU SERVICES 2yr'!W13+'INST SUPPORT 2yr'!W13</f>
        <v>472373.70399999997</v>
      </c>
      <c r="X13" s="89">
        <f>'ACADEMIC SUPP 2yr'!X13+'STU SERVICES 2yr'!X13+'INST SUPPORT 2yr'!X13</f>
        <v>514765.76199999999</v>
      </c>
      <c r="Y13" s="89">
        <f>'ACADEMIC SUPP 2yr'!Y13+'STU SERVICES 2yr'!Y13+'INST SUPPORT 2yr'!Y13</f>
        <v>164960.747</v>
      </c>
      <c r="Z13" s="89">
        <f>'ACADEMIC SUPP 2yr'!Z13+'STU SERVICES 2yr'!Z13+'INST SUPPORT 2yr'!Z13</f>
        <v>190954.87</v>
      </c>
      <c r="AA13" s="89">
        <f>'ACADEMIC SUPP 2yr'!AA13+'STU SERVICES 2yr'!AA13+'INST SUPPORT 2yr'!AA13</f>
        <v>192020.52900000001</v>
      </c>
    </row>
    <row r="14" spans="1:27">
      <c r="A14" s="22" t="s">
        <v>7</v>
      </c>
      <c r="B14" s="89">
        <f>'ACADEMIC SUPP 2yr'!B14+'STU SERVICES 2yr'!B14+'INST SUPPORT 2yr'!B14</f>
        <v>12072</v>
      </c>
      <c r="C14" s="89">
        <f>'ACADEMIC SUPP 2yr'!C14+'STU SERVICES 2yr'!C14+'INST SUPPORT 2yr'!C14</f>
        <v>10350</v>
      </c>
      <c r="D14" s="89">
        <f>'ACADEMIC SUPP 2yr'!D14+'STU SERVICES 2yr'!D14+'INST SUPPORT 2yr'!D14</f>
        <v>8749</v>
      </c>
      <c r="E14" s="89">
        <f>'ACADEMIC SUPP 2yr'!E14+'STU SERVICES 2yr'!E14+'INST SUPPORT 2yr'!E14</f>
        <v>20084.343000000001</v>
      </c>
      <c r="F14" s="89">
        <f>'ACADEMIC SUPP 2yr'!F14+'STU SERVICES 2yr'!F14+'INST SUPPORT 2yr'!F14</f>
        <v>23893.904000000002</v>
      </c>
      <c r="G14" s="89">
        <f>'ACADEMIC SUPP 2yr'!G14+'STU SERVICES 2yr'!G14+'INST SUPPORT 2yr'!G14</f>
        <v>24065.504000000001</v>
      </c>
      <c r="H14" s="89">
        <f>'ACADEMIC SUPP 2yr'!H14+'STU SERVICES 2yr'!H14+'INST SUPPORT 2yr'!H14</f>
        <v>26123.601999999999</v>
      </c>
      <c r="I14" s="89">
        <f>'ACADEMIC SUPP 2yr'!I14+'STU SERVICES 2yr'!I14+'INST SUPPORT 2yr'!I14</f>
        <v>28684.069000000003</v>
      </c>
      <c r="J14" s="89">
        <f>'ACADEMIC SUPP 2yr'!J14+'STU SERVICES 2yr'!J14+'INST SUPPORT 2yr'!J14</f>
        <v>29871.021999999997</v>
      </c>
      <c r="K14" s="89">
        <f>'ACADEMIC SUPP 2yr'!K14+'STU SERVICES 2yr'!K14+'INST SUPPORT 2yr'!K14</f>
        <v>35133.044999999998</v>
      </c>
      <c r="L14" s="89">
        <f>'ACADEMIC SUPP 2yr'!L14+'STU SERVICES 2yr'!L14+'INST SUPPORT 2yr'!L14</f>
        <v>94121.722999999998</v>
      </c>
      <c r="M14" s="89">
        <f>'ACADEMIC SUPP 2yr'!M14+'STU SERVICES 2yr'!M14+'INST SUPPORT 2yr'!M14</f>
        <v>102874.94499999999</v>
      </c>
      <c r="N14" s="89">
        <f>'ACADEMIC SUPP 2yr'!N14+'STU SERVICES 2yr'!N14+'INST SUPPORT 2yr'!N14</f>
        <v>5171.5409999999993</v>
      </c>
      <c r="O14" s="89">
        <f>'ACADEMIC SUPP 2yr'!O14+'STU SERVICES 2yr'!O14+'INST SUPPORT 2yr'!O14</f>
        <v>6081.3879999999999</v>
      </c>
      <c r="P14" s="89">
        <f>'ACADEMIC SUPP 2yr'!P14+'STU SERVICES 2yr'!P14+'INST SUPPORT 2yr'!P14</f>
        <v>6652.0769999999993</v>
      </c>
      <c r="Q14" s="89">
        <f>'ACADEMIC SUPP 2yr'!Q14+'STU SERVICES 2yr'!Q14+'INST SUPPORT 2yr'!Q14</f>
        <v>101199.71400000001</v>
      </c>
      <c r="R14" s="89">
        <f>'ACADEMIC SUPP 2yr'!R14+'STU SERVICES 2yr'!R14+'INST SUPPORT 2yr'!R14</f>
        <v>106709.59899999999</v>
      </c>
      <c r="S14" s="89">
        <f>'ACADEMIC SUPP 2yr'!S14+'STU SERVICES 2yr'!S14+'INST SUPPORT 2yr'!S14</f>
        <v>117419.14700000001</v>
      </c>
      <c r="T14" s="89">
        <f>'ACADEMIC SUPP 2yr'!T14+'STU SERVICES 2yr'!T14+'INST SUPPORT 2yr'!T14</f>
        <v>149225.663</v>
      </c>
      <c r="U14" s="89">
        <f>'ACADEMIC SUPP 2yr'!U14+'STU SERVICES 2yr'!U14+'INST SUPPORT 2yr'!U14</f>
        <v>135977.052</v>
      </c>
      <c r="V14" s="89">
        <f>'ACADEMIC SUPP 2yr'!V14+'STU SERVICES 2yr'!V14+'INST SUPPORT 2yr'!V14</f>
        <v>174280.88500000001</v>
      </c>
      <c r="W14" s="89">
        <f>'ACADEMIC SUPP 2yr'!W14+'STU SERVICES 2yr'!W14+'INST SUPPORT 2yr'!W14</f>
        <v>176839.44</v>
      </c>
      <c r="X14" s="89">
        <f>'ACADEMIC SUPP 2yr'!X14+'STU SERVICES 2yr'!X14+'INST SUPPORT 2yr'!X14</f>
        <v>184523.39799999999</v>
      </c>
      <c r="Y14" s="89">
        <f>'ACADEMIC SUPP 2yr'!Y14+'STU SERVICES 2yr'!Y14+'INST SUPPORT 2yr'!Y14</f>
        <v>170361.09899999999</v>
      </c>
      <c r="Z14" s="89">
        <f>'ACADEMIC SUPP 2yr'!Z14+'STU SERVICES 2yr'!Z14+'INST SUPPORT 2yr'!Z14</f>
        <v>161193.198</v>
      </c>
      <c r="AA14" s="89">
        <f>'ACADEMIC SUPP 2yr'!AA14+'STU SERVICES 2yr'!AA14+'INST SUPPORT 2yr'!AA14</f>
        <v>162343.26</v>
      </c>
    </row>
    <row r="15" spans="1:27">
      <c r="A15" s="22" t="s">
        <v>8</v>
      </c>
      <c r="B15" s="92">
        <f>'ACADEMIC SUPP 2yr'!B15+'STU SERVICES 2yr'!B15+'INST SUPPORT 2yr'!B15</f>
        <v>10412</v>
      </c>
      <c r="C15" s="92">
        <f>'ACADEMIC SUPP 2yr'!C15+'STU SERVICES 2yr'!C15+'INST SUPPORT 2yr'!C15</f>
        <v>11503</v>
      </c>
      <c r="D15" s="92">
        <f>'ACADEMIC SUPP 2yr'!D15+'STU SERVICES 2yr'!D15+'INST SUPPORT 2yr'!D15</f>
        <v>11812</v>
      </c>
      <c r="E15" s="92">
        <f>'ACADEMIC SUPP 2yr'!E15+'STU SERVICES 2yr'!E15+'INST SUPPORT 2yr'!E15</f>
        <v>17949.004999999997</v>
      </c>
      <c r="F15" s="92">
        <f>'ACADEMIC SUPP 2yr'!F15+'STU SERVICES 2yr'!F15+'INST SUPPORT 2yr'!F15</f>
        <v>18715.643</v>
      </c>
      <c r="G15" s="92">
        <f>'ACADEMIC SUPP 2yr'!G15+'STU SERVICES 2yr'!G15+'INST SUPPORT 2yr'!G15</f>
        <v>22242.493000000002</v>
      </c>
      <c r="H15" s="92">
        <f>'ACADEMIC SUPP 2yr'!H15+'STU SERVICES 2yr'!H15+'INST SUPPORT 2yr'!H15</f>
        <v>24628.254000000001</v>
      </c>
      <c r="I15" s="92">
        <f>'ACADEMIC SUPP 2yr'!I15+'STU SERVICES 2yr'!I15+'INST SUPPORT 2yr'!I15</f>
        <v>22808.822</v>
      </c>
      <c r="J15" s="92">
        <f>'ACADEMIC SUPP 2yr'!J15+'STU SERVICES 2yr'!J15+'INST SUPPORT 2yr'!J15</f>
        <v>37977.501999999993</v>
      </c>
      <c r="K15" s="92">
        <f>'ACADEMIC SUPP 2yr'!K15+'STU SERVICES 2yr'!K15+'INST SUPPORT 2yr'!K15</f>
        <v>40954.311200000011</v>
      </c>
      <c r="L15" s="92">
        <f>'ACADEMIC SUPP 2yr'!L15+'STU SERVICES 2yr'!L15+'INST SUPPORT 2yr'!L15</f>
        <v>51400.678</v>
      </c>
      <c r="M15" s="92">
        <f>'ACADEMIC SUPP 2yr'!M15+'STU SERVICES 2yr'!M15+'INST SUPPORT 2yr'!M15</f>
        <v>56305.437000000005</v>
      </c>
      <c r="N15" s="92">
        <f>'ACADEMIC SUPP 2yr'!N15+'STU SERVICES 2yr'!N15+'INST SUPPORT 2yr'!N15</f>
        <v>67264.462</v>
      </c>
      <c r="O15" s="92">
        <f>'ACADEMIC SUPP 2yr'!O15+'STU SERVICES 2yr'!O15+'INST SUPPORT 2yr'!O15</f>
        <v>84924.42</v>
      </c>
      <c r="P15" s="92">
        <f>'ACADEMIC SUPP 2yr'!P15+'STU SERVICES 2yr'!P15+'INST SUPPORT 2yr'!P15</f>
        <v>102714.583</v>
      </c>
      <c r="Q15" s="92">
        <f>'ACADEMIC SUPP 2yr'!Q15+'STU SERVICES 2yr'!Q15+'INST SUPPORT 2yr'!Q15</f>
        <v>103986.295</v>
      </c>
      <c r="R15" s="92">
        <f>'ACADEMIC SUPP 2yr'!R15+'STU SERVICES 2yr'!R15+'INST SUPPORT 2yr'!R15</f>
        <v>98327.269</v>
      </c>
      <c r="S15" s="92">
        <f>'ACADEMIC SUPP 2yr'!S15+'STU SERVICES 2yr'!S15+'INST SUPPORT 2yr'!S15</f>
        <v>112769.37400000001</v>
      </c>
      <c r="T15" s="92">
        <f>'ACADEMIC SUPP 2yr'!T15+'STU SERVICES 2yr'!T15+'INST SUPPORT 2yr'!T15</f>
        <v>146554.796</v>
      </c>
      <c r="U15" s="92">
        <f>'ACADEMIC SUPP 2yr'!U15+'STU SERVICES 2yr'!U15+'INST SUPPORT 2yr'!U15</f>
        <v>105743.57399999999</v>
      </c>
      <c r="V15" s="92">
        <f>'ACADEMIC SUPP 2yr'!V15+'STU SERVICES 2yr'!V15+'INST SUPPORT 2yr'!V15</f>
        <v>145881.005</v>
      </c>
      <c r="W15" s="92">
        <f>'ACADEMIC SUPP 2yr'!W15+'STU SERVICES 2yr'!W15+'INST SUPPORT 2yr'!W15</f>
        <v>151351.19</v>
      </c>
      <c r="X15" s="92">
        <f>'ACADEMIC SUPP 2yr'!X15+'STU SERVICES 2yr'!X15+'INST SUPPORT 2yr'!X15</f>
        <v>161810.55900000001</v>
      </c>
      <c r="Y15" s="92">
        <f>'ACADEMIC SUPP 2yr'!Y15+'STU SERVICES 2yr'!Y15+'INST SUPPORT 2yr'!Y15</f>
        <v>122414.49</v>
      </c>
      <c r="Z15" s="92">
        <f>'ACADEMIC SUPP 2yr'!Z15+'STU SERVICES 2yr'!Z15+'INST SUPPORT 2yr'!Z15</f>
        <v>116906.38499999999</v>
      </c>
      <c r="AA15" s="92">
        <f>'ACADEMIC SUPP 2yr'!AA15+'STU SERVICES 2yr'!AA15+'INST SUPPORT 2yr'!AA15</f>
        <v>121215.70699999999</v>
      </c>
    </row>
    <row r="16" spans="1:27">
      <c r="A16" s="22" t="s">
        <v>9</v>
      </c>
      <c r="B16" s="92">
        <f>'ACADEMIC SUPP 2yr'!B16+'STU SERVICES 2yr'!B16+'INST SUPPORT 2yr'!B16</f>
        <v>74498</v>
      </c>
      <c r="C16" s="92">
        <f>'ACADEMIC SUPP 2yr'!C16+'STU SERVICES 2yr'!C16+'INST SUPPORT 2yr'!C16</f>
        <v>78036</v>
      </c>
      <c r="D16" s="92">
        <f>'ACADEMIC SUPP 2yr'!D16+'STU SERVICES 2yr'!D16+'INST SUPPORT 2yr'!D16</f>
        <v>85623</v>
      </c>
      <c r="E16" s="92">
        <f>'ACADEMIC SUPP 2yr'!E16+'STU SERVICES 2yr'!E16+'INST SUPPORT 2yr'!E16</f>
        <v>130451.72999999998</v>
      </c>
      <c r="F16" s="92">
        <f>'ACADEMIC SUPP 2yr'!F16+'STU SERVICES 2yr'!F16+'INST SUPPORT 2yr'!F16</f>
        <v>105151.954</v>
      </c>
      <c r="G16" s="92">
        <f>'ACADEMIC SUPP 2yr'!G16+'STU SERVICES 2yr'!G16+'INST SUPPORT 2yr'!G16</f>
        <v>134164.924</v>
      </c>
      <c r="H16" s="92">
        <f>'ACADEMIC SUPP 2yr'!H16+'STU SERVICES 2yr'!H16+'INST SUPPORT 2yr'!H16</f>
        <v>146838.78200000001</v>
      </c>
      <c r="I16" s="92">
        <f>'ACADEMIC SUPP 2yr'!I16+'STU SERVICES 2yr'!I16+'INST SUPPORT 2yr'!I16</f>
        <v>124156.447</v>
      </c>
      <c r="J16" s="92">
        <f>'ACADEMIC SUPP 2yr'!J16+'STU SERVICES 2yr'!J16+'INST SUPPORT 2yr'!J16</f>
        <v>158843.022</v>
      </c>
      <c r="K16" s="92">
        <f>'ACADEMIC SUPP 2yr'!K16+'STU SERVICES 2yr'!K16+'INST SUPPORT 2yr'!K16</f>
        <v>166153.391</v>
      </c>
      <c r="L16" s="92">
        <f>'ACADEMIC SUPP 2yr'!L16+'STU SERVICES 2yr'!L16+'INST SUPPORT 2yr'!L16</f>
        <v>218742.56300000002</v>
      </c>
      <c r="M16" s="92">
        <f>'ACADEMIC SUPP 2yr'!M16+'STU SERVICES 2yr'!M16+'INST SUPPORT 2yr'!M16</f>
        <v>230646.416</v>
      </c>
      <c r="N16" s="92">
        <f>'ACADEMIC SUPP 2yr'!N16+'STU SERVICES 2yr'!N16+'INST SUPPORT 2yr'!N16</f>
        <v>241771.44500000001</v>
      </c>
      <c r="O16" s="92">
        <f>'ACADEMIC SUPP 2yr'!O16+'STU SERVICES 2yr'!O16+'INST SUPPORT 2yr'!O16</f>
        <v>278542.21799999999</v>
      </c>
      <c r="P16" s="92">
        <f>'ACADEMIC SUPP 2yr'!P16+'STU SERVICES 2yr'!P16+'INST SUPPORT 2yr'!P16</f>
        <v>287471.07199999999</v>
      </c>
      <c r="Q16" s="92">
        <f>'ACADEMIC SUPP 2yr'!Q16+'STU SERVICES 2yr'!Q16+'INST SUPPORT 2yr'!Q16</f>
        <v>304402.82</v>
      </c>
      <c r="R16" s="92">
        <f>'ACADEMIC SUPP 2yr'!R16+'STU SERVICES 2yr'!R16+'INST SUPPORT 2yr'!R16</f>
        <v>320792.87899999996</v>
      </c>
      <c r="S16" s="92">
        <f>'ACADEMIC SUPP 2yr'!S16+'STU SERVICES 2yr'!S16+'INST SUPPORT 2yr'!S16</f>
        <v>344956.41000000003</v>
      </c>
      <c r="T16" s="92">
        <f>'ACADEMIC SUPP 2yr'!T16+'STU SERVICES 2yr'!T16+'INST SUPPORT 2yr'!T16</f>
        <v>367952.522</v>
      </c>
      <c r="U16" s="92">
        <f>'ACADEMIC SUPP 2yr'!U16+'STU SERVICES 2yr'!U16+'INST SUPPORT 2yr'!U16</f>
        <v>422085.81400000001</v>
      </c>
      <c r="V16" s="92">
        <f>'ACADEMIC SUPP 2yr'!V16+'STU SERVICES 2yr'!V16+'INST SUPPORT 2yr'!V16</f>
        <v>461218.19699999999</v>
      </c>
      <c r="W16" s="92">
        <f>'ACADEMIC SUPP 2yr'!W16+'STU SERVICES 2yr'!W16+'INST SUPPORT 2yr'!W16</f>
        <v>472521.12400000001</v>
      </c>
      <c r="X16" s="92">
        <f>'ACADEMIC SUPP 2yr'!X16+'STU SERVICES 2yr'!X16+'INST SUPPORT 2yr'!X16</f>
        <v>514121.804</v>
      </c>
      <c r="Y16" s="92">
        <f>'ACADEMIC SUPP 2yr'!Y16+'STU SERVICES 2yr'!Y16+'INST SUPPORT 2yr'!Y16</f>
        <v>531925.67000000004</v>
      </c>
      <c r="Z16" s="92">
        <f>'ACADEMIC SUPP 2yr'!Z16+'STU SERVICES 2yr'!Z16+'INST SUPPORT 2yr'!Z16</f>
        <v>568718.30200000003</v>
      </c>
      <c r="AA16" s="92">
        <f>'ACADEMIC SUPP 2yr'!AA16+'STU SERVICES 2yr'!AA16+'INST SUPPORT 2yr'!AA16</f>
        <v>584590.47399999993</v>
      </c>
    </row>
    <row r="17" spans="1:27">
      <c r="A17" s="22" t="s">
        <v>10</v>
      </c>
      <c r="B17" s="92">
        <f>'ACADEMIC SUPP 2yr'!B17+'STU SERVICES 2yr'!B17+'INST SUPPORT 2yr'!B17</f>
        <v>31510</v>
      </c>
      <c r="C17" s="92">
        <f>'ACADEMIC SUPP 2yr'!C17+'STU SERVICES 2yr'!C17+'INST SUPPORT 2yr'!C17</f>
        <v>32780</v>
      </c>
      <c r="D17" s="92">
        <f>'ACADEMIC SUPP 2yr'!D17+'STU SERVICES 2yr'!D17+'INST SUPPORT 2yr'!D17</f>
        <v>34931</v>
      </c>
      <c r="E17" s="92">
        <f>'ACADEMIC SUPP 2yr'!E17+'STU SERVICES 2yr'!E17+'INST SUPPORT 2yr'!E17</f>
        <v>47411.695</v>
      </c>
      <c r="F17" s="92">
        <f>'ACADEMIC SUPP 2yr'!F17+'STU SERVICES 2yr'!F17+'INST SUPPORT 2yr'!F17</f>
        <v>47826.986000000004</v>
      </c>
      <c r="G17" s="92">
        <f>'ACADEMIC SUPP 2yr'!G17+'STU SERVICES 2yr'!G17+'INST SUPPORT 2yr'!G17</f>
        <v>52577.684000000001</v>
      </c>
      <c r="H17" s="92">
        <f>'ACADEMIC SUPP 2yr'!H17+'STU SERVICES 2yr'!H17+'INST SUPPORT 2yr'!H17</f>
        <v>57718.262000000002</v>
      </c>
      <c r="I17" s="92">
        <f>'ACADEMIC SUPP 2yr'!I17+'STU SERVICES 2yr'!I17+'INST SUPPORT 2yr'!I17</f>
        <v>71708.22</v>
      </c>
      <c r="J17" s="92">
        <f>'ACADEMIC SUPP 2yr'!J17+'STU SERVICES 2yr'!J17+'INST SUPPORT 2yr'!J17</f>
        <v>76765.989999999991</v>
      </c>
      <c r="K17" s="92">
        <f>'ACADEMIC SUPP 2yr'!K17+'STU SERVICES 2yr'!K17+'INST SUPPORT 2yr'!K17</f>
        <v>80868.686000000002</v>
      </c>
      <c r="L17" s="92">
        <f>'ACADEMIC SUPP 2yr'!L17+'STU SERVICES 2yr'!L17+'INST SUPPORT 2yr'!L17</f>
        <v>97092.47</v>
      </c>
      <c r="M17" s="92">
        <f>'ACADEMIC SUPP 2yr'!M17+'STU SERVICES 2yr'!M17+'INST SUPPORT 2yr'!M17</f>
        <v>96338.157999999996</v>
      </c>
      <c r="N17" s="92">
        <f>'ACADEMIC SUPP 2yr'!N17+'STU SERVICES 2yr'!N17+'INST SUPPORT 2yr'!N17</f>
        <v>94764.792000000001</v>
      </c>
      <c r="O17" s="92">
        <f>'ACADEMIC SUPP 2yr'!O17+'STU SERVICES 2yr'!O17+'INST SUPPORT 2yr'!O17</f>
        <v>101203.391</v>
      </c>
      <c r="P17" s="92">
        <f>'ACADEMIC SUPP 2yr'!P17+'STU SERVICES 2yr'!P17+'INST SUPPORT 2yr'!P17</f>
        <v>107576.96799999999</v>
      </c>
      <c r="Q17" s="92">
        <f>'ACADEMIC SUPP 2yr'!Q17+'STU SERVICES 2yr'!Q17+'INST SUPPORT 2yr'!Q17</f>
        <v>110848.704</v>
      </c>
      <c r="R17" s="92">
        <f>'ACADEMIC SUPP 2yr'!R17+'STU SERVICES 2yr'!R17+'INST SUPPORT 2yr'!R17</f>
        <v>113352.2</v>
      </c>
      <c r="S17" s="92">
        <f>'ACADEMIC SUPP 2yr'!S17+'STU SERVICES 2yr'!S17+'INST SUPPORT 2yr'!S17</f>
        <v>128924.63100000001</v>
      </c>
      <c r="T17" s="92">
        <f>'ACADEMIC SUPP 2yr'!T17+'STU SERVICES 2yr'!T17+'INST SUPPORT 2yr'!T17</f>
        <v>141521.68800000002</v>
      </c>
      <c r="U17" s="92">
        <f>'ACADEMIC SUPP 2yr'!U17+'STU SERVICES 2yr'!U17+'INST SUPPORT 2yr'!U17</f>
        <v>154541.93400000001</v>
      </c>
      <c r="V17" s="92">
        <f>'ACADEMIC SUPP 2yr'!V17+'STU SERVICES 2yr'!V17+'INST SUPPORT 2yr'!V17</f>
        <v>175952.27499999999</v>
      </c>
      <c r="W17" s="92">
        <f>'ACADEMIC SUPP 2yr'!W17+'STU SERVICES 2yr'!W17+'INST SUPPORT 2yr'!W17</f>
        <v>186143.07</v>
      </c>
      <c r="X17" s="92">
        <f>'ACADEMIC SUPP 2yr'!X17+'STU SERVICES 2yr'!X17+'INST SUPPORT 2yr'!X17</f>
        <v>192450.00900000002</v>
      </c>
      <c r="Y17" s="92">
        <f>'ACADEMIC SUPP 2yr'!Y17+'STU SERVICES 2yr'!Y17+'INST SUPPORT 2yr'!Y17</f>
        <v>199954.69900000002</v>
      </c>
      <c r="Z17" s="92">
        <f>'ACADEMIC SUPP 2yr'!Z17+'STU SERVICES 2yr'!Z17+'INST SUPPORT 2yr'!Z17</f>
        <v>205865.64600000001</v>
      </c>
      <c r="AA17" s="92">
        <f>'ACADEMIC SUPP 2yr'!AA17+'STU SERVICES 2yr'!AA17+'INST SUPPORT 2yr'!AA17</f>
        <v>211927.98499999999</v>
      </c>
    </row>
    <row r="18" spans="1:27">
      <c r="A18" s="22" t="s">
        <v>11</v>
      </c>
      <c r="B18" s="92">
        <f>'ACADEMIC SUPP 2yr'!B18+'STU SERVICES 2yr'!B18+'INST SUPPORT 2yr'!B18</f>
        <v>91708</v>
      </c>
      <c r="C18" s="92">
        <f>'ACADEMIC SUPP 2yr'!C18+'STU SERVICES 2yr'!C18+'INST SUPPORT 2yr'!C18</f>
        <v>100911</v>
      </c>
      <c r="D18" s="92">
        <f>'ACADEMIC SUPP 2yr'!D18+'STU SERVICES 2yr'!D18+'INST SUPPORT 2yr'!D18</f>
        <v>107302</v>
      </c>
      <c r="E18" s="92">
        <f>'ACADEMIC SUPP 2yr'!E18+'STU SERVICES 2yr'!E18+'INST SUPPORT 2yr'!E18</f>
        <v>154341.57500000001</v>
      </c>
      <c r="F18" s="92">
        <f>'ACADEMIC SUPP 2yr'!F18+'STU SERVICES 2yr'!F18+'INST SUPPORT 2yr'!F18</f>
        <v>160850.37300000002</v>
      </c>
      <c r="G18" s="92">
        <f>'ACADEMIC SUPP 2yr'!G18+'STU SERVICES 2yr'!G18+'INST SUPPORT 2yr'!G18</f>
        <v>173332.503</v>
      </c>
      <c r="H18" s="92">
        <f>'ACADEMIC SUPP 2yr'!H18+'STU SERVICES 2yr'!H18+'INST SUPPORT 2yr'!H18</f>
        <v>182159.049</v>
      </c>
      <c r="I18" s="92">
        <f>'ACADEMIC SUPP 2yr'!I18+'STU SERVICES 2yr'!I18+'INST SUPPORT 2yr'!I18</f>
        <v>190214.677</v>
      </c>
      <c r="J18" s="92">
        <f>'ACADEMIC SUPP 2yr'!J18+'STU SERVICES 2yr'!J18+'INST SUPPORT 2yr'!J18</f>
        <v>196196.50899999999</v>
      </c>
      <c r="K18" s="92">
        <f>'ACADEMIC SUPP 2yr'!K18+'STU SERVICES 2yr'!K18+'INST SUPPORT 2yr'!K18</f>
        <v>203064.10219999996</v>
      </c>
      <c r="L18" s="92">
        <f>'ACADEMIC SUPP 2yr'!L18+'STU SERVICES 2yr'!L18+'INST SUPPORT 2yr'!L18</f>
        <v>245513</v>
      </c>
      <c r="M18" s="92">
        <f>'ACADEMIC SUPP 2yr'!M18+'STU SERVICES 2yr'!M18+'INST SUPPORT 2yr'!M18</f>
        <v>288619.054</v>
      </c>
      <c r="N18" s="92">
        <f>'ACADEMIC SUPP 2yr'!N18+'STU SERVICES 2yr'!N18+'INST SUPPORT 2yr'!N18</f>
        <v>293305.15999999997</v>
      </c>
      <c r="O18" s="92">
        <f>'ACADEMIC SUPP 2yr'!O18+'STU SERVICES 2yr'!O18+'INST SUPPORT 2yr'!O18</f>
        <v>319464.64899999998</v>
      </c>
      <c r="P18" s="92">
        <f>'ACADEMIC SUPP 2yr'!P18+'STU SERVICES 2yr'!P18+'INST SUPPORT 2yr'!P18</f>
        <v>342677.74</v>
      </c>
      <c r="Q18" s="92">
        <f>'ACADEMIC SUPP 2yr'!Q18+'STU SERVICES 2yr'!Q18+'INST SUPPORT 2yr'!Q18</f>
        <v>374147.34199999995</v>
      </c>
      <c r="R18" s="92">
        <f>'ACADEMIC SUPP 2yr'!R18+'STU SERVICES 2yr'!R18+'INST SUPPORT 2yr'!R18</f>
        <v>407844.783</v>
      </c>
      <c r="S18" s="92">
        <f>'ACADEMIC SUPP 2yr'!S18+'STU SERVICES 2yr'!S18+'INST SUPPORT 2yr'!S18</f>
        <v>426458.83</v>
      </c>
      <c r="T18" s="92">
        <f>'ACADEMIC SUPP 2yr'!T18+'STU SERVICES 2yr'!T18+'INST SUPPORT 2yr'!T18</f>
        <v>460720.06799999997</v>
      </c>
      <c r="U18" s="92">
        <f>'ACADEMIC SUPP 2yr'!U18+'STU SERVICES 2yr'!U18+'INST SUPPORT 2yr'!U18</f>
        <v>475165.37199999997</v>
      </c>
      <c r="V18" s="92">
        <f>'ACADEMIC SUPP 2yr'!V18+'STU SERVICES 2yr'!V18+'INST SUPPORT 2yr'!V18</f>
        <v>535156.76199999999</v>
      </c>
      <c r="W18" s="92">
        <f>'ACADEMIC SUPP 2yr'!W18+'STU SERVICES 2yr'!W18+'INST SUPPORT 2yr'!W18</f>
        <v>584409.46399999992</v>
      </c>
      <c r="X18" s="92">
        <f>'ACADEMIC SUPP 2yr'!X18+'STU SERVICES 2yr'!X18+'INST SUPPORT 2yr'!X18</f>
        <v>612230.00399999996</v>
      </c>
      <c r="Y18" s="92">
        <f>'ACADEMIC SUPP 2yr'!Y18+'STU SERVICES 2yr'!Y18+'INST SUPPORT 2yr'!Y18</f>
        <v>650868.06599999999</v>
      </c>
      <c r="Z18" s="92">
        <f>'ACADEMIC SUPP 2yr'!Z18+'STU SERVICES 2yr'!Z18+'INST SUPPORT 2yr'!Z18</f>
        <v>669913.95699999994</v>
      </c>
      <c r="AA18" s="92">
        <f>'ACADEMIC SUPP 2yr'!AA18+'STU SERVICES 2yr'!AA18+'INST SUPPORT 2yr'!AA18</f>
        <v>656877.25600000005</v>
      </c>
    </row>
    <row r="19" spans="1:27">
      <c r="A19" s="22" t="s">
        <v>12</v>
      </c>
      <c r="B19" s="92">
        <f>'ACADEMIC SUPP 2yr'!B19+'STU SERVICES 2yr'!B19+'INST SUPPORT 2yr'!B19</f>
        <v>20665</v>
      </c>
      <c r="C19" s="92">
        <f>'ACADEMIC SUPP 2yr'!C19+'STU SERVICES 2yr'!C19+'INST SUPPORT 2yr'!C19</f>
        <v>21436</v>
      </c>
      <c r="D19" s="92">
        <f>'ACADEMIC SUPP 2yr'!D19+'STU SERVICES 2yr'!D19+'INST SUPPORT 2yr'!D19</f>
        <v>23601</v>
      </c>
      <c r="E19" s="92">
        <f>'ACADEMIC SUPP 2yr'!E19+'STU SERVICES 2yr'!E19+'INST SUPPORT 2yr'!E19</f>
        <v>47164.895000000004</v>
      </c>
      <c r="F19" s="92">
        <f>'ACADEMIC SUPP 2yr'!F19+'STU SERVICES 2yr'!F19+'INST SUPPORT 2yr'!F19</f>
        <v>51586.373999999996</v>
      </c>
      <c r="G19" s="92">
        <f>'ACADEMIC SUPP 2yr'!G19+'STU SERVICES 2yr'!G19+'INST SUPPORT 2yr'!G19</f>
        <v>51425.963000000003</v>
      </c>
      <c r="H19" s="92">
        <f>'ACADEMIC SUPP 2yr'!H19+'STU SERVICES 2yr'!H19+'INST SUPPORT 2yr'!H19</f>
        <v>52287.93</v>
      </c>
      <c r="I19" s="92">
        <f>'ACADEMIC SUPP 2yr'!I19+'STU SERVICES 2yr'!I19+'INST SUPPORT 2yr'!I19</f>
        <v>55110.644</v>
      </c>
      <c r="J19" s="92">
        <f>'ACADEMIC SUPP 2yr'!J19+'STU SERVICES 2yr'!J19+'INST SUPPORT 2yr'!J19</f>
        <v>56953.027000000002</v>
      </c>
      <c r="K19" s="92">
        <f>'ACADEMIC SUPP 2yr'!K19+'STU SERVICES 2yr'!K19+'INST SUPPORT 2yr'!K19</f>
        <v>64819.700709999997</v>
      </c>
      <c r="L19" s="92">
        <f>'ACADEMIC SUPP 2yr'!L19+'STU SERVICES 2yr'!L19+'INST SUPPORT 2yr'!L19</f>
        <v>73490.747000000003</v>
      </c>
      <c r="M19" s="92">
        <f>'ACADEMIC SUPP 2yr'!M19+'STU SERVICES 2yr'!M19+'INST SUPPORT 2yr'!M19</f>
        <v>113366.538</v>
      </c>
      <c r="N19" s="92">
        <f>'ACADEMIC SUPP 2yr'!N19+'STU SERVICES 2yr'!N19+'INST SUPPORT 2yr'!N19</f>
        <v>76028.823000000004</v>
      </c>
      <c r="O19" s="92">
        <f>'ACADEMIC SUPP 2yr'!O19+'STU SERVICES 2yr'!O19+'INST SUPPORT 2yr'!O19</f>
        <v>70825.112999999998</v>
      </c>
      <c r="P19" s="92">
        <f>'ACADEMIC SUPP 2yr'!P19+'STU SERVICES 2yr'!P19+'INST SUPPORT 2yr'!P19</f>
        <v>70561.193999999989</v>
      </c>
      <c r="Q19" s="92">
        <f>'ACADEMIC SUPP 2yr'!Q19+'STU SERVICES 2yr'!Q19+'INST SUPPORT 2yr'!Q19</f>
        <v>78100.58</v>
      </c>
      <c r="R19" s="92">
        <f>'ACADEMIC SUPP 2yr'!R19+'STU SERVICES 2yr'!R19+'INST SUPPORT 2yr'!R19</f>
        <v>81448.182000000001</v>
      </c>
      <c r="S19" s="92">
        <f>'ACADEMIC SUPP 2yr'!S19+'STU SERVICES 2yr'!S19+'INST SUPPORT 2yr'!S19</f>
        <v>82940.608000000007</v>
      </c>
      <c r="T19" s="92">
        <f>'ACADEMIC SUPP 2yr'!T19+'STU SERVICES 2yr'!T19+'INST SUPPORT 2yr'!T19</f>
        <v>97704.701000000001</v>
      </c>
      <c r="U19" s="92">
        <f>'ACADEMIC SUPP 2yr'!U19+'STU SERVICES 2yr'!U19+'INST SUPPORT 2yr'!U19</f>
        <v>116722.802</v>
      </c>
      <c r="V19" s="92">
        <f>'ACADEMIC SUPP 2yr'!V19+'STU SERVICES 2yr'!V19+'INST SUPPORT 2yr'!V19</f>
        <v>132894.36599999998</v>
      </c>
      <c r="W19" s="92">
        <f>'ACADEMIC SUPP 2yr'!W19+'STU SERVICES 2yr'!W19+'INST SUPPORT 2yr'!W19</f>
        <v>135720.21099999998</v>
      </c>
      <c r="X19" s="92">
        <f>'ACADEMIC SUPP 2yr'!X19+'STU SERVICES 2yr'!X19+'INST SUPPORT 2yr'!X19</f>
        <v>134788.386</v>
      </c>
      <c r="Y19" s="92">
        <f>'ACADEMIC SUPP 2yr'!Y19+'STU SERVICES 2yr'!Y19+'INST SUPPORT 2yr'!Y19</f>
        <v>142382.10399999999</v>
      </c>
      <c r="Z19" s="92">
        <f>'ACADEMIC SUPP 2yr'!Z19+'STU SERVICES 2yr'!Z19+'INST SUPPORT 2yr'!Z19</f>
        <v>158367.20199999999</v>
      </c>
      <c r="AA19" s="92">
        <f>'ACADEMIC SUPP 2yr'!AA19+'STU SERVICES 2yr'!AA19+'INST SUPPORT 2yr'!AA19</f>
        <v>175369.73800000001</v>
      </c>
    </row>
    <row r="20" spans="1:27">
      <c r="A20" s="22" t="s">
        <v>13</v>
      </c>
      <c r="B20" s="92">
        <f>'ACADEMIC SUPP 2yr'!B20+'STU SERVICES 2yr'!B20+'INST SUPPORT 2yr'!B20</f>
        <v>36514</v>
      </c>
      <c r="C20" s="92">
        <f>'ACADEMIC SUPP 2yr'!C20+'STU SERVICES 2yr'!C20+'INST SUPPORT 2yr'!C20</f>
        <v>48621</v>
      </c>
      <c r="D20" s="92">
        <f>'ACADEMIC SUPP 2yr'!D20+'STU SERVICES 2yr'!D20+'INST SUPPORT 2yr'!D20</f>
        <v>51871</v>
      </c>
      <c r="E20" s="92">
        <f>'ACADEMIC SUPP 2yr'!E20+'STU SERVICES 2yr'!E20+'INST SUPPORT 2yr'!E20</f>
        <v>80610.888000000006</v>
      </c>
      <c r="F20" s="92">
        <f>'ACADEMIC SUPP 2yr'!F20+'STU SERVICES 2yr'!F20+'INST SUPPORT 2yr'!F20</f>
        <v>84933.197000000015</v>
      </c>
      <c r="G20" s="92">
        <f>'ACADEMIC SUPP 2yr'!G20+'STU SERVICES 2yr'!G20+'INST SUPPORT 2yr'!G20</f>
        <v>90828.07699999999</v>
      </c>
      <c r="H20" s="92">
        <f>'ACADEMIC SUPP 2yr'!H20+'STU SERVICES 2yr'!H20+'INST SUPPORT 2yr'!H20</f>
        <v>93182.65</v>
      </c>
      <c r="I20" s="92">
        <f>'ACADEMIC SUPP 2yr'!I20+'STU SERVICES 2yr'!I20+'INST SUPPORT 2yr'!I20</f>
        <v>98470.752000000008</v>
      </c>
      <c r="J20" s="92">
        <f>'ACADEMIC SUPP 2yr'!J20+'STU SERVICES 2yr'!J20+'INST SUPPORT 2yr'!J20</f>
        <v>102610.084</v>
      </c>
      <c r="K20" s="92">
        <f>'ACADEMIC SUPP 2yr'!K20+'STU SERVICES 2yr'!K20+'INST SUPPORT 2yr'!K20</f>
        <v>107229.791</v>
      </c>
      <c r="L20" s="92">
        <f>'ACADEMIC SUPP 2yr'!L20+'STU SERVICES 2yr'!L20+'INST SUPPORT 2yr'!L20</f>
        <v>133793.88699999999</v>
      </c>
      <c r="M20" s="92">
        <f>'ACADEMIC SUPP 2yr'!M20+'STU SERVICES 2yr'!M20+'INST SUPPORT 2yr'!M20</f>
        <v>141376.476</v>
      </c>
      <c r="N20" s="92">
        <f>'ACADEMIC SUPP 2yr'!N20+'STU SERVICES 2yr'!N20+'INST SUPPORT 2yr'!N20</f>
        <v>154690.016</v>
      </c>
      <c r="O20" s="92">
        <f>'ACADEMIC SUPP 2yr'!O20+'STU SERVICES 2yr'!O20+'INST SUPPORT 2yr'!O20</f>
        <v>160867.30100000001</v>
      </c>
      <c r="P20" s="92">
        <f>'ACADEMIC SUPP 2yr'!P20+'STU SERVICES 2yr'!P20+'INST SUPPORT 2yr'!P20</f>
        <v>161022.53200000001</v>
      </c>
      <c r="Q20" s="92">
        <f>'ACADEMIC SUPP 2yr'!Q20+'STU SERVICES 2yr'!Q20+'INST SUPPORT 2yr'!Q20</f>
        <v>175498.54399999999</v>
      </c>
      <c r="R20" s="92">
        <f>'ACADEMIC SUPP 2yr'!R20+'STU SERVICES 2yr'!R20+'INST SUPPORT 2yr'!R20</f>
        <v>177802.565</v>
      </c>
      <c r="S20" s="92">
        <f>'ACADEMIC SUPP 2yr'!S20+'STU SERVICES 2yr'!S20+'INST SUPPORT 2yr'!S20</f>
        <v>187380.32399999999</v>
      </c>
      <c r="T20" s="92">
        <f>'ACADEMIC SUPP 2yr'!T20+'STU SERVICES 2yr'!T20+'INST SUPPORT 2yr'!T20</f>
        <v>212746.32500000001</v>
      </c>
      <c r="U20" s="92">
        <f>'ACADEMIC SUPP 2yr'!U20+'STU SERVICES 2yr'!U20+'INST SUPPORT 2yr'!U20</f>
        <v>242054.747</v>
      </c>
      <c r="V20" s="92">
        <f>'ACADEMIC SUPP 2yr'!V20+'STU SERVICES 2yr'!V20+'INST SUPPORT 2yr'!V20</f>
        <v>246113.70199999999</v>
      </c>
      <c r="W20" s="92">
        <f>'ACADEMIC SUPP 2yr'!W20+'STU SERVICES 2yr'!W20+'INST SUPPORT 2yr'!W20</f>
        <v>254158.264</v>
      </c>
      <c r="X20" s="92">
        <f>'ACADEMIC SUPP 2yr'!X20+'STU SERVICES 2yr'!X20+'INST SUPPORT 2yr'!X20</f>
        <v>252897.88099999999</v>
      </c>
      <c r="Y20" s="92">
        <f>'ACADEMIC SUPP 2yr'!Y20+'STU SERVICES 2yr'!Y20+'INST SUPPORT 2yr'!Y20</f>
        <v>263568.75099999999</v>
      </c>
      <c r="Z20" s="92">
        <f>'ACADEMIC SUPP 2yr'!Z20+'STU SERVICES 2yr'!Z20+'INST SUPPORT 2yr'!Z20</f>
        <v>279122.54499999998</v>
      </c>
      <c r="AA20" s="92">
        <f>'ACADEMIC SUPP 2yr'!AA20+'STU SERVICES 2yr'!AA20+'INST SUPPORT 2yr'!AA20</f>
        <v>286961.45899999997</v>
      </c>
    </row>
    <row r="21" spans="1:27" s="17" customFormat="1">
      <c r="A21" s="22" t="s">
        <v>14</v>
      </c>
      <c r="B21" s="92">
        <f>'ACADEMIC SUPP 2yr'!B21+'STU SERVICES 2yr'!B21+'INST SUPPORT 2yr'!B21</f>
        <v>30096</v>
      </c>
      <c r="C21" s="92">
        <f>'ACADEMIC SUPP 2yr'!C21+'STU SERVICES 2yr'!C21+'INST SUPPORT 2yr'!C21</f>
        <v>34907</v>
      </c>
      <c r="D21" s="92">
        <f>'ACADEMIC SUPP 2yr'!D21+'STU SERVICES 2yr'!D21+'INST SUPPORT 2yr'!D21</f>
        <v>39113</v>
      </c>
      <c r="E21" s="92">
        <f>'ACADEMIC SUPP 2yr'!E21+'STU SERVICES 2yr'!E21+'INST SUPPORT 2yr'!E21</f>
        <v>52329.755000000005</v>
      </c>
      <c r="F21" s="92">
        <f>'ACADEMIC SUPP 2yr'!F21+'STU SERVICES 2yr'!F21+'INST SUPPORT 2yr'!F21</f>
        <v>52624.482000000004</v>
      </c>
      <c r="G21" s="92">
        <f>'ACADEMIC SUPP 2yr'!G21+'STU SERVICES 2yr'!G21+'INST SUPPORT 2yr'!G21</f>
        <v>58940.282999999996</v>
      </c>
      <c r="H21" s="92">
        <f>'ACADEMIC SUPP 2yr'!H21+'STU SERVICES 2yr'!H21+'INST SUPPORT 2yr'!H21</f>
        <v>67883.706999999995</v>
      </c>
      <c r="I21" s="92">
        <f>'ACADEMIC SUPP 2yr'!I21+'STU SERVICES 2yr'!I21+'INST SUPPORT 2yr'!I21</f>
        <v>74987.714999999997</v>
      </c>
      <c r="J21" s="92">
        <f>'ACADEMIC SUPP 2yr'!J21+'STU SERVICES 2yr'!J21+'INST SUPPORT 2yr'!J21</f>
        <v>79008.092000000004</v>
      </c>
      <c r="K21" s="92">
        <f>'ACADEMIC SUPP 2yr'!K21+'STU SERVICES 2yr'!K21+'INST SUPPORT 2yr'!K21</f>
        <v>79985.902999999991</v>
      </c>
      <c r="L21" s="92">
        <f>'ACADEMIC SUPP 2yr'!L21+'STU SERVICES 2yr'!L21+'INST SUPPORT 2yr'!L21</f>
        <v>88648.70199999999</v>
      </c>
      <c r="M21" s="92">
        <f>'ACADEMIC SUPP 2yr'!M21+'STU SERVICES 2yr'!M21+'INST SUPPORT 2yr'!M21</f>
        <v>100973.68900000001</v>
      </c>
      <c r="N21" s="92">
        <f>'ACADEMIC SUPP 2yr'!N21+'STU SERVICES 2yr'!N21+'INST SUPPORT 2yr'!N21</f>
        <v>106172.44099999999</v>
      </c>
      <c r="O21" s="92">
        <f>'ACADEMIC SUPP 2yr'!O21+'STU SERVICES 2yr'!O21+'INST SUPPORT 2yr'!O21</f>
        <v>112537.9</v>
      </c>
      <c r="P21" s="92">
        <f>'ACADEMIC SUPP 2yr'!P21+'STU SERVICES 2yr'!P21+'INST SUPPORT 2yr'!P21</f>
        <v>113522.31600000001</v>
      </c>
      <c r="Q21" s="92">
        <f>'ACADEMIC SUPP 2yr'!Q21+'STU SERVICES 2yr'!Q21+'INST SUPPORT 2yr'!Q21</f>
        <v>125877.01000000001</v>
      </c>
      <c r="R21" s="92">
        <f>'ACADEMIC SUPP 2yr'!R21+'STU SERVICES 2yr'!R21+'INST SUPPORT 2yr'!R21</f>
        <v>134307.84600000002</v>
      </c>
      <c r="S21" s="92">
        <f>'ACADEMIC SUPP 2yr'!S21+'STU SERVICES 2yr'!S21+'INST SUPPORT 2yr'!S21</f>
        <v>141172.91099999999</v>
      </c>
      <c r="T21" s="92">
        <f>'ACADEMIC SUPP 2yr'!T21+'STU SERVICES 2yr'!T21+'INST SUPPORT 2yr'!T21</f>
        <v>155172.997</v>
      </c>
      <c r="U21" s="92">
        <f>'ACADEMIC SUPP 2yr'!U21+'STU SERVICES 2yr'!U21+'INST SUPPORT 2yr'!U21</f>
        <v>171392.26199999999</v>
      </c>
      <c r="V21" s="92">
        <f>'ACADEMIC SUPP 2yr'!V21+'STU SERVICES 2yr'!V21+'INST SUPPORT 2yr'!V21</f>
        <v>184463.31599999999</v>
      </c>
      <c r="W21" s="92">
        <f>'ACADEMIC SUPP 2yr'!W21+'STU SERVICES 2yr'!W21+'INST SUPPORT 2yr'!W21</f>
        <v>202840.212</v>
      </c>
      <c r="X21" s="92">
        <f>'ACADEMIC SUPP 2yr'!X21+'STU SERVICES 2yr'!X21+'INST SUPPORT 2yr'!X21</f>
        <v>202137.04499999998</v>
      </c>
      <c r="Y21" s="92">
        <f>'ACADEMIC SUPP 2yr'!Y21+'STU SERVICES 2yr'!Y21+'INST SUPPORT 2yr'!Y21</f>
        <v>214493.13</v>
      </c>
      <c r="Z21" s="92">
        <f>'ACADEMIC SUPP 2yr'!Z21+'STU SERVICES 2yr'!Z21+'INST SUPPORT 2yr'!Z21</f>
        <v>218617.56400000001</v>
      </c>
      <c r="AA21" s="92">
        <f>'ACADEMIC SUPP 2yr'!AA21+'STU SERVICES 2yr'!AA21+'INST SUPPORT 2yr'!AA21</f>
        <v>211271.85700000002</v>
      </c>
    </row>
    <row r="22" spans="1:27">
      <c r="A22" s="22" t="s">
        <v>15</v>
      </c>
      <c r="B22" s="92">
        <f>'ACADEMIC SUPP 2yr'!B22+'STU SERVICES 2yr'!B22+'INST SUPPORT 2yr'!B22</f>
        <v>218097</v>
      </c>
      <c r="C22" s="92">
        <f>'ACADEMIC SUPP 2yr'!C22+'STU SERVICES 2yr'!C22+'INST SUPPORT 2yr'!C22</f>
        <v>235796</v>
      </c>
      <c r="D22" s="92">
        <f>'ACADEMIC SUPP 2yr'!D22+'STU SERVICES 2yr'!D22+'INST SUPPORT 2yr'!D22</f>
        <v>249530</v>
      </c>
      <c r="E22" s="92">
        <f>'ACADEMIC SUPP 2yr'!E22+'STU SERVICES 2yr'!E22+'INST SUPPORT 2yr'!E22</f>
        <v>378201.58600000001</v>
      </c>
      <c r="F22" s="92">
        <f>'ACADEMIC SUPP 2yr'!F22+'STU SERVICES 2yr'!F22+'INST SUPPORT 2yr'!F22</f>
        <v>380720.99599999998</v>
      </c>
      <c r="G22" s="92">
        <f>'ACADEMIC SUPP 2yr'!G22+'STU SERVICES 2yr'!G22+'INST SUPPORT 2yr'!G22</f>
        <v>394342.05200000003</v>
      </c>
      <c r="H22" s="92">
        <f>'ACADEMIC SUPP 2yr'!H22+'STU SERVICES 2yr'!H22+'INST SUPPORT 2yr'!H22</f>
        <v>441020.12899999996</v>
      </c>
      <c r="I22" s="92">
        <f>'ACADEMIC SUPP 2yr'!I22+'STU SERVICES 2yr'!I22+'INST SUPPORT 2yr'!I22</f>
        <v>430497.75</v>
      </c>
      <c r="J22" s="92">
        <f>'ACADEMIC SUPP 2yr'!J22+'STU SERVICES 2yr'!J22+'INST SUPPORT 2yr'!J22</f>
        <v>497544.26799999998</v>
      </c>
      <c r="K22" s="92">
        <f>'ACADEMIC SUPP 2yr'!K22+'STU SERVICES 2yr'!K22+'INST SUPPORT 2yr'!K22</f>
        <v>519066.63199999998</v>
      </c>
      <c r="L22" s="92">
        <f>'ACADEMIC SUPP 2yr'!L22+'STU SERVICES 2yr'!L22+'INST SUPPORT 2yr'!L22</f>
        <v>578434.46100000001</v>
      </c>
      <c r="M22" s="92">
        <f>'ACADEMIC SUPP 2yr'!M22+'STU SERVICES 2yr'!M22+'INST SUPPORT 2yr'!M22</f>
        <v>653714.01300000004</v>
      </c>
      <c r="N22" s="92">
        <f>'ACADEMIC SUPP 2yr'!N22+'STU SERVICES 2yr'!N22+'INST SUPPORT 2yr'!N22</f>
        <v>697429.86800000002</v>
      </c>
      <c r="O22" s="92">
        <f>'ACADEMIC SUPP 2yr'!O22+'STU SERVICES 2yr'!O22+'INST SUPPORT 2yr'!O22</f>
        <v>727880.04799999995</v>
      </c>
      <c r="P22" s="92">
        <f>'ACADEMIC SUPP 2yr'!P22+'STU SERVICES 2yr'!P22+'INST SUPPORT 2yr'!P22</f>
        <v>760036.86700000009</v>
      </c>
      <c r="Q22" s="92">
        <f>'ACADEMIC SUPP 2yr'!Q22+'STU SERVICES 2yr'!Q22+'INST SUPPORT 2yr'!Q22</f>
        <v>820352.50799999991</v>
      </c>
      <c r="R22" s="92">
        <f>'ACADEMIC SUPP 2yr'!R22+'STU SERVICES 2yr'!R22+'INST SUPPORT 2yr'!R22</f>
        <v>872340.85599999991</v>
      </c>
      <c r="S22" s="92">
        <f>'ACADEMIC SUPP 2yr'!S22+'STU SERVICES 2yr'!S22+'INST SUPPORT 2yr'!S22</f>
        <v>925780.89800000004</v>
      </c>
      <c r="T22" s="92">
        <f>'ACADEMIC SUPP 2yr'!T22+'STU SERVICES 2yr'!T22+'INST SUPPORT 2yr'!T22</f>
        <v>1023364.5759999999</v>
      </c>
      <c r="U22" s="92">
        <f>'ACADEMIC SUPP 2yr'!U22+'STU SERVICES 2yr'!U22+'INST SUPPORT 2yr'!U22</f>
        <v>1158111.8130000001</v>
      </c>
      <c r="V22" s="92">
        <f>'ACADEMIC SUPP 2yr'!V22+'STU SERVICES 2yr'!V22+'INST SUPPORT 2yr'!V22</f>
        <v>1481051.193</v>
      </c>
      <c r="W22" s="92">
        <f>'ACADEMIC SUPP 2yr'!W22+'STU SERVICES 2yr'!W22+'INST SUPPORT 2yr'!W22</f>
        <v>1538869.01</v>
      </c>
      <c r="X22" s="92">
        <f>'ACADEMIC SUPP 2yr'!X22+'STU SERVICES 2yr'!X22+'INST SUPPORT 2yr'!X22</f>
        <v>1543473.5630000001</v>
      </c>
      <c r="Y22" s="92">
        <f>'ACADEMIC SUPP 2yr'!Y22+'STU SERVICES 2yr'!Y22+'INST SUPPORT 2yr'!Y22</f>
        <v>1665565.862</v>
      </c>
      <c r="Z22" s="92">
        <f>'ACADEMIC SUPP 2yr'!Z22+'STU SERVICES 2yr'!Z22+'INST SUPPORT 2yr'!Z22</f>
        <v>1731257.5299999998</v>
      </c>
      <c r="AA22" s="92">
        <f>'ACADEMIC SUPP 2yr'!AA22+'STU SERVICES 2yr'!AA22+'INST SUPPORT 2yr'!AA22</f>
        <v>1752832.202</v>
      </c>
    </row>
    <row r="23" spans="1:27">
      <c r="A23" s="22" t="s">
        <v>16</v>
      </c>
      <c r="B23" s="92">
        <f>'ACADEMIC SUPP 2yr'!B23+'STU SERVICES 2yr'!B23+'INST SUPPORT 2yr'!B23</f>
        <v>60875</v>
      </c>
      <c r="C23" s="92">
        <f>'ACADEMIC SUPP 2yr'!C23+'STU SERVICES 2yr'!C23+'INST SUPPORT 2yr'!C23</f>
        <v>71463</v>
      </c>
      <c r="D23" s="92">
        <f>'ACADEMIC SUPP 2yr'!D23+'STU SERVICES 2yr'!D23+'INST SUPPORT 2yr'!D23</f>
        <v>76846</v>
      </c>
      <c r="E23" s="92">
        <f>'ACADEMIC SUPP 2yr'!E23+'STU SERVICES 2yr'!E23+'INST SUPPORT 2yr'!E23</f>
        <v>98905.645000000004</v>
      </c>
      <c r="F23" s="92">
        <f>'ACADEMIC SUPP 2yr'!F23+'STU SERVICES 2yr'!F23+'INST SUPPORT 2yr'!F23</f>
        <v>100977.72500000001</v>
      </c>
      <c r="G23" s="92">
        <f>'ACADEMIC SUPP 2yr'!G23+'STU SERVICES 2yr'!G23+'INST SUPPORT 2yr'!G23</f>
        <v>104917.584</v>
      </c>
      <c r="H23" s="92">
        <f>'ACADEMIC SUPP 2yr'!H23+'STU SERVICES 2yr'!H23+'INST SUPPORT 2yr'!H23</f>
        <v>114268.59299999999</v>
      </c>
      <c r="I23" s="92">
        <f>'ACADEMIC SUPP 2yr'!I23+'STU SERVICES 2yr'!I23+'INST SUPPORT 2yr'!I23</f>
        <v>120834.84899999999</v>
      </c>
      <c r="J23" s="92">
        <f>'ACADEMIC SUPP 2yr'!J23+'STU SERVICES 2yr'!J23+'INST SUPPORT 2yr'!J23</f>
        <v>121487.93400000001</v>
      </c>
      <c r="K23" s="92">
        <f>'ACADEMIC SUPP 2yr'!K23+'STU SERVICES 2yr'!K23+'INST SUPPORT 2yr'!K23</f>
        <v>132686.56400000001</v>
      </c>
      <c r="L23" s="92">
        <f>'ACADEMIC SUPP 2yr'!L23+'STU SERVICES 2yr'!L23+'INST SUPPORT 2yr'!L23</f>
        <v>155962.30900000001</v>
      </c>
      <c r="M23" s="92">
        <f>'ACADEMIC SUPP 2yr'!M23+'STU SERVICES 2yr'!M23+'INST SUPPORT 2yr'!M23</f>
        <v>169505.34499999997</v>
      </c>
      <c r="N23" s="92">
        <f>'ACADEMIC SUPP 2yr'!N23+'STU SERVICES 2yr'!N23+'INST SUPPORT 2yr'!N23</f>
        <v>165729.26799999998</v>
      </c>
      <c r="O23" s="92">
        <f>'ACADEMIC SUPP 2yr'!O23+'STU SERVICES 2yr'!O23+'INST SUPPORT 2yr'!O23</f>
        <v>169112.505</v>
      </c>
      <c r="P23" s="92">
        <f>'ACADEMIC SUPP 2yr'!P23+'STU SERVICES 2yr'!P23+'INST SUPPORT 2yr'!P23</f>
        <v>186375.22899999999</v>
      </c>
      <c r="Q23" s="92">
        <f>'ACADEMIC SUPP 2yr'!Q23+'STU SERVICES 2yr'!Q23+'INST SUPPORT 2yr'!Q23</f>
        <v>206007.81099999999</v>
      </c>
      <c r="R23" s="92">
        <f>'ACADEMIC SUPP 2yr'!R23+'STU SERVICES 2yr'!R23+'INST SUPPORT 2yr'!R23</f>
        <v>221676.125</v>
      </c>
      <c r="S23" s="92">
        <f>'ACADEMIC SUPP 2yr'!S23+'STU SERVICES 2yr'!S23+'INST SUPPORT 2yr'!S23</f>
        <v>247599</v>
      </c>
      <c r="T23" s="92">
        <f>'ACADEMIC SUPP 2yr'!T23+'STU SERVICES 2yr'!T23+'INST SUPPORT 2yr'!T23</f>
        <v>291401.212</v>
      </c>
      <c r="U23" s="92">
        <f>'ACADEMIC SUPP 2yr'!U23+'STU SERVICES 2yr'!U23+'INST SUPPORT 2yr'!U23</f>
        <v>299255.554</v>
      </c>
      <c r="V23" s="92">
        <f>'ACADEMIC SUPP 2yr'!V23+'STU SERVICES 2yr'!V23+'INST SUPPORT 2yr'!V23</f>
        <v>318582.61300000001</v>
      </c>
      <c r="W23" s="92">
        <f>'ACADEMIC SUPP 2yr'!W23+'STU SERVICES 2yr'!W23+'INST SUPPORT 2yr'!W23</f>
        <v>352249.22</v>
      </c>
      <c r="X23" s="92">
        <f>'ACADEMIC SUPP 2yr'!X23+'STU SERVICES 2yr'!X23+'INST SUPPORT 2yr'!X23</f>
        <v>386114.50599999999</v>
      </c>
      <c r="Y23" s="92">
        <f>'ACADEMIC SUPP 2yr'!Y23+'STU SERVICES 2yr'!Y23+'INST SUPPORT 2yr'!Y23</f>
        <v>401728.011</v>
      </c>
      <c r="Z23" s="92">
        <f>'ACADEMIC SUPP 2yr'!Z23+'STU SERVICES 2yr'!Z23+'INST SUPPORT 2yr'!Z23</f>
        <v>428908.39399999997</v>
      </c>
      <c r="AA23" s="92">
        <f>'ACADEMIC SUPP 2yr'!AA23+'STU SERVICES 2yr'!AA23+'INST SUPPORT 2yr'!AA23</f>
        <v>439905.728</v>
      </c>
    </row>
    <row r="24" spans="1:27">
      <c r="A24" s="83" t="s">
        <v>17</v>
      </c>
      <c r="B24" s="93">
        <f>'ACADEMIC SUPP 2yr'!B24+'STU SERVICES 2yr'!B24+'INST SUPPORT 2yr'!B24</f>
        <v>5270</v>
      </c>
      <c r="C24" s="93">
        <f>'ACADEMIC SUPP 2yr'!C24+'STU SERVICES 2yr'!C24+'INST SUPPORT 2yr'!C24</f>
        <v>6011</v>
      </c>
      <c r="D24" s="93">
        <f>'ACADEMIC SUPP 2yr'!D24+'STU SERVICES 2yr'!D24+'INST SUPPORT 2yr'!D24</f>
        <v>6222</v>
      </c>
      <c r="E24" s="93">
        <f>'ACADEMIC SUPP 2yr'!E24+'STU SERVICES 2yr'!E24+'INST SUPPORT 2yr'!E24</f>
        <v>6621.9459999999999</v>
      </c>
      <c r="F24" s="93">
        <f>'ACADEMIC SUPP 2yr'!F24+'STU SERVICES 2yr'!F24+'INST SUPPORT 2yr'!F24</f>
        <v>7137.5550000000003</v>
      </c>
      <c r="G24" s="93">
        <f>'ACADEMIC SUPP 2yr'!G24+'STU SERVICES 2yr'!G24+'INST SUPPORT 2yr'!G24</f>
        <v>7565</v>
      </c>
      <c r="H24" s="93">
        <f>'ACADEMIC SUPP 2yr'!H24+'STU SERVICES 2yr'!H24+'INST SUPPORT 2yr'!H24</f>
        <v>8775.8950000000004</v>
      </c>
      <c r="I24" s="93">
        <f>'ACADEMIC SUPP 2yr'!I24+'STU SERVICES 2yr'!I24+'INST SUPPORT 2yr'!I24</f>
        <v>9775.219000000001</v>
      </c>
      <c r="J24" s="93">
        <f>'ACADEMIC SUPP 2yr'!J24+'STU SERVICES 2yr'!J24+'INST SUPPORT 2yr'!J24</f>
        <v>10549.071</v>
      </c>
      <c r="K24" s="93">
        <f>'ACADEMIC SUPP 2yr'!K24+'STU SERVICES 2yr'!K24+'INST SUPPORT 2yr'!K24</f>
        <v>10628.468179999993</v>
      </c>
      <c r="L24" s="93">
        <f>'ACADEMIC SUPP 2yr'!L24+'STU SERVICES 2yr'!L24+'INST SUPPORT 2yr'!L24</f>
        <v>11464.856</v>
      </c>
      <c r="M24" s="93">
        <f>'ACADEMIC SUPP 2yr'!M24+'STU SERVICES 2yr'!M24+'INST SUPPORT 2yr'!M24</f>
        <v>13840.212</v>
      </c>
      <c r="N24" s="93">
        <f>'ACADEMIC SUPP 2yr'!N24+'STU SERVICES 2yr'!N24+'INST SUPPORT 2yr'!N24</f>
        <v>10758.918</v>
      </c>
      <c r="O24" s="93">
        <f>'ACADEMIC SUPP 2yr'!O24+'STU SERVICES 2yr'!O24+'INST SUPPORT 2yr'!O24</f>
        <v>15073.025</v>
      </c>
      <c r="P24" s="93">
        <f>'ACADEMIC SUPP 2yr'!P24+'STU SERVICES 2yr'!P24+'INST SUPPORT 2yr'!P24</f>
        <v>11211.083999999999</v>
      </c>
      <c r="Q24" s="93">
        <f>'ACADEMIC SUPP 2yr'!Q24+'STU SERVICES 2yr'!Q24+'INST SUPPORT 2yr'!Q24</f>
        <v>26543.374</v>
      </c>
      <c r="R24" s="93">
        <f>'ACADEMIC SUPP 2yr'!R24+'STU SERVICES 2yr'!R24+'INST SUPPORT 2yr'!R24</f>
        <v>22416.698</v>
      </c>
      <c r="S24" s="93">
        <f>'ACADEMIC SUPP 2yr'!S24+'STU SERVICES 2yr'!S24+'INST SUPPORT 2yr'!S24</f>
        <v>27817.809000000001</v>
      </c>
      <c r="T24" s="93">
        <f>'ACADEMIC SUPP 2yr'!T24+'STU SERVICES 2yr'!T24+'INST SUPPORT 2yr'!T24</f>
        <v>29092.025000000001</v>
      </c>
      <c r="U24" s="93">
        <f>'ACADEMIC SUPP 2yr'!U24+'STU SERVICES 2yr'!U24+'INST SUPPORT 2yr'!U24</f>
        <v>34182.18</v>
      </c>
      <c r="V24" s="93">
        <f>'ACADEMIC SUPP 2yr'!V24+'STU SERVICES 2yr'!V24+'INST SUPPORT 2yr'!V24</f>
        <v>54129.369000000006</v>
      </c>
      <c r="W24" s="93">
        <f>'ACADEMIC SUPP 2yr'!W24+'STU SERVICES 2yr'!W24+'INST SUPPORT 2yr'!W24</f>
        <v>58781.717000000004</v>
      </c>
      <c r="X24" s="93">
        <f>'ACADEMIC SUPP 2yr'!X24+'STU SERVICES 2yr'!X24+'INST SUPPORT 2yr'!X24</f>
        <v>60462.646000000001</v>
      </c>
      <c r="Y24" s="93">
        <f>'ACADEMIC SUPP 2yr'!Y24+'STU SERVICES 2yr'!Y24+'INST SUPPORT 2yr'!Y24</f>
        <v>58759.879000000001</v>
      </c>
      <c r="Z24" s="93">
        <f>'ACADEMIC SUPP 2yr'!Z24+'STU SERVICES 2yr'!Z24+'INST SUPPORT 2yr'!Z24</f>
        <v>58207.549999999996</v>
      </c>
      <c r="AA24" s="93">
        <f>'ACADEMIC SUPP 2yr'!AA24+'STU SERVICES 2yr'!AA24+'INST SUPPORT 2yr'!AA24</f>
        <v>56209.148000000001</v>
      </c>
    </row>
    <row r="25" spans="1:27">
      <c r="A25" s="79" t="s">
        <v>120</v>
      </c>
      <c r="B25" s="90">
        <f>'ACADEMIC SUPP 2yr'!B25+'STU SERVICES 2yr'!B25+'INST SUPPORT 2yr'!B25</f>
        <v>0</v>
      </c>
      <c r="C25" s="90">
        <f>'ACADEMIC SUPP 2yr'!C25+'STU SERVICES 2yr'!C25+'INST SUPPORT 2yr'!C25</f>
        <v>0</v>
      </c>
      <c r="D25" s="90">
        <f>'ACADEMIC SUPP 2yr'!D25+'STU SERVICES 2yr'!D25+'INST SUPPORT 2yr'!D25</f>
        <v>0</v>
      </c>
      <c r="E25" s="90">
        <f>'ACADEMIC SUPP 2yr'!E25+'STU SERVICES 2yr'!E25+'INST SUPPORT 2yr'!E25</f>
        <v>0</v>
      </c>
      <c r="F25" s="90">
        <f>'ACADEMIC SUPP 2yr'!F25+'STU SERVICES 2yr'!F25+'INST SUPPORT 2yr'!F25</f>
        <v>1627812.1</v>
      </c>
      <c r="G25" s="90">
        <f>'ACADEMIC SUPP 2yr'!G25+'STU SERVICES 2yr'!G25+'INST SUPPORT 2yr'!G25</f>
        <v>0</v>
      </c>
      <c r="H25" s="90">
        <f>'ACADEMIC SUPP 2yr'!H25+'STU SERVICES 2yr'!H25+'INST SUPPORT 2yr'!H25</f>
        <v>0</v>
      </c>
      <c r="I25" s="90">
        <f>'ACADEMIC SUPP 2yr'!I25+'STU SERVICES 2yr'!I25+'INST SUPPORT 2yr'!I25</f>
        <v>1829733.6939999997</v>
      </c>
      <c r="J25" s="90">
        <f>'ACADEMIC SUPP 2yr'!J25+'STU SERVICES 2yr'!J25+'INST SUPPORT 2yr'!J25</f>
        <v>0</v>
      </c>
      <c r="K25" s="90">
        <f>'ACADEMIC SUPP 2yr'!K25+'STU SERVICES 2yr'!K25+'INST SUPPORT 2yr'!K25</f>
        <v>2426629.8560600001</v>
      </c>
      <c r="L25" s="90">
        <f>'ACADEMIC SUPP 2yr'!L25+'STU SERVICES 2yr'!L25+'INST SUPPORT 2yr'!L25</f>
        <v>2447697.679</v>
      </c>
      <c r="M25" s="90">
        <f>'ACADEMIC SUPP 2yr'!M25+'STU SERVICES 2yr'!M25+'INST SUPPORT 2yr'!M25</f>
        <v>2661769.5329999998</v>
      </c>
      <c r="N25" s="90">
        <f>'ACADEMIC SUPP 2yr'!N25+'STU SERVICES 2yr'!N25+'INST SUPPORT 2yr'!N25</f>
        <v>2735984.8480000002</v>
      </c>
      <c r="O25" s="90">
        <f>'ACADEMIC SUPP 2yr'!O25+'STU SERVICES 2yr'!O25+'INST SUPPORT 2yr'!O25</f>
        <v>2725507.6229999997</v>
      </c>
      <c r="P25" s="90">
        <f>'ACADEMIC SUPP 2yr'!P25+'STU SERVICES 2yr'!P25+'INST SUPPORT 2yr'!P25</f>
        <v>2700297.8880000003</v>
      </c>
      <c r="Q25" s="90">
        <f>'ACADEMIC SUPP 2yr'!Q25+'STU SERVICES 2yr'!Q25+'INST SUPPORT 2yr'!Q25</f>
        <v>3360018.5200000005</v>
      </c>
      <c r="R25" s="90">
        <f>'ACADEMIC SUPP 2yr'!R25+'STU SERVICES 2yr'!R25+'INST SUPPORT 2yr'!R25</f>
        <v>3591274.1220000004</v>
      </c>
      <c r="S25" s="90">
        <f>'ACADEMIC SUPP 2yr'!S25+'STU SERVICES 2yr'!S25+'INST SUPPORT 2yr'!S25</f>
        <v>3847289.8610000005</v>
      </c>
      <c r="T25" s="90">
        <f>'ACADEMIC SUPP 2yr'!T25+'STU SERVICES 2yr'!T25+'INST SUPPORT 2yr'!T25</f>
        <v>4324412.2630000003</v>
      </c>
      <c r="U25" s="90">
        <f>'ACADEMIC SUPP 2yr'!U25+'STU SERVICES 2yr'!U25+'INST SUPPORT 2yr'!U25</f>
        <v>4658324.3789999997</v>
      </c>
      <c r="V25" s="90">
        <f>'ACADEMIC SUPP 2yr'!V25+'STU SERVICES 2yr'!V25+'INST SUPPORT 2yr'!V25</f>
        <v>5163229.4019999998</v>
      </c>
      <c r="W25" s="90">
        <f>'ACADEMIC SUPP 2yr'!W25+'STU SERVICES 2yr'!W25+'INST SUPPORT 2yr'!W25</f>
        <v>5370953.6179999998</v>
      </c>
      <c r="X25" s="90">
        <f>'ACADEMIC SUPP 2yr'!X25+'STU SERVICES 2yr'!X25+'INST SUPPORT 2yr'!X25</f>
        <v>5400676.3619999997</v>
      </c>
      <c r="Y25" s="90">
        <f>'ACADEMIC SUPP 2yr'!Y25+'STU SERVICES 2yr'!Y25+'INST SUPPORT 2yr'!Y25</f>
        <v>3969323.7350000003</v>
      </c>
      <c r="Z25" s="90">
        <f>'ACADEMIC SUPP 2yr'!Z25+'STU SERVICES 2yr'!Z25+'INST SUPPORT 2yr'!Z25</f>
        <v>4174391.3930000002</v>
      </c>
      <c r="AA25" s="90">
        <f>'ACADEMIC SUPP 2yr'!AA25+'STU SERVICES 2yr'!AA25+'INST SUPPORT 2yr'!AA25</f>
        <v>4326771.8629999999</v>
      </c>
    </row>
    <row r="26" spans="1:27">
      <c r="A26" s="79" t="s">
        <v>119</v>
      </c>
      <c r="B26" s="90">
        <f>'ACADEMIC SUPP 2yr'!B26+'STU SERVICES 2yr'!B26+'INST SUPPORT 2yr'!B26</f>
        <v>0</v>
      </c>
      <c r="C26" s="90">
        <f>'ACADEMIC SUPP 2yr'!C26+'STU SERVICES 2yr'!C26+'INST SUPPORT 2yr'!C26</f>
        <v>0</v>
      </c>
      <c r="D26" s="90">
        <f>'ACADEMIC SUPP 2yr'!D26+'STU SERVICES 2yr'!D26+'INST SUPPORT 2yr'!D26</f>
        <v>0</v>
      </c>
      <c r="E26" s="90">
        <f>'ACADEMIC SUPP 2yr'!E26+'STU SERVICES 2yr'!E26+'INST SUPPORT 2yr'!E26</f>
        <v>0</v>
      </c>
      <c r="F26" s="90">
        <f>'ACADEMIC SUPP 2yr'!F26+'STU SERVICES 2yr'!F26+'INST SUPPORT 2yr'!F26</f>
        <v>0</v>
      </c>
      <c r="G26" s="90">
        <f>'ACADEMIC SUPP 2yr'!G26+'STU SERVICES 2yr'!G26+'INST SUPPORT 2yr'!G26</f>
        <v>0</v>
      </c>
      <c r="H26" s="90">
        <f>'ACADEMIC SUPP 2yr'!H26+'STU SERVICES 2yr'!H26+'INST SUPPORT 2yr'!H26</f>
        <v>0</v>
      </c>
      <c r="I26" s="90">
        <f>'ACADEMIC SUPP 2yr'!I26+'STU SERVICES 2yr'!I26+'INST SUPPORT 2yr'!I26</f>
        <v>0</v>
      </c>
      <c r="J26" s="90">
        <f>'ACADEMIC SUPP 2yr'!J26+'STU SERVICES 2yr'!J26+'INST SUPPORT 2yr'!J26</f>
        <v>0</v>
      </c>
      <c r="K26" s="90">
        <f>'ACADEMIC SUPP 2yr'!K26+'STU SERVICES 2yr'!K26+'INST SUPPORT 2yr'!K26</f>
        <v>0</v>
      </c>
      <c r="L26" s="90">
        <f>'ACADEMIC SUPP 2yr'!L26+'STU SERVICES 2yr'!L26+'INST SUPPORT 2yr'!L26</f>
        <v>0</v>
      </c>
      <c r="M26" s="90">
        <f>'ACADEMIC SUPP 2yr'!M26+'STU SERVICES 2yr'!M26+'INST SUPPORT 2yr'!M26</f>
        <v>0</v>
      </c>
      <c r="N26" s="90">
        <f>'ACADEMIC SUPP 2yr'!N26+'STU SERVICES 2yr'!N26+'INST SUPPORT 2yr'!N26</f>
        <v>0</v>
      </c>
      <c r="O26" s="90">
        <f>'ACADEMIC SUPP 2yr'!O26+'STU SERVICES 2yr'!O26+'INST SUPPORT 2yr'!O26</f>
        <v>0</v>
      </c>
      <c r="P26" s="90">
        <f>'ACADEMIC SUPP 2yr'!P26+'STU SERVICES 2yr'!P26+'INST SUPPORT 2yr'!P26</f>
        <v>0</v>
      </c>
      <c r="Q26" s="90">
        <f>'ACADEMIC SUPP 2yr'!Q26+'STU SERVICES 2yr'!Q26+'INST SUPPORT 2yr'!Q26</f>
        <v>0</v>
      </c>
      <c r="R26" s="90">
        <f>'ACADEMIC SUPP 2yr'!R26+'STU SERVICES 2yr'!R26+'INST SUPPORT 2yr'!R26</f>
        <v>0</v>
      </c>
      <c r="S26" s="90">
        <f>'ACADEMIC SUPP 2yr'!S26+'STU SERVICES 2yr'!S26+'INST SUPPORT 2yr'!S26</f>
        <v>0</v>
      </c>
      <c r="T26" s="90">
        <f>'ACADEMIC SUPP 2yr'!T26+'STU SERVICES 2yr'!T26+'INST SUPPORT 2yr'!T26</f>
        <v>0</v>
      </c>
      <c r="U26" s="90">
        <f>'ACADEMIC SUPP 2yr'!U26+'STU SERVICES 2yr'!U26+'INST SUPPORT 2yr'!U26</f>
        <v>0</v>
      </c>
      <c r="V26" s="90">
        <f>'ACADEMIC SUPP 2yr'!V26+'STU SERVICES 2yr'!V26+'INST SUPPORT 2yr'!V26</f>
        <v>0</v>
      </c>
      <c r="W26" s="90">
        <f>'ACADEMIC SUPP 2yr'!W26+'STU SERVICES 2yr'!W26+'INST SUPPORT 2yr'!W26</f>
        <v>0</v>
      </c>
      <c r="X26" s="90">
        <f>'ACADEMIC SUPP 2yr'!X26+'STU SERVICES 2yr'!X26+'INST SUPPORT 2yr'!X26</f>
        <v>0</v>
      </c>
      <c r="Y26" s="90">
        <f>'ACADEMIC SUPP 2yr'!Y26+'STU SERVICES 2yr'!Y26+'INST SUPPORT 2yr'!Y26</f>
        <v>0</v>
      </c>
      <c r="Z26" s="90">
        <f>'ACADEMIC SUPP 2yr'!Z26+'STU SERVICES 2yr'!Z26+'INST SUPPORT 2yr'!Z26</f>
        <v>0</v>
      </c>
      <c r="AA26" s="90">
        <f>'ACADEMIC SUPP 2yr'!AA26+'STU SERVICES 2yr'!AA26+'INST SUPPORT 2yr'!AA26</f>
        <v>0</v>
      </c>
    </row>
    <row r="27" spans="1:27">
      <c r="A27" s="23" t="s">
        <v>85</v>
      </c>
      <c r="B27" s="92">
        <f>'ACADEMIC SUPP 2yr'!B27+'STU SERVICES 2yr'!B27+'INST SUPPORT 2yr'!B27</f>
        <v>0</v>
      </c>
      <c r="C27" s="92">
        <f>'ACADEMIC SUPP 2yr'!C27+'STU SERVICES 2yr'!C27+'INST SUPPORT 2yr'!C27</f>
        <v>0</v>
      </c>
      <c r="D27" s="92">
        <f>'ACADEMIC SUPP 2yr'!D27+'STU SERVICES 2yr'!D27+'INST SUPPORT 2yr'!D27</f>
        <v>0</v>
      </c>
      <c r="E27" s="92">
        <f>'ACADEMIC SUPP 2yr'!E27+'STU SERVICES 2yr'!E27+'INST SUPPORT 2yr'!E27</f>
        <v>0</v>
      </c>
      <c r="F27" s="92">
        <f>'ACADEMIC SUPP 2yr'!F27+'STU SERVICES 2yr'!F27+'INST SUPPORT 2yr'!F27</f>
        <v>938.26300000000003</v>
      </c>
      <c r="G27" s="92">
        <f>'ACADEMIC SUPP 2yr'!G27+'STU SERVICES 2yr'!G27+'INST SUPPORT 2yr'!G27</f>
        <v>0</v>
      </c>
      <c r="H27" s="92">
        <f>'ACADEMIC SUPP 2yr'!H27+'STU SERVICES 2yr'!H27+'INST SUPPORT 2yr'!H27</f>
        <v>0</v>
      </c>
      <c r="I27" s="92">
        <f>'ACADEMIC SUPP 2yr'!I27+'STU SERVICES 2yr'!I27+'INST SUPPORT 2yr'!I27</f>
        <v>899.18899999999996</v>
      </c>
      <c r="J27" s="92">
        <f>'ACADEMIC SUPP 2yr'!J27+'STU SERVICES 2yr'!J27+'INST SUPPORT 2yr'!J27</f>
        <v>0</v>
      </c>
      <c r="K27" s="92">
        <f>'ACADEMIC SUPP 2yr'!K27+'STU SERVICES 2yr'!K27+'INST SUPPORT 2yr'!K27</f>
        <v>791.50800000000004</v>
      </c>
      <c r="L27" s="92">
        <f>'ACADEMIC SUPP 2yr'!L27+'STU SERVICES 2yr'!L27+'INST SUPPORT 2yr'!L27</f>
        <v>6445.1980000000003</v>
      </c>
      <c r="M27" s="92">
        <f>'ACADEMIC SUPP 2yr'!M27+'STU SERVICES 2yr'!M27+'INST SUPPORT 2yr'!M27</f>
        <v>993.62200000000007</v>
      </c>
      <c r="N27" s="92">
        <f>'ACADEMIC SUPP 2yr'!N27+'STU SERVICES 2yr'!N27+'INST SUPPORT 2yr'!N27</f>
        <v>6053.9169999999995</v>
      </c>
      <c r="O27" s="92">
        <f>'ACADEMIC SUPP 2yr'!O27+'STU SERVICES 2yr'!O27+'INST SUPPORT 2yr'!O27</f>
        <v>6472.3710000000001</v>
      </c>
      <c r="P27" s="92">
        <f>'ACADEMIC SUPP 2yr'!P27+'STU SERVICES 2yr'!P27+'INST SUPPORT 2yr'!P27</f>
        <v>6083.3240000000005</v>
      </c>
      <c r="Q27" s="92">
        <f>'ACADEMIC SUPP 2yr'!Q27+'STU SERVICES 2yr'!Q27+'INST SUPPORT 2yr'!Q27</f>
        <v>1039.6489999999999</v>
      </c>
      <c r="R27" s="92">
        <f>'ACADEMIC SUPP 2yr'!R27+'STU SERVICES 2yr'!R27+'INST SUPPORT 2yr'!R27</f>
        <v>5865.299</v>
      </c>
      <c r="S27" s="92">
        <f>'ACADEMIC SUPP 2yr'!S27+'STU SERVICES 2yr'!S27+'INST SUPPORT 2yr'!S27</f>
        <v>6338.4949999999999</v>
      </c>
      <c r="T27" s="92">
        <f>'ACADEMIC SUPP 2yr'!T27+'STU SERVICES 2yr'!T27+'INST SUPPORT 2yr'!T27</f>
        <v>6861.768</v>
      </c>
      <c r="U27" s="92">
        <f>'ACADEMIC SUPP 2yr'!U27+'STU SERVICES 2yr'!U27+'INST SUPPORT 2yr'!U27</f>
        <v>8423.8559999999998</v>
      </c>
      <c r="V27" s="92">
        <f>'ACADEMIC SUPP 2yr'!V27+'STU SERVICES 2yr'!V27+'INST SUPPORT 2yr'!V27</f>
        <v>9305.25</v>
      </c>
      <c r="W27" s="92">
        <f>'ACADEMIC SUPP 2yr'!W27+'STU SERVICES 2yr'!W27+'INST SUPPORT 2yr'!W27</f>
        <v>2877.846</v>
      </c>
      <c r="X27" s="92">
        <f>'ACADEMIC SUPP 2yr'!X27+'STU SERVICES 2yr'!X27+'INST SUPPORT 2yr'!X27</f>
        <v>10052.214</v>
      </c>
      <c r="Y27" s="92">
        <f>'ACADEMIC SUPP 2yr'!Y27+'STU SERVICES 2yr'!Y27+'INST SUPPORT 2yr'!Y27</f>
        <v>3125.473</v>
      </c>
      <c r="Z27" s="92">
        <f>'ACADEMIC SUPP 2yr'!Z27+'STU SERVICES 2yr'!Z27+'INST SUPPORT 2yr'!Z27</f>
        <v>0</v>
      </c>
      <c r="AA27" s="92">
        <f>'ACADEMIC SUPP 2yr'!AA27+'STU SERVICES 2yr'!AA27+'INST SUPPORT 2yr'!AA27</f>
        <v>0</v>
      </c>
    </row>
    <row r="28" spans="1:27">
      <c r="A28" s="23" t="s">
        <v>86</v>
      </c>
      <c r="B28" s="92">
        <f>'ACADEMIC SUPP 2yr'!B28+'STU SERVICES 2yr'!B28+'INST SUPPORT 2yr'!B28</f>
        <v>0</v>
      </c>
      <c r="C28" s="92">
        <f>'ACADEMIC SUPP 2yr'!C28+'STU SERVICES 2yr'!C28+'INST SUPPORT 2yr'!C28</f>
        <v>0</v>
      </c>
      <c r="D28" s="92">
        <f>'ACADEMIC SUPP 2yr'!D28+'STU SERVICES 2yr'!D28+'INST SUPPORT 2yr'!D28</f>
        <v>0</v>
      </c>
      <c r="E28" s="92">
        <f>'ACADEMIC SUPP 2yr'!E28+'STU SERVICES 2yr'!E28+'INST SUPPORT 2yr'!E28</f>
        <v>0</v>
      </c>
      <c r="F28" s="92">
        <f>'ACADEMIC SUPP 2yr'!F28+'STU SERVICES 2yr'!F28+'INST SUPPORT 2yr'!F28</f>
        <v>110914.788</v>
      </c>
      <c r="G28" s="92">
        <f>'ACADEMIC SUPP 2yr'!G28+'STU SERVICES 2yr'!G28+'INST SUPPORT 2yr'!G28</f>
        <v>0</v>
      </c>
      <c r="H28" s="92">
        <f>'ACADEMIC SUPP 2yr'!H28+'STU SERVICES 2yr'!H28+'INST SUPPORT 2yr'!H28</f>
        <v>0</v>
      </c>
      <c r="I28" s="92">
        <f>'ACADEMIC SUPP 2yr'!I28+'STU SERVICES 2yr'!I28+'INST SUPPORT 2yr'!I28</f>
        <v>127907.21600000001</v>
      </c>
      <c r="J28" s="92">
        <f>'ACADEMIC SUPP 2yr'!J28+'STU SERVICES 2yr'!J28+'INST SUPPORT 2yr'!J28</f>
        <v>0</v>
      </c>
      <c r="K28" s="92">
        <f>'ACADEMIC SUPP 2yr'!K28+'STU SERVICES 2yr'!K28+'INST SUPPORT 2yr'!K28</f>
        <v>177736.54728999999</v>
      </c>
      <c r="L28" s="92">
        <f>'ACADEMIC SUPP 2yr'!L28+'STU SERVICES 2yr'!L28+'INST SUPPORT 2yr'!L28</f>
        <v>191827.12199999997</v>
      </c>
      <c r="M28" s="92">
        <f>'ACADEMIC SUPP 2yr'!M28+'STU SERVICES 2yr'!M28+'INST SUPPORT 2yr'!M28</f>
        <v>206980.935</v>
      </c>
      <c r="N28" s="92">
        <f>'ACADEMIC SUPP 2yr'!N28+'STU SERVICES 2yr'!N28+'INST SUPPORT 2yr'!N28</f>
        <v>227726.34</v>
      </c>
      <c r="O28" s="92">
        <f>'ACADEMIC SUPP 2yr'!O28+'STU SERVICES 2yr'!O28+'INST SUPPORT 2yr'!O28</f>
        <v>238672.06799999997</v>
      </c>
      <c r="P28" s="92">
        <f>'ACADEMIC SUPP 2yr'!P28+'STU SERVICES 2yr'!P28+'INST SUPPORT 2yr'!P28</f>
        <v>262014.37300000002</v>
      </c>
      <c r="Q28" s="92">
        <f>'ACADEMIC SUPP 2yr'!Q28+'STU SERVICES 2yr'!Q28+'INST SUPPORT 2yr'!Q28</f>
        <v>279316.49400000001</v>
      </c>
      <c r="R28" s="92">
        <f>'ACADEMIC SUPP 2yr'!R28+'STU SERVICES 2yr'!R28+'INST SUPPORT 2yr'!R28</f>
        <v>305597.90399999998</v>
      </c>
      <c r="S28" s="92">
        <f>'ACADEMIC SUPP 2yr'!S28+'STU SERVICES 2yr'!S28+'INST SUPPORT 2yr'!S28</f>
        <v>330464.78099999996</v>
      </c>
      <c r="T28" s="92">
        <f>'ACADEMIC SUPP 2yr'!T28+'STU SERVICES 2yr'!T28+'INST SUPPORT 2yr'!T28</f>
        <v>380857.234</v>
      </c>
      <c r="U28" s="92">
        <f>'ACADEMIC SUPP 2yr'!U28+'STU SERVICES 2yr'!U28+'INST SUPPORT 2yr'!U28</f>
        <v>408755.40100000001</v>
      </c>
      <c r="V28" s="92">
        <f>'ACADEMIC SUPP 2yr'!V28+'STU SERVICES 2yr'!V28+'INST SUPPORT 2yr'!V28</f>
        <v>457308.72600000002</v>
      </c>
      <c r="W28" s="92">
        <f>'ACADEMIC SUPP 2yr'!W28+'STU SERVICES 2yr'!W28+'INST SUPPORT 2yr'!W28</f>
        <v>450516.54000000004</v>
      </c>
      <c r="X28" s="92">
        <f>'ACADEMIC SUPP 2yr'!X28+'STU SERVICES 2yr'!X28+'INST SUPPORT 2yr'!X28</f>
        <v>476891.88899999997</v>
      </c>
      <c r="Y28" s="92">
        <f>'ACADEMIC SUPP 2yr'!Y28+'STU SERVICES 2yr'!Y28+'INST SUPPORT 2yr'!Y28</f>
        <v>118251.595</v>
      </c>
      <c r="Z28" s="92">
        <f>'ACADEMIC SUPP 2yr'!Z28+'STU SERVICES 2yr'!Z28+'INST SUPPORT 2yr'!Z28</f>
        <v>121606.463</v>
      </c>
      <c r="AA28" s="92">
        <f>'ACADEMIC SUPP 2yr'!AA28+'STU SERVICES 2yr'!AA28+'INST SUPPORT 2yr'!AA28</f>
        <v>118740.395</v>
      </c>
    </row>
    <row r="29" spans="1:27">
      <c r="A29" s="23" t="s">
        <v>87</v>
      </c>
      <c r="B29" s="92">
        <f>'ACADEMIC SUPP 2yr'!B29+'STU SERVICES 2yr'!B29+'INST SUPPORT 2yr'!B29</f>
        <v>0</v>
      </c>
      <c r="C29" s="92">
        <f>'ACADEMIC SUPP 2yr'!C29+'STU SERVICES 2yr'!C29+'INST SUPPORT 2yr'!C29</f>
        <v>0</v>
      </c>
      <c r="D29" s="92">
        <f>'ACADEMIC SUPP 2yr'!D29+'STU SERVICES 2yr'!D29+'INST SUPPORT 2yr'!D29</f>
        <v>0</v>
      </c>
      <c r="E29" s="92">
        <f>'ACADEMIC SUPP 2yr'!E29+'STU SERVICES 2yr'!E29+'INST SUPPORT 2yr'!E29</f>
        <v>0</v>
      </c>
      <c r="F29" s="92">
        <f>'ACADEMIC SUPP 2yr'!F29+'STU SERVICES 2yr'!F29+'INST SUPPORT 2yr'!F29</f>
        <v>1026721.047</v>
      </c>
      <c r="G29" s="92">
        <f>'ACADEMIC SUPP 2yr'!G29+'STU SERVICES 2yr'!G29+'INST SUPPORT 2yr'!G29</f>
        <v>0</v>
      </c>
      <c r="H29" s="92">
        <f>'ACADEMIC SUPP 2yr'!H29+'STU SERVICES 2yr'!H29+'INST SUPPORT 2yr'!H29</f>
        <v>0</v>
      </c>
      <c r="I29" s="92">
        <f>'ACADEMIC SUPP 2yr'!I29+'STU SERVICES 2yr'!I29+'INST SUPPORT 2yr'!I29</f>
        <v>1103531.2779999999</v>
      </c>
      <c r="J29" s="92">
        <f>'ACADEMIC SUPP 2yr'!J29+'STU SERVICES 2yr'!J29+'INST SUPPORT 2yr'!J29</f>
        <v>0</v>
      </c>
      <c r="K29" s="92">
        <f>'ACADEMIC SUPP 2yr'!K29+'STU SERVICES 2yr'!K29+'INST SUPPORT 2yr'!K29</f>
        <v>1518681.4906600001</v>
      </c>
      <c r="L29" s="92">
        <f>'ACADEMIC SUPP 2yr'!L29+'STU SERVICES 2yr'!L29+'INST SUPPORT 2yr'!L29</f>
        <v>1408656.8429999999</v>
      </c>
      <c r="M29" s="92">
        <f>'ACADEMIC SUPP 2yr'!M29+'STU SERVICES 2yr'!M29+'INST SUPPORT 2yr'!M29</f>
        <v>1543726.2850000001</v>
      </c>
      <c r="N29" s="92">
        <f>'ACADEMIC SUPP 2yr'!N29+'STU SERVICES 2yr'!N29+'INST SUPPORT 2yr'!N29</f>
        <v>1541605.183</v>
      </c>
      <c r="O29" s="92">
        <f>'ACADEMIC SUPP 2yr'!O29+'STU SERVICES 2yr'!O29+'INST SUPPORT 2yr'!O29</f>
        <v>1475614.219</v>
      </c>
      <c r="P29" s="92">
        <f>'ACADEMIC SUPP 2yr'!P29+'STU SERVICES 2yr'!P29+'INST SUPPORT 2yr'!P29</f>
        <v>1457470.2439999999</v>
      </c>
      <c r="Q29" s="92">
        <f>'ACADEMIC SUPP 2yr'!Q29+'STU SERVICES 2yr'!Q29+'INST SUPPORT 2yr'!Q29</f>
        <v>2054696.534</v>
      </c>
      <c r="R29" s="92">
        <f>'ACADEMIC SUPP 2yr'!R29+'STU SERVICES 2yr'!R29+'INST SUPPORT 2yr'!R29</f>
        <v>2189498</v>
      </c>
      <c r="S29" s="92">
        <f>'ACADEMIC SUPP 2yr'!S29+'STU SERVICES 2yr'!S29+'INST SUPPORT 2yr'!S29</f>
        <v>2425306.588</v>
      </c>
      <c r="T29" s="92">
        <f>'ACADEMIC SUPP 2yr'!T29+'STU SERVICES 2yr'!T29+'INST SUPPORT 2yr'!T29</f>
        <v>2718573.7250000001</v>
      </c>
      <c r="U29" s="92">
        <f>'ACADEMIC SUPP 2yr'!U29+'STU SERVICES 2yr'!U29+'INST SUPPORT 2yr'!U29</f>
        <v>2793860</v>
      </c>
      <c r="V29" s="92">
        <f>'ACADEMIC SUPP 2yr'!V29+'STU SERVICES 2yr'!V29+'INST SUPPORT 2yr'!V29</f>
        <v>3093409.247</v>
      </c>
      <c r="W29" s="92">
        <f>'ACADEMIC SUPP 2yr'!W29+'STU SERVICES 2yr'!W29+'INST SUPPORT 2yr'!W29</f>
        <v>3246151.2699999996</v>
      </c>
      <c r="X29" s="92">
        <f>'ACADEMIC SUPP 2yr'!X29+'STU SERVICES 2yr'!X29+'INST SUPPORT 2yr'!X29</f>
        <v>3205697.7590000001</v>
      </c>
      <c r="Y29" s="92">
        <f>'ACADEMIC SUPP 2yr'!Y29+'STU SERVICES 2yr'!Y29+'INST SUPPORT 2yr'!Y29</f>
        <v>2369578.747</v>
      </c>
      <c r="Z29" s="92">
        <f>'ACADEMIC SUPP 2yr'!Z29+'STU SERVICES 2yr'!Z29+'INST SUPPORT 2yr'!Z29</f>
        <v>2456642.3489999999</v>
      </c>
      <c r="AA29" s="92">
        <f>'ACADEMIC SUPP 2yr'!AA29+'STU SERVICES 2yr'!AA29+'INST SUPPORT 2yr'!AA29</f>
        <v>2589255.1109999996</v>
      </c>
    </row>
    <row r="30" spans="1:27">
      <c r="A30" s="23" t="s">
        <v>88</v>
      </c>
      <c r="B30" s="92">
        <f>'ACADEMIC SUPP 2yr'!B30+'STU SERVICES 2yr'!B30+'INST SUPPORT 2yr'!B30</f>
        <v>0</v>
      </c>
      <c r="C30" s="92">
        <f>'ACADEMIC SUPP 2yr'!C30+'STU SERVICES 2yr'!C30+'INST SUPPORT 2yr'!C30</f>
        <v>0</v>
      </c>
      <c r="D30" s="92">
        <f>'ACADEMIC SUPP 2yr'!D30+'STU SERVICES 2yr'!D30+'INST SUPPORT 2yr'!D30</f>
        <v>0</v>
      </c>
      <c r="E30" s="92">
        <f>'ACADEMIC SUPP 2yr'!E30+'STU SERVICES 2yr'!E30+'INST SUPPORT 2yr'!E30</f>
        <v>0</v>
      </c>
      <c r="F30" s="92">
        <f>'ACADEMIC SUPP 2yr'!F30+'STU SERVICES 2yr'!F30+'INST SUPPORT 2yr'!F30</f>
        <v>64598.520999999993</v>
      </c>
      <c r="G30" s="92">
        <f>'ACADEMIC SUPP 2yr'!G30+'STU SERVICES 2yr'!G30+'INST SUPPORT 2yr'!G30</f>
        <v>0</v>
      </c>
      <c r="H30" s="92">
        <f>'ACADEMIC SUPP 2yr'!H30+'STU SERVICES 2yr'!H30+'INST SUPPORT 2yr'!H30</f>
        <v>0</v>
      </c>
      <c r="I30" s="92">
        <f>'ACADEMIC SUPP 2yr'!I30+'STU SERVICES 2yr'!I30+'INST SUPPORT 2yr'!I30</f>
        <v>79317.494000000006</v>
      </c>
      <c r="J30" s="92">
        <f>'ACADEMIC SUPP 2yr'!J30+'STU SERVICES 2yr'!J30+'INST SUPPORT 2yr'!J30</f>
        <v>0</v>
      </c>
      <c r="K30" s="92">
        <f>'ACADEMIC SUPP 2yr'!K30+'STU SERVICES 2yr'!K30+'INST SUPPORT 2yr'!K30</f>
        <v>90736.394</v>
      </c>
      <c r="L30" s="92">
        <f>'ACADEMIC SUPP 2yr'!L30+'STU SERVICES 2yr'!L30+'INST SUPPORT 2yr'!L30</f>
        <v>99642.774999999994</v>
      </c>
      <c r="M30" s="92">
        <f>'ACADEMIC SUPP 2yr'!M30+'STU SERVICES 2yr'!M30+'INST SUPPORT 2yr'!M30</f>
        <v>104862.81700000001</v>
      </c>
      <c r="N30" s="92">
        <f>'ACADEMIC SUPP 2yr'!N30+'STU SERVICES 2yr'!N30+'INST SUPPORT 2yr'!N30</f>
        <v>112013.54699999999</v>
      </c>
      <c r="O30" s="92">
        <f>'ACADEMIC SUPP 2yr'!O30+'STU SERVICES 2yr'!O30+'INST SUPPORT 2yr'!O30</f>
        <v>116608.715</v>
      </c>
      <c r="P30" s="92">
        <f>'ACADEMIC SUPP 2yr'!P30+'STU SERVICES 2yr'!P30+'INST SUPPORT 2yr'!P30</f>
        <v>115485.92200000001</v>
      </c>
      <c r="Q30" s="92">
        <f>'ACADEMIC SUPP 2yr'!Q30+'STU SERVICES 2yr'!Q30+'INST SUPPORT 2yr'!Q30</f>
        <v>114755.114</v>
      </c>
      <c r="R30" s="92">
        <f>'ACADEMIC SUPP 2yr'!R30+'STU SERVICES 2yr'!R30+'INST SUPPORT 2yr'!R30</f>
        <v>119502.228</v>
      </c>
      <c r="S30" s="92">
        <f>'ACADEMIC SUPP 2yr'!S30+'STU SERVICES 2yr'!S30+'INST SUPPORT 2yr'!S30</f>
        <v>122747.432</v>
      </c>
      <c r="T30" s="92">
        <f>'ACADEMIC SUPP 2yr'!T30+'STU SERVICES 2yr'!T30+'INST SUPPORT 2yr'!T30</f>
        <v>143454.68800000002</v>
      </c>
      <c r="U30" s="92">
        <f>'ACADEMIC SUPP 2yr'!U30+'STU SERVICES 2yr'!U30+'INST SUPPORT 2yr'!U30</f>
        <v>157042.17800000001</v>
      </c>
      <c r="V30" s="92">
        <f>'ACADEMIC SUPP 2yr'!V30+'STU SERVICES 2yr'!V30+'INST SUPPORT 2yr'!V30</f>
        <v>178908.47899999999</v>
      </c>
      <c r="W30" s="92">
        <f>'ACADEMIC SUPP 2yr'!W30+'STU SERVICES 2yr'!W30+'INST SUPPORT 2yr'!W30</f>
        <v>188836.747</v>
      </c>
      <c r="X30" s="92">
        <f>'ACADEMIC SUPP 2yr'!X30+'STU SERVICES 2yr'!X30+'INST SUPPORT 2yr'!X30</f>
        <v>203830.41899999999</v>
      </c>
      <c r="Y30" s="92">
        <f>'ACADEMIC SUPP 2yr'!Y30+'STU SERVICES 2yr'!Y30+'INST SUPPORT 2yr'!Y30</f>
        <v>112189.427</v>
      </c>
      <c r="Z30" s="92">
        <f>'ACADEMIC SUPP 2yr'!Z30+'STU SERVICES 2yr'!Z30+'INST SUPPORT 2yr'!Z30</f>
        <v>112492.53899999999</v>
      </c>
      <c r="AA30" s="92">
        <f>'ACADEMIC SUPP 2yr'!AA30+'STU SERVICES 2yr'!AA30+'INST SUPPORT 2yr'!AA30</f>
        <v>123011.315</v>
      </c>
    </row>
    <row r="31" spans="1:27">
      <c r="A31" s="23" t="s">
        <v>91</v>
      </c>
      <c r="B31" s="92">
        <f>'ACADEMIC SUPP 2yr'!B31+'STU SERVICES 2yr'!B31+'INST SUPPORT 2yr'!B31</f>
        <v>0</v>
      </c>
      <c r="C31" s="92">
        <f>'ACADEMIC SUPP 2yr'!C31+'STU SERVICES 2yr'!C31+'INST SUPPORT 2yr'!C31</f>
        <v>0</v>
      </c>
      <c r="D31" s="92">
        <f>'ACADEMIC SUPP 2yr'!D31+'STU SERVICES 2yr'!D31+'INST SUPPORT 2yr'!D31</f>
        <v>0</v>
      </c>
      <c r="E31" s="92">
        <f>'ACADEMIC SUPP 2yr'!E31+'STU SERVICES 2yr'!E31+'INST SUPPORT 2yr'!E31</f>
        <v>0</v>
      </c>
      <c r="F31" s="92">
        <f>'ACADEMIC SUPP 2yr'!F31+'STU SERVICES 2yr'!F31+'INST SUPPORT 2yr'!F31</f>
        <v>24752.267</v>
      </c>
      <c r="G31" s="92">
        <f>'ACADEMIC SUPP 2yr'!G31+'STU SERVICES 2yr'!G31+'INST SUPPORT 2yr'!G31</f>
        <v>0</v>
      </c>
      <c r="H31" s="92">
        <f>'ACADEMIC SUPP 2yr'!H31+'STU SERVICES 2yr'!H31+'INST SUPPORT 2yr'!H31</f>
        <v>0</v>
      </c>
      <c r="I31" s="92">
        <f>'ACADEMIC SUPP 2yr'!I31+'STU SERVICES 2yr'!I31+'INST SUPPORT 2yr'!I31</f>
        <v>28044.216999999997</v>
      </c>
      <c r="J31" s="92">
        <f>'ACADEMIC SUPP 2yr'!J31+'STU SERVICES 2yr'!J31+'INST SUPPORT 2yr'!J31</f>
        <v>0</v>
      </c>
      <c r="K31" s="92">
        <f>'ACADEMIC SUPP 2yr'!K31+'STU SERVICES 2yr'!K31+'INST SUPPORT 2yr'!K31</f>
        <v>36438.633000000002</v>
      </c>
      <c r="L31" s="92">
        <f>'ACADEMIC SUPP 2yr'!L31+'STU SERVICES 2yr'!L31+'INST SUPPORT 2yr'!L31</f>
        <v>37999.616000000002</v>
      </c>
      <c r="M31" s="92">
        <f>'ACADEMIC SUPP 2yr'!M31+'STU SERVICES 2yr'!M31+'INST SUPPORT 2yr'!M31</f>
        <v>37802.539000000004</v>
      </c>
      <c r="N31" s="92">
        <f>'ACADEMIC SUPP 2yr'!N31+'STU SERVICES 2yr'!N31+'INST SUPPORT 2yr'!N31</f>
        <v>41319.553</v>
      </c>
      <c r="O31" s="92">
        <f>'ACADEMIC SUPP 2yr'!O31+'STU SERVICES 2yr'!O31+'INST SUPPORT 2yr'!O31</f>
        <v>46324.735000000001</v>
      </c>
      <c r="P31" s="92">
        <f>'ACADEMIC SUPP 2yr'!P31+'STU SERVICES 2yr'!P31+'INST SUPPORT 2yr'!P31</f>
        <v>39362.032999999996</v>
      </c>
      <c r="Q31" s="92">
        <f>'ACADEMIC SUPP 2yr'!Q31+'STU SERVICES 2yr'!Q31+'INST SUPPORT 2yr'!Q31</f>
        <v>40472.375</v>
      </c>
      <c r="R31" s="92">
        <f>'ACADEMIC SUPP 2yr'!R31+'STU SERVICES 2yr'!R31+'INST SUPPORT 2yr'!R31</f>
        <v>41544.577999999994</v>
      </c>
      <c r="S31" s="92">
        <f>'ACADEMIC SUPP 2yr'!S31+'STU SERVICES 2yr'!S31+'INST SUPPORT 2yr'!S31</f>
        <v>47184.303999999996</v>
      </c>
      <c r="T31" s="92">
        <f>'ACADEMIC SUPP 2yr'!T31+'STU SERVICES 2yr'!T31+'INST SUPPORT 2yr'!T31</f>
        <v>53298.645000000004</v>
      </c>
      <c r="U31" s="92">
        <f>'ACADEMIC SUPP 2yr'!U31+'STU SERVICES 2yr'!U31+'INST SUPPORT 2yr'!U31</f>
        <v>73842.983999999997</v>
      </c>
      <c r="V31" s="92">
        <f>'ACADEMIC SUPP 2yr'!V31+'STU SERVICES 2yr'!V31+'INST SUPPORT 2yr'!V31</f>
        <v>79900.467999999993</v>
      </c>
      <c r="W31" s="92">
        <f>'ACADEMIC SUPP 2yr'!W31+'STU SERVICES 2yr'!W31+'INST SUPPORT 2yr'!W31</f>
        <v>82306.671000000002</v>
      </c>
      <c r="X31" s="92">
        <f>'ACADEMIC SUPP 2yr'!X31+'STU SERVICES 2yr'!X31+'INST SUPPORT 2yr'!X31</f>
        <v>83905.26</v>
      </c>
      <c r="Y31" s="92">
        <f>'ACADEMIC SUPP 2yr'!Y31+'STU SERVICES 2yr'!Y31+'INST SUPPORT 2yr'!Y31</f>
        <v>86700.82</v>
      </c>
      <c r="Z31" s="92">
        <f>'ACADEMIC SUPP 2yr'!Z31+'STU SERVICES 2yr'!Z31+'INST SUPPORT 2yr'!Z31</f>
        <v>90429.047999999995</v>
      </c>
      <c r="AA31" s="92">
        <f>'ACADEMIC SUPP 2yr'!AA31+'STU SERVICES 2yr'!AA31+'INST SUPPORT 2yr'!AA31</f>
        <v>87393.383999999991</v>
      </c>
    </row>
    <row r="32" spans="1:27">
      <c r="A32" s="23" t="s">
        <v>92</v>
      </c>
      <c r="B32" s="92">
        <f>'ACADEMIC SUPP 2yr'!B32+'STU SERVICES 2yr'!B32+'INST SUPPORT 2yr'!B32</f>
        <v>0</v>
      </c>
      <c r="C32" s="92">
        <f>'ACADEMIC SUPP 2yr'!C32+'STU SERVICES 2yr'!C32+'INST SUPPORT 2yr'!C32</f>
        <v>0</v>
      </c>
      <c r="D32" s="92">
        <f>'ACADEMIC SUPP 2yr'!D32+'STU SERVICES 2yr'!D32+'INST SUPPORT 2yr'!D32</f>
        <v>0</v>
      </c>
      <c r="E32" s="92">
        <f>'ACADEMIC SUPP 2yr'!E32+'STU SERVICES 2yr'!E32+'INST SUPPORT 2yr'!E32</f>
        <v>0</v>
      </c>
      <c r="F32" s="92">
        <f>'ACADEMIC SUPP 2yr'!F32+'STU SERVICES 2yr'!F32+'INST SUPPORT 2yr'!F32</f>
        <v>12615.936000000002</v>
      </c>
      <c r="G32" s="92">
        <f>'ACADEMIC SUPP 2yr'!G32+'STU SERVICES 2yr'!G32+'INST SUPPORT 2yr'!G32</f>
        <v>0</v>
      </c>
      <c r="H32" s="92">
        <f>'ACADEMIC SUPP 2yr'!H32+'STU SERVICES 2yr'!H32+'INST SUPPORT 2yr'!H32</f>
        <v>0</v>
      </c>
      <c r="I32" s="92">
        <f>'ACADEMIC SUPP 2yr'!I32+'STU SERVICES 2yr'!I32+'INST SUPPORT 2yr'!I32</f>
        <v>12039.642</v>
      </c>
      <c r="J32" s="92">
        <f>'ACADEMIC SUPP 2yr'!J32+'STU SERVICES 2yr'!J32+'INST SUPPORT 2yr'!J32</f>
        <v>0</v>
      </c>
      <c r="K32" s="92">
        <f>'ACADEMIC SUPP 2yr'!K32+'STU SERVICES 2yr'!K32+'INST SUPPORT 2yr'!K32</f>
        <v>14782.587</v>
      </c>
      <c r="L32" s="92">
        <f>'ACADEMIC SUPP 2yr'!L32+'STU SERVICES 2yr'!L32+'INST SUPPORT 2yr'!L32</f>
        <v>19737.912</v>
      </c>
      <c r="M32" s="92">
        <f>'ACADEMIC SUPP 2yr'!M32+'STU SERVICES 2yr'!M32+'INST SUPPORT 2yr'!M32</f>
        <v>22291.148999999998</v>
      </c>
      <c r="N32" s="92">
        <f>'ACADEMIC SUPP 2yr'!N32+'STU SERVICES 2yr'!N32+'INST SUPPORT 2yr'!N32</f>
        <v>24761.298000000003</v>
      </c>
      <c r="O32" s="92">
        <f>'ACADEMIC SUPP 2yr'!O32+'STU SERVICES 2yr'!O32+'INST SUPPORT 2yr'!O32</f>
        <v>24168.225999999999</v>
      </c>
      <c r="P32" s="92">
        <f>'ACADEMIC SUPP 2yr'!P32+'STU SERVICES 2yr'!P32+'INST SUPPORT 2yr'!P32</f>
        <v>26567.689000000002</v>
      </c>
      <c r="Q32" s="92">
        <f>'ACADEMIC SUPP 2yr'!Q32+'STU SERVICES 2yr'!Q32+'INST SUPPORT 2yr'!Q32</f>
        <v>28397.781000000003</v>
      </c>
      <c r="R32" s="92">
        <f>'ACADEMIC SUPP 2yr'!R32+'STU SERVICES 2yr'!R32+'INST SUPPORT 2yr'!R32</f>
        <v>30033.018</v>
      </c>
      <c r="S32" s="92">
        <f>'ACADEMIC SUPP 2yr'!S32+'STU SERVICES 2yr'!S32+'INST SUPPORT 2yr'!S32</f>
        <v>30189.3</v>
      </c>
      <c r="T32" s="92">
        <f>'ACADEMIC SUPP 2yr'!T32+'STU SERVICES 2yr'!T32+'INST SUPPORT 2yr'!T32</f>
        <v>34058.103999999999</v>
      </c>
      <c r="U32" s="92">
        <f>'ACADEMIC SUPP 2yr'!U32+'STU SERVICES 2yr'!U32+'INST SUPPORT 2yr'!U32</f>
        <v>36503.597999999998</v>
      </c>
      <c r="V32" s="92">
        <f>'ACADEMIC SUPP 2yr'!V32+'STU SERVICES 2yr'!V32+'INST SUPPORT 2yr'!V32</f>
        <v>42997.118000000002</v>
      </c>
      <c r="W32" s="92">
        <f>'ACADEMIC SUPP 2yr'!W32+'STU SERVICES 2yr'!W32+'INST SUPPORT 2yr'!W32</f>
        <v>40013.294000000002</v>
      </c>
      <c r="X32" s="92">
        <f>'ACADEMIC SUPP 2yr'!X32+'STU SERVICES 2yr'!X32+'INST SUPPORT 2yr'!X32</f>
        <v>58723.733999999997</v>
      </c>
      <c r="Y32" s="92">
        <f>'ACADEMIC SUPP 2yr'!Y32+'STU SERVICES 2yr'!Y32+'INST SUPPORT 2yr'!Y32</f>
        <v>48820.934000000001</v>
      </c>
      <c r="Z32" s="92">
        <f>'ACADEMIC SUPP 2yr'!Z32+'STU SERVICES 2yr'!Z32+'INST SUPPORT 2yr'!Z32</f>
        <v>54143.394</v>
      </c>
      <c r="AA32" s="92">
        <f>'ACADEMIC SUPP 2yr'!AA32+'STU SERVICES 2yr'!AA32+'INST SUPPORT 2yr'!AA32</f>
        <v>56787.654000000002</v>
      </c>
    </row>
    <row r="33" spans="1:27">
      <c r="A33" s="23" t="s">
        <v>100</v>
      </c>
      <c r="B33" s="90">
        <f>'ACADEMIC SUPP 2yr'!B33+'STU SERVICES 2yr'!B33+'INST SUPPORT 2yr'!B33</f>
        <v>0</v>
      </c>
      <c r="C33" s="90">
        <f>'ACADEMIC SUPP 2yr'!C33+'STU SERVICES 2yr'!C33+'INST SUPPORT 2yr'!C33</f>
        <v>0</v>
      </c>
      <c r="D33" s="90">
        <f>'ACADEMIC SUPP 2yr'!D33+'STU SERVICES 2yr'!D33+'INST SUPPORT 2yr'!D33</f>
        <v>0</v>
      </c>
      <c r="E33" s="90">
        <f>'ACADEMIC SUPP 2yr'!E33+'STU SERVICES 2yr'!E33+'INST SUPPORT 2yr'!E33</f>
        <v>0</v>
      </c>
      <c r="F33" s="90">
        <f>'ACADEMIC SUPP 2yr'!F33+'STU SERVICES 2yr'!F33+'INST SUPPORT 2yr'!F33</f>
        <v>10972.002</v>
      </c>
      <c r="G33" s="90">
        <f>'ACADEMIC SUPP 2yr'!G33+'STU SERVICES 2yr'!G33+'INST SUPPORT 2yr'!G33</f>
        <v>0</v>
      </c>
      <c r="H33" s="90">
        <f>'ACADEMIC SUPP 2yr'!H33+'STU SERVICES 2yr'!H33+'INST SUPPORT 2yr'!H33</f>
        <v>0</v>
      </c>
      <c r="I33" s="90">
        <f>'ACADEMIC SUPP 2yr'!I33+'STU SERVICES 2yr'!I33+'INST SUPPORT 2yr'!I33</f>
        <v>13045.137999999999</v>
      </c>
      <c r="J33" s="90">
        <f>'ACADEMIC SUPP 2yr'!J33+'STU SERVICES 2yr'!J33+'INST SUPPORT 2yr'!J33</f>
        <v>0</v>
      </c>
      <c r="K33" s="90">
        <f>'ACADEMIC SUPP 2yr'!K33+'STU SERVICES 2yr'!K33+'INST SUPPORT 2yr'!K33</f>
        <v>15986.999120000004</v>
      </c>
      <c r="L33" s="90">
        <f>'ACADEMIC SUPP 2yr'!L33+'STU SERVICES 2yr'!L33+'INST SUPPORT 2yr'!L33</f>
        <v>18365.402999999998</v>
      </c>
      <c r="M33" s="90">
        <f>'ACADEMIC SUPP 2yr'!M33+'STU SERVICES 2yr'!M33+'INST SUPPORT 2yr'!M33</f>
        <v>21451.012999999999</v>
      </c>
      <c r="N33" s="90">
        <f>'ACADEMIC SUPP 2yr'!N33+'STU SERVICES 2yr'!N33+'INST SUPPORT 2yr'!N33</f>
        <v>27776.741999999998</v>
      </c>
      <c r="O33" s="90">
        <f>'ACADEMIC SUPP 2yr'!O33+'STU SERVICES 2yr'!O33+'INST SUPPORT 2yr'!O33</f>
        <v>24256.826999999997</v>
      </c>
      <c r="P33" s="90">
        <f>'ACADEMIC SUPP 2yr'!P33+'STU SERVICES 2yr'!P33+'INST SUPPORT 2yr'!P33</f>
        <v>22875.246999999999</v>
      </c>
      <c r="Q33" s="90">
        <f>'ACADEMIC SUPP 2yr'!Q33+'STU SERVICES 2yr'!Q33+'INST SUPPORT 2yr'!Q33</f>
        <v>28314.992999999999</v>
      </c>
      <c r="R33" s="90">
        <f>'ACADEMIC SUPP 2yr'!R33+'STU SERVICES 2yr'!R33+'INST SUPPORT 2yr'!R33</f>
        <v>29177.71</v>
      </c>
      <c r="S33" s="90">
        <f>'ACADEMIC SUPP 2yr'!S33+'STU SERVICES 2yr'!S33+'INST SUPPORT 2yr'!S33</f>
        <v>27653.159</v>
      </c>
      <c r="T33" s="90">
        <f>'ACADEMIC SUPP 2yr'!T33+'STU SERVICES 2yr'!T33+'INST SUPPORT 2yr'!T33</f>
        <v>28565.235000000001</v>
      </c>
      <c r="U33" s="90">
        <f>'ACADEMIC SUPP 2yr'!U33+'STU SERVICES 2yr'!U33+'INST SUPPORT 2yr'!U33</f>
        <v>32465.532999999999</v>
      </c>
      <c r="V33" s="90">
        <f>'ACADEMIC SUPP 2yr'!V33+'STU SERVICES 2yr'!V33+'INST SUPPORT 2yr'!V33</f>
        <v>38308.415000000001</v>
      </c>
      <c r="W33" s="90">
        <f>'ACADEMIC SUPP 2yr'!W33+'STU SERVICES 2yr'!W33+'INST SUPPORT 2yr'!W33</f>
        <v>40632.972000000002</v>
      </c>
      <c r="X33" s="90">
        <f>'ACADEMIC SUPP 2yr'!X33+'STU SERVICES 2yr'!X33+'INST SUPPORT 2yr'!X33</f>
        <v>46295.440999999999</v>
      </c>
      <c r="Y33" s="90">
        <f>'ACADEMIC SUPP 2yr'!Y33+'STU SERVICES 2yr'!Y33+'INST SUPPORT 2yr'!Y33</f>
        <v>41398.207999999999</v>
      </c>
      <c r="Z33" s="90">
        <f>'ACADEMIC SUPP 2yr'!Z33+'STU SERVICES 2yr'!Z33+'INST SUPPORT 2yr'!Z33</f>
        <v>43510.881000000001</v>
      </c>
      <c r="AA33" s="90">
        <f>'ACADEMIC SUPP 2yr'!AA33+'STU SERVICES 2yr'!AA33+'INST SUPPORT 2yr'!AA33</f>
        <v>42921.292000000001</v>
      </c>
    </row>
    <row r="34" spans="1:27">
      <c r="A34" s="23" t="s">
        <v>102</v>
      </c>
      <c r="B34" s="90">
        <f>'ACADEMIC SUPP 2yr'!B34+'STU SERVICES 2yr'!B34+'INST SUPPORT 2yr'!B34</f>
        <v>0</v>
      </c>
      <c r="C34" s="90">
        <f>'ACADEMIC SUPP 2yr'!C34+'STU SERVICES 2yr'!C34+'INST SUPPORT 2yr'!C34</f>
        <v>0</v>
      </c>
      <c r="D34" s="90">
        <f>'ACADEMIC SUPP 2yr'!D34+'STU SERVICES 2yr'!D34+'INST SUPPORT 2yr'!D34</f>
        <v>0</v>
      </c>
      <c r="E34" s="90">
        <f>'ACADEMIC SUPP 2yr'!E34+'STU SERVICES 2yr'!E34+'INST SUPPORT 2yr'!E34</f>
        <v>0</v>
      </c>
      <c r="F34" s="90">
        <f>'ACADEMIC SUPP 2yr'!F34+'STU SERVICES 2yr'!F34+'INST SUPPORT 2yr'!F34</f>
        <v>18761.251</v>
      </c>
      <c r="G34" s="90">
        <f>'ACADEMIC SUPP 2yr'!G34+'STU SERVICES 2yr'!G34+'INST SUPPORT 2yr'!G34</f>
        <v>0</v>
      </c>
      <c r="H34" s="90">
        <f>'ACADEMIC SUPP 2yr'!H34+'STU SERVICES 2yr'!H34+'INST SUPPORT 2yr'!H34</f>
        <v>0</v>
      </c>
      <c r="I34" s="90">
        <f>'ACADEMIC SUPP 2yr'!I34+'STU SERVICES 2yr'!I34+'INST SUPPORT 2yr'!I34</f>
        <v>21458.553</v>
      </c>
      <c r="J34" s="90">
        <f>'ACADEMIC SUPP 2yr'!J34+'STU SERVICES 2yr'!J34+'INST SUPPORT 2yr'!J34</f>
        <v>0</v>
      </c>
      <c r="K34" s="90">
        <f>'ACADEMIC SUPP 2yr'!K34+'STU SERVICES 2yr'!K34+'INST SUPPORT 2yr'!K34</f>
        <v>31660</v>
      </c>
      <c r="L34" s="90">
        <f>'ACADEMIC SUPP 2yr'!L34+'STU SERVICES 2yr'!L34+'INST SUPPORT 2yr'!L34</f>
        <v>38473.904000000002</v>
      </c>
      <c r="M34" s="90">
        <f>'ACADEMIC SUPP 2yr'!M34+'STU SERVICES 2yr'!M34+'INST SUPPORT 2yr'!M34</f>
        <v>40477</v>
      </c>
      <c r="N34" s="90">
        <f>'ACADEMIC SUPP 2yr'!N34+'STU SERVICES 2yr'!N34+'INST SUPPORT 2yr'!N34</f>
        <v>44676.194000000003</v>
      </c>
      <c r="O34" s="90">
        <f>'ACADEMIC SUPP 2yr'!O34+'STU SERVICES 2yr'!O34+'INST SUPPORT 2yr'!O34</f>
        <v>49268</v>
      </c>
      <c r="P34" s="90">
        <f>'ACADEMIC SUPP 2yr'!P34+'STU SERVICES 2yr'!P34+'INST SUPPORT 2yr'!P34</f>
        <v>24122</v>
      </c>
      <c r="Q34" s="90">
        <f>'ACADEMIC SUPP 2yr'!Q34+'STU SERVICES 2yr'!Q34+'INST SUPPORT 2yr'!Q34</f>
        <v>26980</v>
      </c>
      <c r="R34" s="90">
        <f>'ACADEMIC SUPP 2yr'!R34+'STU SERVICES 2yr'!R34+'INST SUPPORT 2yr'!R34</f>
        <v>30766.9</v>
      </c>
      <c r="S34" s="90">
        <f>'ACADEMIC SUPP 2yr'!S34+'STU SERVICES 2yr'!S34+'INST SUPPORT 2yr'!S34</f>
        <v>21872</v>
      </c>
      <c r="T34" s="90">
        <f>'ACADEMIC SUPP 2yr'!T34+'STU SERVICES 2yr'!T34+'INST SUPPORT 2yr'!T34</f>
        <v>22991</v>
      </c>
      <c r="U34" s="90">
        <f>'ACADEMIC SUPP 2yr'!U34+'STU SERVICES 2yr'!U34+'INST SUPPORT 2yr'!U34</f>
        <v>88003.467000000004</v>
      </c>
      <c r="V34" s="90">
        <f>'ACADEMIC SUPP 2yr'!V34+'STU SERVICES 2yr'!V34+'INST SUPPORT 2yr'!V34</f>
        <v>99840.915000000008</v>
      </c>
      <c r="W34" s="90">
        <f>'ACADEMIC SUPP 2yr'!W34+'STU SERVICES 2yr'!W34+'INST SUPPORT 2yr'!W34</f>
        <v>101190.59599999999</v>
      </c>
      <c r="X34" s="90">
        <f>'ACADEMIC SUPP 2yr'!X34+'STU SERVICES 2yr'!X34+'INST SUPPORT 2yr'!X34</f>
        <v>95522.553</v>
      </c>
      <c r="Y34" s="90">
        <f>'ACADEMIC SUPP 2yr'!Y34+'STU SERVICES 2yr'!Y34+'INST SUPPORT 2yr'!Y34</f>
        <v>97930.705000000002</v>
      </c>
      <c r="Z34" s="90">
        <f>'ACADEMIC SUPP 2yr'!Z34+'STU SERVICES 2yr'!Z34+'INST SUPPORT 2yr'!Z34</f>
        <v>105148.057</v>
      </c>
      <c r="AA34" s="90">
        <f>'ACADEMIC SUPP 2yr'!AA34+'STU SERVICES 2yr'!AA34+'INST SUPPORT 2yr'!AA34</f>
        <v>104578.84299999999</v>
      </c>
    </row>
    <row r="35" spans="1:27">
      <c r="A35" s="23" t="s">
        <v>105</v>
      </c>
      <c r="B35" s="90">
        <f>'ACADEMIC SUPP 2yr'!B35+'STU SERVICES 2yr'!B35+'INST SUPPORT 2yr'!B35</f>
        <v>0</v>
      </c>
      <c r="C35" s="90">
        <f>'ACADEMIC SUPP 2yr'!C35+'STU SERVICES 2yr'!C35+'INST SUPPORT 2yr'!C35</f>
        <v>0</v>
      </c>
      <c r="D35" s="90">
        <f>'ACADEMIC SUPP 2yr'!D35+'STU SERVICES 2yr'!D35+'INST SUPPORT 2yr'!D35</f>
        <v>0</v>
      </c>
      <c r="E35" s="90">
        <f>'ACADEMIC SUPP 2yr'!E35+'STU SERVICES 2yr'!E35+'INST SUPPORT 2yr'!E35</f>
        <v>0</v>
      </c>
      <c r="F35" s="90">
        <f>'ACADEMIC SUPP 2yr'!F35+'STU SERVICES 2yr'!F35+'INST SUPPORT 2yr'!F35</f>
        <v>41741.281999999999</v>
      </c>
      <c r="G35" s="90">
        <f>'ACADEMIC SUPP 2yr'!G35+'STU SERVICES 2yr'!G35+'INST SUPPORT 2yr'!G35</f>
        <v>0</v>
      </c>
      <c r="H35" s="90">
        <f>'ACADEMIC SUPP 2yr'!H35+'STU SERVICES 2yr'!H35+'INST SUPPORT 2yr'!H35</f>
        <v>0</v>
      </c>
      <c r="I35" s="90">
        <f>'ACADEMIC SUPP 2yr'!I35+'STU SERVICES 2yr'!I35+'INST SUPPORT 2yr'!I35</f>
        <v>57859.673999999999</v>
      </c>
      <c r="J35" s="90">
        <f>'ACADEMIC SUPP 2yr'!J35+'STU SERVICES 2yr'!J35+'INST SUPPORT 2yr'!J35</f>
        <v>0</v>
      </c>
      <c r="K35" s="90">
        <f>'ACADEMIC SUPP 2yr'!K35+'STU SERVICES 2yr'!K35+'INST SUPPORT 2yr'!K35</f>
        <v>73544.107719999985</v>
      </c>
      <c r="L35" s="90">
        <f>'ACADEMIC SUPP 2yr'!L35+'STU SERVICES 2yr'!L35+'INST SUPPORT 2yr'!L35</f>
        <v>90679.604999999996</v>
      </c>
      <c r="M35" s="90">
        <f>'ACADEMIC SUPP 2yr'!M35+'STU SERVICES 2yr'!M35+'INST SUPPORT 2yr'!M35</f>
        <v>86711.600999999995</v>
      </c>
      <c r="N35" s="90">
        <f>'ACADEMIC SUPP 2yr'!N35+'STU SERVICES 2yr'!N35+'INST SUPPORT 2yr'!N35</f>
        <v>93814.616000000009</v>
      </c>
      <c r="O35" s="90">
        <f>'ACADEMIC SUPP 2yr'!O35+'STU SERVICES 2yr'!O35+'INST SUPPORT 2yr'!O35</f>
        <v>99893.865000000005</v>
      </c>
      <c r="P35" s="90">
        <f>'ACADEMIC SUPP 2yr'!P35+'STU SERVICES 2yr'!P35+'INST SUPPORT 2yr'!P35</f>
        <v>101915.946</v>
      </c>
      <c r="Q35" s="90">
        <f>'ACADEMIC SUPP 2yr'!Q35+'STU SERVICES 2yr'!Q35+'INST SUPPORT 2yr'!Q35</f>
        <v>108459.18399999999</v>
      </c>
      <c r="R35" s="90">
        <f>'ACADEMIC SUPP 2yr'!R35+'STU SERVICES 2yr'!R35+'INST SUPPORT 2yr'!R35</f>
        <v>116123.59400000001</v>
      </c>
      <c r="S35" s="90">
        <f>'ACADEMIC SUPP 2yr'!S35+'STU SERVICES 2yr'!S35+'INST SUPPORT 2yr'!S35</f>
        <v>123891.51000000001</v>
      </c>
      <c r="T35" s="90">
        <f>'ACADEMIC SUPP 2yr'!T35+'STU SERVICES 2yr'!T35+'INST SUPPORT 2yr'!T35</f>
        <v>133113.179</v>
      </c>
      <c r="U35" s="90">
        <f>'ACADEMIC SUPP 2yr'!U35+'STU SERVICES 2yr'!U35+'INST SUPPORT 2yr'!U35</f>
        <v>155904.71400000001</v>
      </c>
      <c r="V35" s="90">
        <f>'ACADEMIC SUPP 2yr'!V35+'STU SERVICES 2yr'!V35+'INST SUPPORT 2yr'!V35</f>
        <v>170056.22499999998</v>
      </c>
      <c r="W35" s="90">
        <f>'ACADEMIC SUPP 2yr'!W35+'STU SERVICES 2yr'!W35+'INST SUPPORT 2yr'!W35</f>
        <v>185162.15000000002</v>
      </c>
      <c r="X35" s="90">
        <f>'ACADEMIC SUPP 2yr'!X35+'STU SERVICES 2yr'!X35+'INST SUPPORT 2yr'!X35</f>
        <v>191033.71799999999</v>
      </c>
      <c r="Y35" s="90">
        <f>'ACADEMIC SUPP 2yr'!Y35+'STU SERVICES 2yr'!Y35+'INST SUPPORT 2yr'!Y35</f>
        <v>130027.128</v>
      </c>
      <c r="Z35" s="90">
        <f>'ACADEMIC SUPP 2yr'!Z35+'STU SERVICES 2yr'!Z35+'INST SUPPORT 2yr'!Z35</f>
        <v>144221.658</v>
      </c>
      <c r="AA35" s="90">
        <f>'ACADEMIC SUPP 2yr'!AA35+'STU SERVICES 2yr'!AA35+'INST SUPPORT 2yr'!AA35</f>
        <v>147426.092</v>
      </c>
    </row>
    <row r="36" spans="1:27">
      <c r="A36" s="23" t="s">
        <v>109</v>
      </c>
      <c r="B36" s="90">
        <f>'ACADEMIC SUPP 2yr'!B36+'STU SERVICES 2yr'!B36+'INST SUPPORT 2yr'!B36</f>
        <v>0</v>
      </c>
      <c r="C36" s="90">
        <f>'ACADEMIC SUPP 2yr'!C36+'STU SERVICES 2yr'!C36+'INST SUPPORT 2yr'!C36</f>
        <v>0</v>
      </c>
      <c r="D36" s="90">
        <f>'ACADEMIC SUPP 2yr'!D36+'STU SERVICES 2yr'!D36+'INST SUPPORT 2yr'!D36</f>
        <v>0</v>
      </c>
      <c r="E36" s="90">
        <f>'ACADEMIC SUPP 2yr'!E36+'STU SERVICES 2yr'!E36+'INST SUPPORT 2yr'!E36</f>
        <v>0</v>
      </c>
      <c r="F36" s="90">
        <f>'ACADEMIC SUPP 2yr'!F36+'STU SERVICES 2yr'!F36+'INST SUPPORT 2yr'!F36</f>
        <v>100156.628</v>
      </c>
      <c r="G36" s="90">
        <f>'ACADEMIC SUPP 2yr'!G36+'STU SERVICES 2yr'!G36+'INST SUPPORT 2yr'!G36</f>
        <v>0</v>
      </c>
      <c r="H36" s="90">
        <f>'ACADEMIC SUPP 2yr'!H36+'STU SERVICES 2yr'!H36+'INST SUPPORT 2yr'!H36</f>
        <v>0</v>
      </c>
      <c r="I36" s="90">
        <f>'ACADEMIC SUPP 2yr'!I36+'STU SERVICES 2yr'!I36+'INST SUPPORT 2yr'!I36</f>
        <v>132686.76500000001</v>
      </c>
      <c r="J36" s="90">
        <f>'ACADEMIC SUPP 2yr'!J36+'STU SERVICES 2yr'!J36+'INST SUPPORT 2yr'!J36</f>
        <v>0</v>
      </c>
      <c r="K36" s="90">
        <f>'ACADEMIC SUPP 2yr'!K36+'STU SERVICES 2yr'!K36+'INST SUPPORT 2yr'!K36</f>
        <v>164640.21223</v>
      </c>
      <c r="L36" s="90">
        <f>'ACADEMIC SUPP 2yr'!L36+'STU SERVICES 2yr'!L36+'INST SUPPORT 2yr'!L36</f>
        <v>187356.095</v>
      </c>
      <c r="M36" s="90">
        <f>'ACADEMIC SUPP 2yr'!M36+'STU SERVICES 2yr'!M36+'INST SUPPORT 2yr'!M36</f>
        <v>202996.72899999999</v>
      </c>
      <c r="N36" s="90">
        <f>'ACADEMIC SUPP 2yr'!N36+'STU SERVICES 2yr'!N36+'INST SUPPORT 2yr'!N36</f>
        <v>213847.91999999998</v>
      </c>
      <c r="O36" s="90">
        <f>'ACADEMIC SUPP 2yr'!O36+'STU SERVICES 2yr'!O36+'INST SUPPORT 2yr'!O36</f>
        <v>225579.81899999999</v>
      </c>
      <c r="P36" s="90">
        <f>'ACADEMIC SUPP 2yr'!P36+'STU SERVICES 2yr'!P36+'INST SUPPORT 2yr'!P36</f>
        <v>210339.36300000001</v>
      </c>
      <c r="Q36" s="90">
        <f>'ACADEMIC SUPP 2yr'!Q36+'STU SERVICES 2yr'!Q36+'INST SUPPORT 2yr'!Q36</f>
        <v>230521.16200000001</v>
      </c>
      <c r="R36" s="90">
        <f>'ACADEMIC SUPP 2yr'!R36+'STU SERVICES 2yr'!R36+'INST SUPPORT 2yr'!R36</f>
        <v>247057.9</v>
      </c>
      <c r="S36" s="90">
        <f>'ACADEMIC SUPP 2yr'!S36+'STU SERVICES 2yr'!S36+'INST SUPPORT 2yr'!S36</f>
        <v>250716.908</v>
      </c>
      <c r="T36" s="90">
        <f>'ACADEMIC SUPP 2yr'!T36+'STU SERVICES 2yr'!T36+'INST SUPPORT 2yr'!T36</f>
        <v>285003.93799999997</v>
      </c>
      <c r="U36" s="90">
        <f>'ACADEMIC SUPP 2yr'!U36+'STU SERVICES 2yr'!U36+'INST SUPPORT 2yr'!U36</f>
        <v>318974.902</v>
      </c>
      <c r="V36" s="90">
        <f>'ACADEMIC SUPP 2yr'!V36+'STU SERVICES 2yr'!V36+'INST SUPPORT 2yr'!V36</f>
        <v>322466.31</v>
      </c>
      <c r="W36" s="90">
        <f>'ACADEMIC SUPP 2yr'!W36+'STU SERVICES 2yr'!W36+'INST SUPPORT 2yr'!W36</f>
        <v>336589.63</v>
      </c>
      <c r="X36" s="90">
        <f>'ACADEMIC SUPP 2yr'!X36+'STU SERVICES 2yr'!X36+'INST SUPPORT 2yr'!X36</f>
        <v>363451.24</v>
      </c>
      <c r="Y36" s="90">
        <f>'ACADEMIC SUPP 2yr'!Y36+'STU SERVICES 2yr'!Y36+'INST SUPPORT 2yr'!Y36</f>
        <v>355128.90899999999</v>
      </c>
      <c r="Z36" s="90">
        <f>'ACADEMIC SUPP 2yr'!Z36+'STU SERVICES 2yr'!Z36+'INST SUPPORT 2yr'!Z36</f>
        <v>361727.592</v>
      </c>
      <c r="AA36" s="90">
        <f>'ACADEMIC SUPP 2yr'!AA36+'STU SERVICES 2yr'!AA36+'INST SUPPORT 2yr'!AA36</f>
        <v>328456.62199999997</v>
      </c>
    </row>
    <row r="37" spans="1:27">
      <c r="A37" s="23" t="s">
        <v>113</v>
      </c>
      <c r="B37" s="90">
        <f>'ACADEMIC SUPP 2yr'!B37+'STU SERVICES 2yr'!B37+'INST SUPPORT 2yr'!B37</f>
        <v>0</v>
      </c>
      <c r="C37" s="90">
        <f>'ACADEMIC SUPP 2yr'!C37+'STU SERVICES 2yr'!C37+'INST SUPPORT 2yr'!C37</f>
        <v>0</v>
      </c>
      <c r="D37" s="90">
        <f>'ACADEMIC SUPP 2yr'!D37+'STU SERVICES 2yr'!D37+'INST SUPPORT 2yr'!D37</f>
        <v>0</v>
      </c>
      <c r="E37" s="90">
        <f>'ACADEMIC SUPP 2yr'!E37+'STU SERVICES 2yr'!E37+'INST SUPPORT 2yr'!E37</f>
        <v>0</v>
      </c>
      <c r="F37" s="90">
        <f>'ACADEMIC SUPP 2yr'!F37+'STU SERVICES 2yr'!F37+'INST SUPPORT 2yr'!F37</f>
        <v>40902.290999999997</v>
      </c>
      <c r="G37" s="90">
        <f>'ACADEMIC SUPP 2yr'!G37+'STU SERVICES 2yr'!G37+'INST SUPPORT 2yr'!G37</f>
        <v>0</v>
      </c>
      <c r="H37" s="90">
        <f>'ACADEMIC SUPP 2yr'!H37+'STU SERVICES 2yr'!H37+'INST SUPPORT 2yr'!H37</f>
        <v>0</v>
      </c>
      <c r="I37" s="90">
        <f>'ACADEMIC SUPP 2yr'!I37+'STU SERVICES 2yr'!I37+'INST SUPPORT 2yr'!I37</f>
        <v>39136.190999999999</v>
      </c>
      <c r="J37" s="90">
        <f>'ACADEMIC SUPP 2yr'!J37+'STU SERVICES 2yr'!J37+'INST SUPPORT 2yr'!J37</f>
        <v>0</v>
      </c>
      <c r="K37" s="90">
        <f>'ACADEMIC SUPP 2yr'!K37+'STU SERVICES 2yr'!K37+'INST SUPPORT 2yr'!K37</f>
        <v>45301.240000000005</v>
      </c>
      <c r="L37" s="90">
        <f>'ACADEMIC SUPP 2yr'!L37+'STU SERVICES 2yr'!L37+'INST SUPPORT 2yr'!L37</f>
        <v>44127.430999999997</v>
      </c>
      <c r="M37" s="90">
        <f>'ACADEMIC SUPP 2yr'!M37+'STU SERVICES 2yr'!M37+'INST SUPPORT 2yr'!M37</f>
        <v>50991.195999999996</v>
      </c>
      <c r="N37" s="90">
        <f>'ACADEMIC SUPP 2yr'!N37+'STU SERVICES 2yr'!N37+'INST SUPPORT 2yr'!N37</f>
        <v>56564.157000000007</v>
      </c>
      <c r="O37" s="90">
        <f>'ACADEMIC SUPP 2yr'!O37+'STU SERVICES 2yr'!O37+'INST SUPPORT 2yr'!O37</f>
        <v>57385.065000000002</v>
      </c>
      <c r="P37" s="90">
        <f>'ACADEMIC SUPP 2yr'!P37+'STU SERVICES 2yr'!P37+'INST SUPPORT 2yr'!P37</f>
        <v>64043.433000000005</v>
      </c>
      <c r="Q37" s="90">
        <f>'ACADEMIC SUPP 2yr'!Q37+'STU SERVICES 2yr'!Q37+'INST SUPPORT 2yr'!Q37</f>
        <v>64952.260000000009</v>
      </c>
      <c r="R37" s="90">
        <f>'ACADEMIC SUPP 2yr'!R37+'STU SERVICES 2yr'!R37+'INST SUPPORT 2yr'!R37</f>
        <v>65721.683000000005</v>
      </c>
      <c r="S37" s="90">
        <f>'ACADEMIC SUPP 2yr'!S37+'STU SERVICES 2yr'!S37+'INST SUPPORT 2yr'!S37</f>
        <v>74393.415000000008</v>
      </c>
      <c r="T37" s="90">
        <f>'ACADEMIC SUPP 2yr'!T37+'STU SERVICES 2yr'!T37+'INST SUPPORT 2yr'!T37</f>
        <v>80922.31700000001</v>
      </c>
      <c r="U37" s="90">
        <f>'ACADEMIC SUPP 2yr'!U37+'STU SERVICES 2yr'!U37+'INST SUPPORT 2yr'!U37</f>
        <v>83314.332999999999</v>
      </c>
      <c r="V37" s="90">
        <f>'ACADEMIC SUPP 2yr'!V37+'STU SERVICES 2yr'!V37+'INST SUPPORT 2yr'!V37</f>
        <v>89243.815999999992</v>
      </c>
      <c r="W37" s="90">
        <f>'ACADEMIC SUPP 2yr'!W37+'STU SERVICES 2yr'!W37+'INST SUPPORT 2yr'!W37</f>
        <v>95060.295000000013</v>
      </c>
      <c r="X37" s="90">
        <f>'ACADEMIC SUPP 2yr'!X37+'STU SERVICES 2yr'!X37+'INST SUPPORT 2yr'!X37</f>
        <v>77078.134999999995</v>
      </c>
      <c r="Y37" s="90">
        <f>'ACADEMIC SUPP 2yr'!Y37+'STU SERVICES 2yr'!Y37+'INST SUPPORT 2yr'!Y37</f>
        <v>111774.588</v>
      </c>
      <c r="Z37" s="90">
        <f>'ACADEMIC SUPP 2yr'!Z37+'STU SERVICES 2yr'!Z37+'INST SUPPORT 2yr'!Z37</f>
        <v>115606.73300000001</v>
      </c>
      <c r="AA37" s="90">
        <f>'ACADEMIC SUPP 2yr'!AA37+'STU SERVICES 2yr'!AA37+'INST SUPPORT 2yr'!AA37</f>
        <v>125356.201</v>
      </c>
    </row>
    <row r="38" spans="1:27">
      <c r="A38" s="23" t="s">
        <v>115</v>
      </c>
      <c r="B38" s="90">
        <f>'ACADEMIC SUPP 2yr'!B38+'STU SERVICES 2yr'!B38+'INST SUPPORT 2yr'!B38</f>
        <v>0</v>
      </c>
      <c r="C38" s="90">
        <f>'ACADEMIC SUPP 2yr'!C38+'STU SERVICES 2yr'!C38+'INST SUPPORT 2yr'!C38</f>
        <v>0</v>
      </c>
      <c r="D38" s="90">
        <f>'ACADEMIC SUPP 2yr'!D38+'STU SERVICES 2yr'!D38+'INST SUPPORT 2yr'!D38</f>
        <v>0</v>
      </c>
      <c r="E38" s="90">
        <f>'ACADEMIC SUPP 2yr'!E38+'STU SERVICES 2yr'!E38+'INST SUPPORT 2yr'!E38</f>
        <v>0</v>
      </c>
      <c r="F38" s="90">
        <f>'ACADEMIC SUPP 2yr'!F38+'STU SERVICES 2yr'!F38+'INST SUPPORT 2yr'!F38</f>
        <v>150052.01500000001</v>
      </c>
      <c r="G38" s="90">
        <f>'ACADEMIC SUPP 2yr'!G38+'STU SERVICES 2yr'!G38+'INST SUPPORT 2yr'!G38</f>
        <v>0</v>
      </c>
      <c r="H38" s="90">
        <f>'ACADEMIC SUPP 2yr'!H38+'STU SERVICES 2yr'!H38+'INST SUPPORT 2yr'!H38</f>
        <v>0</v>
      </c>
      <c r="I38" s="90">
        <f>'ACADEMIC SUPP 2yr'!I38+'STU SERVICES 2yr'!I38+'INST SUPPORT 2yr'!I38</f>
        <v>188900.72899999999</v>
      </c>
      <c r="J38" s="90">
        <f>'ACADEMIC SUPP 2yr'!J38+'STU SERVICES 2yr'!J38+'INST SUPPORT 2yr'!J38</f>
        <v>0</v>
      </c>
      <c r="K38" s="90">
        <f>'ACADEMIC SUPP 2yr'!K38+'STU SERVICES 2yr'!K38+'INST SUPPORT 2yr'!K38</f>
        <v>229165.67604000002</v>
      </c>
      <c r="L38" s="90">
        <f>'ACADEMIC SUPP 2yr'!L38+'STU SERVICES 2yr'!L38+'INST SUPPORT 2yr'!L38</f>
        <v>273000.109</v>
      </c>
      <c r="M38" s="90">
        <f>'ACADEMIC SUPP 2yr'!M38+'STU SERVICES 2yr'!M38+'INST SUPPORT 2yr'!M38</f>
        <v>309315.05700000003</v>
      </c>
      <c r="N38" s="90">
        <f>'ACADEMIC SUPP 2yr'!N38+'STU SERVICES 2yr'!N38+'INST SUPPORT 2yr'!N38</f>
        <v>305153.19199999998</v>
      </c>
      <c r="O38" s="90">
        <f>'ACADEMIC SUPP 2yr'!O38+'STU SERVICES 2yr'!O38+'INST SUPPORT 2yr'!O38</f>
        <v>318615.00799999997</v>
      </c>
      <c r="P38" s="90">
        <f>'ACADEMIC SUPP 2yr'!P38+'STU SERVICES 2yr'!P38+'INST SUPPORT 2yr'!P38</f>
        <v>325453.91099999996</v>
      </c>
      <c r="Q38" s="90">
        <f>'ACADEMIC SUPP 2yr'!Q38+'STU SERVICES 2yr'!Q38+'INST SUPPORT 2yr'!Q38</f>
        <v>336964.14799999999</v>
      </c>
      <c r="R38" s="90">
        <f>'ACADEMIC SUPP 2yr'!R38+'STU SERVICES 2yr'!R38+'INST SUPPORT 2yr'!R38</f>
        <v>359312.25800000003</v>
      </c>
      <c r="S38" s="90">
        <f>'ACADEMIC SUPP 2yr'!S38+'STU SERVICES 2yr'!S38+'INST SUPPORT 2yr'!S38</f>
        <v>332501.3</v>
      </c>
      <c r="T38" s="90">
        <f>'ACADEMIC SUPP 2yr'!T38+'STU SERVICES 2yr'!T38+'INST SUPPORT 2yr'!T38</f>
        <v>370799.02799999999</v>
      </c>
      <c r="U38" s="90">
        <f>'ACADEMIC SUPP 2yr'!U38+'STU SERVICES 2yr'!U38+'INST SUPPORT 2yr'!U38</f>
        <v>432107.38</v>
      </c>
      <c r="V38" s="90">
        <f>'ACADEMIC SUPP 2yr'!V38+'STU SERVICES 2yr'!V38+'INST SUPPORT 2yr'!V38</f>
        <v>501514.65399999998</v>
      </c>
      <c r="W38" s="90">
        <f>'ACADEMIC SUPP 2yr'!W38+'STU SERVICES 2yr'!W38+'INST SUPPORT 2yr'!W38</f>
        <v>516239.44399999996</v>
      </c>
      <c r="X38" s="90">
        <f>'ACADEMIC SUPP 2yr'!X38+'STU SERVICES 2yr'!X38+'INST SUPPORT 2yr'!X38</f>
        <v>495086.37700000004</v>
      </c>
      <c r="Y38" s="90">
        <f>'ACADEMIC SUPP 2yr'!Y38+'STU SERVICES 2yr'!Y38+'INST SUPPORT 2yr'!Y38</f>
        <v>400621.96799999999</v>
      </c>
      <c r="Z38" s="90">
        <f>'ACADEMIC SUPP 2yr'!Z38+'STU SERVICES 2yr'!Z38+'INST SUPPORT 2yr'!Z38</f>
        <v>468124.5</v>
      </c>
      <c r="AA38" s="90">
        <f>'ACADEMIC SUPP 2yr'!AA38+'STU SERVICES 2yr'!AA38+'INST SUPPORT 2yr'!AA38</f>
        <v>496396.82700000005</v>
      </c>
    </row>
    <row r="39" spans="1:27">
      <c r="A39" s="45" t="s">
        <v>117</v>
      </c>
      <c r="B39" s="94">
        <f>'ACADEMIC SUPP 2yr'!B39+'STU SERVICES 2yr'!B39+'INST SUPPORT 2yr'!B39</f>
        <v>0</v>
      </c>
      <c r="C39" s="94">
        <f>'ACADEMIC SUPP 2yr'!C39+'STU SERVICES 2yr'!C39+'INST SUPPORT 2yr'!C39</f>
        <v>0</v>
      </c>
      <c r="D39" s="94">
        <f>'ACADEMIC SUPP 2yr'!D39+'STU SERVICES 2yr'!D39+'INST SUPPORT 2yr'!D39</f>
        <v>0</v>
      </c>
      <c r="E39" s="94">
        <f>'ACADEMIC SUPP 2yr'!E39+'STU SERVICES 2yr'!E39+'INST SUPPORT 2yr'!E39</f>
        <v>0</v>
      </c>
      <c r="F39" s="94">
        <f>'ACADEMIC SUPP 2yr'!F39+'STU SERVICES 2yr'!F39+'INST SUPPORT 2yr'!F39</f>
        <v>24685.809000000001</v>
      </c>
      <c r="G39" s="94">
        <f>'ACADEMIC SUPP 2yr'!G39+'STU SERVICES 2yr'!G39+'INST SUPPORT 2yr'!G39</f>
        <v>0</v>
      </c>
      <c r="H39" s="94">
        <f>'ACADEMIC SUPP 2yr'!H39+'STU SERVICES 2yr'!H39+'INST SUPPORT 2yr'!H39</f>
        <v>0</v>
      </c>
      <c r="I39" s="94">
        <f>'ACADEMIC SUPP 2yr'!I39+'STU SERVICES 2yr'!I39+'INST SUPPORT 2yr'!I39</f>
        <v>24907.608</v>
      </c>
      <c r="J39" s="94">
        <f>'ACADEMIC SUPP 2yr'!J39+'STU SERVICES 2yr'!J39+'INST SUPPORT 2yr'!J39</f>
        <v>0</v>
      </c>
      <c r="K39" s="94">
        <f>'ACADEMIC SUPP 2yr'!K39+'STU SERVICES 2yr'!K39+'INST SUPPORT 2yr'!K39</f>
        <v>27164.461000000003</v>
      </c>
      <c r="L39" s="94">
        <f>'ACADEMIC SUPP 2yr'!L39+'STU SERVICES 2yr'!L39+'INST SUPPORT 2yr'!L39</f>
        <v>31385.666000000001</v>
      </c>
      <c r="M39" s="94">
        <f>'ACADEMIC SUPP 2yr'!M39+'STU SERVICES 2yr'!M39+'INST SUPPORT 2yr'!M39</f>
        <v>33169.589999999997</v>
      </c>
      <c r="N39" s="94">
        <f>'ACADEMIC SUPP 2yr'!N39+'STU SERVICES 2yr'!N39+'INST SUPPORT 2yr'!N39</f>
        <v>40672.188999999998</v>
      </c>
      <c r="O39" s="94">
        <f>'ACADEMIC SUPP 2yr'!O39+'STU SERVICES 2yr'!O39+'INST SUPPORT 2yr'!O39</f>
        <v>42648.705000000002</v>
      </c>
      <c r="P39" s="94">
        <f>'ACADEMIC SUPP 2yr'!P39+'STU SERVICES 2yr'!P39+'INST SUPPORT 2yr'!P39</f>
        <v>44564.403000000006</v>
      </c>
      <c r="Q39" s="94">
        <f>'ACADEMIC SUPP 2yr'!Q39+'STU SERVICES 2yr'!Q39+'INST SUPPORT 2yr'!Q39</f>
        <v>45148.826000000001</v>
      </c>
      <c r="R39" s="94">
        <f>'ACADEMIC SUPP 2yr'!R39+'STU SERVICES 2yr'!R39+'INST SUPPORT 2yr'!R39</f>
        <v>51073.05</v>
      </c>
      <c r="S39" s="94">
        <f>'ACADEMIC SUPP 2yr'!S39+'STU SERVICES 2yr'!S39+'INST SUPPORT 2yr'!S39</f>
        <v>54030.668999999994</v>
      </c>
      <c r="T39" s="94">
        <f>'ACADEMIC SUPP 2yr'!T39+'STU SERVICES 2yr'!T39+'INST SUPPORT 2yr'!T39</f>
        <v>65913.402000000002</v>
      </c>
      <c r="U39" s="94">
        <f>'ACADEMIC SUPP 2yr'!U39+'STU SERVICES 2yr'!U39+'INST SUPPORT 2yr'!U39</f>
        <v>69126.032999999996</v>
      </c>
      <c r="V39" s="94">
        <f>'ACADEMIC SUPP 2yr'!V39+'STU SERVICES 2yr'!V39+'INST SUPPORT 2yr'!V39</f>
        <v>79969.778999999995</v>
      </c>
      <c r="W39" s="94">
        <f>'ACADEMIC SUPP 2yr'!W39+'STU SERVICES 2yr'!W39+'INST SUPPORT 2yr'!W39</f>
        <v>85376.163</v>
      </c>
      <c r="X39" s="94">
        <f>'ACADEMIC SUPP 2yr'!X39+'STU SERVICES 2yr'!X39+'INST SUPPORT 2yr'!X39</f>
        <v>93107.622999999992</v>
      </c>
      <c r="Y39" s="94">
        <f>'ACADEMIC SUPP 2yr'!Y39+'STU SERVICES 2yr'!Y39+'INST SUPPORT 2yr'!Y39</f>
        <v>93775.233000000007</v>
      </c>
      <c r="Z39" s="94">
        <f>'ACADEMIC SUPP 2yr'!Z39+'STU SERVICES 2yr'!Z39+'INST SUPPORT 2yr'!Z39</f>
        <v>100738.179</v>
      </c>
      <c r="AA39" s="94">
        <f>'ACADEMIC SUPP 2yr'!AA39+'STU SERVICES 2yr'!AA39+'INST SUPPORT 2yr'!AA39</f>
        <v>106448.12700000001</v>
      </c>
    </row>
    <row r="40" spans="1:27">
      <c r="A40" s="79" t="s">
        <v>121</v>
      </c>
      <c r="B40" s="90">
        <f>'ACADEMIC SUPP 2yr'!B40+'STU SERVICES 2yr'!B40+'INST SUPPORT 2yr'!B40</f>
        <v>0</v>
      </c>
      <c r="C40" s="90">
        <f>'ACADEMIC SUPP 2yr'!C40+'STU SERVICES 2yr'!C40+'INST SUPPORT 2yr'!C40</f>
        <v>0</v>
      </c>
      <c r="D40" s="90">
        <f>'ACADEMIC SUPP 2yr'!D40+'STU SERVICES 2yr'!D40+'INST SUPPORT 2yr'!D40</f>
        <v>0</v>
      </c>
      <c r="E40" s="90">
        <f>'ACADEMIC SUPP 2yr'!E40+'STU SERVICES 2yr'!E40+'INST SUPPORT 2yr'!E40</f>
        <v>0</v>
      </c>
      <c r="F40" s="90">
        <f>'ACADEMIC SUPP 2yr'!F40+'STU SERVICES 2yr'!F40+'INST SUPPORT 2yr'!F40</f>
        <v>1272245.8369999998</v>
      </c>
      <c r="G40" s="90">
        <f>'ACADEMIC SUPP 2yr'!G40+'STU SERVICES 2yr'!G40+'INST SUPPORT 2yr'!G40</f>
        <v>0</v>
      </c>
      <c r="H40" s="90">
        <f>'ACADEMIC SUPP 2yr'!H40+'STU SERVICES 2yr'!H40+'INST SUPPORT 2yr'!H40</f>
        <v>0</v>
      </c>
      <c r="I40" s="90">
        <f>'ACADEMIC SUPP 2yr'!I40+'STU SERVICES 2yr'!I40+'INST SUPPORT 2yr'!I40</f>
        <v>1469365.7740000002</v>
      </c>
      <c r="J40" s="90">
        <f>'ACADEMIC SUPP 2yr'!J40+'STU SERVICES 2yr'!J40+'INST SUPPORT 2yr'!J40</f>
        <v>0</v>
      </c>
      <c r="K40" s="90">
        <f>'ACADEMIC SUPP 2yr'!K40+'STU SERVICES 2yr'!K40+'INST SUPPORT 2yr'!K40</f>
        <v>1790511.2345300002</v>
      </c>
      <c r="L40" s="90">
        <f>'ACADEMIC SUPP 2yr'!L40+'STU SERVICES 2yr'!L40+'INST SUPPORT 2yr'!L40</f>
        <v>2108500.3689999999</v>
      </c>
      <c r="M40" s="90">
        <f>'ACADEMIC SUPP 2yr'!M40+'STU SERVICES 2yr'!M40+'INST SUPPORT 2yr'!M40</f>
        <v>2231858.9309999999</v>
      </c>
      <c r="N40" s="90">
        <f>'ACADEMIC SUPP 2yr'!N40+'STU SERVICES 2yr'!N40+'INST SUPPORT 2yr'!N40</f>
        <v>2336605.5209999997</v>
      </c>
      <c r="O40" s="90">
        <f>'ACADEMIC SUPP 2yr'!O40+'STU SERVICES 2yr'!O40+'INST SUPPORT 2yr'!O40</f>
        <v>2308036.3259999999</v>
      </c>
      <c r="P40" s="90">
        <f>'ACADEMIC SUPP 2yr'!P40+'STU SERVICES 2yr'!P40+'INST SUPPORT 2yr'!P40</f>
        <v>2511352.9650000003</v>
      </c>
      <c r="Q40" s="90">
        <f>'ACADEMIC SUPP 2yr'!Q40+'STU SERVICES 2yr'!Q40+'INST SUPPORT 2yr'!Q40</f>
        <v>2528246.1739999996</v>
      </c>
      <c r="R40" s="90">
        <f>'ACADEMIC SUPP 2yr'!R40+'STU SERVICES 2yr'!R40+'INST SUPPORT 2yr'!R40</f>
        <v>2672689.4849999994</v>
      </c>
      <c r="S40" s="90">
        <f>'ACADEMIC SUPP 2yr'!S40+'STU SERVICES 2yr'!S40+'INST SUPPORT 2yr'!S40</f>
        <v>2779598.3</v>
      </c>
      <c r="T40" s="90">
        <f>'ACADEMIC SUPP 2yr'!T40+'STU SERVICES 2yr'!T40+'INST SUPPORT 2yr'!T40</f>
        <v>2999746.6919999998</v>
      </c>
      <c r="U40" s="90">
        <f>'ACADEMIC SUPP 2yr'!U40+'STU SERVICES 2yr'!U40+'INST SUPPORT 2yr'!U40</f>
        <v>3331226.9510000004</v>
      </c>
      <c r="V40" s="90">
        <f>'ACADEMIC SUPP 2yr'!V40+'STU SERVICES 2yr'!V40+'INST SUPPORT 2yr'!V40</f>
        <v>3944127.6030000001</v>
      </c>
      <c r="W40" s="90">
        <f>'ACADEMIC SUPP 2yr'!W40+'STU SERVICES 2yr'!W40+'INST SUPPORT 2yr'!W40</f>
        <v>4171194.5290000001</v>
      </c>
      <c r="X40" s="90">
        <f>'ACADEMIC SUPP 2yr'!X40+'STU SERVICES 2yr'!X40+'INST SUPPORT 2yr'!X40</f>
        <v>4322943.284</v>
      </c>
      <c r="Y40" s="90">
        <f>'ACADEMIC SUPP 2yr'!Y40+'STU SERVICES 2yr'!Y40+'INST SUPPORT 2yr'!Y40</f>
        <v>3431539.6380000003</v>
      </c>
      <c r="Z40" s="90">
        <f>'ACADEMIC SUPP 2yr'!Z40+'STU SERVICES 2yr'!Z40+'INST SUPPORT 2yr'!Z40</f>
        <v>3558907.8480000002</v>
      </c>
      <c r="AA40" s="90">
        <f>'ACADEMIC SUPP 2yr'!AA40+'STU SERVICES 2yr'!AA40+'INST SUPPORT 2yr'!AA40</f>
        <v>3645918</v>
      </c>
    </row>
    <row r="41" spans="1:27">
      <c r="A41" s="79" t="s">
        <v>119</v>
      </c>
      <c r="B41" s="90">
        <f>'ACADEMIC SUPP 2yr'!B41+'STU SERVICES 2yr'!B41+'INST SUPPORT 2yr'!B41</f>
        <v>0</v>
      </c>
      <c r="C41" s="90">
        <f>'ACADEMIC SUPP 2yr'!C41+'STU SERVICES 2yr'!C41+'INST SUPPORT 2yr'!C41</f>
        <v>0</v>
      </c>
      <c r="D41" s="90">
        <f>'ACADEMIC SUPP 2yr'!D41+'STU SERVICES 2yr'!D41+'INST SUPPORT 2yr'!D41</f>
        <v>0</v>
      </c>
      <c r="E41" s="90">
        <f>'ACADEMIC SUPP 2yr'!E41+'STU SERVICES 2yr'!E41+'INST SUPPORT 2yr'!E41</f>
        <v>0</v>
      </c>
      <c r="F41" s="90">
        <f>'ACADEMIC SUPP 2yr'!F41+'STU SERVICES 2yr'!F41+'INST SUPPORT 2yr'!F41</f>
        <v>0</v>
      </c>
      <c r="G41" s="90">
        <f>'ACADEMIC SUPP 2yr'!G41+'STU SERVICES 2yr'!G41+'INST SUPPORT 2yr'!G41</f>
        <v>0</v>
      </c>
      <c r="H41" s="90">
        <f>'ACADEMIC SUPP 2yr'!H41+'STU SERVICES 2yr'!H41+'INST SUPPORT 2yr'!H41</f>
        <v>0</v>
      </c>
      <c r="I41" s="90">
        <f>'ACADEMIC SUPP 2yr'!I41+'STU SERVICES 2yr'!I41+'INST SUPPORT 2yr'!I41</f>
        <v>0</v>
      </c>
      <c r="J41" s="90">
        <f>'ACADEMIC SUPP 2yr'!J41+'STU SERVICES 2yr'!J41+'INST SUPPORT 2yr'!J41</f>
        <v>0</v>
      </c>
      <c r="K41" s="90">
        <f>'ACADEMIC SUPP 2yr'!K41+'STU SERVICES 2yr'!K41+'INST SUPPORT 2yr'!K41</f>
        <v>0</v>
      </c>
      <c r="L41" s="90">
        <f>'ACADEMIC SUPP 2yr'!L41+'STU SERVICES 2yr'!L41+'INST SUPPORT 2yr'!L41</f>
        <v>0</v>
      </c>
      <c r="M41" s="90">
        <f>'ACADEMIC SUPP 2yr'!M41+'STU SERVICES 2yr'!M41+'INST SUPPORT 2yr'!M41</f>
        <v>0</v>
      </c>
      <c r="N41" s="90">
        <f>'ACADEMIC SUPP 2yr'!N41+'STU SERVICES 2yr'!N41+'INST SUPPORT 2yr'!N41</f>
        <v>0</v>
      </c>
      <c r="O41" s="90">
        <f>'ACADEMIC SUPP 2yr'!O41+'STU SERVICES 2yr'!O41+'INST SUPPORT 2yr'!O41</f>
        <v>0</v>
      </c>
      <c r="P41" s="90">
        <f>'ACADEMIC SUPP 2yr'!P41+'STU SERVICES 2yr'!P41+'INST SUPPORT 2yr'!P41</f>
        <v>0</v>
      </c>
      <c r="Q41" s="90">
        <f>'ACADEMIC SUPP 2yr'!Q41+'STU SERVICES 2yr'!Q41+'INST SUPPORT 2yr'!Q41</f>
        <v>0</v>
      </c>
      <c r="R41" s="90">
        <f>'ACADEMIC SUPP 2yr'!R41+'STU SERVICES 2yr'!R41+'INST SUPPORT 2yr'!R41</f>
        <v>0</v>
      </c>
      <c r="S41" s="90">
        <f>'ACADEMIC SUPP 2yr'!S41+'STU SERVICES 2yr'!S41+'INST SUPPORT 2yr'!S41</f>
        <v>0</v>
      </c>
      <c r="T41" s="90">
        <f>'ACADEMIC SUPP 2yr'!T41+'STU SERVICES 2yr'!T41+'INST SUPPORT 2yr'!T41</f>
        <v>0</v>
      </c>
      <c r="U41" s="90">
        <f>'ACADEMIC SUPP 2yr'!U41+'STU SERVICES 2yr'!U41+'INST SUPPORT 2yr'!U41</f>
        <v>0</v>
      </c>
      <c r="V41" s="90">
        <f>'ACADEMIC SUPP 2yr'!V41+'STU SERVICES 2yr'!V41+'INST SUPPORT 2yr'!V41</f>
        <v>0</v>
      </c>
      <c r="W41" s="90">
        <f>'ACADEMIC SUPP 2yr'!W41+'STU SERVICES 2yr'!W41+'INST SUPPORT 2yr'!W41</f>
        <v>0</v>
      </c>
      <c r="X41" s="90">
        <f>'ACADEMIC SUPP 2yr'!X41+'STU SERVICES 2yr'!X41+'INST SUPPORT 2yr'!X41</f>
        <v>0</v>
      </c>
      <c r="Y41" s="90">
        <f>'ACADEMIC SUPP 2yr'!Y41+'STU SERVICES 2yr'!Y41+'INST SUPPORT 2yr'!Y41</f>
        <v>0</v>
      </c>
      <c r="Z41" s="90">
        <f>'ACADEMIC SUPP 2yr'!Z41+'STU SERVICES 2yr'!Z41+'INST SUPPORT 2yr'!Z41</f>
        <v>0</v>
      </c>
      <c r="AA41" s="90">
        <f>'ACADEMIC SUPP 2yr'!AA41+'STU SERVICES 2yr'!AA41+'INST SUPPORT 2yr'!AA41</f>
        <v>0</v>
      </c>
    </row>
    <row r="42" spans="1:27">
      <c r="A42" s="23" t="s">
        <v>93</v>
      </c>
      <c r="B42" s="92">
        <f>'ACADEMIC SUPP 2yr'!B42+'STU SERVICES 2yr'!B42+'INST SUPPORT 2yr'!B42</f>
        <v>0</v>
      </c>
      <c r="C42" s="92">
        <f>'ACADEMIC SUPP 2yr'!C42+'STU SERVICES 2yr'!C42+'INST SUPPORT 2yr'!C42</f>
        <v>0</v>
      </c>
      <c r="D42" s="92">
        <f>'ACADEMIC SUPP 2yr'!D42+'STU SERVICES 2yr'!D42+'INST SUPPORT 2yr'!D42</f>
        <v>0</v>
      </c>
      <c r="E42" s="92">
        <f>'ACADEMIC SUPP 2yr'!E42+'STU SERVICES 2yr'!E42+'INST SUPPORT 2yr'!E42</f>
        <v>0</v>
      </c>
      <c r="F42" s="92">
        <f>'ACADEMIC SUPP 2yr'!F42+'STU SERVICES 2yr'!F42+'INST SUPPORT 2yr'!F42</f>
        <v>311986.93900000001</v>
      </c>
      <c r="G42" s="92">
        <f>'ACADEMIC SUPP 2yr'!G42+'STU SERVICES 2yr'!G42+'INST SUPPORT 2yr'!G42</f>
        <v>0</v>
      </c>
      <c r="H42" s="92">
        <f>'ACADEMIC SUPP 2yr'!H42+'STU SERVICES 2yr'!H42+'INST SUPPORT 2yr'!H42</f>
        <v>0</v>
      </c>
      <c r="I42" s="92">
        <f>'ACADEMIC SUPP 2yr'!I42+'STU SERVICES 2yr'!I42+'INST SUPPORT 2yr'!I42</f>
        <v>379695.67700000003</v>
      </c>
      <c r="J42" s="92">
        <f>'ACADEMIC SUPP 2yr'!J42+'STU SERVICES 2yr'!J42+'INST SUPPORT 2yr'!J42</f>
        <v>0</v>
      </c>
      <c r="K42" s="92">
        <f>'ACADEMIC SUPP 2yr'!K42+'STU SERVICES 2yr'!K42+'INST SUPPORT 2yr'!K42</f>
        <v>448148.63328000001</v>
      </c>
      <c r="L42" s="92">
        <f>'ACADEMIC SUPP 2yr'!L42+'STU SERVICES 2yr'!L42+'INST SUPPORT 2yr'!L42</f>
        <v>562355.98600000003</v>
      </c>
      <c r="M42" s="92">
        <f>'ACADEMIC SUPP 2yr'!M42+'STU SERVICES 2yr'!M42+'INST SUPPORT 2yr'!M42</f>
        <v>585028.63100000005</v>
      </c>
      <c r="N42" s="92">
        <f>'ACADEMIC SUPP 2yr'!N42+'STU SERVICES 2yr'!N42+'INST SUPPORT 2yr'!N42</f>
        <v>604544.66</v>
      </c>
      <c r="O42" s="92">
        <f>'ACADEMIC SUPP 2yr'!O42+'STU SERVICES 2yr'!O42+'INST SUPPORT 2yr'!O42</f>
        <v>520947</v>
      </c>
      <c r="P42" s="92">
        <f>'ACADEMIC SUPP 2yr'!P42+'STU SERVICES 2yr'!P42+'INST SUPPORT 2yr'!P42</f>
        <v>651449.03200000001</v>
      </c>
      <c r="Q42" s="92">
        <f>'ACADEMIC SUPP 2yr'!Q42+'STU SERVICES 2yr'!Q42+'INST SUPPORT 2yr'!Q42</f>
        <v>582977.11199999996</v>
      </c>
      <c r="R42" s="92">
        <f>'ACADEMIC SUPP 2yr'!R42+'STU SERVICES 2yr'!R42+'INST SUPPORT 2yr'!R42</f>
        <v>609755.82799999998</v>
      </c>
      <c r="S42" s="92">
        <f>'ACADEMIC SUPP 2yr'!S42+'STU SERVICES 2yr'!S42+'INST SUPPORT 2yr'!S42</f>
        <v>645945.94699999993</v>
      </c>
      <c r="T42" s="92">
        <f>'ACADEMIC SUPP 2yr'!T42+'STU SERVICES 2yr'!T42+'INST SUPPORT 2yr'!T42</f>
        <v>716142.73399999994</v>
      </c>
      <c r="U42" s="92">
        <f>'ACADEMIC SUPP 2yr'!U42+'STU SERVICES 2yr'!U42+'INST SUPPORT 2yr'!U42</f>
        <v>793921.67699999991</v>
      </c>
      <c r="V42" s="92">
        <f>'ACADEMIC SUPP 2yr'!V42+'STU SERVICES 2yr'!V42+'INST SUPPORT 2yr'!V42</f>
        <v>934306.53300000005</v>
      </c>
      <c r="W42" s="92">
        <f>'ACADEMIC SUPP 2yr'!W42+'STU SERVICES 2yr'!W42+'INST SUPPORT 2yr'!W42</f>
        <v>986608.73400000005</v>
      </c>
      <c r="X42" s="92">
        <f>'ACADEMIC SUPP 2yr'!X42+'STU SERVICES 2yr'!X42+'INST SUPPORT 2yr'!X42</f>
        <v>1025142.928</v>
      </c>
      <c r="Y42" s="92">
        <f>'ACADEMIC SUPP 2yr'!Y42+'STU SERVICES 2yr'!Y42+'INST SUPPORT 2yr'!Y42</f>
        <v>636164.81000000006</v>
      </c>
      <c r="Z42" s="92">
        <f>'ACADEMIC SUPP 2yr'!Z42+'STU SERVICES 2yr'!Z42+'INST SUPPORT 2yr'!Z42</f>
        <v>658338.72399999993</v>
      </c>
      <c r="AA42" s="92">
        <f>'ACADEMIC SUPP 2yr'!AA42+'STU SERVICES 2yr'!AA42+'INST SUPPORT 2yr'!AA42</f>
        <v>699176.29399999999</v>
      </c>
    </row>
    <row r="43" spans="1:27">
      <c r="A43" s="23" t="s">
        <v>58</v>
      </c>
      <c r="B43" s="92">
        <f>'ACADEMIC SUPP 2yr'!B43+'STU SERVICES 2yr'!B43+'INST SUPPORT 2yr'!B43</f>
        <v>0</v>
      </c>
      <c r="C43" s="92">
        <f>'ACADEMIC SUPP 2yr'!C43+'STU SERVICES 2yr'!C43+'INST SUPPORT 2yr'!C43</f>
        <v>0</v>
      </c>
      <c r="D43" s="92">
        <f>'ACADEMIC SUPP 2yr'!D43+'STU SERVICES 2yr'!D43+'INST SUPPORT 2yr'!D43</f>
        <v>0</v>
      </c>
      <c r="E43" s="92">
        <f>'ACADEMIC SUPP 2yr'!E43+'STU SERVICES 2yr'!E43+'INST SUPPORT 2yr'!E43</f>
        <v>0</v>
      </c>
      <c r="F43" s="92">
        <f>'ACADEMIC SUPP 2yr'!F43+'STU SERVICES 2yr'!F43+'INST SUPPORT 2yr'!F43</f>
        <v>43457.861000000004</v>
      </c>
      <c r="G43" s="92">
        <f>'ACADEMIC SUPP 2yr'!G43+'STU SERVICES 2yr'!G43+'INST SUPPORT 2yr'!G43</f>
        <v>0</v>
      </c>
      <c r="H43" s="92">
        <f>'ACADEMIC SUPP 2yr'!H43+'STU SERVICES 2yr'!H43+'INST SUPPORT 2yr'!H43</f>
        <v>0</v>
      </c>
      <c r="I43" s="92">
        <f>'ACADEMIC SUPP 2yr'!I43+'STU SERVICES 2yr'!I43+'INST SUPPORT 2yr'!I43</f>
        <v>47981.884999999995</v>
      </c>
      <c r="J43" s="92">
        <f>'ACADEMIC SUPP 2yr'!J43+'STU SERVICES 2yr'!J43+'INST SUPPORT 2yr'!J43</f>
        <v>0</v>
      </c>
      <c r="K43" s="92">
        <f>'ACADEMIC SUPP 2yr'!K43+'STU SERVICES 2yr'!K43+'INST SUPPORT 2yr'!K43</f>
        <v>65144.349000000002</v>
      </c>
      <c r="L43" s="92">
        <f>'ACADEMIC SUPP 2yr'!L43+'STU SERVICES 2yr'!L43+'INST SUPPORT 2yr'!L43</f>
        <v>60696.457999999999</v>
      </c>
      <c r="M43" s="92">
        <f>'ACADEMIC SUPP 2yr'!M43+'STU SERVICES 2yr'!M43+'INST SUPPORT 2yr'!M43</f>
        <v>64717.021000000001</v>
      </c>
      <c r="N43" s="92">
        <f>'ACADEMIC SUPP 2yr'!N43+'STU SERVICES 2yr'!N43+'INST SUPPORT 2yr'!N43</f>
        <v>69654.95</v>
      </c>
      <c r="O43" s="92">
        <f>'ACADEMIC SUPP 2yr'!O43+'STU SERVICES 2yr'!O43+'INST SUPPORT 2yr'!O43</f>
        <v>71436.22099999999</v>
      </c>
      <c r="P43" s="92">
        <f>'ACADEMIC SUPP 2yr'!P43+'STU SERVICES 2yr'!P43+'INST SUPPORT 2yr'!P43</f>
        <v>63721.611000000004</v>
      </c>
      <c r="Q43" s="92">
        <f>'ACADEMIC SUPP 2yr'!Q43+'STU SERVICES 2yr'!Q43+'INST SUPPORT 2yr'!Q43</f>
        <v>77140.638000000006</v>
      </c>
      <c r="R43" s="92">
        <f>'ACADEMIC SUPP 2yr'!R43+'STU SERVICES 2yr'!R43+'INST SUPPORT 2yr'!R43</f>
        <v>83347.364999999991</v>
      </c>
      <c r="S43" s="92">
        <f>'ACADEMIC SUPP 2yr'!S43+'STU SERVICES 2yr'!S43+'INST SUPPORT 2yr'!S43</f>
        <v>89218.118999999992</v>
      </c>
      <c r="T43" s="92">
        <f>'ACADEMIC SUPP 2yr'!T43+'STU SERVICES 2yr'!T43+'INST SUPPORT 2yr'!T43</f>
        <v>80871.945999999996</v>
      </c>
      <c r="U43" s="92">
        <f>'ACADEMIC SUPP 2yr'!U43+'STU SERVICES 2yr'!U43+'INST SUPPORT 2yr'!U43</f>
        <v>108101.739</v>
      </c>
      <c r="V43" s="92">
        <f>'ACADEMIC SUPP 2yr'!V43+'STU SERVICES 2yr'!V43+'INST SUPPORT 2yr'!V43</f>
        <v>146151.04800000001</v>
      </c>
      <c r="W43" s="92">
        <f>'ACADEMIC SUPP 2yr'!W43+'STU SERVICES 2yr'!W43+'INST SUPPORT 2yr'!W43</f>
        <v>148926.603</v>
      </c>
      <c r="X43" s="92">
        <f>'ACADEMIC SUPP 2yr'!X43+'STU SERVICES 2yr'!X43+'INST SUPPORT 2yr'!X43</f>
        <v>217520.23200000002</v>
      </c>
      <c r="Y43" s="92">
        <f>'ACADEMIC SUPP 2yr'!Y43+'STU SERVICES 2yr'!Y43+'INST SUPPORT 2yr'!Y43</f>
        <v>239742.07400000002</v>
      </c>
      <c r="Z43" s="92">
        <f>'ACADEMIC SUPP 2yr'!Z43+'STU SERVICES 2yr'!Z43+'INST SUPPORT 2yr'!Z43</f>
        <v>249946.02000000002</v>
      </c>
      <c r="AA43" s="92">
        <f>'ACADEMIC SUPP 2yr'!AA43+'STU SERVICES 2yr'!AA43+'INST SUPPORT 2yr'!AA43</f>
        <v>245106.10700000002</v>
      </c>
    </row>
    <row r="44" spans="1:27">
      <c r="A44" s="23" t="s">
        <v>94</v>
      </c>
      <c r="B44" s="92">
        <f>'ACADEMIC SUPP 2yr'!B44+'STU SERVICES 2yr'!B44+'INST SUPPORT 2yr'!B44</f>
        <v>0</v>
      </c>
      <c r="C44" s="92">
        <f>'ACADEMIC SUPP 2yr'!C44+'STU SERVICES 2yr'!C44+'INST SUPPORT 2yr'!C44</f>
        <v>0</v>
      </c>
      <c r="D44" s="92">
        <f>'ACADEMIC SUPP 2yr'!D44+'STU SERVICES 2yr'!D44+'INST SUPPORT 2yr'!D44</f>
        <v>0</v>
      </c>
      <c r="E44" s="92">
        <f>'ACADEMIC SUPP 2yr'!E44+'STU SERVICES 2yr'!E44+'INST SUPPORT 2yr'!E44</f>
        <v>0</v>
      </c>
      <c r="F44" s="92">
        <f>'ACADEMIC SUPP 2yr'!F44+'STU SERVICES 2yr'!F44+'INST SUPPORT 2yr'!F44</f>
        <v>76347.894</v>
      </c>
      <c r="G44" s="92">
        <f>'ACADEMIC SUPP 2yr'!G44+'STU SERVICES 2yr'!G44+'INST SUPPORT 2yr'!G44</f>
        <v>0</v>
      </c>
      <c r="H44" s="92">
        <f>'ACADEMIC SUPP 2yr'!H44+'STU SERVICES 2yr'!H44+'INST SUPPORT 2yr'!H44</f>
        <v>0</v>
      </c>
      <c r="I44" s="92">
        <f>'ACADEMIC SUPP 2yr'!I44+'STU SERVICES 2yr'!I44+'INST SUPPORT 2yr'!I44</f>
        <v>88547.54</v>
      </c>
      <c r="J44" s="92">
        <f>'ACADEMIC SUPP 2yr'!J44+'STU SERVICES 2yr'!J44+'INST SUPPORT 2yr'!J44</f>
        <v>0</v>
      </c>
      <c r="K44" s="92">
        <f>'ACADEMIC SUPP 2yr'!K44+'STU SERVICES 2yr'!K44+'INST SUPPORT 2yr'!K44</f>
        <v>95727.758000000002</v>
      </c>
      <c r="L44" s="92">
        <f>'ACADEMIC SUPP 2yr'!L44+'STU SERVICES 2yr'!L44+'INST SUPPORT 2yr'!L44</f>
        <v>128138.35800000001</v>
      </c>
      <c r="M44" s="92">
        <f>'ACADEMIC SUPP 2yr'!M44+'STU SERVICES 2yr'!M44+'INST SUPPORT 2yr'!M44</f>
        <v>134592.36799999999</v>
      </c>
      <c r="N44" s="92">
        <f>'ACADEMIC SUPP 2yr'!N44+'STU SERVICES 2yr'!N44+'INST SUPPORT 2yr'!N44</f>
        <v>145672.845</v>
      </c>
      <c r="O44" s="92">
        <f>'ACADEMIC SUPP 2yr'!O44+'STU SERVICES 2yr'!O44+'INST SUPPORT 2yr'!O44</f>
        <v>129632.405</v>
      </c>
      <c r="P44" s="92">
        <f>'ACADEMIC SUPP 2yr'!P44+'STU SERVICES 2yr'!P44+'INST SUPPORT 2yr'!P44</f>
        <v>146148.09999999998</v>
      </c>
      <c r="Q44" s="92">
        <f>'ACADEMIC SUPP 2yr'!Q44+'STU SERVICES 2yr'!Q44+'INST SUPPORT 2yr'!Q44</f>
        <v>152845.65299999999</v>
      </c>
      <c r="R44" s="92">
        <f>'ACADEMIC SUPP 2yr'!R44+'STU SERVICES 2yr'!R44+'INST SUPPORT 2yr'!R44</f>
        <v>165134.296</v>
      </c>
      <c r="S44" s="92">
        <f>'ACADEMIC SUPP 2yr'!S44+'STU SERVICES 2yr'!S44+'INST SUPPORT 2yr'!S44</f>
        <v>175150.49099999998</v>
      </c>
      <c r="T44" s="92">
        <f>'ACADEMIC SUPP 2yr'!T44+'STU SERVICES 2yr'!T44+'INST SUPPORT 2yr'!T44</f>
        <v>190649.93599999999</v>
      </c>
      <c r="U44" s="92">
        <f>'ACADEMIC SUPP 2yr'!U44+'STU SERVICES 2yr'!U44+'INST SUPPORT 2yr'!U44</f>
        <v>208011.27299999999</v>
      </c>
      <c r="V44" s="92">
        <f>'ACADEMIC SUPP 2yr'!V44+'STU SERVICES 2yr'!V44+'INST SUPPORT 2yr'!V44</f>
        <v>243574.94100000002</v>
      </c>
      <c r="W44" s="92">
        <f>'ACADEMIC SUPP 2yr'!W44+'STU SERVICES 2yr'!W44+'INST SUPPORT 2yr'!W44</f>
        <v>254998.94899999999</v>
      </c>
      <c r="X44" s="92">
        <f>'ACADEMIC SUPP 2yr'!X44+'STU SERVICES 2yr'!X44+'INST SUPPORT 2yr'!X44</f>
        <v>266470.3</v>
      </c>
      <c r="Y44" s="92">
        <f>'ACADEMIC SUPP 2yr'!Y44+'STU SERVICES 2yr'!Y44+'INST SUPPORT 2yr'!Y44</f>
        <v>259969.851</v>
      </c>
      <c r="Z44" s="92">
        <f>'ACADEMIC SUPP 2yr'!Z44+'STU SERVICES 2yr'!Z44+'INST SUPPORT 2yr'!Z44</f>
        <v>274786.46799999999</v>
      </c>
      <c r="AA44" s="92">
        <f>'ACADEMIC SUPP 2yr'!AA44+'STU SERVICES 2yr'!AA44+'INST SUPPORT 2yr'!AA44</f>
        <v>284918.03700000001</v>
      </c>
    </row>
    <row r="45" spans="1:27">
      <c r="A45" s="23" t="s">
        <v>95</v>
      </c>
      <c r="B45" s="92">
        <f>'ACADEMIC SUPP 2yr'!B45+'STU SERVICES 2yr'!B45+'INST SUPPORT 2yr'!B45</f>
        <v>0</v>
      </c>
      <c r="C45" s="92">
        <f>'ACADEMIC SUPP 2yr'!C45+'STU SERVICES 2yr'!C45+'INST SUPPORT 2yr'!C45</f>
        <v>0</v>
      </c>
      <c r="D45" s="92">
        <f>'ACADEMIC SUPP 2yr'!D45+'STU SERVICES 2yr'!D45+'INST SUPPORT 2yr'!D45</f>
        <v>0</v>
      </c>
      <c r="E45" s="92">
        <f>'ACADEMIC SUPP 2yr'!E45+'STU SERVICES 2yr'!E45+'INST SUPPORT 2yr'!E45</f>
        <v>0</v>
      </c>
      <c r="F45" s="92">
        <f>'ACADEMIC SUPP 2yr'!F45+'STU SERVICES 2yr'!F45+'INST SUPPORT 2yr'!F45</f>
        <v>73604.540999999997</v>
      </c>
      <c r="G45" s="92">
        <f>'ACADEMIC SUPP 2yr'!G45+'STU SERVICES 2yr'!G45+'INST SUPPORT 2yr'!G45</f>
        <v>0</v>
      </c>
      <c r="H45" s="92">
        <f>'ACADEMIC SUPP 2yr'!H45+'STU SERVICES 2yr'!H45+'INST SUPPORT 2yr'!H45</f>
        <v>0</v>
      </c>
      <c r="I45" s="92">
        <f>'ACADEMIC SUPP 2yr'!I45+'STU SERVICES 2yr'!I45+'INST SUPPORT 2yr'!I45</f>
        <v>88489.752999999997</v>
      </c>
      <c r="J45" s="92">
        <f>'ACADEMIC SUPP 2yr'!J45+'STU SERVICES 2yr'!J45+'INST SUPPORT 2yr'!J45</f>
        <v>0</v>
      </c>
      <c r="K45" s="92">
        <f>'ACADEMIC SUPP 2yr'!K45+'STU SERVICES 2yr'!K45+'INST SUPPORT 2yr'!K45</f>
        <v>101900.63828000001</v>
      </c>
      <c r="L45" s="92">
        <f>'ACADEMIC SUPP 2yr'!L45+'STU SERVICES 2yr'!L45+'INST SUPPORT 2yr'!L45</f>
        <v>121717.31200000001</v>
      </c>
      <c r="M45" s="92">
        <f>'ACADEMIC SUPP 2yr'!M45+'STU SERVICES 2yr'!M45+'INST SUPPORT 2yr'!M45</f>
        <v>133787.823</v>
      </c>
      <c r="N45" s="92">
        <f>'ACADEMIC SUPP 2yr'!N45+'STU SERVICES 2yr'!N45+'INST SUPPORT 2yr'!N45</f>
        <v>142745.83000000002</v>
      </c>
      <c r="O45" s="92">
        <f>'ACADEMIC SUPP 2yr'!O45+'STU SERVICES 2yr'!O45+'INST SUPPORT 2yr'!O45</f>
        <v>139117.91800000001</v>
      </c>
      <c r="P45" s="92">
        <f>'ACADEMIC SUPP 2yr'!P45+'STU SERVICES 2yr'!P45+'INST SUPPORT 2yr'!P45</f>
        <v>141067.07</v>
      </c>
      <c r="Q45" s="92">
        <f>'ACADEMIC SUPP 2yr'!Q45+'STU SERVICES 2yr'!Q45+'INST SUPPORT 2yr'!Q45</f>
        <v>154373.23800000001</v>
      </c>
      <c r="R45" s="92">
        <f>'ACADEMIC SUPP 2yr'!R45+'STU SERVICES 2yr'!R45+'INST SUPPORT 2yr'!R45</f>
        <v>165596.891</v>
      </c>
      <c r="S45" s="92">
        <f>'ACADEMIC SUPP 2yr'!S45+'STU SERVICES 2yr'!S45+'INST SUPPORT 2yr'!S45</f>
        <v>177605.48200000002</v>
      </c>
      <c r="T45" s="92">
        <f>'ACADEMIC SUPP 2yr'!T45+'STU SERVICES 2yr'!T45+'INST SUPPORT 2yr'!T45</f>
        <v>187454.18599999999</v>
      </c>
      <c r="U45" s="92">
        <f>'ACADEMIC SUPP 2yr'!U45+'STU SERVICES 2yr'!U45+'INST SUPPORT 2yr'!U45</f>
        <v>217369.16200000001</v>
      </c>
      <c r="V45" s="92">
        <f>'ACADEMIC SUPP 2yr'!V45+'STU SERVICES 2yr'!V45+'INST SUPPORT 2yr'!V45</f>
        <v>241741.652</v>
      </c>
      <c r="W45" s="92">
        <f>'ACADEMIC SUPP 2yr'!W45+'STU SERVICES 2yr'!W45+'INST SUPPORT 2yr'!W45</f>
        <v>248872.09099999999</v>
      </c>
      <c r="X45" s="92">
        <f>'ACADEMIC SUPP 2yr'!X45+'STU SERVICES 2yr'!X45+'INST SUPPORT 2yr'!X45</f>
        <v>259796.80600000004</v>
      </c>
      <c r="Y45" s="92">
        <f>'ACADEMIC SUPP 2yr'!Y45+'STU SERVICES 2yr'!Y45+'INST SUPPORT 2yr'!Y45</f>
        <v>217562.886</v>
      </c>
      <c r="Z45" s="92">
        <f>'ACADEMIC SUPP 2yr'!Z45+'STU SERVICES 2yr'!Z45+'INST SUPPORT 2yr'!Z45</f>
        <v>221023.27900000001</v>
      </c>
      <c r="AA45" s="92">
        <f>'ACADEMIC SUPP 2yr'!AA45+'STU SERVICES 2yr'!AA45+'INST SUPPORT 2yr'!AA45</f>
        <v>232202.413</v>
      </c>
    </row>
    <row r="46" spans="1:27">
      <c r="A46" s="23" t="s">
        <v>98</v>
      </c>
      <c r="B46" s="92">
        <f>'ACADEMIC SUPP 2yr'!B46+'STU SERVICES 2yr'!B46+'INST SUPPORT 2yr'!B46</f>
        <v>0</v>
      </c>
      <c r="C46" s="92">
        <f>'ACADEMIC SUPP 2yr'!C46+'STU SERVICES 2yr'!C46+'INST SUPPORT 2yr'!C46</f>
        <v>0</v>
      </c>
      <c r="D46" s="92">
        <f>'ACADEMIC SUPP 2yr'!D46+'STU SERVICES 2yr'!D46+'INST SUPPORT 2yr'!D46</f>
        <v>0</v>
      </c>
      <c r="E46" s="92">
        <f>'ACADEMIC SUPP 2yr'!E46+'STU SERVICES 2yr'!E46+'INST SUPPORT 2yr'!E46</f>
        <v>0</v>
      </c>
      <c r="F46" s="92">
        <f>'ACADEMIC SUPP 2yr'!F46+'STU SERVICES 2yr'!F46+'INST SUPPORT 2yr'!F46</f>
        <v>266520.36499999999</v>
      </c>
      <c r="G46" s="92">
        <f>'ACADEMIC SUPP 2yr'!G46+'STU SERVICES 2yr'!G46+'INST SUPPORT 2yr'!G46</f>
        <v>0</v>
      </c>
      <c r="H46" s="92">
        <f>'ACADEMIC SUPP 2yr'!H46+'STU SERVICES 2yr'!H46+'INST SUPPORT 2yr'!H46</f>
        <v>0</v>
      </c>
      <c r="I46" s="92">
        <f>'ACADEMIC SUPP 2yr'!I46+'STU SERVICES 2yr'!I46+'INST SUPPORT 2yr'!I46</f>
        <v>298278.01699999999</v>
      </c>
      <c r="J46" s="92">
        <f>'ACADEMIC SUPP 2yr'!J46+'STU SERVICES 2yr'!J46+'INST SUPPORT 2yr'!J46</f>
        <v>0</v>
      </c>
      <c r="K46" s="92">
        <f>'ACADEMIC SUPP 2yr'!K46+'STU SERVICES 2yr'!K46+'INST SUPPORT 2yr'!K46</f>
        <v>330907.00781000004</v>
      </c>
      <c r="L46" s="92">
        <f>'ACADEMIC SUPP 2yr'!L46+'STU SERVICES 2yr'!L46+'INST SUPPORT 2yr'!L46</f>
        <v>406954.98499999999</v>
      </c>
      <c r="M46" s="92">
        <f>'ACADEMIC SUPP 2yr'!M46+'STU SERVICES 2yr'!M46+'INST SUPPORT 2yr'!M46</f>
        <v>420820.08600000001</v>
      </c>
      <c r="N46" s="92">
        <f>'ACADEMIC SUPP 2yr'!N46+'STU SERVICES 2yr'!N46+'INST SUPPORT 2yr'!N46</f>
        <v>481042.09600000002</v>
      </c>
      <c r="O46" s="92">
        <f>'ACADEMIC SUPP 2yr'!O46+'STU SERVICES 2yr'!O46+'INST SUPPORT 2yr'!O46</f>
        <v>511733.71699999995</v>
      </c>
      <c r="P46" s="92">
        <f>'ACADEMIC SUPP 2yr'!P46+'STU SERVICES 2yr'!P46+'INST SUPPORT 2yr'!P46</f>
        <v>538565.59499999997</v>
      </c>
      <c r="Q46" s="92">
        <f>'ACADEMIC SUPP 2yr'!Q46+'STU SERVICES 2yr'!Q46+'INST SUPPORT 2yr'!Q46</f>
        <v>534737.54799999995</v>
      </c>
      <c r="R46" s="92">
        <f>'ACADEMIC SUPP 2yr'!R46+'STU SERVICES 2yr'!R46+'INST SUPPORT 2yr'!R46</f>
        <v>561118.97</v>
      </c>
      <c r="S46" s="92">
        <f>'ACADEMIC SUPP 2yr'!S46+'STU SERVICES 2yr'!S46+'INST SUPPORT 2yr'!S46</f>
        <v>585003.08900000004</v>
      </c>
      <c r="T46" s="92">
        <f>'ACADEMIC SUPP 2yr'!T46+'STU SERVICES 2yr'!T46+'INST SUPPORT 2yr'!T46</f>
        <v>573912.62100000004</v>
      </c>
      <c r="U46" s="92">
        <f>'ACADEMIC SUPP 2yr'!U46+'STU SERVICES 2yr'!U46+'INST SUPPORT 2yr'!U46</f>
        <v>605469.13199999998</v>
      </c>
      <c r="V46" s="92">
        <f>'ACADEMIC SUPP 2yr'!V46+'STU SERVICES 2yr'!V46+'INST SUPPORT 2yr'!V46</f>
        <v>767852.57199999993</v>
      </c>
      <c r="W46" s="92">
        <f>'ACADEMIC SUPP 2yr'!W46+'STU SERVICES 2yr'!W46+'INST SUPPORT 2yr'!W46</f>
        <v>746227.91499999992</v>
      </c>
      <c r="X46" s="92">
        <f>'ACADEMIC SUPP 2yr'!X46+'STU SERVICES 2yr'!X46+'INST SUPPORT 2yr'!X46</f>
        <v>751411.18099999998</v>
      </c>
      <c r="Y46" s="92">
        <f>'ACADEMIC SUPP 2yr'!Y46+'STU SERVICES 2yr'!Y46+'INST SUPPORT 2yr'!Y46</f>
        <v>678114.201</v>
      </c>
      <c r="Z46" s="92">
        <f>'ACADEMIC SUPP 2yr'!Z46+'STU SERVICES 2yr'!Z46+'INST SUPPORT 2yr'!Z46</f>
        <v>668569.93900000001</v>
      </c>
      <c r="AA46" s="92">
        <f>'ACADEMIC SUPP 2yr'!AA46+'STU SERVICES 2yr'!AA46+'INST SUPPORT 2yr'!AA46</f>
        <v>694181.51</v>
      </c>
    </row>
    <row r="47" spans="1:27">
      <c r="A47" s="23" t="s">
        <v>99</v>
      </c>
      <c r="B47" s="90">
        <f>'ACADEMIC SUPP 2yr'!B47+'STU SERVICES 2yr'!B47+'INST SUPPORT 2yr'!B47</f>
        <v>0</v>
      </c>
      <c r="C47" s="90">
        <f>'ACADEMIC SUPP 2yr'!C47+'STU SERVICES 2yr'!C47+'INST SUPPORT 2yr'!C47</f>
        <v>0</v>
      </c>
      <c r="D47" s="90">
        <f>'ACADEMIC SUPP 2yr'!D47+'STU SERVICES 2yr'!D47+'INST SUPPORT 2yr'!D47</f>
        <v>0</v>
      </c>
      <c r="E47" s="90">
        <f>'ACADEMIC SUPP 2yr'!E47+'STU SERVICES 2yr'!E47+'INST SUPPORT 2yr'!E47</f>
        <v>0</v>
      </c>
      <c r="F47" s="90">
        <f>'ACADEMIC SUPP 2yr'!F47+'STU SERVICES 2yr'!F47+'INST SUPPORT 2yr'!F47</f>
        <v>113633.352</v>
      </c>
      <c r="G47" s="90">
        <f>'ACADEMIC SUPP 2yr'!G47+'STU SERVICES 2yr'!G47+'INST SUPPORT 2yr'!G47</f>
        <v>0</v>
      </c>
      <c r="H47" s="90">
        <f>'ACADEMIC SUPP 2yr'!H47+'STU SERVICES 2yr'!H47+'INST SUPPORT 2yr'!H47</f>
        <v>0</v>
      </c>
      <c r="I47" s="90">
        <f>'ACADEMIC SUPP 2yr'!I47+'STU SERVICES 2yr'!I47+'INST SUPPORT 2yr'!I47</f>
        <v>154117.34299999999</v>
      </c>
      <c r="J47" s="90">
        <f>'ACADEMIC SUPP 2yr'!J47+'STU SERVICES 2yr'!J47+'INST SUPPORT 2yr'!J47</f>
        <v>0</v>
      </c>
      <c r="K47" s="90">
        <f>'ACADEMIC SUPP 2yr'!K47+'STU SERVICES 2yr'!K47+'INST SUPPORT 2yr'!K47</f>
        <v>204374.09265000001</v>
      </c>
      <c r="L47" s="90">
        <f>'ACADEMIC SUPP 2yr'!L47+'STU SERVICES 2yr'!L47+'INST SUPPORT 2yr'!L47</f>
        <v>222265.57299999997</v>
      </c>
      <c r="M47" s="90">
        <f>'ACADEMIC SUPP 2yr'!M47+'STU SERVICES 2yr'!M47+'INST SUPPORT 2yr'!M47</f>
        <v>241668.67799999999</v>
      </c>
      <c r="N47" s="90">
        <f>'ACADEMIC SUPP 2yr'!N47+'STU SERVICES 2yr'!N47+'INST SUPPORT 2yr'!N47</f>
        <v>242735.448</v>
      </c>
      <c r="O47" s="90">
        <f>'ACADEMIC SUPP 2yr'!O47+'STU SERVICES 2yr'!O47+'INST SUPPORT 2yr'!O47</f>
        <v>230977.22899999999</v>
      </c>
      <c r="P47" s="90">
        <f>'ACADEMIC SUPP 2yr'!P47+'STU SERVICES 2yr'!P47+'INST SUPPORT 2yr'!P47</f>
        <v>248517.46500000003</v>
      </c>
      <c r="Q47" s="90">
        <f>'ACADEMIC SUPP 2yr'!Q47+'STU SERVICES 2yr'!Q47+'INST SUPPORT 2yr'!Q47</f>
        <v>264486.223</v>
      </c>
      <c r="R47" s="90">
        <f>'ACADEMIC SUPP 2yr'!R47+'STU SERVICES 2yr'!R47+'INST SUPPORT 2yr'!R47</f>
        <v>278514.16899999999</v>
      </c>
      <c r="S47" s="90">
        <f>'ACADEMIC SUPP 2yr'!S47+'STU SERVICES 2yr'!S47+'INST SUPPORT 2yr'!S47</f>
        <v>298297.83</v>
      </c>
      <c r="T47" s="90">
        <f>'ACADEMIC SUPP 2yr'!T47+'STU SERVICES 2yr'!T47+'INST SUPPORT 2yr'!T47</f>
        <v>338058.26400000002</v>
      </c>
      <c r="U47" s="90">
        <f>'ACADEMIC SUPP 2yr'!U47+'STU SERVICES 2yr'!U47+'INST SUPPORT 2yr'!U47</f>
        <v>351635.94699999999</v>
      </c>
      <c r="V47" s="90">
        <f>'ACADEMIC SUPP 2yr'!V47+'STU SERVICES 2yr'!V47+'INST SUPPORT 2yr'!V47</f>
        <v>405362.91700000002</v>
      </c>
      <c r="W47" s="90">
        <f>'ACADEMIC SUPP 2yr'!W47+'STU SERVICES 2yr'!W47+'INST SUPPORT 2yr'!W47</f>
        <v>416314</v>
      </c>
      <c r="X47" s="90">
        <f>'ACADEMIC SUPP 2yr'!X47+'STU SERVICES 2yr'!X47+'INST SUPPORT 2yr'!X47</f>
        <v>402368.04499999998</v>
      </c>
      <c r="Y47" s="90">
        <f>'ACADEMIC SUPP 2yr'!Y47+'STU SERVICES 2yr'!Y47+'INST SUPPORT 2yr'!Y47</f>
        <v>321237.29600000003</v>
      </c>
      <c r="Z47" s="90">
        <f>'ACADEMIC SUPP 2yr'!Z47+'STU SERVICES 2yr'!Z47+'INST SUPPORT 2yr'!Z47</f>
        <v>325027.47899999999</v>
      </c>
      <c r="AA47" s="90">
        <f>'ACADEMIC SUPP 2yr'!AA47+'STU SERVICES 2yr'!AA47+'INST SUPPORT 2yr'!AA47</f>
        <v>327963.087</v>
      </c>
    </row>
    <row r="48" spans="1:27">
      <c r="A48" s="23" t="s">
        <v>59</v>
      </c>
      <c r="B48" s="90">
        <f>'ACADEMIC SUPP 2yr'!B48+'STU SERVICES 2yr'!B48+'INST SUPPORT 2yr'!B48</f>
        <v>0</v>
      </c>
      <c r="C48" s="90">
        <f>'ACADEMIC SUPP 2yr'!C48+'STU SERVICES 2yr'!C48+'INST SUPPORT 2yr'!C48</f>
        <v>0</v>
      </c>
      <c r="D48" s="90">
        <f>'ACADEMIC SUPP 2yr'!D48+'STU SERVICES 2yr'!D48+'INST SUPPORT 2yr'!D48</f>
        <v>0</v>
      </c>
      <c r="E48" s="90">
        <f>'ACADEMIC SUPP 2yr'!E48+'STU SERVICES 2yr'!E48+'INST SUPPORT 2yr'!E48</f>
        <v>0</v>
      </c>
      <c r="F48" s="90">
        <f>'ACADEMIC SUPP 2yr'!F48+'STU SERVICES 2yr'!F48+'INST SUPPORT 2yr'!F48</f>
        <v>63777.624000000003</v>
      </c>
      <c r="G48" s="90">
        <f>'ACADEMIC SUPP 2yr'!G48+'STU SERVICES 2yr'!G48+'INST SUPPORT 2yr'!G48</f>
        <v>0</v>
      </c>
      <c r="H48" s="90">
        <f>'ACADEMIC SUPP 2yr'!H48+'STU SERVICES 2yr'!H48+'INST SUPPORT 2yr'!H48</f>
        <v>0</v>
      </c>
      <c r="I48" s="90">
        <f>'ACADEMIC SUPP 2yr'!I48+'STU SERVICES 2yr'!I48+'INST SUPPORT 2yr'!I48</f>
        <v>28589.809999999998</v>
      </c>
      <c r="J48" s="90">
        <f>'ACADEMIC SUPP 2yr'!J48+'STU SERVICES 2yr'!J48+'INST SUPPORT 2yr'!J48</f>
        <v>0</v>
      </c>
      <c r="K48" s="90">
        <f>'ACADEMIC SUPP 2yr'!K48+'STU SERVICES 2yr'!K48+'INST SUPPORT 2yr'!K48</f>
        <v>97162.141999999993</v>
      </c>
      <c r="L48" s="90">
        <f>'ACADEMIC SUPP 2yr'!L48+'STU SERVICES 2yr'!L48+'INST SUPPORT 2yr'!L48</f>
        <v>49277.941000000006</v>
      </c>
      <c r="M48" s="90">
        <f>'ACADEMIC SUPP 2yr'!M48+'STU SERVICES 2yr'!M48+'INST SUPPORT 2yr'!M48</f>
        <v>62783.708000000006</v>
      </c>
      <c r="N48" s="90">
        <f>'ACADEMIC SUPP 2yr'!N48+'STU SERVICES 2yr'!N48+'INST SUPPORT 2yr'!N48</f>
        <v>52775.256999999998</v>
      </c>
      <c r="O48" s="90">
        <f>'ACADEMIC SUPP 2yr'!O48+'STU SERVICES 2yr'!O48+'INST SUPPORT 2yr'!O48</f>
        <v>57198.509000000005</v>
      </c>
      <c r="P48" s="90">
        <f>'ACADEMIC SUPP 2yr'!P48+'STU SERVICES 2yr'!P48+'INST SUPPORT 2yr'!P48</f>
        <v>60796.411999999997</v>
      </c>
      <c r="Q48" s="90">
        <f>'ACADEMIC SUPP 2yr'!Q48+'STU SERVICES 2yr'!Q48+'INST SUPPORT 2yr'!Q48</f>
        <v>67343.687000000005</v>
      </c>
      <c r="R48" s="90">
        <f>'ACADEMIC SUPP 2yr'!R48+'STU SERVICES 2yr'!R48+'INST SUPPORT 2yr'!R48</f>
        <v>73771.195000000007</v>
      </c>
      <c r="S48" s="90">
        <f>'ACADEMIC SUPP 2yr'!S48+'STU SERVICES 2yr'!S48+'INST SUPPORT 2yr'!S48</f>
        <v>76761.187999999995</v>
      </c>
      <c r="T48" s="90">
        <f>'ACADEMIC SUPP 2yr'!T48+'STU SERVICES 2yr'!T48+'INST SUPPORT 2yr'!T48</f>
        <v>86726.054999999993</v>
      </c>
      <c r="U48" s="90">
        <f>'ACADEMIC SUPP 2yr'!U48+'STU SERVICES 2yr'!U48+'INST SUPPORT 2yr'!U48</f>
        <v>97473.688999999998</v>
      </c>
      <c r="V48" s="90">
        <f>'ACADEMIC SUPP 2yr'!V48+'STU SERVICES 2yr'!V48+'INST SUPPORT 2yr'!V48</f>
        <v>109217.81200000001</v>
      </c>
      <c r="W48" s="90">
        <f>'ACADEMIC SUPP 2yr'!W48+'STU SERVICES 2yr'!W48+'INST SUPPORT 2yr'!W48</f>
        <v>198329.008</v>
      </c>
      <c r="X48" s="90">
        <f>'ACADEMIC SUPP 2yr'!X48+'STU SERVICES 2yr'!X48+'INST SUPPORT 2yr'!X48</f>
        <v>211820.747</v>
      </c>
      <c r="Y48" s="90">
        <f>'ACADEMIC SUPP 2yr'!Y48+'STU SERVICES 2yr'!Y48+'INST SUPPORT 2yr'!Y48</f>
        <v>205475.47</v>
      </c>
      <c r="Z48" s="90">
        <f>'ACADEMIC SUPP 2yr'!Z48+'STU SERVICES 2yr'!Z48+'INST SUPPORT 2yr'!Z48</f>
        <v>267943.18900000001</v>
      </c>
      <c r="AA48" s="90">
        <f>'ACADEMIC SUPP 2yr'!AA48+'STU SERVICES 2yr'!AA48+'INST SUPPORT 2yr'!AA48</f>
        <v>256484.106</v>
      </c>
    </row>
    <row r="49" spans="1:27">
      <c r="A49" s="23" t="s">
        <v>101</v>
      </c>
      <c r="B49" s="90">
        <f>'ACADEMIC SUPP 2yr'!B49+'STU SERVICES 2yr'!B49+'INST SUPPORT 2yr'!B49</f>
        <v>0</v>
      </c>
      <c r="C49" s="90">
        <f>'ACADEMIC SUPP 2yr'!C49+'STU SERVICES 2yr'!C49+'INST SUPPORT 2yr'!C49</f>
        <v>0</v>
      </c>
      <c r="D49" s="90">
        <f>'ACADEMIC SUPP 2yr'!D49+'STU SERVICES 2yr'!D49+'INST SUPPORT 2yr'!D49</f>
        <v>0</v>
      </c>
      <c r="E49" s="90">
        <f>'ACADEMIC SUPP 2yr'!E49+'STU SERVICES 2yr'!E49+'INST SUPPORT 2yr'!E49</f>
        <v>0</v>
      </c>
      <c r="F49" s="90">
        <f>'ACADEMIC SUPP 2yr'!F49+'STU SERVICES 2yr'!F49+'INST SUPPORT 2yr'!F49</f>
        <v>30534.481</v>
      </c>
      <c r="G49" s="90">
        <f>'ACADEMIC SUPP 2yr'!G49+'STU SERVICES 2yr'!G49+'INST SUPPORT 2yr'!G49</f>
        <v>0</v>
      </c>
      <c r="H49" s="90">
        <f>'ACADEMIC SUPP 2yr'!H49+'STU SERVICES 2yr'!H49+'INST SUPPORT 2yr'!H49</f>
        <v>0</v>
      </c>
      <c r="I49" s="90">
        <f>'ACADEMIC SUPP 2yr'!I49+'STU SERVICES 2yr'!I49+'INST SUPPORT 2yr'!I49</f>
        <v>34509.885999999999</v>
      </c>
      <c r="J49" s="90">
        <f>'ACADEMIC SUPP 2yr'!J49+'STU SERVICES 2yr'!J49+'INST SUPPORT 2yr'!J49</f>
        <v>0</v>
      </c>
      <c r="K49" s="90">
        <f>'ACADEMIC SUPP 2yr'!K49+'STU SERVICES 2yr'!K49+'INST SUPPORT 2yr'!K49</f>
        <v>51850.368000000002</v>
      </c>
      <c r="L49" s="90">
        <f>'ACADEMIC SUPP 2yr'!L49+'STU SERVICES 2yr'!L49+'INST SUPPORT 2yr'!L49</f>
        <v>62991.790999999997</v>
      </c>
      <c r="M49" s="90">
        <f>'ACADEMIC SUPP 2yr'!M49+'STU SERVICES 2yr'!M49+'INST SUPPORT 2yr'!M49</f>
        <v>66463.652000000002</v>
      </c>
      <c r="N49" s="90">
        <f>'ACADEMIC SUPP 2yr'!N49+'STU SERVICES 2yr'!N49+'INST SUPPORT 2yr'!N49</f>
        <v>69882.643000000011</v>
      </c>
      <c r="O49" s="90">
        <f>'ACADEMIC SUPP 2yr'!O49+'STU SERVICES 2yr'!O49+'INST SUPPORT 2yr'!O49</f>
        <v>74591.768000000011</v>
      </c>
      <c r="P49" s="90">
        <f>'ACADEMIC SUPP 2yr'!P49+'STU SERVICES 2yr'!P49+'INST SUPPORT 2yr'!P49</f>
        <v>78758.82699999999</v>
      </c>
      <c r="Q49" s="90">
        <f>'ACADEMIC SUPP 2yr'!Q49+'STU SERVICES 2yr'!Q49+'INST SUPPORT 2yr'!Q49</f>
        <v>80122.953999999998</v>
      </c>
      <c r="R49" s="90">
        <f>'ACADEMIC SUPP 2yr'!R49+'STU SERVICES 2yr'!R49+'INST SUPPORT 2yr'!R49</f>
        <v>84202.006999999998</v>
      </c>
      <c r="S49" s="90">
        <f>'ACADEMIC SUPP 2yr'!S49+'STU SERVICES 2yr'!S49+'INST SUPPORT 2yr'!S49</f>
        <v>88268.157999999996</v>
      </c>
      <c r="T49" s="90">
        <f>'ACADEMIC SUPP 2yr'!T49+'STU SERVICES 2yr'!T49+'INST SUPPORT 2yr'!T49</f>
        <v>93294.203000000009</v>
      </c>
      <c r="U49" s="90">
        <f>'ACADEMIC SUPP 2yr'!U49+'STU SERVICES 2yr'!U49+'INST SUPPORT 2yr'!U49</f>
        <v>98835.502000000008</v>
      </c>
      <c r="V49" s="90">
        <f>'ACADEMIC SUPP 2yr'!V49+'STU SERVICES 2yr'!V49+'INST SUPPORT 2yr'!V49</f>
        <v>119858.202</v>
      </c>
      <c r="W49" s="90">
        <f>'ACADEMIC SUPP 2yr'!W49+'STU SERVICES 2yr'!W49+'INST SUPPORT 2yr'!W49</f>
        <v>128637.96100000001</v>
      </c>
      <c r="X49" s="90">
        <f>'ACADEMIC SUPP 2yr'!X49+'STU SERVICES 2yr'!X49+'INST SUPPORT 2yr'!X49</f>
        <v>133639.22999999998</v>
      </c>
      <c r="Y49" s="90">
        <f>'ACADEMIC SUPP 2yr'!Y49+'STU SERVICES 2yr'!Y49+'INST SUPPORT 2yr'!Y49</f>
        <v>112410.63400000001</v>
      </c>
      <c r="Z49" s="90">
        <f>'ACADEMIC SUPP 2yr'!Z49+'STU SERVICES 2yr'!Z49+'INST SUPPORT 2yr'!Z49</f>
        <v>118585.155</v>
      </c>
      <c r="AA49" s="90">
        <f>'ACADEMIC SUPP 2yr'!AA49+'STU SERVICES 2yr'!AA49+'INST SUPPORT 2yr'!AA49</f>
        <v>127821.48999999999</v>
      </c>
    </row>
    <row r="50" spans="1:27">
      <c r="A50" s="23" t="s">
        <v>107</v>
      </c>
      <c r="B50" s="90">
        <f>'ACADEMIC SUPP 2yr'!B50+'STU SERVICES 2yr'!B50+'INST SUPPORT 2yr'!B50</f>
        <v>0</v>
      </c>
      <c r="C50" s="90">
        <f>'ACADEMIC SUPP 2yr'!C50+'STU SERVICES 2yr'!C50+'INST SUPPORT 2yr'!C50</f>
        <v>0</v>
      </c>
      <c r="D50" s="90">
        <f>'ACADEMIC SUPP 2yr'!D50+'STU SERVICES 2yr'!D50+'INST SUPPORT 2yr'!D50</f>
        <v>0</v>
      </c>
      <c r="E50" s="90">
        <f>'ACADEMIC SUPP 2yr'!E50+'STU SERVICES 2yr'!E50+'INST SUPPORT 2yr'!E50</f>
        <v>0</v>
      </c>
      <c r="F50" s="90">
        <f>'ACADEMIC SUPP 2yr'!F50+'STU SERVICES 2yr'!F50+'INST SUPPORT 2yr'!F50</f>
        <v>11368.238000000001</v>
      </c>
      <c r="G50" s="90">
        <f>'ACADEMIC SUPP 2yr'!G50+'STU SERVICES 2yr'!G50+'INST SUPPORT 2yr'!G50</f>
        <v>0</v>
      </c>
      <c r="H50" s="90">
        <f>'ACADEMIC SUPP 2yr'!H50+'STU SERVICES 2yr'!H50+'INST SUPPORT 2yr'!H50</f>
        <v>0</v>
      </c>
      <c r="I50" s="90">
        <f>'ACADEMIC SUPP 2yr'!I50+'STU SERVICES 2yr'!I50+'INST SUPPORT 2yr'!I50</f>
        <v>12024.779999999999</v>
      </c>
      <c r="J50" s="90">
        <f>'ACADEMIC SUPP 2yr'!J50+'STU SERVICES 2yr'!J50+'INST SUPPORT 2yr'!J50</f>
        <v>0</v>
      </c>
      <c r="K50" s="90">
        <f>'ACADEMIC SUPP 2yr'!K50+'STU SERVICES 2yr'!K50+'INST SUPPORT 2yr'!K50</f>
        <v>13366.028010000002</v>
      </c>
      <c r="L50" s="90">
        <f>'ACADEMIC SUPP 2yr'!L50+'STU SERVICES 2yr'!L50+'INST SUPPORT 2yr'!L50</f>
        <v>18668.205000000002</v>
      </c>
      <c r="M50" s="90">
        <f>'ACADEMIC SUPP 2yr'!M50+'STU SERVICES 2yr'!M50+'INST SUPPORT 2yr'!M50</f>
        <v>14878.691999999999</v>
      </c>
      <c r="N50" s="90">
        <f>'ACADEMIC SUPP 2yr'!N50+'STU SERVICES 2yr'!N50+'INST SUPPORT 2yr'!N50</f>
        <v>16501.181</v>
      </c>
      <c r="O50" s="90">
        <f>'ACADEMIC SUPP 2yr'!O50+'STU SERVICES 2yr'!O50+'INST SUPPORT 2yr'!O50</f>
        <v>16437.364999999998</v>
      </c>
      <c r="P50" s="90">
        <f>'ACADEMIC SUPP 2yr'!P50+'STU SERVICES 2yr'!P50+'INST SUPPORT 2yr'!P50</f>
        <v>17162.779000000002</v>
      </c>
      <c r="Q50" s="90">
        <f>'ACADEMIC SUPP 2yr'!Q50+'STU SERVICES 2yr'!Q50+'INST SUPPORT 2yr'!Q50</f>
        <v>23115.521999999997</v>
      </c>
      <c r="R50" s="90">
        <f>'ACADEMIC SUPP 2yr'!R50+'STU SERVICES 2yr'!R50+'INST SUPPORT 2yr'!R50</f>
        <v>24922.311000000002</v>
      </c>
      <c r="S50" s="90">
        <f>'ACADEMIC SUPP 2yr'!S50+'STU SERVICES 2yr'!S50+'INST SUPPORT 2yr'!S50</f>
        <v>22301.411</v>
      </c>
      <c r="T50" s="90">
        <f>'ACADEMIC SUPP 2yr'!T50+'STU SERVICES 2yr'!T50+'INST SUPPORT 2yr'!T50</f>
        <v>16313.994999999999</v>
      </c>
      <c r="U50" s="90">
        <f>'ACADEMIC SUPP 2yr'!U50+'STU SERVICES 2yr'!U50+'INST SUPPORT 2yr'!U50</f>
        <v>27863.139000000003</v>
      </c>
      <c r="V50" s="90">
        <f>'ACADEMIC SUPP 2yr'!V50+'STU SERVICES 2yr'!V50+'INST SUPPORT 2yr'!V50</f>
        <v>33972.801999999996</v>
      </c>
      <c r="W50" s="90">
        <f>'ACADEMIC SUPP 2yr'!W50+'STU SERVICES 2yr'!W50+'INST SUPPORT 2yr'!W50</f>
        <v>37096.173999999999</v>
      </c>
      <c r="X50" s="90">
        <f>'ACADEMIC SUPP 2yr'!X50+'STU SERVICES 2yr'!X50+'INST SUPPORT 2yr'!X50</f>
        <v>40953.752</v>
      </c>
      <c r="Y50" s="90">
        <f>'ACADEMIC SUPP 2yr'!Y50+'STU SERVICES 2yr'!Y50+'INST SUPPORT 2yr'!Y50</f>
        <v>42880.008000000002</v>
      </c>
      <c r="Z50" s="90">
        <f>'ACADEMIC SUPP 2yr'!Z50+'STU SERVICES 2yr'!Z50+'INST SUPPORT 2yr'!Z50</f>
        <v>49527.383000000002</v>
      </c>
      <c r="AA50" s="90">
        <f>'ACADEMIC SUPP 2yr'!AA50+'STU SERVICES 2yr'!AA50+'INST SUPPORT 2yr'!AA50</f>
        <v>51199.588999999993</v>
      </c>
    </row>
    <row r="51" spans="1:27">
      <c r="A51" s="23" t="s">
        <v>108</v>
      </c>
      <c r="B51" s="90">
        <f>'ACADEMIC SUPP 2yr'!B51+'STU SERVICES 2yr'!B51+'INST SUPPORT 2yr'!B51</f>
        <v>0</v>
      </c>
      <c r="C51" s="90">
        <f>'ACADEMIC SUPP 2yr'!C51+'STU SERVICES 2yr'!C51+'INST SUPPORT 2yr'!C51</f>
        <v>0</v>
      </c>
      <c r="D51" s="90">
        <f>'ACADEMIC SUPP 2yr'!D51+'STU SERVICES 2yr'!D51+'INST SUPPORT 2yr'!D51</f>
        <v>0</v>
      </c>
      <c r="E51" s="90">
        <f>'ACADEMIC SUPP 2yr'!E51+'STU SERVICES 2yr'!E51+'INST SUPPORT 2yr'!E51</f>
        <v>0</v>
      </c>
      <c r="F51" s="90">
        <f>'ACADEMIC SUPP 2yr'!F51+'STU SERVICES 2yr'!F51+'INST SUPPORT 2yr'!F51</f>
        <v>167082.122</v>
      </c>
      <c r="G51" s="90">
        <f>'ACADEMIC SUPP 2yr'!G51+'STU SERVICES 2yr'!G51+'INST SUPPORT 2yr'!G51</f>
        <v>0</v>
      </c>
      <c r="H51" s="90">
        <f>'ACADEMIC SUPP 2yr'!H51+'STU SERVICES 2yr'!H51+'INST SUPPORT 2yr'!H51</f>
        <v>0</v>
      </c>
      <c r="I51" s="90">
        <f>'ACADEMIC SUPP 2yr'!I51+'STU SERVICES 2yr'!I51+'INST SUPPORT 2yr'!I51</f>
        <v>197712.326</v>
      </c>
      <c r="J51" s="90">
        <f>'ACADEMIC SUPP 2yr'!J51+'STU SERVICES 2yr'!J51+'INST SUPPORT 2yr'!J51</f>
        <v>0</v>
      </c>
      <c r="K51" s="90">
        <f>'ACADEMIC SUPP 2yr'!K51+'STU SERVICES 2yr'!K51+'INST SUPPORT 2yr'!K51</f>
        <v>219731.647</v>
      </c>
      <c r="L51" s="90">
        <f>'ACADEMIC SUPP 2yr'!L51+'STU SERVICES 2yr'!L51+'INST SUPPORT 2yr'!L51</f>
        <v>277427.511</v>
      </c>
      <c r="M51" s="90">
        <f>'ACADEMIC SUPP 2yr'!M51+'STU SERVICES 2yr'!M51+'INST SUPPORT 2yr'!M51</f>
        <v>295094.201</v>
      </c>
      <c r="N51" s="90">
        <f>'ACADEMIC SUPP 2yr'!N51+'STU SERVICES 2yr'!N51+'INST SUPPORT 2yr'!N51</f>
        <v>282643.04599999997</v>
      </c>
      <c r="O51" s="90">
        <f>'ACADEMIC SUPP 2yr'!O51+'STU SERVICES 2yr'!O51+'INST SUPPORT 2yr'!O51</f>
        <v>308948.533</v>
      </c>
      <c r="P51" s="90">
        <f>'ACADEMIC SUPP 2yr'!P51+'STU SERVICES 2yr'!P51+'INST SUPPORT 2yr'!P51</f>
        <v>313588.08400000003</v>
      </c>
      <c r="Q51" s="90">
        <f>'ACADEMIC SUPP 2yr'!Q51+'STU SERVICES 2yr'!Q51+'INST SUPPORT 2yr'!Q51</f>
        <v>324665.00699999998</v>
      </c>
      <c r="R51" s="90">
        <f>'ACADEMIC SUPP 2yr'!R51+'STU SERVICES 2yr'!R51+'INST SUPPORT 2yr'!R51</f>
        <v>346744.59699999995</v>
      </c>
      <c r="S51" s="90">
        <f>'ACADEMIC SUPP 2yr'!S51+'STU SERVICES 2yr'!S51+'INST SUPPORT 2yr'!S51</f>
        <v>352003.87</v>
      </c>
      <c r="T51" s="90">
        <f>'ACADEMIC SUPP 2yr'!T51+'STU SERVICES 2yr'!T51+'INST SUPPORT 2yr'!T51</f>
        <v>423948.43799999997</v>
      </c>
      <c r="U51" s="90">
        <f>'ACADEMIC SUPP 2yr'!U51+'STU SERVICES 2yr'!U51+'INST SUPPORT 2yr'!U51</f>
        <v>499313.56799999997</v>
      </c>
      <c r="V51" s="90">
        <f>'ACADEMIC SUPP 2yr'!V51+'STU SERVICES 2yr'!V51+'INST SUPPORT 2yr'!V51</f>
        <v>548998.29299999995</v>
      </c>
      <c r="W51" s="90">
        <f>'ACADEMIC SUPP 2yr'!W51+'STU SERVICES 2yr'!W51+'INST SUPPORT 2yr'!W51</f>
        <v>583536.76799999992</v>
      </c>
      <c r="X51" s="90">
        <f>'ACADEMIC SUPP 2yr'!X51+'STU SERVICES 2yr'!X51+'INST SUPPORT 2yr'!X51</f>
        <v>601817.34400000004</v>
      </c>
      <c r="Y51" s="90">
        <f>'ACADEMIC SUPP 2yr'!Y51+'STU SERVICES 2yr'!Y51+'INST SUPPORT 2yr'!Y51</f>
        <v>592624.82799999998</v>
      </c>
      <c r="Z51" s="90">
        <f>'ACADEMIC SUPP 2yr'!Z51+'STU SERVICES 2yr'!Z51+'INST SUPPORT 2yr'!Z51</f>
        <v>595612.96</v>
      </c>
      <c r="AA51" s="90">
        <f>'ACADEMIC SUPP 2yr'!AA51+'STU SERVICES 2yr'!AA51+'INST SUPPORT 2yr'!AA51</f>
        <v>590014.64199999999</v>
      </c>
    </row>
    <row r="52" spans="1:27">
      <c r="A52" s="23" t="s">
        <v>112</v>
      </c>
      <c r="B52" s="90">
        <f>'ACADEMIC SUPP 2yr'!B52+'STU SERVICES 2yr'!B52+'INST SUPPORT 2yr'!B52</f>
        <v>0</v>
      </c>
      <c r="C52" s="90">
        <f>'ACADEMIC SUPP 2yr'!C52+'STU SERVICES 2yr'!C52+'INST SUPPORT 2yr'!C52</f>
        <v>0</v>
      </c>
      <c r="D52" s="90">
        <f>'ACADEMIC SUPP 2yr'!D52+'STU SERVICES 2yr'!D52+'INST SUPPORT 2yr'!D52</f>
        <v>0</v>
      </c>
      <c r="E52" s="90">
        <f>'ACADEMIC SUPP 2yr'!E52+'STU SERVICES 2yr'!E52+'INST SUPPORT 2yr'!E52</f>
        <v>0</v>
      </c>
      <c r="F52" s="90">
        <f>'ACADEMIC SUPP 2yr'!F52+'STU SERVICES 2yr'!F52+'INST SUPPORT 2yr'!F52</f>
        <v>249.44</v>
      </c>
      <c r="G52" s="90">
        <f>'ACADEMIC SUPP 2yr'!G52+'STU SERVICES 2yr'!G52+'INST SUPPORT 2yr'!G52</f>
        <v>0</v>
      </c>
      <c r="H52" s="90">
        <f>'ACADEMIC SUPP 2yr'!H52+'STU SERVICES 2yr'!H52+'INST SUPPORT 2yr'!H52</f>
        <v>0</v>
      </c>
      <c r="I52" s="90">
        <f>'ACADEMIC SUPP 2yr'!I52+'STU SERVICES 2yr'!I52+'INST SUPPORT 2yr'!I52</f>
        <v>532.13300000000004</v>
      </c>
      <c r="J52" s="90">
        <f>'ACADEMIC SUPP 2yr'!J52+'STU SERVICES 2yr'!J52+'INST SUPPORT 2yr'!J52</f>
        <v>0</v>
      </c>
      <c r="K52" s="90">
        <f>'ACADEMIC SUPP 2yr'!K52+'STU SERVICES 2yr'!K52+'INST SUPPORT 2yr'!K52</f>
        <v>7618.0184999999965</v>
      </c>
      <c r="L52" s="90">
        <f>'ACADEMIC SUPP 2yr'!L52+'STU SERVICES 2yr'!L52+'INST SUPPORT 2yr'!L52</f>
        <v>9756.9650000000001</v>
      </c>
      <c r="M52" s="90">
        <f>'ACADEMIC SUPP 2yr'!M52+'STU SERVICES 2yr'!M52+'INST SUPPORT 2yr'!M52</f>
        <v>9591.3389999999999</v>
      </c>
      <c r="N52" s="90">
        <f>'ACADEMIC SUPP 2yr'!N52+'STU SERVICES 2yr'!N52+'INST SUPPORT 2yr'!N52</f>
        <v>10951.16</v>
      </c>
      <c r="O52" s="90">
        <f>'ACADEMIC SUPP 2yr'!O52+'STU SERVICES 2yr'!O52+'INST SUPPORT 2yr'!O52</f>
        <v>12180.011</v>
      </c>
      <c r="P52" s="90">
        <f>'ACADEMIC SUPP 2yr'!P52+'STU SERVICES 2yr'!P52+'INST SUPPORT 2yr'!P52</f>
        <v>9795.7439999999988</v>
      </c>
      <c r="Q52" s="90">
        <f>'ACADEMIC SUPP 2yr'!Q52+'STU SERVICES 2yr'!Q52+'INST SUPPORT 2yr'!Q52</f>
        <v>8686.4380000000001</v>
      </c>
      <c r="R52" s="90">
        <f>'ACADEMIC SUPP 2yr'!R52+'STU SERVICES 2yr'!R52+'INST SUPPORT 2yr'!R52</f>
        <v>10366.192999999999</v>
      </c>
      <c r="S52" s="90">
        <f>'ACADEMIC SUPP 2yr'!S52+'STU SERVICES 2yr'!S52+'INST SUPPORT 2yr'!S52</f>
        <v>15774.739</v>
      </c>
      <c r="T52" s="90">
        <f>'ACADEMIC SUPP 2yr'!T52+'STU SERVICES 2yr'!T52+'INST SUPPORT 2yr'!T52</f>
        <v>17135.645</v>
      </c>
      <c r="U52" s="90">
        <f>'ACADEMIC SUPP 2yr'!U52+'STU SERVICES 2yr'!U52+'INST SUPPORT 2yr'!U52</f>
        <v>23504.671000000002</v>
      </c>
      <c r="V52" s="90">
        <f>'ACADEMIC SUPP 2yr'!V52+'STU SERVICES 2yr'!V52+'INST SUPPORT 2yr'!V52</f>
        <v>19689.116999999998</v>
      </c>
      <c r="W52" s="90">
        <f>'ACADEMIC SUPP 2yr'!W52+'STU SERVICES 2yr'!W52+'INST SUPPORT 2yr'!W52</f>
        <v>21188.129000000001</v>
      </c>
      <c r="X52" s="90">
        <f>'ACADEMIC SUPP 2yr'!X52+'STU SERVICES 2yr'!X52+'INST SUPPORT 2yr'!X52</f>
        <v>20486.592000000001</v>
      </c>
      <c r="Y52" s="90">
        <f>'ACADEMIC SUPP 2yr'!Y52+'STU SERVICES 2yr'!Y52+'INST SUPPORT 2yr'!Y52</f>
        <v>30450.373</v>
      </c>
      <c r="Z52" s="90">
        <f>'ACADEMIC SUPP 2yr'!Z52+'STU SERVICES 2yr'!Z52+'INST SUPPORT 2yr'!Z52</f>
        <v>30970.374</v>
      </c>
      <c r="AA52" s="90">
        <f>'ACADEMIC SUPP 2yr'!AA52+'STU SERVICES 2yr'!AA52+'INST SUPPORT 2yr'!AA52</f>
        <v>34446.381000000001</v>
      </c>
    </row>
    <row r="53" spans="1:27">
      <c r="A53" s="45" t="s">
        <v>116</v>
      </c>
      <c r="B53" s="94">
        <f>'ACADEMIC SUPP 2yr'!B53+'STU SERVICES 2yr'!B53+'INST SUPPORT 2yr'!B53</f>
        <v>0</v>
      </c>
      <c r="C53" s="94">
        <f>'ACADEMIC SUPP 2yr'!C53+'STU SERVICES 2yr'!C53+'INST SUPPORT 2yr'!C53</f>
        <v>0</v>
      </c>
      <c r="D53" s="94">
        <f>'ACADEMIC SUPP 2yr'!D53+'STU SERVICES 2yr'!D53+'INST SUPPORT 2yr'!D53</f>
        <v>0</v>
      </c>
      <c r="E53" s="94">
        <f>'ACADEMIC SUPP 2yr'!E53+'STU SERVICES 2yr'!E53+'INST SUPPORT 2yr'!E53</f>
        <v>0</v>
      </c>
      <c r="F53" s="94">
        <f>'ACADEMIC SUPP 2yr'!F53+'STU SERVICES 2yr'!F53+'INST SUPPORT 2yr'!F53</f>
        <v>113682.98000000001</v>
      </c>
      <c r="G53" s="94">
        <f>'ACADEMIC SUPP 2yr'!G53+'STU SERVICES 2yr'!G53+'INST SUPPORT 2yr'!G53</f>
        <v>0</v>
      </c>
      <c r="H53" s="94">
        <f>'ACADEMIC SUPP 2yr'!H53+'STU SERVICES 2yr'!H53+'INST SUPPORT 2yr'!H53</f>
        <v>0</v>
      </c>
      <c r="I53" s="94">
        <f>'ACADEMIC SUPP 2yr'!I53+'STU SERVICES 2yr'!I53+'INST SUPPORT 2yr'!I53</f>
        <v>138886.62400000001</v>
      </c>
      <c r="J53" s="94">
        <f>'ACADEMIC SUPP 2yr'!J53+'STU SERVICES 2yr'!J53+'INST SUPPORT 2yr'!J53</f>
        <v>0</v>
      </c>
      <c r="K53" s="94">
        <f>'ACADEMIC SUPP 2yr'!K53+'STU SERVICES 2yr'!K53+'INST SUPPORT 2yr'!K53</f>
        <v>154580.552</v>
      </c>
      <c r="L53" s="94">
        <f>'ACADEMIC SUPP 2yr'!L53+'STU SERVICES 2yr'!L53+'INST SUPPORT 2yr'!L53</f>
        <v>188249.28399999999</v>
      </c>
      <c r="M53" s="94">
        <f>'ACADEMIC SUPP 2yr'!M53+'STU SERVICES 2yr'!M53+'INST SUPPORT 2yr'!M53</f>
        <v>202432.73200000002</v>
      </c>
      <c r="N53" s="94">
        <f>'ACADEMIC SUPP 2yr'!N53+'STU SERVICES 2yr'!N53+'INST SUPPORT 2yr'!N53</f>
        <v>217456.405</v>
      </c>
      <c r="O53" s="94">
        <f>'ACADEMIC SUPP 2yr'!O53+'STU SERVICES 2yr'!O53+'INST SUPPORT 2yr'!O53</f>
        <v>234835.65</v>
      </c>
      <c r="P53" s="94">
        <f>'ACADEMIC SUPP 2yr'!P53+'STU SERVICES 2yr'!P53+'INST SUPPORT 2yr'!P53</f>
        <v>241782.24599999998</v>
      </c>
      <c r="Q53" s="94">
        <f>'ACADEMIC SUPP 2yr'!Q53+'STU SERVICES 2yr'!Q53+'INST SUPPORT 2yr'!Q53</f>
        <v>257752.15399999998</v>
      </c>
      <c r="R53" s="94">
        <f>'ACADEMIC SUPP 2yr'!R53+'STU SERVICES 2yr'!R53+'INST SUPPORT 2yr'!R53</f>
        <v>269215.663</v>
      </c>
      <c r="S53" s="94">
        <f>'ACADEMIC SUPP 2yr'!S53+'STU SERVICES 2yr'!S53+'INST SUPPORT 2yr'!S53</f>
        <v>253267.97600000002</v>
      </c>
      <c r="T53" s="94">
        <f>'ACADEMIC SUPP 2yr'!T53+'STU SERVICES 2yr'!T53+'INST SUPPORT 2yr'!T53</f>
        <v>275238.66899999999</v>
      </c>
      <c r="U53" s="94">
        <f>'ACADEMIC SUPP 2yr'!U53+'STU SERVICES 2yr'!U53+'INST SUPPORT 2yr'!U53</f>
        <v>299727.45199999999</v>
      </c>
      <c r="V53" s="94">
        <f>'ACADEMIC SUPP 2yr'!V53+'STU SERVICES 2yr'!V53+'INST SUPPORT 2yr'!V53</f>
        <v>373401.71400000004</v>
      </c>
      <c r="W53" s="94">
        <f>'ACADEMIC SUPP 2yr'!W53+'STU SERVICES 2yr'!W53+'INST SUPPORT 2yr'!W53</f>
        <v>400458.19700000004</v>
      </c>
      <c r="X53" s="94">
        <f>'ACADEMIC SUPP 2yr'!X53+'STU SERVICES 2yr'!X53+'INST SUPPORT 2yr'!X53</f>
        <v>391516.12699999998</v>
      </c>
      <c r="Y53" s="94">
        <f>'ACADEMIC SUPP 2yr'!Y53+'STU SERVICES 2yr'!Y53+'INST SUPPORT 2yr'!Y53</f>
        <v>94907.206999999995</v>
      </c>
      <c r="Z53" s="94">
        <f>'ACADEMIC SUPP 2yr'!Z53+'STU SERVICES 2yr'!Z53+'INST SUPPORT 2yr'!Z53</f>
        <v>98576.877999999997</v>
      </c>
      <c r="AA53" s="94">
        <f>'ACADEMIC SUPP 2yr'!AA53+'STU SERVICES 2yr'!AA53+'INST SUPPORT 2yr'!AA53</f>
        <v>102404.344</v>
      </c>
    </row>
    <row r="54" spans="1:27">
      <c r="A54" s="79" t="s">
        <v>122</v>
      </c>
      <c r="B54" s="90">
        <f>'ACADEMIC SUPP 2yr'!B54+'STU SERVICES 2yr'!B54+'INST SUPPORT 2yr'!B54</f>
        <v>0</v>
      </c>
      <c r="C54" s="90">
        <f>'ACADEMIC SUPP 2yr'!C54+'STU SERVICES 2yr'!C54+'INST SUPPORT 2yr'!C54</f>
        <v>0</v>
      </c>
      <c r="D54" s="90">
        <f>'ACADEMIC SUPP 2yr'!D54+'STU SERVICES 2yr'!D54+'INST SUPPORT 2yr'!D54</f>
        <v>0</v>
      </c>
      <c r="E54" s="90">
        <f>'ACADEMIC SUPP 2yr'!E54+'STU SERVICES 2yr'!E54+'INST SUPPORT 2yr'!E54</f>
        <v>0</v>
      </c>
      <c r="F54" s="90">
        <f>'ACADEMIC SUPP 2yr'!F54+'STU SERVICES 2yr'!F54+'INST SUPPORT 2yr'!F54</f>
        <v>749238.21600000001</v>
      </c>
      <c r="G54" s="90">
        <f>'ACADEMIC SUPP 2yr'!G54+'STU SERVICES 2yr'!G54+'INST SUPPORT 2yr'!G54</f>
        <v>0</v>
      </c>
      <c r="H54" s="90">
        <f>'ACADEMIC SUPP 2yr'!H54+'STU SERVICES 2yr'!H54+'INST SUPPORT 2yr'!H54</f>
        <v>0</v>
      </c>
      <c r="I54" s="90">
        <f>'ACADEMIC SUPP 2yr'!I54+'STU SERVICES 2yr'!I54+'INST SUPPORT 2yr'!I54</f>
        <v>913855.16599999997</v>
      </c>
      <c r="J54" s="90">
        <f>'ACADEMIC SUPP 2yr'!J54+'STU SERVICES 2yr'!J54+'INST SUPPORT 2yr'!J54</f>
        <v>0</v>
      </c>
      <c r="K54" s="90">
        <f>'ACADEMIC SUPP 2yr'!K54+'STU SERVICES 2yr'!K54+'INST SUPPORT 2yr'!K54</f>
        <v>1064701.2766200001</v>
      </c>
      <c r="L54" s="90">
        <f>'ACADEMIC SUPP 2yr'!L54+'STU SERVICES 2yr'!L54+'INST SUPPORT 2yr'!L54</f>
        <v>1166781.4869999997</v>
      </c>
      <c r="M54" s="90">
        <f>'ACADEMIC SUPP 2yr'!M54+'STU SERVICES 2yr'!M54+'INST SUPPORT 2yr'!M54</f>
        <v>1316999.415</v>
      </c>
      <c r="N54" s="90">
        <f>'ACADEMIC SUPP 2yr'!N54+'STU SERVICES 2yr'!N54+'INST SUPPORT 2yr'!N54</f>
        <v>1375479.0079999999</v>
      </c>
      <c r="O54" s="90">
        <f>'ACADEMIC SUPP 2yr'!O54+'STU SERVICES 2yr'!O54+'INST SUPPORT 2yr'!O54</f>
        <v>1447872.6489999997</v>
      </c>
      <c r="P54" s="90">
        <f>'ACADEMIC SUPP 2yr'!P54+'STU SERVICES 2yr'!P54+'INST SUPPORT 2yr'!P54</f>
        <v>1539187.0130000003</v>
      </c>
      <c r="Q54" s="90">
        <f>'ACADEMIC SUPP 2yr'!Q54+'STU SERVICES 2yr'!Q54+'INST SUPPORT 2yr'!Q54</f>
        <v>1625740.2140000002</v>
      </c>
      <c r="R54" s="90">
        <f>'ACADEMIC SUPP 2yr'!R54+'STU SERVICES 2yr'!R54+'INST SUPPORT 2yr'!R54</f>
        <v>1704880.3129999998</v>
      </c>
      <c r="S54" s="90">
        <f>'ACADEMIC SUPP 2yr'!S54+'STU SERVICES 2yr'!S54+'INST SUPPORT 2yr'!S54</f>
        <v>1821798.412</v>
      </c>
      <c r="T54" s="90">
        <f>'ACADEMIC SUPP 2yr'!T54+'STU SERVICES 2yr'!T54+'INST SUPPORT 2yr'!T54</f>
        <v>1993300.2920000001</v>
      </c>
      <c r="U54" s="90">
        <f>'ACADEMIC SUPP 2yr'!U54+'STU SERVICES 2yr'!U54+'INST SUPPORT 2yr'!U54</f>
        <v>2231173.3529999997</v>
      </c>
      <c r="V54" s="90">
        <f>'ACADEMIC SUPP 2yr'!V54+'STU SERVICES 2yr'!V54+'INST SUPPORT 2yr'!V54</f>
        <v>2608082.7540000002</v>
      </c>
      <c r="W54" s="90">
        <f>'ACADEMIC SUPP 2yr'!W54+'STU SERVICES 2yr'!W54+'INST SUPPORT 2yr'!W54</f>
        <v>2702106.9579999996</v>
      </c>
      <c r="X54" s="90">
        <f>'ACADEMIC SUPP 2yr'!X54+'STU SERVICES 2yr'!X54+'INST SUPPORT 2yr'!X54</f>
        <v>2746076.0559999999</v>
      </c>
      <c r="Y54" s="90">
        <f>'ACADEMIC SUPP 2yr'!Y54+'STU SERVICES 2yr'!Y54+'INST SUPPORT 2yr'!Y54</f>
        <v>2831945.2890000003</v>
      </c>
      <c r="Z54" s="90">
        <f>'ACADEMIC SUPP 2yr'!Z54+'STU SERVICES 2yr'!Z54+'INST SUPPORT 2yr'!Z54</f>
        <v>2952761.773</v>
      </c>
      <c r="AA54" s="90">
        <f>'ACADEMIC SUPP 2yr'!AA54+'STU SERVICES 2yr'!AA54+'INST SUPPORT 2yr'!AA54</f>
        <v>2957084.5599999996</v>
      </c>
    </row>
    <row r="55" spans="1:27">
      <c r="A55" s="79" t="s">
        <v>119</v>
      </c>
      <c r="B55" s="90">
        <f>'ACADEMIC SUPP 2yr'!B55+'STU SERVICES 2yr'!B55+'INST SUPPORT 2yr'!B55</f>
        <v>0</v>
      </c>
      <c r="C55" s="90">
        <f>'ACADEMIC SUPP 2yr'!C55+'STU SERVICES 2yr'!C55+'INST SUPPORT 2yr'!C55</f>
        <v>0</v>
      </c>
      <c r="D55" s="90">
        <f>'ACADEMIC SUPP 2yr'!D55+'STU SERVICES 2yr'!D55+'INST SUPPORT 2yr'!D55</f>
        <v>0</v>
      </c>
      <c r="E55" s="90">
        <f>'ACADEMIC SUPP 2yr'!E55+'STU SERVICES 2yr'!E55+'INST SUPPORT 2yr'!E55</f>
        <v>0</v>
      </c>
      <c r="F55" s="90">
        <f>'ACADEMIC SUPP 2yr'!F55+'STU SERVICES 2yr'!F55+'INST SUPPORT 2yr'!F55</f>
        <v>0</v>
      </c>
      <c r="G55" s="90">
        <f>'ACADEMIC SUPP 2yr'!G55+'STU SERVICES 2yr'!G55+'INST SUPPORT 2yr'!G55</f>
        <v>0</v>
      </c>
      <c r="H55" s="90">
        <f>'ACADEMIC SUPP 2yr'!H55+'STU SERVICES 2yr'!H55+'INST SUPPORT 2yr'!H55</f>
        <v>0</v>
      </c>
      <c r="I55" s="90">
        <f>'ACADEMIC SUPP 2yr'!I55+'STU SERVICES 2yr'!I55+'INST SUPPORT 2yr'!I55</f>
        <v>0</v>
      </c>
      <c r="J55" s="90">
        <f>'ACADEMIC SUPP 2yr'!J55+'STU SERVICES 2yr'!J55+'INST SUPPORT 2yr'!J55</f>
        <v>0</v>
      </c>
      <c r="K55" s="90">
        <f>'ACADEMIC SUPP 2yr'!K55+'STU SERVICES 2yr'!K55+'INST SUPPORT 2yr'!K55</f>
        <v>0</v>
      </c>
      <c r="L55" s="90">
        <f>'ACADEMIC SUPP 2yr'!L55+'STU SERVICES 2yr'!L55+'INST SUPPORT 2yr'!L55</f>
        <v>0</v>
      </c>
      <c r="M55" s="90">
        <f>'ACADEMIC SUPP 2yr'!M55+'STU SERVICES 2yr'!M55+'INST SUPPORT 2yr'!M55</f>
        <v>0</v>
      </c>
      <c r="N55" s="90">
        <f>'ACADEMIC SUPP 2yr'!N55+'STU SERVICES 2yr'!N55+'INST SUPPORT 2yr'!N55</f>
        <v>0</v>
      </c>
      <c r="O55" s="90">
        <f>'ACADEMIC SUPP 2yr'!O55+'STU SERVICES 2yr'!O55+'INST SUPPORT 2yr'!O55</f>
        <v>0</v>
      </c>
      <c r="P55" s="90">
        <f>'ACADEMIC SUPP 2yr'!P55+'STU SERVICES 2yr'!P55+'INST SUPPORT 2yr'!P55</f>
        <v>0</v>
      </c>
      <c r="Q55" s="90">
        <f>'ACADEMIC SUPP 2yr'!Q55+'STU SERVICES 2yr'!Q55+'INST SUPPORT 2yr'!Q55</f>
        <v>0</v>
      </c>
      <c r="R55" s="90">
        <f>'ACADEMIC SUPP 2yr'!R55+'STU SERVICES 2yr'!R55+'INST SUPPORT 2yr'!R55</f>
        <v>0</v>
      </c>
      <c r="S55" s="90">
        <f>'ACADEMIC SUPP 2yr'!S55+'STU SERVICES 2yr'!S55+'INST SUPPORT 2yr'!S55</f>
        <v>0</v>
      </c>
      <c r="T55" s="90">
        <f>'ACADEMIC SUPP 2yr'!T55+'STU SERVICES 2yr'!T55+'INST SUPPORT 2yr'!T55</f>
        <v>0</v>
      </c>
      <c r="U55" s="90">
        <f>'ACADEMIC SUPP 2yr'!U55+'STU SERVICES 2yr'!U55+'INST SUPPORT 2yr'!U55</f>
        <v>0</v>
      </c>
      <c r="V55" s="90">
        <f>'ACADEMIC SUPP 2yr'!V55+'STU SERVICES 2yr'!V55+'INST SUPPORT 2yr'!V55</f>
        <v>0</v>
      </c>
      <c r="W55" s="90">
        <f>'ACADEMIC SUPP 2yr'!W55+'STU SERVICES 2yr'!W55+'INST SUPPORT 2yr'!W55</f>
        <v>0</v>
      </c>
      <c r="X55" s="90">
        <f>'ACADEMIC SUPP 2yr'!X55+'STU SERVICES 2yr'!X55+'INST SUPPORT 2yr'!X55</f>
        <v>0</v>
      </c>
      <c r="Y55" s="90">
        <f>'ACADEMIC SUPP 2yr'!Y55+'STU SERVICES 2yr'!Y55+'INST SUPPORT 2yr'!Y55</f>
        <v>0</v>
      </c>
      <c r="Z55" s="90">
        <f>'ACADEMIC SUPP 2yr'!Z55+'STU SERVICES 2yr'!Z55+'INST SUPPORT 2yr'!Z55</f>
        <v>0</v>
      </c>
      <c r="AA55" s="90">
        <f>'ACADEMIC SUPP 2yr'!AA55+'STU SERVICES 2yr'!AA55+'INST SUPPORT 2yr'!AA55</f>
        <v>0</v>
      </c>
    </row>
    <row r="56" spans="1:27" s="23" customFormat="1">
      <c r="A56" s="23" t="s">
        <v>89</v>
      </c>
      <c r="B56" s="92">
        <f>'ACADEMIC SUPP 2yr'!B56+'STU SERVICES 2yr'!B56+'INST SUPPORT 2yr'!B56</f>
        <v>0</v>
      </c>
      <c r="C56" s="92">
        <f>'ACADEMIC SUPP 2yr'!C56+'STU SERVICES 2yr'!C56+'INST SUPPORT 2yr'!C56</f>
        <v>0</v>
      </c>
      <c r="D56" s="92">
        <f>'ACADEMIC SUPP 2yr'!D56+'STU SERVICES 2yr'!D56+'INST SUPPORT 2yr'!D56</f>
        <v>0</v>
      </c>
      <c r="E56" s="92">
        <f>'ACADEMIC SUPP 2yr'!E56+'STU SERVICES 2yr'!E56+'INST SUPPORT 2yr'!E56</f>
        <v>0</v>
      </c>
      <c r="F56" s="92">
        <f>'ACADEMIC SUPP 2yr'!F56+'STU SERVICES 2yr'!F56+'INST SUPPORT 2yr'!F56</f>
        <v>56842.539999999994</v>
      </c>
      <c r="G56" s="92"/>
      <c r="H56" s="92">
        <f>'ACADEMIC SUPP 2yr'!H56+'STU SERVICES 2yr'!H56+'INST SUPPORT 2yr'!H56</f>
        <v>0</v>
      </c>
      <c r="I56" s="92">
        <f>'ACADEMIC SUPP 2yr'!I56+'STU SERVICES 2yr'!I56+'INST SUPPORT 2yr'!I56</f>
        <v>60051.144</v>
      </c>
      <c r="J56" s="92">
        <f>'ACADEMIC SUPP 2yr'!J56+'STU SERVICES 2yr'!J56+'INST SUPPORT 2yr'!J56</f>
        <v>0</v>
      </c>
      <c r="K56" s="92">
        <f>'ACADEMIC SUPP 2yr'!K56+'STU SERVICES 2yr'!K56+'INST SUPPORT 2yr'!K56</f>
        <v>84821.226380000007</v>
      </c>
      <c r="L56" s="92">
        <f>'ACADEMIC SUPP 2yr'!L56+'STU SERVICES 2yr'!L56+'INST SUPPORT 2yr'!L56</f>
        <v>106152.897</v>
      </c>
      <c r="M56" s="92">
        <f>'ACADEMIC SUPP 2yr'!M56+'STU SERVICES 2yr'!M56+'INST SUPPORT 2yr'!M56</f>
        <v>107196.02600000001</v>
      </c>
      <c r="N56" s="92">
        <f>'ACADEMIC SUPP 2yr'!N56+'STU SERVICES 2yr'!N56+'INST SUPPORT 2yr'!N56</f>
        <v>115720.99600000001</v>
      </c>
      <c r="O56" s="92">
        <f>'ACADEMIC SUPP 2yr'!O56+'STU SERVICES 2yr'!O56+'INST SUPPORT 2yr'!O56</f>
        <v>116230.448</v>
      </c>
      <c r="P56" s="92">
        <f>'ACADEMIC SUPP 2yr'!P56+'STU SERVICES 2yr'!P56+'INST SUPPORT 2yr'!P56</f>
        <v>119850.52099999999</v>
      </c>
      <c r="Q56" s="92">
        <f>'ACADEMIC SUPP 2yr'!Q56+'STU SERVICES 2yr'!Q56+'INST SUPPORT 2yr'!Q56</f>
        <v>130518.01899999999</v>
      </c>
      <c r="R56" s="92">
        <f>'ACADEMIC SUPP 2yr'!R56+'STU SERVICES 2yr'!R56+'INST SUPPORT 2yr'!R56</f>
        <v>137218.00400000002</v>
      </c>
      <c r="S56" s="92">
        <f>'ACADEMIC SUPP 2yr'!S56+'STU SERVICES 2yr'!S56+'INST SUPPORT 2yr'!S56</f>
        <v>145773.522</v>
      </c>
      <c r="T56" s="92">
        <f>'ACADEMIC SUPP 2yr'!T56+'STU SERVICES 2yr'!T56+'INST SUPPORT 2yr'!T56</f>
        <v>163397.973</v>
      </c>
      <c r="U56" s="92">
        <f>'ACADEMIC SUPP 2yr'!U56+'STU SERVICES 2yr'!U56+'INST SUPPORT 2yr'!U56</f>
        <v>172847.78600000002</v>
      </c>
      <c r="V56" s="92">
        <f>'ACADEMIC SUPP 2yr'!V56+'STU SERVICES 2yr'!V56+'INST SUPPORT 2yr'!V56</f>
        <v>194538.49900000001</v>
      </c>
      <c r="W56" s="92">
        <f>'ACADEMIC SUPP 2yr'!W56+'STU SERVICES 2yr'!W56+'INST SUPPORT 2yr'!W56</f>
        <v>197784.05900000001</v>
      </c>
      <c r="X56" s="92">
        <f>'ACADEMIC SUPP 2yr'!X56+'STU SERVICES 2yr'!X56+'INST SUPPORT 2yr'!X56</f>
        <v>196458.70599999998</v>
      </c>
      <c r="Y56" s="92">
        <f>'ACADEMIC SUPP 2yr'!Y56+'STU SERVICES 2yr'!Y56+'INST SUPPORT 2yr'!Y56</f>
        <v>199461.70199999999</v>
      </c>
      <c r="Z56" s="92">
        <f>'ACADEMIC SUPP 2yr'!Z56+'STU SERVICES 2yr'!Z56+'INST SUPPORT 2yr'!Z56</f>
        <v>211629.00200000001</v>
      </c>
      <c r="AA56" s="92">
        <f>'ACADEMIC SUPP 2yr'!AA56+'STU SERVICES 2yr'!AA56+'INST SUPPORT 2yr'!AA56</f>
        <v>224292.62399999998</v>
      </c>
    </row>
    <row r="57" spans="1:27" s="23" customFormat="1">
      <c r="A57" s="23" t="s">
        <v>96</v>
      </c>
      <c r="B57" s="92">
        <f>'ACADEMIC SUPP 2yr'!B57+'STU SERVICES 2yr'!B57+'INST SUPPORT 2yr'!B57</f>
        <v>0</v>
      </c>
      <c r="C57" s="92">
        <f>'ACADEMIC SUPP 2yr'!C57+'STU SERVICES 2yr'!C57+'INST SUPPORT 2yr'!C57</f>
        <v>0</v>
      </c>
      <c r="D57" s="92">
        <f>'ACADEMIC SUPP 2yr'!D57+'STU SERVICES 2yr'!D57+'INST SUPPORT 2yr'!D57</f>
        <v>0</v>
      </c>
      <c r="E57" s="92">
        <f>'ACADEMIC SUPP 2yr'!E57+'STU SERVICES 2yr'!E57+'INST SUPPORT 2yr'!E57</f>
        <v>0</v>
      </c>
      <c r="F57" s="92">
        <f>'ACADEMIC SUPP 2yr'!F57+'STU SERVICES 2yr'!F57+'INST SUPPORT 2yr'!F57</f>
        <v>10901.255999999999</v>
      </c>
      <c r="G57" s="92">
        <f>'ACADEMIC SUPP 2yr'!G57+'STU SERVICES 2yr'!G57+'INST SUPPORT 2yr'!G57</f>
        <v>0</v>
      </c>
      <c r="H57" s="92">
        <f>'ACADEMIC SUPP 2yr'!H57+'STU SERVICES 2yr'!H57+'INST SUPPORT 2yr'!H57</f>
        <v>0</v>
      </c>
      <c r="I57" s="92">
        <f>'ACADEMIC SUPP 2yr'!I57+'STU SERVICES 2yr'!I57+'INST SUPPORT 2yr'!I57</f>
        <v>13340.585999999999</v>
      </c>
      <c r="J57" s="92">
        <f>'ACADEMIC SUPP 2yr'!J57+'STU SERVICES 2yr'!J57+'INST SUPPORT 2yr'!J57</f>
        <v>0</v>
      </c>
      <c r="K57" s="92">
        <f>'ACADEMIC SUPP 2yr'!K57+'STU SERVICES 2yr'!K57+'INST SUPPORT 2yr'!K57</f>
        <v>15166.312999999998</v>
      </c>
      <c r="L57" s="92">
        <f>'ACADEMIC SUPP 2yr'!L57+'STU SERVICES 2yr'!L57+'INST SUPPORT 2yr'!L57</f>
        <v>20080.828000000001</v>
      </c>
      <c r="M57" s="92">
        <f>'ACADEMIC SUPP 2yr'!M57+'STU SERVICES 2yr'!M57+'INST SUPPORT 2yr'!M57</f>
        <v>20770.659</v>
      </c>
      <c r="N57" s="92">
        <f>'ACADEMIC SUPP 2yr'!N57+'STU SERVICES 2yr'!N57+'INST SUPPORT 2yr'!N57</f>
        <v>21639.589</v>
      </c>
      <c r="O57" s="92">
        <f>'ACADEMIC SUPP 2yr'!O57+'STU SERVICES 2yr'!O57+'INST SUPPORT 2yr'!O57</f>
        <v>22574.451999999997</v>
      </c>
      <c r="P57" s="92">
        <f>'ACADEMIC SUPP 2yr'!P57+'STU SERVICES 2yr'!P57+'INST SUPPORT 2yr'!P57</f>
        <v>24172.52</v>
      </c>
      <c r="Q57" s="92">
        <f>'ACADEMIC SUPP 2yr'!Q57+'STU SERVICES 2yr'!Q57+'INST SUPPORT 2yr'!Q57</f>
        <v>24539.275000000001</v>
      </c>
      <c r="R57" s="92">
        <f>'ACADEMIC SUPP 2yr'!R57+'STU SERVICES 2yr'!R57+'INST SUPPORT 2yr'!R57</f>
        <v>25742.200999999997</v>
      </c>
      <c r="S57" s="92">
        <f>'ACADEMIC SUPP 2yr'!S57+'STU SERVICES 2yr'!S57+'INST SUPPORT 2yr'!S57</f>
        <v>26930.698000000004</v>
      </c>
      <c r="T57" s="92">
        <f>'ACADEMIC SUPP 2yr'!T57+'STU SERVICES 2yr'!T57+'INST SUPPORT 2yr'!T57</f>
        <v>29905.963</v>
      </c>
      <c r="U57" s="92">
        <f>'ACADEMIC SUPP 2yr'!U57+'STU SERVICES 2yr'!U57+'INST SUPPORT 2yr'!U57</f>
        <v>38033.362000000001</v>
      </c>
      <c r="V57" s="92">
        <f>'ACADEMIC SUPP 2yr'!V57+'STU SERVICES 2yr'!V57+'INST SUPPORT 2yr'!V57</f>
        <v>38681.284</v>
      </c>
      <c r="W57" s="92">
        <f>'ACADEMIC SUPP 2yr'!W57+'STU SERVICES 2yr'!W57+'INST SUPPORT 2yr'!W57</f>
        <v>40539.491000000002</v>
      </c>
      <c r="X57" s="92">
        <f>'ACADEMIC SUPP 2yr'!X57+'STU SERVICES 2yr'!X57+'INST SUPPORT 2yr'!X57</f>
        <v>43330.449000000001</v>
      </c>
      <c r="Y57" s="92">
        <f>'ACADEMIC SUPP 2yr'!Y57+'STU SERVICES 2yr'!Y57+'INST SUPPORT 2yr'!Y57</f>
        <v>45417.284</v>
      </c>
      <c r="Z57" s="92">
        <f>'ACADEMIC SUPP 2yr'!Z57+'STU SERVICES 2yr'!Z57+'INST SUPPORT 2yr'!Z57</f>
        <v>45527.668000000005</v>
      </c>
      <c r="AA57" s="92">
        <f>'ACADEMIC SUPP 2yr'!AA57+'STU SERVICES 2yr'!AA57+'INST SUPPORT 2yr'!AA57</f>
        <v>47837.112000000001</v>
      </c>
    </row>
    <row r="58" spans="1:27" s="17" customFormat="1">
      <c r="A58" s="23" t="s">
        <v>97</v>
      </c>
      <c r="B58" s="92">
        <f>'ACADEMIC SUPP 2yr'!B58+'STU SERVICES 2yr'!B58+'INST SUPPORT 2yr'!B58</f>
        <v>0</v>
      </c>
      <c r="C58" s="92">
        <f>'ACADEMIC SUPP 2yr'!C58+'STU SERVICES 2yr'!C58+'INST SUPPORT 2yr'!C58</f>
        <v>0</v>
      </c>
      <c r="D58" s="92">
        <f>'ACADEMIC SUPP 2yr'!D58+'STU SERVICES 2yr'!D58+'INST SUPPORT 2yr'!D58</f>
        <v>0</v>
      </c>
      <c r="E58" s="92">
        <f>'ACADEMIC SUPP 2yr'!E58+'STU SERVICES 2yr'!E58+'INST SUPPORT 2yr'!E58</f>
        <v>0</v>
      </c>
      <c r="F58" s="92">
        <f>'ACADEMIC SUPP 2yr'!F58+'STU SERVICES 2yr'!F58+'INST SUPPORT 2yr'!F58</f>
        <v>83256.008000000002</v>
      </c>
      <c r="G58" s="92">
        <f>'ACADEMIC SUPP 2yr'!G58+'STU SERVICES 2yr'!G58+'INST SUPPORT 2yr'!G58</f>
        <v>0</v>
      </c>
      <c r="H58" s="92">
        <f>'ACADEMIC SUPP 2yr'!H58+'STU SERVICES 2yr'!H58+'INST SUPPORT 2yr'!H58</f>
        <v>0</v>
      </c>
      <c r="I58" s="92">
        <f>'ACADEMIC SUPP 2yr'!I58+'STU SERVICES 2yr'!I58+'INST SUPPORT 2yr'!I58</f>
        <v>122870.54200000002</v>
      </c>
      <c r="J58" s="92">
        <f>'ACADEMIC SUPP 2yr'!J58+'STU SERVICES 2yr'!J58+'INST SUPPORT 2yr'!J58</f>
        <v>0</v>
      </c>
      <c r="K58" s="92">
        <f>'ACADEMIC SUPP 2yr'!K58+'STU SERVICES 2yr'!K58+'INST SUPPORT 2yr'!K58</f>
        <v>142947.02399999998</v>
      </c>
      <c r="L58" s="92">
        <f>'ACADEMIC SUPP 2yr'!L58+'STU SERVICES 2yr'!L58+'INST SUPPORT 2yr'!L58</f>
        <v>181584.48699999999</v>
      </c>
      <c r="M58" s="92">
        <f>'ACADEMIC SUPP 2yr'!M58+'STU SERVICES 2yr'!M58+'INST SUPPORT 2yr'!M58</f>
        <v>198998.435</v>
      </c>
      <c r="N58" s="92">
        <f>'ACADEMIC SUPP 2yr'!N58+'STU SERVICES 2yr'!N58+'INST SUPPORT 2yr'!N58</f>
        <v>196116.87599999999</v>
      </c>
      <c r="O58" s="92">
        <f>'ACADEMIC SUPP 2yr'!O58+'STU SERVICES 2yr'!O58+'INST SUPPORT 2yr'!O58</f>
        <v>193034.84</v>
      </c>
      <c r="P58" s="92">
        <f>'ACADEMIC SUPP 2yr'!P58+'STU SERVICES 2yr'!P58+'INST SUPPORT 2yr'!P58</f>
        <v>203012.85500000001</v>
      </c>
      <c r="Q58" s="92">
        <f>'ACADEMIC SUPP 2yr'!Q58+'STU SERVICES 2yr'!Q58+'INST SUPPORT 2yr'!Q58</f>
        <v>218476.85399999999</v>
      </c>
      <c r="R58" s="92">
        <f>'ACADEMIC SUPP 2yr'!R58+'STU SERVICES 2yr'!R58+'INST SUPPORT 2yr'!R58</f>
        <v>237797.99900000001</v>
      </c>
      <c r="S58" s="92">
        <f>'ACADEMIC SUPP 2yr'!S58+'STU SERVICES 2yr'!S58+'INST SUPPORT 2yr'!S58</f>
        <v>250339.13200000001</v>
      </c>
      <c r="T58" s="92">
        <f>'ACADEMIC SUPP 2yr'!T58+'STU SERVICES 2yr'!T58+'INST SUPPORT 2yr'!T58</f>
        <v>264240.98600000003</v>
      </c>
      <c r="U58" s="92">
        <f>'ACADEMIC SUPP 2yr'!U58+'STU SERVICES 2yr'!U58+'INST SUPPORT 2yr'!U58</f>
        <v>255126.88500000001</v>
      </c>
      <c r="V58" s="92">
        <f>'ACADEMIC SUPP 2yr'!V58+'STU SERVICES 2yr'!V58+'INST SUPPORT 2yr'!V58</f>
        <v>299661.05200000003</v>
      </c>
      <c r="W58" s="92">
        <f>'ACADEMIC SUPP 2yr'!W58+'STU SERVICES 2yr'!W58+'INST SUPPORT 2yr'!W58</f>
        <v>319484.48200000002</v>
      </c>
      <c r="X58" s="92">
        <f>'ACADEMIC SUPP 2yr'!X58+'STU SERVICES 2yr'!X58+'INST SUPPORT 2yr'!X58</f>
        <v>335008.01100000006</v>
      </c>
      <c r="Y58" s="92">
        <f>'ACADEMIC SUPP 2yr'!Y58+'STU SERVICES 2yr'!Y58+'INST SUPPORT 2yr'!Y58</f>
        <v>344580.15399999998</v>
      </c>
      <c r="Z58" s="92">
        <f>'ACADEMIC SUPP 2yr'!Z58+'STU SERVICES 2yr'!Z58+'INST SUPPORT 2yr'!Z58</f>
        <v>365072.55900000001</v>
      </c>
      <c r="AA58" s="92">
        <f>'ACADEMIC SUPP 2yr'!AA58+'STU SERVICES 2yr'!AA58+'INST SUPPORT 2yr'!AA58</f>
        <v>388391.326</v>
      </c>
    </row>
    <row r="59" spans="1:27" s="14" customFormat="1">
      <c r="A59" s="23" t="s">
        <v>103</v>
      </c>
      <c r="B59" s="90">
        <f>'ACADEMIC SUPP 2yr'!B59+'STU SERVICES 2yr'!B59+'INST SUPPORT 2yr'!B59</f>
        <v>0</v>
      </c>
      <c r="C59" s="90">
        <f>'ACADEMIC SUPP 2yr'!C59+'STU SERVICES 2yr'!C59+'INST SUPPORT 2yr'!C59</f>
        <v>0</v>
      </c>
      <c r="D59" s="90">
        <f>'ACADEMIC SUPP 2yr'!D59+'STU SERVICES 2yr'!D59+'INST SUPPORT 2yr'!D59</f>
        <v>0</v>
      </c>
      <c r="E59" s="90">
        <f>'ACADEMIC SUPP 2yr'!E59+'STU SERVICES 2yr'!E59+'INST SUPPORT 2yr'!E59</f>
        <v>0</v>
      </c>
      <c r="F59" s="90">
        <f>'ACADEMIC SUPP 2yr'!F59+'STU SERVICES 2yr'!F59+'INST SUPPORT 2yr'!F59</f>
        <v>9499.8349999999991</v>
      </c>
      <c r="G59" s="90">
        <f>'ACADEMIC SUPP 2yr'!G59+'STU SERVICES 2yr'!G59+'INST SUPPORT 2yr'!G59</f>
        <v>0</v>
      </c>
      <c r="H59" s="90">
        <f>'ACADEMIC SUPP 2yr'!H59+'STU SERVICES 2yr'!H59+'INST SUPPORT 2yr'!H59</f>
        <v>0</v>
      </c>
      <c r="I59" s="90">
        <f>'ACADEMIC SUPP 2yr'!I59+'STU SERVICES 2yr'!I59+'INST SUPPORT 2yr'!I59</f>
        <v>16250.873000000001</v>
      </c>
      <c r="J59" s="90">
        <f>'ACADEMIC SUPP 2yr'!J59+'STU SERVICES 2yr'!J59+'INST SUPPORT 2yr'!J59</f>
        <v>0</v>
      </c>
      <c r="K59" s="90">
        <f>'ACADEMIC SUPP 2yr'!K59+'STU SERVICES 2yr'!K59+'INST SUPPORT 2yr'!K59</f>
        <v>20643.48271</v>
      </c>
      <c r="L59" s="90">
        <f>'ACADEMIC SUPP 2yr'!L59+'STU SERVICES 2yr'!L59+'INST SUPPORT 2yr'!L59</f>
        <v>20476.095999999998</v>
      </c>
      <c r="M59" s="90">
        <f>'ACADEMIC SUPP 2yr'!M59+'STU SERVICES 2yr'!M59+'INST SUPPORT 2yr'!M59</f>
        <v>21662.987000000001</v>
      </c>
      <c r="N59" s="90">
        <f>'ACADEMIC SUPP 2yr'!N59+'STU SERVICES 2yr'!N59+'INST SUPPORT 2yr'!N59</f>
        <v>23517.95</v>
      </c>
      <c r="O59" s="90">
        <f>'ACADEMIC SUPP 2yr'!O59+'STU SERVICES 2yr'!O59+'INST SUPPORT 2yr'!O59</f>
        <v>25842.241000000002</v>
      </c>
      <c r="P59" s="90">
        <f>'ACADEMIC SUPP 2yr'!P59+'STU SERVICES 2yr'!P59+'INST SUPPORT 2yr'!P59</f>
        <v>28157.664000000001</v>
      </c>
      <c r="Q59" s="90">
        <f>'ACADEMIC SUPP 2yr'!Q59+'STU SERVICES 2yr'!Q59+'INST SUPPORT 2yr'!Q59</f>
        <v>31393.897000000001</v>
      </c>
      <c r="R59" s="90">
        <f>'ACADEMIC SUPP 2yr'!R59+'STU SERVICES 2yr'!R59+'INST SUPPORT 2yr'!R59</f>
        <v>27987.628000000001</v>
      </c>
      <c r="S59" s="90">
        <f>'ACADEMIC SUPP 2yr'!S59+'STU SERVICES 2yr'!S59+'INST SUPPORT 2yr'!S59</f>
        <v>38344.504000000001</v>
      </c>
      <c r="T59" s="90">
        <f>'ACADEMIC SUPP 2yr'!T59+'STU SERVICES 2yr'!T59+'INST SUPPORT 2yr'!T59</f>
        <v>39217.883999999998</v>
      </c>
      <c r="U59" s="90">
        <f>'ACADEMIC SUPP 2yr'!U59+'STU SERVICES 2yr'!U59+'INST SUPPORT 2yr'!U59</f>
        <v>44479.37</v>
      </c>
      <c r="V59" s="90">
        <f>'ACADEMIC SUPP 2yr'!V59+'STU SERVICES 2yr'!V59+'INST SUPPORT 2yr'!V59</f>
        <v>63019.858</v>
      </c>
      <c r="W59" s="90">
        <f>'ACADEMIC SUPP 2yr'!W59+'STU SERVICES 2yr'!W59+'INST SUPPORT 2yr'!W59</f>
        <v>76015.491999999998</v>
      </c>
      <c r="X59" s="90">
        <f>'ACADEMIC SUPP 2yr'!X59+'STU SERVICES 2yr'!X59+'INST SUPPORT 2yr'!X59</f>
        <v>53361.747000000003</v>
      </c>
      <c r="Y59" s="90">
        <f>'ACADEMIC SUPP 2yr'!Y59+'STU SERVICES 2yr'!Y59+'INST SUPPORT 2yr'!Y59</f>
        <v>54002.114999999998</v>
      </c>
      <c r="Z59" s="90">
        <f>'ACADEMIC SUPP 2yr'!Z59+'STU SERVICES 2yr'!Z59+'INST SUPPORT 2yr'!Z59</f>
        <v>54274.347000000002</v>
      </c>
      <c r="AA59" s="90">
        <f>'ACADEMIC SUPP 2yr'!AA59+'STU SERVICES 2yr'!AA59+'INST SUPPORT 2yr'!AA59</f>
        <v>56979.013999999996</v>
      </c>
    </row>
    <row r="60" spans="1:27" s="14" customFormat="1">
      <c r="A60" s="23" t="s">
        <v>104</v>
      </c>
      <c r="B60" s="90">
        <f>'ACADEMIC SUPP 2yr'!B60+'STU SERVICES 2yr'!B60+'INST SUPPORT 2yr'!B60</f>
        <v>0</v>
      </c>
      <c r="C60" s="90">
        <f>'ACADEMIC SUPP 2yr'!C60+'STU SERVICES 2yr'!C60+'INST SUPPORT 2yr'!C60</f>
        <v>0</v>
      </c>
      <c r="D60" s="90">
        <f>'ACADEMIC SUPP 2yr'!D60+'STU SERVICES 2yr'!D60+'INST SUPPORT 2yr'!D60</f>
        <v>0</v>
      </c>
      <c r="E60" s="90">
        <f>'ACADEMIC SUPP 2yr'!E60+'STU SERVICES 2yr'!E60+'INST SUPPORT 2yr'!E60</f>
        <v>0</v>
      </c>
      <c r="F60" s="90">
        <f>'ACADEMIC SUPP 2yr'!F60+'STU SERVICES 2yr'!F60+'INST SUPPORT 2yr'!F60</f>
        <v>155432.85499999998</v>
      </c>
      <c r="G60" s="90">
        <f>'ACADEMIC SUPP 2yr'!G60+'STU SERVICES 2yr'!G60+'INST SUPPORT 2yr'!G60</f>
        <v>0</v>
      </c>
      <c r="H60" s="90">
        <f>'ACADEMIC SUPP 2yr'!H60+'STU SERVICES 2yr'!H60+'INST SUPPORT 2yr'!H60</f>
        <v>0</v>
      </c>
      <c r="I60" s="90">
        <f>'ACADEMIC SUPP 2yr'!I60+'STU SERVICES 2yr'!I60+'INST SUPPORT 2yr'!I60</f>
        <v>186319.33100000001</v>
      </c>
      <c r="J60" s="90">
        <f>'ACADEMIC SUPP 2yr'!J60+'STU SERVICES 2yr'!J60+'INST SUPPORT 2yr'!J60</f>
        <v>0</v>
      </c>
      <c r="K60" s="90">
        <f>'ACADEMIC SUPP 2yr'!K60+'STU SERVICES 2yr'!K60+'INST SUPPORT 2yr'!K60</f>
        <v>202467.36199999999</v>
      </c>
      <c r="L60" s="90">
        <f>'ACADEMIC SUPP 2yr'!L60+'STU SERVICES 2yr'!L60+'INST SUPPORT 2yr'!L60</f>
        <v>225687.09299999999</v>
      </c>
      <c r="M60" s="90">
        <f>'ACADEMIC SUPP 2yr'!M60+'STU SERVICES 2yr'!M60+'INST SUPPORT 2yr'!M60</f>
        <v>247055.91100000002</v>
      </c>
      <c r="N60" s="90">
        <f>'ACADEMIC SUPP 2yr'!N60+'STU SERVICES 2yr'!N60+'INST SUPPORT 2yr'!N60</f>
        <v>254849.38699999999</v>
      </c>
      <c r="O60" s="90">
        <f>'ACADEMIC SUPP 2yr'!O60+'STU SERVICES 2yr'!O60+'INST SUPPORT 2yr'!O60</f>
        <v>279654.97400000005</v>
      </c>
      <c r="P60" s="90">
        <f>'ACADEMIC SUPP 2yr'!P60+'STU SERVICES 2yr'!P60+'INST SUPPORT 2yr'!P60</f>
        <v>300749.71399999998</v>
      </c>
      <c r="Q60" s="90">
        <f>'ACADEMIC SUPP 2yr'!Q60+'STU SERVICES 2yr'!Q60+'INST SUPPORT 2yr'!Q60</f>
        <v>312584.03500000003</v>
      </c>
      <c r="R60" s="90">
        <f>'ACADEMIC SUPP 2yr'!R60+'STU SERVICES 2yr'!R60+'INST SUPPORT 2yr'!R60</f>
        <v>322191.69299999997</v>
      </c>
      <c r="S60" s="90">
        <f>'ACADEMIC SUPP 2yr'!S60+'STU SERVICES 2yr'!S60+'INST SUPPORT 2yr'!S60</f>
        <v>330565.34000000003</v>
      </c>
      <c r="T60" s="90">
        <f>'ACADEMIC SUPP 2yr'!T60+'STU SERVICES 2yr'!T60+'INST SUPPORT 2yr'!T60</f>
        <v>365091.78</v>
      </c>
      <c r="U60" s="90">
        <f>'ACADEMIC SUPP 2yr'!U60+'STU SERVICES 2yr'!U60+'INST SUPPORT 2yr'!U60</f>
        <v>392457.61699999997</v>
      </c>
      <c r="V60" s="90">
        <f>'ACADEMIC SUPP 2yr'!V60+'STU SERVICES 2yr'!V60+'INST SUPPORT 2yr'!V60</f>
        <v>479518.66200000001</v>
      </c>
      <c r="W60" s="90">
        <f>'ACADEMIC SUPP 2yr'!W60+'STU SERVICES 2yr'!W60+'INST SUPPORT 2yr'!W60</f>
        <v>488439.511</v>
      </c>
      <c r="X60" s="90">
        <f>'ACADEMIC SUPP 2yr'!X60+'STU SERVICES 2yr'!X60+'INST SUPPORT 2yr'!X60</f>
        <v>487614.14799999999</v>
      </c>
      <c r="Y60" s="90">
        <f>'ACADEMIC SUPP 2yr'!Y60+'STU SERVICES 2yr'!Y60+'INST SUPPORT 2yr'!Y60</f>
        <v>484767.60499999998</v>
      </c>
      <c r="Z60" s="90">
        <f>'ACADEMIC SUPP 2yr'!Z60+'STU SERVICES 2yr'!Z60+'INST SUPPORT 2yr'!Z60</f>
        <v>486999.40599999996</v>
      </c>
      <c r="AA60" s="90">
        <f>'ACADEMIC SUPP 2yr'!AA60+'STU SERVICES 2yr'!AA60+'INST SUPPORT 2yr'!AA60</f>
        <v>484306.79300000001</v>
      </c>
    </row>
    <row r="61" spans="1:27" s="14" customFormat="1">
      <c r="A61" s="23" t="s">
        <v>106</v>
      </c>
      <c r="B61" s="90">
        <f>'ACADEMIC SUPP 2yr'!B61+'STU SERVICES 2yr'!B61+'INST SUPPORT 2yr'!B61</f>
        <v>0</v>
      </c>
      <c r="C61" s="90">
        <f>'ACADEMIC SUPP 2yr'!C61+'STU SERVICES 2yr'!C61+'INST SUPPORT 2yr'!C61</f>
        <v>0</v>
      </c>
      <c r="D61" s="90">
        <f>'ACADEMIC SUPP 2yr'!D61+'STU SERVICES 2yr'!D61+'INST SUPPORT 2yr'!D61</f>
        <v>0</v>
      </c>
      <c r="E61" s="90">
        <f>'ACADEMIC SUPP 2yr'!E61+'STU SERVICES 2yr'!E61+'INST SUPPORT 2yr'!E61</f>
        <v>0</v>
      </c>
      <c r="F61" s="90">
        <f>'ACADEMIC SUPP 2yr'!F61+'STU SERVICES 2yr'!F61+'INST SUPPORT 2yr'!F61</f>
        <v>293134.21499999997</v>
      </c>
      <c r="G61" s="90">
        <f>'ACADEMIC SUPP 2yr'!G61+'STU SERVICES 2yr'!G61+'INST SUPPORT 2yr'!G61</f>
        <v>0</v>
      </c>
      <c r="H61" s="90">
        <f>'ACADEMIC SUPP 2yr'!H61+'STU SERVICES 2yr'!H61+'INST SUPPORT 2yr'!H61</f>
        <v>0</v>
      </c>
      <c r="I61" s="90">
        <f>'ACADEMIC SUPP 2yr'!I61+'STU SERVICES 2yr'!I61+'INST SUPPORT 2yr'!I61</f>
        <v>356506.93200000003</v>
      </c>
      <c r="J61" s="90">
        <f>'ACADEMIC SUPP 2yr'!J61+'STU SERVICES 2yr'!J61+'INST SUPPORT 2yr'!J61</f>
        <v>0</v>
      </c>
      <c r="K61" s="90">
        <f>'ACADEMIC SUPP 2yr'!K61+'STU SERVICES 2yr'!K61+'INST SUPPORT 2yr'!K61</f>
        <v>421409.52800000005</v>
      </c>
      <c r="L61" s="90">
        <f>'ACADEMIC SUPP 2yr'!L61+'STU SERVICES 2yr'!L61+'INST SUPPORT 2yr'!L61</f>
        <v>418255.98499999999</v>
      </c>
      <c r="M61" s="90">
        <f>'ACADEMIC SUPP 2yr'!M61+'STU SERVICES 2yr'!M61+'INST SUPPORT 2yr'!M61</f>
        <v>512516.85099999997</v>
      </c>
      <c r="N61" s="90">
        <f>'ACADEMIC SUPP 2yr'!N61+'STU SERVICES 2yr'!N61+'INST SUPPORT 2yr'!N61</f>
        <v>538951.75300000003</v>
      </c>
      <c r="O61" s="90">
        <f>'ACADEMIC SUPP 2yr'!O61+'STU SERVICES 2yr'!O61+'INST SUPPORT 2yr'!O61</f>
        <v>565481.72600000002</v>
      </c>
      <c r="P61" s="90">
        <f>'ACADEMIC SUPP 2yr'!P61+'STU SERVICES 2yr'!P61+'INST SUPPORT 2yr'!P61</f>
        <v>599003.94200000004</v>
      </c>
      <c r="Q61" s="90">
        <f>'ACADEMIC SUPP 2yr'!Q61+'STU SERVICES 2yr'!Q61+'INST SUPPORT 2yr'!Q61</f>
        <v>624085.90599999996</v>
      </c>
      <c r="R61" s="90">
        <f>'ACADEMIC SUPP 2yr'!R61+'STU SERVICES 2yr'!R61+'INST SUPPORT 2yr'!R61</f>
        <v>651355.19999999995</v>
      </c>
      <c r="S61" s="90">
        <f>'ACADEMIC SUPP 2yr'!S61+'STU SERVICES 2yr'!S61+'INST SUPPORT 2yr'!S61</f>
        <v>719306.96100000001</v>
      </c>
      <c r="T61" s="90">
        <f>'ACADEMIC SUPP 2yr'!T61+'STU SERVICES 2yr'!T61+'INST SUPPORT 2yr'!T61</f>
        <v>771034.25499999989</v>
      </c>
      <c r="U61" s="90">
        <f>'ACADEMIC SUPP 2yr'!U61+'STU SERVICES 2yr'!U61+'INST SUPPORT 2yr'!U61</f>
        <v>915976.83499999996</v>
      </c>
      <c r="V61" s="90">
        <f>'ACADEMIC SUPP 2yr'!V61+'STU SERVICES 2yr'!V61+'INST SUPPORT 2yr'!V61</f>
        <v>1080337.2540000002</v>
      </c>
      <c r="W61" s="90">
        <f>'ACADEMIC SUPP 2yr'!W61+'STU SERVICES 2yr'!W61+'INST SUPPORT 2yr'!W61</f>
        <v>1113827.2620000001</v>
      </c>
      <c r="X61" s="90">
        <f>'ACADEMIC SUPP 2yr'!X61+'STU SERVICES 2yr'!X61+'INST SUPPORT 2yr'!X61</f>
        <v>1142437.3470000001</v>
      </c>
      <c r="Y61" s="90">
        <f>'ACADEMIC SUPP 2yr'!Y61+'STU SERVICES 2yr'!Y61+'INST SUPPORT 2yr'!Y61</f>
        <v>1188076.023</v>
      </c>
      <c r="Z61" s="90">
        <f>'ACADEMIC SUPP 2yr'!Z61+'STU SERVICES 2yr'!Z61+'INST SUPPORT 2yr'!Z61</f>
        <v>1260184.943</v>
      </c>
      <c r="AA61" s="90">
        <f>'ACADEMIC SUPP 2yr'!AA61+'STU SERVICES 2yr'!AA61+'INST SUPPORT 2yr'!AA61</f>
        <v>1228780.8999999999</v>
      </c>
    </row>
    <row r="62" spans="1:27" s="14" customFormat="1">
      <c r="A62" s="23" t="s">
        <v>110</v>
      </c>
      <c r="B62" s="90">
        <f>'ACADEMIC SUPP 2yr'!B62+'STU SERVICES 2yr'!B62+'INST SUPPORT 2yr'!B62</f>
        <v>0</v>
      </c>
      <c r="C62" s="90">
        <f>'ACADEMIC SUPP 2yr'!C62+'STU SERVICES 2yr'!C62+'INST SUPPORT 2yr'!C62</f>
        <v>0</v>
      </c>
      <c r="D62" s="90">
        <f>'ACADEMIC SUPP 2yr'!D62+'STU SERVICES 2yr'!D62+'INST SUPPORT 2yr'!D62</f>
        <v>0</v>
      </c>
      <c r="E62" s="90">
        <f>'ACADEMIC SUPP 2yr'!E62+'STU SERVICES 2yr'!E62+'INST SUPPORT 2yr'!E62</f>
        <v>0</v>
      </c>
      <c r="F62" s="90">
        <f>'ACADEMIC SUPP 2yr'!F62+'STU SERVICES 2yr'!F62+'INST SUPPORT 2yr'!F62</f>
        <v>119245.993</v>
      </c>
      <c r="G62" s="90">
        <f>'ACADEMIC SUPP 2yr'!G62+'STU SERVICES 2yr'!G62+'INST SUPPORT 2yr'!G62</f>
        <v>0</v>
      </c>
      <c r="H62" s="90">
        <f>'ACADEMIC SUPP 2yr'!H62+'STU SERVICES 2yr'!H62+'INST SUPPORT 2yr'!H62</f>
        <v>0</v>
      </c>
      <c r="I62" s="90">
        <f>'ACADEMIC SUPP 2yr'!I62+'STU SERVICES 2yr'!I62+'INST SUPPORT 2yr'!I62</f>
        <v>138423.80300000001</v>
      </c>
      <c r="J62" s="90">
        <f>'ACADEMIC SUPP 2yr'!J62+'STU SERVICES 2yr'!J62+'INST SUPPORT 2yr'!J62</f>
        <v>0</v>
      </c>
      <c r="K62" s="90">
        <f>'ACADEMIC SUPP 2yr'!K62+'STU SERVICES 2yr'!K62+'INST SUPPORT 2yr'!K62</f>
        <v>154935.51053000003</v>
      </c>
      <c r="L62" s="90">
        <f>'ACADEMIC SUPP 2yr'!L62+'STU SERVICES 2yr'!L62+'INST SUPPORT 2yr'!L62</f>
        <v>168232.655</v>
      </c>
      <c r="M62" s="90">
        <f>'ACADEMIC SUPP 2yr'!M62+'STU SERVICES 2yr'!M62+'INST SUPPORT 2yr'!M62</f>
        <v>180725.15299999999</v>
      </c>
      <c r="N62" s="90">
        <f>'ACADEMIC SUPP 2yr'!N62+'STU SERVICES 2yr'!N62+'INST SUPPORT 2yr'!N62</f>
        <v>193930.73700000002</v>
      </c>
      <c r="O62" s="90">
        <f>'ACADEMIC SUPP 2yr'!O62+'STU SERVICES 2yr'!O62+'INST SUPPORT 2yr'!O62</f>
        <v>212063.55</v>
      </c>
      <c r="P62" s="90">
        <f>'ACADEMIC SUPP 2yr'!P62+'STU SERVICES 2yr'!P62+'INST SUPPORT 2yr'!P62</f>
        <v>228148.43799999999</v>
      </c>
      <c r="Q62" s="90">
        <f>'ACADEMIC SUPP 2yr'!Q62+'STU SERVICES 2yr'!Q62+'INST SUPPORT 2yr'!Q62</f>
        <v>243294.288</v>
      </c>
      <c r="R62" s="90">
        <f>'ACADEMIC SUPP 2yr'!R62+'STU SERVICES 2yr'!R62+'INST SUPPORT 2yr'!R62</f>
        <v>258306.99199999997</v>
      </c>
      <c r="S62" s="90">
        <f>'ACADEMIC SUPP 2yr'!S62+'STU SERVICES 2yr'!S62+'INST SUPPORT 2yr'!S62</f>
        <v>266138.15099999995</v>
      </c>
      <c r="T62" s="90">
        <f>'ACADEMIC SUPP 2yr'!T62+'STU SERVICES 2yr'!T62+'INST SUPPORT 2yr'!T62</f>
        <v>310979.875</v>
      </c>
      <c r="U62" s="90">
        <f>'ACADEMIC SUPP 2yr'!U62+'STU SERVICES 2yr'!U62+'INST SUPPORT 2yr'!U62</f>
        <v>346313.44299999997</v>
      </c>
      <c r="V62" s="90">
        <f>'ACADEMIC SUPP 2yr'!V62+'STU SERVICES 2yr'!V62+'INST SUPPORT 2yr'!V62</f>
        <v>395496.55699999997</v>
      </c>
      <c r="W62" s="90">
        <f>'ACADEMIC SUPP 2yr'!W62+'STU SERVICES 2yr'!W62+'INST SUPPORT 2yr'!W62</f>
        <v>406797.64599999995</v>
      </c>
      <c r="X62" s="90">
        <f>'ACADEMIC SUPP 2yr'!X62+'STU SERVICES 2yr'!X62+'INST SUPPORT 2yr'!X62</f>
        <v>426278.97700000001</v>
      </c>
      <c r="Y62" s="90">
        <f>'ACADEMIC SUPP 2yr'!Y62+'STU SERVICES 2yr'!Y62+'INST SUPPORT 2yr'!Y62</f>
        <v>437460.72</v>
      </c>
      <c r="Z62" s="90">
        <f>'ACADEMIC SUPP 2yr'!Z62+'STU SERVICES 2yr'!Z62+'INST SUPPORT 2yr'!Z62</f>
        <v>450039.14199999999</v>
      </c>
      <c r="AA62" s="90">
        <f>'ACADEMIC SUPP 2yr'!AA62+'STU SERVICES 2yr'!AA62+'INST SUPPORT 2yr'!AA62</f>
        <v>448152.69400000002</v>
      </c>
    </row>
    <row r="63" spans="1:27" s="14" customFormat="1">
      <c r="A63" s="23" t="s">
        <v>111</v>
      </c>
      <c r="B63" s="90">
        <f>'ACADEMIC SUPP 2yr'!B63+'STU SERVICES 2yr'!B63+'INST SUPPORT 2yr'!B63</f>
        <v>0</v>
      </c>
      <c r="C63" s="90">
        <f>'ACADEMIC SUPP 2yr'!C63+'STU SERVICES 2yr'!C63+'INST SUPPORT 2yr'!C63</f>
        <v>0</v>
      </c>
      <c r="D63" s="90">
        <f>'ACADEMIC SUPP 2yr'!D63+'STU SERVICES 2yr'!D63+'INST SUPPORT 2yr'!D63</f>
        <v>0</v>
      </c>
      <c r="E63" s="90">
        <f>'ACADEMIC SUPP 2yr'!E63+'STU SERVICES 2yr'!E63+'INST SUPPORT 2yr'!E63</f>
        <v>0</v>
      </c>
      <c r="F63" s="90">
        <f>'ACADEMIC SUPP 2yr'!F63+'STU SERVICES 2yr'!F63+'INST SUPPORT 2yr'!F63</f>
        <v>12810.611000000001</v>
      </c>
      <c r="G63" s="90">
        <f>'ACADEMIC SUPP 2yr'!G63+'STU SERVICES 2yr'!G63+'INST SUPPORT 2yr'!G63</f>
        <v>0</v>
      </c>
      <c r="H63" s="90">
        <f>'ACADEMIC SUPP 2yr'!H63+'STU SERVICES 2yr'!H63+'INST SUPPORT 2yr'!H63</f>
        <v>0</v>
      </c>
      <c r="I63" s="90">
        <f>'ACADEMIC SUPP 2yr'!I63+'STU SERVICES 2yr'!I63+'INST SUPPORT 2yr'!I63</f>
        <v>15014.993999999999</v>
      </c>
      <c r="J63" s="90">
        <f>'ACADEMIC SUPP 2yr'!J63+'STU SERVICES 2yr'!J63+'INST SUPPORT 2yr'!J63</f>
        <v>0</v>
      </c>
      <c r="K63" s="90">
        <f>'ACADEMIC SUPP 2yr'!K63+'STU SERVICES 2yr'!K63+'INST SUPPORT 2yr'!K63</f>
        <v>16514.331999999999</v>
      </c>
      <c r="L63" s="90">
        <f>'ACADEMIC SUPP 2yr'!L63+'STU SERVICES 2yr'!L63+'INST SUPPORT 2yr'!L63</f>
        <v>19461.917000000001</v>
      </c>
      <c r="M63" s="90">
        <f>'ACADEMIC SUPP 2yr'!M63+'STU SERVICES 2yr'!M63+'INST SUPPORT 2yr'!M63</f>
        <v>20758.657999999999</v>
      </c>
      <c r="N63" s="90">
        <f>'ACADEMIC SUPP 2yr'!N63+'STU SERVICES 2yr'!N63+'INST SUPPORT 2yr'!N63</f>
        <v>21328.11</v>
      </c>
      <c r="O63" s="90">
        <f>'ACADEMIC SUPP 2yr'!O63+'STU SERVICES 2yr'!O63+'INST SUPPORT 2yr'!O63</f>
        <v>22630.550999999999</v>
      </c>
      <c r="P63" s="90">
        <f>'ACADEMIC SUPP 2yr'!P63+'STU SERVICES 2yr'!P63+'INST SUPPORT 2yr'!P63</f>
        <v>24744.468000000001</v>
      </c>
      <c r="Q63" s="90">
        <f>'ACADEMIC SUPP 2yr'!Q63+'STU SERVICES 2yr'!Q63+'INST SUPPORT 2yr'!Q63</f>
        <v>28789.781999999999</v>
      </c>
      <c r="R63" s="90">
        <f>'ACADEMIC SUPP 2yr'!R63+'STU SERVICES 2yr'!R63+'INST SUPPORT 2yr'!R63</f>
        <v>31607.991999999998</v>
      </c>
      <c r="S63" s="90">
        <f>'ACADEMIC SUPP 2yr'!S63+'STU SERVICES 2yr'!S63+'INST SUPPORT 2yr'!S63</f>
        <v>32928.452000000005</v>
      </c>
      <c r="T63" s="90">
        <f>'ACADEMIC SUPP 2yr'!T63+'STU SERVICES 2yr'!T63+'INST SUPPORT 2yr'!T63</f>
        <v>34598.021999999997</v>
      </c>
      <c r="U63" s="90">
        <f>'ACADEMIC SUPP 2yr'!U63+'STU SERVICES 2yr'!U63+'INST SUPPORT 2yr'!U63</f>
        <v>39250.741999999998</v>
      </c>
      <c r="V63" s="90">
        <f>'ACADEMIC SUPP 2yr'!V63+'STU SERVICES 2yr'!V63+'INST SUPPORT 2yr'!V63</f>
        <v>38805.118999999999</v>
      </c>
      <c r="W63" s="90">
        <f>'ACADEMIC SUPP 2yr'!W63+'STU SERVICES 2yr'!W63+'INST SUPPORT 2yr'!W63</f>
        <v>39902.934000000001</v>
      </c>
      <c r="X63" s="90">
        <f>'ACADEMIC SUPP 2yr'!X63+'STU SERVICES 2yr'!X63+'INST SUPPORT 2yr'!X63</f>
        <v>40972.120000000003</v>
      </c>
      <c r="Y63" s="90">
        <f>'ACADEMIC SUPP 2yr'!Y63+'STU SERVICES 2yr'!Y63+'INST SUPPORT 2yr'!Y63</f>
        <v>41367.633999999998</v>
      </c>
      <c r="Z63" s="90">
        <f>'ACADEMIC SUPP 2yr'!Z63+'STU SERVICES 2yr'!Z63+'INST SUPPORT 2yr'!Z63</f>
        <v>43399.926999999996</v>
      </c>
      <c r="AA63" s="90">
        <f>'ACADEMIC SUPP 2yr'!AA63+'STU SERVICES 2yr'!AA63+'INST SUPPORT 2yr'!AA63</f>
        <v>44671.100000000006</v>
      </c>
    </row>
    <row r="64" spans="1:27" s="14" customFormat="1">
      <c r="A64" s="45" t="s">
        <v>114</v>
      </c>
      <c r="B64" s="94">
        <f>'ACADEMIC SUPP 2yr'!B64+'STU SERVICES 2yr'!B64+'INST SUPPORT 2yr'!B64</f>
        <v>0</v>
      </c>
      <c r="C64" s="94">
        <f>'ACADEMIC SUPP 2yr'!C64+'STU SERVICES 2yr'!C64+'INST SUPPORT 2yr'!C64</f>
        <v>0</v>
      </c>
      <c r="D64" s="94">
        <f>'ACADEMIC SUPP 2yr'!D64+'STU SERVICES 2yr'!D64+'INST SUPPORT 2yr'!D64</f>
        <v>0</v>
      </c>
      <c r="E64" s="94">
        <f>'ACADEMIC SUPP 2yr'!E64+'STU SERVICES 2yr'!E64+'INST SUPPORT 2yr'!E64</f>
        <v>0</v>
      </c>
      <c r="F64" s="94">
        <f>'ACADEMIC SUPP 2yr'!F64+'STU SERVICES 2yr'!F64+'INST SUPPORT 2yr'!F64</f>
        <v>8114.9030000000002</v>
      </c>
      <c r="G64" s="94">
        <f>'ACADEMIC SUPP 2yr'!G64+'STU SERVICES 2yr'!G64+'INST SUPPORT 2yr'!G64</f>
        <v>0</v>
      </c>
      <c r="H64" s="94">
        <f>'ACADEMIC SUPP 2yr'!H64+'STU SERVICES 2yr'!H64+'INST SUPPORT 2yr'!H64</f>
        <v>0</v>
      </c>
      <c r="I64" s="94">
        <f>'ACADEMIC SUPP 2yr'!I64+'STU SERVICES 2yr'!I64+'INST SUPPORT 2yr'!I64</f>
        <v>5076.9610000000002</v>
      </c>
      <c r="J64" s="94">
        <f>'ACADEMIC SUPP 2yr'!J64+'STU SERVICES 2yr'!J64+'INST SUPPORT 2yr'!J64</f>
        <v>0</v>
      </c>
      <c r="K64" s="94">
        <f>'ACADEMIC SUPP 2yr'!K64+'STU SERVICES 2yr'!K64+'INST SUPPORT 2yr'!K64</f>
        <v>5796.4979999999996</v>
      </c>
      <c r="L64" s="94">
        <f>'ACADEMIC SUPP 2yr'!L64+'STU SERVICES 2yr'!L64+'INST SUPPORT 2yr'!L64</f>
        <v>6849.5290000000005</v>
      </c>
      <c r="M64" s="94">
        <f>'ACADEMIC SUPP 2yr'!M64+'STU SERVICES 2yr'!M64+'INST SUPPORT 2yr'!M64</f>
        <v>7314.7350000000006</v>
      </c>
      <c r="N64" s="94">
        <f>'ACADEMIC SUPP 2yr'!N64+'STU SERVICES 2yr'!N64+'INST SUPPORT 2yr'!N64</f>
        <v>9423.61</v>
      </c>
      <c r="O64" s="94">
        <f>'ACADEMIC SUPP 2yr'!O64+'STU SERVICES 2yr'!O64+'INST SUPPORT 2yr'!O64</f>
        <v>10359.866999999998</v>
      </c>
      <c r="P64" s="94">
        <f>'ACADEMIC SUPP 2yr'!P64+'STU SERVICES 2yr'!P64+'INST SUPPORT 2yr'!P64</f>
        <v>11346.891</v>
      </c>
      <c r="Q64" s="94">
        <f>'ACADEMIC SUPP 2yr'!Q64+'STU SERVICES 2yr'!Q64+'INST SUPPORT 2yr'!Q64</f>
        <v>12058.157999999999</v>
      </c>
      <c r="R64" s="94">
        <f>'ACADEMIC SUPP 2yr'!R64+'STU SERVICES 2yr'!R64+'INST SUPPORT 2yr'!R64</f>
        <v>12672.603999999999</v>
      </c>
      <c r="S64" s="94">
        <f>'ACADEMIC SUPP 2yr'!S64+'STU SERVICES 2yr'!S64+'INST SUPPORT 2yr'!S64</f>
        <v>11471.652</v>
      </c>
      <c r="T64" s="94">
        <f>'ACADEMIC SUPP 2yr'!T64+'STU SERVICES 2yr'!T64+'INST SUPPORT 2yr'!T64</f>
        <v>14833.554</v>
      </c>
      <c r="U64" s="94">
        <f>'ACADEMIC SUPP 2yr'!U64+'STU SERVICES 2yr'!U64+'INST SUPPORT 2yr'!U64</f>
        <v>26687.313000000002</v>
      </c>
      <c r="V64" s="94">
        <f>'ACADEMIC SUPP 2yr'!V64+'STU SERVICES 2yr'!V64+'INST SUPPORT 2yr'!V64</f>
        <v>18024.468999999997</v>
      </c>
      <c r="W64" s="94">
        <f>'ACADEMIC SUPP 2yr'!W64+'STU SERVICES 2yr'!W64+'INST SUPPORT 2yr'!W64</f>
        <v>19316.080999999998</v>
      </c>
      <c r="X64" s="94">
        <f>'ACADEMIC SUPP 2yr'!X64+'STU SERVICES 2yr'!X64+'INST SUPPORT 2yr'!X64</f>
        <v>20614.550999999999</v>
      </c>
      <c r="Y64" s="94">
        <f>'ACADEMIC SUPP 2yr'!Y64+'STU SERVICES 2yr'!Y64+'INST SUPPORT 2yr'!Y64</f>
        <v>36812.051999999996</v>
      </c>
      <c r="Z64" s="94">
        <f>'ACADEMIC SUPP 2yr'!Z64+'STU SERVICES 2yr'!Z64+'INST SUPPORT 2yr'!Z64</f>
        <v>35634.779000000002</v>
      </c>
      <c r="AA64" s="94">
        <f>'ACADEMIC SUPP 2yr'!AA64+'STU SERVICES 2yr'!AA64+'INST SUPPORT 2yr'!AA64</f>
        <v>33672.997000000003</v>
      </c>
    </row>
    <row r="65" spans="1:27" s="14" customFormat="1">
      <c r="A65" s="88" t="s">
        <v>90</v>
      </c>
      <c r="B65" s="95">
        <f>'ACADEMIC SUPP 2yr'!B65+'STU SERVICES 2yr'!B65+'INST SUPPORT 2yr'!B65</f>
        <v>0</v>
      </c>
      <c r="C65" s="95">
        <f>'ACADEMIC SUPP 2yr'!C65+'STU SERVICES 2yr'!C65+'INST SUPPORT 2yr'!C65</f>
        <v>0</v>
      </c>
      <c r="D65" s="95">
        <f>'ACADEMIC SUPP 2yr'!D65+'STU SERVICES 2yr'!D65+'INST SUPPORT 2yr'!D65</f>
        <v>0</v>
      </c>
      <c r="E65" s="95">
        <f>'ACADEMIC SUPP 2yr'!E65+'STU SERVICES 2yr'!E65+'INST SUPPORT 2yr'!E65</f>
        <v>0</v>
      </c>
      <c r="F65" s="95">
        <f>'ACADEMIC SUPP 2yr'!F65+'STU SERVICES 2yr'!F65+'INST SUPPORT 2yr'!F65</f>
        <v>0</v>
      </c>
      <c r="G65" s="95">
        <f>'ACADEMIC SUPP 2yr'!G65+'STU SERVICES 2yr'!G65+'INST SUPPORT 2yr'!G65</f>
        <v>0</v>
      </c>
      <c r="H65" s="95">
        <f>'ACADEMIC SUPP 2yr'!H65+'STU SERVICES 2yr'!H65+'INST SUPPORT 2yr'!H65</f>
        <v>0</v>
      </c>
      <c r="I65" s="95">
        <f>'ACADEMIC SUPP 2yr'!I65+'STU SERVICES 2yr'!I65+'INST SUPPORT 2yr'!I65</f>
        <v>0</v>
      </c>
      <c r="J65" s="95">
        <f>'ACADEMIC SUPP 2yr'!J65+'STU SERVICES 2yr'!J65+'INST SUPPORT 2yr'!J65</f>
        <v>0</v>
      </c>
      <c r="K65" s="95">
        <f>'ACADEMIC SUPP 2yr'!K65+'STU SERVICES 2yr'!K65+'INST SUPPORT 2yr'!K65</f>
        <v>0</v>
      </c>
      <c r="L65" s="95">
        <f>'ACADEMIC SUPP 2yr'!L65+'STU SERVICES 2yr'!L65+'INST SUPPORT 2yr'!L65</f>
        <v>0</v>
      </c>
      <c r="M65" s="95">
        <f>'ACADEMIC SUPP 2yr'!M65+'STU SERVICES 2yr'!M65+'INST SUPPORT 2yr'!M65</f>
        <v>0</v>
      </c>
      <c r="N65" s="95">
        <f>'ACADEMIC SUPP 2yr'!N65+'STU SERVICES 2yr'!N65+'INST SUPPORT 2yr'!N65</f>
        <v>0</v>
      </c>
      <c r="O65" s="95">
        <f>'ACADEMIC SUPP 2yr'!O65+'STU SERVICES 2yr'!O65+'INST SUPPORT 2yr'!O65</f>
        <v>0</v>
      </c>
      <c r="P65" s="95">
        <f>'ACADEMIC SUPP 2yr'!P65+'STU SERVICES 2yr'!P65+'INST SUPPORT 2yr'!P65</f>
        <v>0</v>
      </c>
      <c r="Q65" s="95">
        <f>'ACADEMIC SUPP 2yr'!Q65+'STU SERVICES 2yr'!Q65+'INST SUPPORT 2yr'!Q65</f>
        <v>0</v>
      </c>
      <c r="R65" s="95">
        <f>'ACADEMIC SUPP 2yr'!R65+'STU SERVICES 2yr'!R65+'INST SUPPORT 2yr'!R65</f>
        <v>0</v>
      </c>
      <c r="S65" s="95">
        <f>'ACADEMIC SUPP 2yr'!S65+'STU SERVICES 2yr'!S65+'INST SUPPORT 2yr'!S65</f>
        <v>0</v>
      </c>
      <c r="T65" s="95">
        <f>'ACADEMIC SUPP 2yr'!T65+'STU SERVICES 2yr'!T65+'INST SUPPORT 2yr'!T65</f>
        <v>0</v>
      </c>
      <c r="U65" s="95">
        <f>'ACADEMIC SUPP 2yr'!U65+'STU SERVICES 2yr'!U65+'INST SUPPORT 2yr'!U65</f>
        <v>0</v>
      </c>
      <c r="V65" s="95">
        <f>'ACADEMIC SUPP 2yr'!V65+'STU SERVICES 2yr'!V65+'INST SUPPORT 2yr'!V65</f>
        <v>0</v>
      </c>
      <c r="W65" s="95">
        <f>'ACADEMIC SUPP 2yr'!W65+'STU SERVICES 2yr'!W65+'INST SUPPORT 2yr'!W65</f>
        <v>0</v>
      </c>
      <c r="X65" s="87"/>
      <c r="Y65" s="87"/>
      <c r="Z65" s="87"/>
      <c r="AA65" s="87"/>
    </row>
    <row r="66" spans="1:27" s="14" customFormat="1">
      <c r="A66" s="80"/>
      <c r="F66" s="36"/>
    </row>
    <row r="67" spans="1:27">
      <c r="I67" s="14" t="s">
        <v>78</v>
      </c>
      <c r="P67" s="14" t="s">
        <v>78</v>
      </c>
      <c r="Q67" s="14" t="s">
        <v>78</v>
      </c>
      <c r="R67" s="14" t="s">
        <v>78</v>
      </c>
      <c r="S67" s="14" t="s">
        <v>78</v>
      </c>
      <c r="T67" s="14" t="s">
        <v>78</v>
      </c>
    </row>
    <row r="68" spans="1:27">
      <c r="I68" s="14" t="s">
        <v>79</v>
      </c>
      <c r="P68" s="14" t="s">
        <v>79</v>
      </c>
      <c r="Q68" s="14" t="s">
        <v>79</v>
      </c>
      <c r="R68" s="14" t="s">
        <v>79</v>
      </c>
      <c r="S68" s="14" t="s">
        <v>79</v>
      </c>
      <c r="T68" s="14" t="s">
        <v>79</v>
      </c>
    </row>
    <row r="69" spans="1:27">
      <c r="I69" s="14" t="s">
        <v>80</v>
      </c>
      <c r="P69" s="14" t="s">
        <v>80</v>
      </c>
      <c r="Q69" s="14" t="s">
        <v>80</v>
      </c>
      <c r="R69" s="14" t="s">
        <v>80</v>
      </c>
      <c r="S69" s="14" t="s">
        <v>80</v>
      </c>
      <c r="T69" s="14" t="s">
        <v>80</v>
      </c>
    </row>
  </sheetData>
  <phoneticPr fontId="6" type="noConversion"/>
  <pageMargins left="0.5" right="0.5" top="0.5" bottom="0.55000000000000004" header="0.5" footer="0.5"/>
  <pageSetup scale="76" orientation="landscape" verticalDpi="300" r:id="rId1"/>
  <headerFooter alignWithMargins="0">
    <oddFooter>&amp;LSREB Fact Book 1996/1997&amp;CUpdate&amp;R&amp;D</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tabColor theme="4" tint="0.39997558519241921"/>
  </sheetPr>
  <dimension ref="A1:BF70"/>
  <sheetViews>
    <sheetView showZeros="0" zoomScale="80" zoomScaleNormal="80" workbookViewId="0">
      <pane xSplit="1" ySplit="5" topLeftCell="R6" activePane="bottomRight" state="frozen"/>
      <selection activeCell="AC65" sqref="AC65"/>
      <selection pane="topRight" activeCell="AC65" sqref="AC65"/>
      <selection pane="bottomLeft" activeCell="AC65" sqref="AC65"/>
      <selection pane="bottomRight" activeCell="Z2" sqref="Z2"/>
    </sheetView>
  </sheetViews>
  <sheetFormatPr defaultColWidth="9.7109375" defaultRowHeight="12.75"/>
  <cols>
    <col min="1" max="1" width="23.42578125" style="80" customWidth="1"/>
    <col min="2" max="23" width="12.42578125" style="14" customWidth="1"/>
    <col min="24" max="24" width="14.42578125" style="2" bestFit="1" customWidth="1"/>
    <col min="25" max="58" width="10.7109375" style="2" customWidth="1"/>
    <col min="59" max="16384" width="9.7109375" style="2"/>
  </cols>
  <sheetData>
    <row r="1" spans="1:27">
      <c r="A1" s="21" t="s">
        <v>39</v>
      </c>
      <c r="B1"/>
      <c r="C1"/>
      <c r="D1"/>
      <c r="E1"/>
      <c r="F1"/>
      <c r="G1"/>
      <c r="H1"/>
      <c r="I1"/>
      <c r="J1"/>
      <c r="K1"/>
      <c r="L1"/>
      <c r="M1"/>
      <c r="N1"/>
      <c r="O1" s="46"/>
      <c r="P1" s="46"/>
      <c r="Q1" s="46"/>
      <c r="R1" s="46"/>
      <c r="S1"/>
      <c r="T1"/>
      <c r="U1"/>
      <c r="V1"/>
      <c r="W1"/>
    </row>
    <row r="2" spans="1:27">
      <c r="A2" s="21"/>
      <c r="B2" s="12"/>
      <c r="C2" s="12"/>
      <c r="D2" s="12"/>
      <c r="E2" s="12"/>
      <c r="F2" s="12"/>
      <c r="G2" s="13"/>
      <c r="H2" s="13"/>
    </row>
    <row r="3" spans="1:27">
      <c r="A3" s="21" t="s">
        <v>21</v>
      </c>
      <c r="B3"/>
      <c r="C3"/>
      <c r="D3"/>
      <c r="E3"/>
      <c r="F3"/>
      <c r="G3"/>
      <c r="H3"/>
    </row>
    <row r="4" spans="1:27" s="61"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74">
        <v>2005</v>
      </c>
      <c r="R4" s="74">
        <v>2006</v>
      </c>
      <c r="S4" s="74">
        <v>2007</v>
      </c>
      <c r="T4" s="74">
        <v>2008</v>
      </c>
      <c r="U4" s="74">
        <v>2009</v>
      </c>
      <c r="V4" s="74">
        <v>2010</v>
      </c>
      <c r="W4" s="74">
        <v>2011</v>
      </c>
      <c r="X4" s="173" t="s">
        <v>142</v>
      </c>
      <c r="Y4" s="173" t="s">
        <v>144</v>
      </c>
      <c r="Z4" s="173" t="s">
        <v>145</v>
      </c>
      <c r="AA4" s="173" t="s">
        <v>146</v>
      </c>
    </row>
    <row r="5" spans="1:27">
      <c r="B5" s="15" t="s">
        <v>1</v>
      </c>
      <c r="C5" s="15" t="s">
        <v>1</v>
      </c>
      <c r="D5" s="15" t="s">
        <v>1</v>
      </c>
      <c r="E5" s="15" t="s">
        <v>1</v>
      </c>
      <c r="F5" s="15" t="s">
        <v>1</v>
      </c>
      <c r="G5" s="15" t="s">
        <v>1</v>
      </c>
      <c r="H5" s="15" t="s">
        <v>1</v>
      </c>
      <c r="I5" s="15" t="s">
        <v>1</v>
      </c>
      <c r="J5" s="15" t="s">
        <v>1</v>
      </c>
      <c r="K5" s="15" t="s">
        <v>1</v>
      </c>
      <c r="L5" s="15" t="s">
        <v>1</v>
      </c>
      <c r="M5" s="15" t="s">
        <v>1</v>
      </c>
      <c r="N5" s="15" t="s">
        <v>1</v>
      </c>
      <c r="O5" s="15" t="s">
        <v>1</v>
      </c>
      <c r="P5" s="15" t="s">
        <v>1</v>
      </c>
      <c r="Q5" s="15" t="s">
        <v>1</v>
      </c>
      <c r="R5" s="15" t="s">
        <v>1</v>
      </c>
      <c r="S5" s="15" t="s">
        <v>1</v>
      </c>
      <c r="T5" s="15" t="s">
        <v>1</v>
      </c>
      <c r="U5" s="15" t="s">
        <v>1</v>
      </c>
      <c r="V5" s="15" t="s">
        <v>1</v>
      </c>
      <c r="W5" s="15" t="s">
        <v>1</v>
      </c>
      <c r="X5" s="15" t="s">
        <v>1</v>
      </c>
      <c r="Y5" s="15" t="s">
        <v>1</v>
      </c>
      <c r="Z5" s="15" t="s">
        <v>1</v>
      </c>
      <c r="AA5" s="15" t="s">
        <v>1</v>
      </c>
    </row>
    <row r="6" spans="1:27" s="23" customFormat="1">
      <c r="A6" s="63" t="s">
        <v>118</v>
      </c>
      <c r="B6" s="13">
        <f>1340864+1745239</f>
        <v>3086103</v>
      </c>
      <c r="C6" s="13">
        <f>1497739+1962049</f>
        <v>3459788</v>
      </c>
      <c r="D6" s="13">
        <f>1663790+2152070</f>
        <v>3815860</v>
      </c>
      <c r="E6" s="13">
        <v>5545293.8880000003</v>
      </c>
      <c r="F6" s="91">
        <f>+F7+F25+F40+F54+F65</f>
        <v>5686630.2650000006</v>
      </c>
      <c r="G6" s="13">
        <v>6089686.9409999996</v>
      </c>
      <c r="H6" s="13">
        <v>6397088.4950000001</v>
      </c>
      <c r="I6" s="91">
        <f>+I7+I25+I40+I54+I65</f>
        <v>6610321.2369999997</v>
      </c>
      <c r="J6" s="76">
        <v>7152346.4639999997</v>
      </c>
      <c r="K6" s="91">
        <f t="shared" ref="K6:U6" si="0">+K7+K25+K40+K54+K65</f>
        <v>7642417.0765899988</v>
      </c>
      <c r="L6" s="91">
        <f t="shared" si="0"/>
        <v>9308598.353000002</v>
      </c>
      <c r="M6" s="91">
        <f t="shared" si="0"/>
        <v>9934908.8570000026</v>
      </c>
      <c r="N6" s="91">
        <f t="shared" si="0"/>
        <v>9351352.3530000001</v>
      </c>
      <c r="O6" s="91">
        <f t="shared" si="0"/>
        <v>9570340.6500000004</v>
      </c>
      <c r="P6" s="91">
        <f t="shared" si="0"/>
        <v>10000296.972000001</v>
      </c>
      <c r="Q6" s="91">
        <f t="shared" si="0"/>
        <v>10742711.851</v>
      </c>
      <c r="R6" s="91">
        <f t="shared" si="0"/>
        <v>11409273.796999998</v>
      </c>
      <c r="S6" s="91">
        <f t="shared" si="0"/>
        <v>12204171.228999998</v>
      </c>
      <c r="T6" s="91">
        <f t="shared" si="0"/>
        <v>14015910.691</v>
      </c>
      <c r="U6" s="91">
        <f t="shared" si="0"/>
        <v>13830159.676000001</v>
      </c>
      <c r="V6" s="91">
        <f t="shared" ref="V6:W6" si="1">+V7+V25+V40+V54+V65</f>
        <v>16736699.464999998</v>
      </c>
      <c r="W6" s="91">
        <f t="shared" si="1"/>
        <v>17264267.664000001</v>
      </c>
      <c r="X6" s="91">
        <f t="shared" ref="X6:Y6" si="2">+X7+X25+X40+X54+X65</f>
        <v>18310507.02</v>
      </c>
      <c r="Y6" s="91">
        <f t="shared" si="2"/>
        <v>18777636.374000002</v>
      </c>
      <c r="Z6" s="91">
        <f t="shared" ref="Z6:AA6" si="3">+Z7+Z25+Z40+Z54+Z65</f>
        <v>19927761.537999999</v>
      </c>
      <c r="AA6" s="91">
        <f t="shared" si="3"/>
        <v>20861180.876000002</v>
      </c>
    </row>
    <row r="7" spans="1:27" s="23" customFormat="1">
      <c r="A7" s="22" t="s">
        <v>56</v>
      </c>
      <c r="B7" s="89">
        <f>SUM(B8:B24)</f>
        <v>916254</v>
      </c>
      <c r="C7" s="89">
        <f t="shared" ref="C7:U7" si="4">SUM(C8:C24)</f>
        <v>1048195</v>
      </c>
      <c r="D7" s="89">
        <f t="shared" si="4"/>
        <v>1157910</v>
      </c>
      <c r="E7" s="89">
        <f t="shared" si="4"/>
        <v>1708975.7900000003</v>
      </c>
      <c r="F7" s="89">
        <f t="shared" si="4"/>
        <v>1781559.5590000001</v>
      </c>
      <c r="G7" s="89">
        <f t="shared" si="4"/>
        <v>1855990.443</v>
      </c>
      <c r="H7" s="89">
        <f t="shared" si="4"/>
        <v>1999621.3380000002</v>
      </c>
      <c r="I7" s="89">
        <f t="shared" si="4"/>
        <v>2131579.6979999999</v>
      </c>
      <c r="J7" s="89">
        <f t="shared" si="4"/>
        <v>2288677.9049999998</v>
      </c>
      <c r="K7" s="89">
        <f t="shared" si="4"/>
        <v>2469315.33421</v>
      </c>
      <c r="L7" s="89">
        <f t="shared" si="4"/>
        <v>3126516.9830000005</v>
      </c>
      <c r="M7" s="89">
        <f t="shared" si="4"/>
        <v>3358742.0889999997</v>
      </c>
      <c r="N7" s="89">
        <f t="shared" si="4"/>
        <v>3217045.787</v>
      </c>
      <c r="O7" s="89">
        <f t="shared" si="4"/>
        <v>3394675.8839999996</v>
      </c>
      <c r="P7" s="89">
        <f t="shared" si="4"/>
        <v>3566866.5219999999</v>
      </c>
      <c r="Q7" s="89">
        <f t="shared" si="4"/>
        <v>3845494.6290000007</v>
      </c>
      <c r="R7" s="89">
        <f t="shared" si="4"/>
        <v>4165709.577</v>
      </c>
      <c r="S7" s="89">
        <f t="shared" si="4"/>
        <v>4505167.892</v>
      </c>
      <c r="T7" s="89">
        <f t="shared" si="4"/>
        <v>5292637.17</v>
      </c>
      <c r="U7" s="89">
        <f t="shared" si="4"/>
        <v>4977174.4350000005</v>
      </c>
      <c r="V7" s="89">
        <f t="shared" ref="V7:W7" si="5">SUM(V8:V24)</f>
        <v>6256231.2989999996</v>
      </c>
      <c r="W7" s="89">
        <f t="shared" si="5"/>
        <v>6190337.0389999999</v>
      </c>
      <c r="X7" s="89">
        <f t="shared" ref="X7:Y7" si="6">SUM(X8:X24)</f>
        <v>6502030.6059999997</v>
      </c>
      <c r="Y7" s="89">
        <f t="shared" si="6"/>
        <v>6395915.506000001</v>
      </c>
      <c r="Z7" s="89">
        <f t="shared" ref="Z7:AA7" si="7">SUM(Z8:Z24)</f>
        <v>6840363.0499999998</v>
      </c>
      <c r="AA7" s="89">
        <f t="shared" si="7"/>
        <v>7158812.5969999991</v>
      </c>
    </row>
    <row r="8" spans="1:27">
      <c r="A8" s="79" t="s">
        <v>119</v>
      </c>
      <c r="T8" s="2"/>
      <c r="U8" s="2"/>
      <c r="V8" s="2"/>
      <c r="W8" s="2"/>
    </row>
    <row r="9" spans="1:27">
      <c r="A9" s="22" t="s">
        <v>3</v>
      </c>
      <c r="B9" s="13">
        <f>25615+35905</f>
        <v>61520</v>
      </c>
      <c r="C9" s="13">
        <f>28890+41626</f>
        <v>70516</v>
      </c>
      <c r="D9" s="13">
        <f>33922+45346</f>
        <v>79268</v>
      </c>
      <c r="E9" s="13">
        <v>110100.664</v>
      </c>
      <c r="F9" s="76">
        <v>108756.65700000001</v>
      </c>
      <c r="G9" s="13">
        <v>115096.978</v>
      </c>
      <c r="H9" s="13">
        <v>127401.758</v>
      </c>
      <c r="I9" s="13">
        <v>133333.34599999999</v>
      </c>
      <c r="J9" s="13">
        <v>135539.451</v>
      </c>
      <c r="K9" s="13">
        <v>141989.24799999999</v>
      </c>
      <c r="L9" s="14">
        <v>153601.701</v>
      </c>
      <c r="M9" s="14">
        <v>169250.83</v>
      </c>
      <c r="N9" s="14">
        <v>181261.66399999999</v>
      </c>
      <c r="O9" s="14">
        <v>201757.223</v>
      </c>
      <c r="P9" s="14">
        <v>206559.2</v>
      </c>
      <c r="Q9" s="14">
        <v>219637.364</v>
      </c>
      <c r="R9" s="14">
        <v>251150.09700000001</v>
      </c>
      <c r="S9" s="14">
        <v>285823.14</v>
      </c>
      <c r="T9" s="2">
        <v>591271.804</v>
      </c>
      <c r="U9" s="2">
        <v>644171.08299999998</v>
      </c>
      <c r="V9" s="2">
        <v>693045.54700000002</v>
      </c>
      <c r="W9" s="2">
        <v>394940.67599999998</v>
      </c>
      <c r="X9" s="2">
        <v>408920.652</v>
      </c>
      <c r="Y9" s="2">
        <v>420115.61800000002</v>
      </c>
      <c r="Z9" s="2">
        <v>435734.34600000002</v>
      </c>
      <c r="AA9" s="2">
        <v>443378.69</v>
      </c>
    </row>
    <row r="10" spans="1:27">
      <c r="A10" s="22" t="s">
        <v>4</v>
      </c>
      <c r="B10" s="13">
        <f>6520+15542</f>
        <v>22062</v>
      </c>
      <c r="C10" s="13">
        <f>7855+19015</f>
        <v>26870</v>
      </c>
      <c r="D10" s="13">
        <f>8006+20154</f>
        <v>28160</v>
      </c>
      <c r="E10" s="13">
        <v>39920.677000000003</v>
      </c>
      <c r="F10" s="76">
        <v>43140.13</v>
      </c>
      <c r="G10" s="13">
        <v>47770.264000000003</v>
      </c>
      <c r="H10" s="13">
        <v>50813.23</v>
      </c>
      <c r="I10" s="14">
        <v>52712.851999999999</v>
      </c>
      <c r="J10" s="14">
        <v>55786.163</v>
      </c>
      <c r="K10" s="14">
        <v>63344.834999999999</v>
      </c>
      <c r="L10" s="14">
        <v>78238.900999999998</v>
      </c>
      <c r="M10" s="14">
        <v>81971.017999999996</v>
      </c>
      <c r="N10" s="14">
        <v>81908.138000000006</v>
      </c>
      <c r="O10" s="14">
        <v>83250.335000000006</v>
      </c>
      <c r="P10" s="14">
        <v>90656.142999999996</v>
      </c>
      <c r="Q10" s="14">
        <v>96635.864000000001</v>
      </c>
      <c r="R10" s="14">
        <v>101573.209</v>
      </c>
      <c r="S10" s="14">
        <v>101262.742</v>
      </c>
      <c r="T10" s="2">
        <v>108227.382</v>
      </c>
      <c r="U10" s="2">
        <v>105733.94</v>
      </c>
      <c r="V10" s="2">
        <v>144299.80900000001</v>
      </c>
      <c r="W10" s="2">
        <v>147289.791</v>
      </c>
      <c r="X10" s="2">
        <v>161077.78599999999</v>
      </c>
      <c r="Y10" s="2">
        <v>171954.883</v>
      </c>
      <c r="Z10" s="2">
        <v>169000.77900000001</v>
      </c>
      <c r="AA10" s="2">
        <v>178090.62700000001</v>
      </c>
    </row>
    <row r="11" spans="1:27">
      <c r="A11" s="22" t="s">
        <v>52</v>
      </c>
      <c r="B11" s="13"/>
      <c r="C11" s="13"/>
      <c r="D11" s="13">
        <f>9387+1309</f>
        <v>10696</v>
      </c>
      <c r="E11" s="13">
        <v>18999.953000000001</v>
      </c>
      <c r="F11" s="76">
        <v>20785.327000000001</v>
      </c>
      <c r="G11" s="13"/>
      <c r="H11" s="13"/>
      <c r="I11" s="14">
        <v>24190.928</v>
      </c>
      <c r="J11" s="14">
        <v>22193.017</v>
      </c>
      <c r="K11" s="14">
        <v>24808.441999999999</v>
      </c>
      <c r="L11" s="14">
        <v>33788.309000000001</v>
      </c>
      <c r="M11" s="14">
        <v>37477.786</v>
      </c>
      <c r="N11" s="14">
        <v>39336.582000000002</v>
      </c>
      <c r="O11" s="14">
        <v>41519.186000000002</v>
      </c>
      <c r="P11" s="14">
        <v>46364.057000000001</v>
      </c>
      <c r="Q11" s="14">
        <f>3772.744+46689.985</f>
        <v>50462.728999999999</v>
      </c>
      <c r="R11" s="14">
        <v>53003.067000000003</v>
      </c>
      <c r="S11" s="14">
        <v>59000.673999999999</v>
      </c>
      <c r="T11" s="2">
        <v>60254.773999999998</v>
      </c>
      <c r="U11" s="2">
        <v>62150.786</v>
      </c>
      <c r="V11" s="2">
        <v>62321.694000000003</v>
      </c>
      <c r="W11" s="2">
        <v>64022.552000000003</v>
      </c>
      <c r="X11" s="2">
        <v>62912.044999999998</v>
      </c>
      <c r="Y11" s="2">
        <v>5390.3069999999998</v>
      </c>
      <c r="Z11" s="2">
        <v>71137.656000000003</v>
      </c>
      <c r="AA11" s="2">
        <v>77798.281000000003</v>
      </c>
    </row>
    <row r="12" spans="1:27">
      <c r="A12" s="22" t="s">
        <v>5</v>
      </c>
      <c r="B12" s="13">
        <f>23955+49411</f>
        <v>73366</v>
      </c>
      <c r="C12" s="13">
        <f>29405+55474</f>
        <v>84879</v>
      </c>
      <c r="D12" s="13">
        <f>31123+64222</f>
        <v>95345</v>
      </c>
      <c r="E12" s="13">
        <v>190161.557</v>
      </c>
      <c r="F12" s="76">
        <v>192407.628</v>
      </c>
      <c r="G12" s="13">
        <v>207661.484</v>
      </c>
      <c r="H12" s="13">
        <v>236564.796</v>
      </c>
      <c r="I12" s="14">
        <v>214479.09899999999</v>
      </c>
      <c r="J12" s="14">
        <v>259068.42</v>
      </c>
      <c r="K12" s="14">
        <v>292791.47200000001</v>
      </c>
      <c r="L12" s="14">
        <v>358582.67099999997</v>
      </c>
      <c r="M12" s="14">
        <v>386316.72700000001</v>
      </c>
      <c r="N12" s="14">
        <v>362871.89799999999</v>
      </c>
      <c r="O12" s="14">
        <v>420166.24200000003</v>
      </c>
      <c r="P12" s="14">
        <v>445341.57699999999</v>
      </c>
      <c r="Q12" s="14">
        <v>489523.603</v>
      </c>
      <c r="R12" s="14">
        <v>506429.18099999998</v>
      </c>
      <c r="S12" s="14">
        <v>505604.20500000002</v>
      </c>
      <c r="T12" s="2">
        <v>539813.37600000005</v>
      </c>
      <c r="U12" s="2">
        <v>522360.49800000002</v>
      </c>
      <c r="V12" s="2">
        <v>604796.37600000005</v>
      </c>
      <c r="W12" s="2">
        <v>668980.33299999998</v>
      </c>
      <c r="X12" s="2">
        <v>669291.19200000004</v>
      </c>
      <c r="Y12" s="2">
        <v>683257.321</v>
      </c>
      <c r="Z12" s="2">
        <v>754147.85100000002</v>
      </c>
      <c r="AA12" s="2">
        <v>784893.27099999995</v>
      </c>
    </row>
    <row r="13" spans="1:27">
      <c r="A13" s="22" t="s">
        <v>6</v>
      </c>
      <c r="B13" s="13">
        <f>24129+31845</f>
        <v>55974</v>
      </c>
      <c r="C13" s="13">
        <f>30076+33512</f>
        <v>63588</v>
      </c>
      <c r="D13" s="13">
        <f>31643+54766</f>
        <v>86409</v>
      </c>
      <c r="E13" s="13">
        <v>117247.03999999999</v>
      </c>
      <c r="F13" s="76">
        <v>118644.671</v>
      </c>
      <c r="G13" s="13">
        <v>122471.033</v>
      </c>
      <c r="H13" s="13">
        <v>134203.755</v>
      </c>
      <c r="I13" s="14">
        <v>150908.595</v>
      </c>
      <c r="J13" s="14">
        <v>163969.55900000001</v>
      </c>
      <c r="K13" s="14">
        <v>185716.70199999999</v>
      </c>
      <c r="L13" s="14">
        <v>235963.29699999999</v>
      </c>
      <c r="M13" s="14">
        <v>258080.22399999999</v>
      </c>
      <c r="N13" s="14">
        <v>239613.06299999999</v>
      </c>
      <c r="O13" s="14">
        <v>265163.80800000002</v>
      </c>
      <c r="P13" s="14">
        <v>274570.86300000001</v>
      </c>
      <c r="Q13" s="14">
        <v>279643.43800000002</v>
      </c>
      <c r="R13" s="14">
        <v>306279.73200000002</v>
      </c>
      <c r="S13" s="14">
        <v>334221.88</v>
      </c>
      <c r="T13" s="2">
        <v>370302.39799999999</v>
      </c>
      <c r="U13" s="2">
        <v>321228.67599999998</v>
      </c>
      <c r="V13" s="2">
        <v>401160.25400000002</v>
      </c>
      <c r="W13" s="2">
        <v>436361.77500000002</v>
      </c>
      <c r="X13" s="2">
        <v>466075.489</v>
      </c>
      <c r="Y13" s="2">
        <v>501173.17499999999</v>
      </c>
      <c r="Z13" s="2">
        <v>527044.14599999995</v>
      </c>
      <c r="AA13" s="2">
        <v>550865.28799999994</v>
      </c>
    </row>
    <row r="14" spans="1:27">
      <c r="A14" s="22" t="s">
        <v>7</v>
      </c>
      <c r="B14" s="13">
        <f>45244+25900</f>
        <v>71144</v>
      </c>
      <c r="C14" s="13">
        <f>44029+26237</f>
        <v>70266</v>
      </c>
      <c r="D14" s="13">
        <f>49021+27225</f>
        <v>76246</v>
      </c>
      <c r="E14" s="13">
        <v>105863.08199999999</v>
      </c>
      <c r="F14" s="76">
        <v>109228.094</v>
      </c>
      <c r="G14" s="13">
        <v>105586.04300000001</v>
      </c>
      <c r="H14" s="13">
        <v>110094.90700000001</v>
      </c>
      <c r="I14" s="14">
        <v>121269.13</v>
      </c>
      <c r="J14" s="14">
        <v>139770.77499999999</v>
      </c>
      <c r="K14" s="14">
        <v>145062.92499999999</v>
      </c>
      <c r="L14" s="14">
        <v>176714.03700000001</v>
      </c>
      <c r="M14" s="14">
        <v>182949.89300000001</v>
      </c>
      <c r="N14" s="14">
        <v>151808.34299999999</v>
      </c>
      <c r="O14" s="14">
        <v>155261.69399999999</v>
      </c>
      <c r="P14" s="14">
        <v>162142.19500000001</v>
      </c>
      <c r="Q14" s="14">
        <v>165404.08900000001</v>
      </c>
      <c r="R14" s="14">
        <v>197579.674</v>
      </c>
      <c r="S14" s="14">
        <v>214722.891</v>
      </c>
      <c r="T14" s="2">
        <v>237127.84400000001</v>
      </c>
      <c r="U14" s="2">
        <v>251430.28899999999</v>
      </c>
      <c r="V14" s="2">
        <v>304755.26199999999</v>
      </c>
      <c r="W14" s="2">
        <v>311155.45299999998</v>
      </c>
      <c r="X14" s="2">
        <v>308717.027</v>
      </c>
      <c r="Y14" s="2">
        <v>332397.99099999998</v>
      </c>
      <c r="Z14" s="2">
        <v>324163.20500000002</v>
      </c>
      <c r="AA14" s="2">
        <v>354774.74200000003</v>
      </c>
    </row>
    <row r="15" spans="1:27">
      <c r="A15" s="22" t="s">
        <v>8</v>
      </c>
      <c r="B15" s="36">
        <f>21571+52602</f>
        <v>74173</v>
      </c>
      <c r="C15" s="36">
        <f>24074+56085</f>
        <v>80159</v>
      </c>
      <c r="D15" s="36">
        <f>24741+55197</f>
        <v>79938</v>
      </c>
      <c r="E15" s="36">
        <v>97960.288</v>
      </c>
      <c r="F15" s="77">
        <v>106830.704</v>
      </c>
      <c r="G15" s="36">
        <v>106390.685</v>
      </c>
      <c r="H15" s="36">
        <v>113431.071</v>
      </c>
      <c r="I15" s="37">
        <v>123346.04399999999</v>
      </c>
      <c r="J15" s="37">
        <v>128594.292</v>
      </c>
      <c r="K15" s="37">
        <v>135208.136</v>
      </c>
      <c r="L15" s="37">
        <v>197202.239</v>
      </c>
      <c r="M15" s="37">
        <v>205927.97899999999</v>
      </c>
      <c r="N15" s="37">
        <v>186268.52100000001</v>
      </c>
      <c r="O15" s="37">
        <v>197177.095</v>
      </c>
      <c r="P15" s="37">
        <v>183268.774</v>
      </c>
      <c r="Q15" s="37">
        <v>193142.54300000001</v>
      </c>
      <c r="R15" s="37">
        <v>192036.44</v>
      </c>
      <c r="S15" s="37">
        <v>204492.04300000001</v>
      </c>
      <c r="T15" s="23">
        <v>280829.45600000001</v>
      </c>
      <c r="U15" s="23">
        <v>256138.08199999999</v>
      </c>
      <c r="V15" s="23">
        <v>275184.57799999998</v>
      </c>
      <c r="W15" s="23">
        <v>272724.69900000002</v>
      </c>
      <c r="X15" s="2">
        <v>272362.45</v>
      </c>
      <c r="Y15" s="2">
        <v>266437.614</v>
      </c>
      <c r="Z15" s="2">
        <v>278547.266</v>
      </c>
      <c r="AA15" s="2">
        <v>318883.33100000001</v>
      </c>
    </row>
    <row r="16" spans="1:27">
      <c r="A16" s="22" t="s">
        <v>9</v>
      </c>
      <c r="B16" s="36">
        <v>29795</v>
      </c>
      <c r="C16" s="36">
        <f>0+46419</f>
        <v>46419</v>
      </c>
      <c r="D16" s="36">
        <f>0+55211</f>
        <v>55211</v>
      </c>
      <c r="E16" s="36">
        <v>92935.339000000007</v>
      </c>
      <c r="F16" s="77">
        <v>98759.29</v>
      </c>
      <c r="G16" s="36">
        <v>102312.966</v>
      </c>
      <c r="H16" s="36">
        <v>105583.102</v>
      </c>
      <c r="I16" s="37">
        <v>112724.17600000001</v>
      </c>
      <c r="J16" s="37">
        <v>118779.65300000001</v>
      </c>
      <c r="K16" s="37">
        <v>135579.58900000001</v>
      </c>
      <c r="L16" s="37">
        <v>182931.16399999999</v>
      </c>
      <c r="M16" s="37">
        <v>209147.00399999999</v>
      </c>
      <c r="N16" s="37">
        <v>222466.177</v>
      </c>
      <c r="O16" s="37">
        <v>242165.05</v>
      </c>
      <c r="P16" s="37">
        <v>248393.22099999999</v>
      </c>
      <c r="Q16" s="37">
        <v>295622.83899999998</v>
      </c>
      <c r="R16" s="37">
        <v>279391.69300000003</v>
      </c>
      <c r="S16" s="37">
        <v>298428.93</v>
      </c>
      <c r="T16" s="23">
        <v>353840.74099999998</v>
      </c>
      <c r="U16" s="23">
        <v>331598.125</v>
      </c>
      <c r="V16" s="23">
        <v>389591.89</v>
      </c>
      <c r="W16" s="23">
        <v>400794.30599999998</v>
      </c>
      <c r="X16" s="2">
        <v>437806.10600000003</v>
      </c>
      <c r="Y16" s="2">
        <v>474151.32500000001</v>
      </c>
      <c r="Z16" s="2">
        <v>490774.66399999999</v>
      </c>
      <c r="AA16" s="2">
        <v>477702.71399999998</v>
      </c>
    </row>
    <row r="17" spans="1:27">
      <c r="A17" s="22" t="s">
        <v>10</v>
      </c>
      <c r="B17" s="36">
        <f>8052+24454</f>
        <v>32506</v>
      </c>
      <c r="C17" s="36">
        <f>8358+24199</f>
        <v>32557</v>
      </c>
      <c r="D17" s="36">
        <f>9440+26488</f>
        <v>35928</v>
      </c>
      <c r="E17" s="36">
        <v>48488.756000000001</v>
      </c>
      <c r="F17" s="77">
        <v>51714.307999999997</v>
      </c>
      <c r="G17" s="36">
        <v>56230.881999999998</v>
      </c>
      <c r="H17" s="36">
        <v>61626.177000000003</v>
      </c>
      <c r="I17" s="37">
        <v>69205.275999999998</v>
      </c>
      <c r="J17" s="37">
        <v>71326.222999999998</v>
      </c>
      <c r="K17" s="37">
        <v>69292.764999999999</v>
      </c>
      <c r="L17" s="37">
        <v>90302.346000000005</v>
      </c>
      <c r="M17" s="37">
        <v>96513.917000000001</v>
      </c>
      <c r="N17" s="37">
        <v>79718.327999999994</v>
      </c>
      <c r="O17" s="37">
        <v>89937.599000000002</v>
      </c>
      <c r="P17" s="37">
        <v>88077.796000000002</v>
      </c>
      <c r="Q17" s="37">
        <v>92692.441000000006</v>
      </c>
      <c r="R17" s="37">
        <v>99256.384999999995</v>
      </c>
      <c r="S17" s="37">
        <v>105310.52099999999</v>
      </c>
      <c r="T17" s="23">
        <v>130270.796</v>
      </c>
      <c r="U17" s="23">
        <v>119778.311</v>
      </c>
      <c r="V17" s="23">
        <v>141695.764</v>
      </c>
      <c r="W17" s="23">
        <v>145607.92800000001</v>
      </c>
      <c r="X17" s="2">
        <v>154571.527</v>
      </c>
      <c r="Y17" s="2">
        <v>160799.726</v>
      </c>
      <c r="Z17" s="2">
        <v>178940.97399999999</v>
      </c>
      <c r="AA17" s="2">
        <v>167091.77499999999</v>
      </c>
    </row>
    <row r="18" spans="1:27">
      <c r="A18" s="22" t="s">
        <v>11</v>
      </c>
      <c r="B18" s="36">
        <f>19527+55240</f>
        <v>74767</v>
      </c>
      <c r="C18" s="36">
        <f>21645+62239</f>
        <v>83884</v>
      </c>
      <c r="D18" s="36">
        <f>23895+69674</f>
        <v>93569</v>
      </c>
      <c r="E18" s="36">
        <v>135195.64300000001</v>
      </c>
      <c r="F18" s="77">
        <v>137564.13200000001</v>
      </c>
      <c r="G18" s="36">
        <v>152266.554</v>
      </c>
      <c r="H18" s="36">
        <v>170937.261</v>
      </c>
      <c r="I18" s="37">
        <v>179321.34700000001</v>
      </c>
      <c r="J18" s="37">
        <v>187526.533</v>
      </c>
      <c r="K18" s="37">
        <v>203138.80799999999</v>
      </c>
      <c r="L18" s="37">
        <v>255538.86600000001</v>
      </c>
      <c r="M18" s="37">
        <v>279553.83899999998</v>
      </c>
      <c r="N18" s="37">
        <v>249706.4</v>
      </c>
      <c r="O18" s="37">
        <v>283237.978</v>
      </c>
      <c r="P18" s="37">
        <v>301934.20699999999</v>
      </c>
      <c r="Q18" s="37">
        <v>322741.06099999999</v>
      </c>
      <c r="R18" s="37">
        <v>353008.81900000002</v>
      </c>
      <c r="S18" s="37">
        <v>389900.71500000003</v>
      </c>
      <c r="T18" s="23">
        <v>414296.26500000001</v>
      </c>
      <c r="U18" s="23">
        <v>411148.51400000002</v>
      </c>
      <c r="V18" s="23">
        <v>512357.94300000003</v>
      </c>
      <c r="W18" s="23">
        <v>506701.32299999997</v>
      </c>
      <c r="X18" s="2">
        <v>512176.94799999997</v>
      </c>
      <c r="Y18" s="2">
        <v>543837.64199999999</v>
      </c>
      <c r="Z18" s="2">
        <v>557985.73400000005</v>
      </c>
      <c r="AA18" s="2">
        <v>563562.63</v>
      </c>
    </row>
    <row r="19" spans="1:27">
      <c r="A19" s="22" t="s">
        <v>12</v>
      </c>
      <c r="B19" s="36">
        <v>22375</v>
      </c>
      <c r="C19" s="36">
        <f>0+25731</f>
        <v>25731</v>
      </c>
      <c r="D19" s="37">
        <f>0+26896</f>
        <v>26896</v>
      </c>
      <c r="E19" s="36">
        <v>51710.711000000003</v>
      </c>
      <c r="F19" s="77">
        <v>64029.048000000003</v>
      </c>
      <c r="G19" s="36">
        <v>78125.532999999996</v>
      </c>
      <c r="H19" s="36">
        <v>83363.5</v>
      </c>
      <c r="I19" s="37">
        <v>87351.014999999999</v>
      </c>
      <c r="J19" s="37">
        <v>91459.112999999998</v>
      </c>
      <c r="K19" s="37">
        <v>104179.37084</v>
      </c>
      <c r="L19" s="37">
        <v>138310.878</v>
      </c>
      <c r="M19" s="37">
        <v>141112.19099999999</v>
      </c>
      <c r="N19" s="37">
        <v>119138.749</v>
      </c>
      <c r="O19" s="37">
        <v>127832.71799999999</v>
      </c>
      <c r="P19" s="37">
        <v>141391.00599999999</v>
      </c>
      <c r="Q19" s="37">
        <v>136068.00099999999</v>
      </c>
      <c r="R19" s="37">
        <v>152264.82500000001</v>
      </c>
      <c r="S19" s="37">
        <v>173563.61199999999</v>
      </c>
      <c r="T19" s="23">
        <v>186950.85399999999</v>
      </c>
      <c r="U19" s="23">
        <v>171524.05600000001</v>
      </c>
      <c r="V19" s="23">
        <v>229500.23</v>
      </c>
      <c r="W19" s="23">
        <v>241175.11300000001</v>
      </c>
      <c r="X19" s="2">
        <v>252564.70499999999</v>
      </c>
      <c r="Y19" s="2">
        <v>243263.973</v>
      </c>
      <c r="Z19" s="2">
        <v>248388.47399999999</v>
      </c>
      <c r="AA19" s="2">
        <v>267654.85700000002</v>
      </c>
    </row>
    <row r="20" spans="1:27">
      <c r="A20" s="22" t="s">
        <v>13</v>
      </c>
      <c r="B20" s="36">
        <f>20287+16920</f>
        <v>37207</v>
      </c>
      <c r="C20" s="36">
        <f>28043+19083</f>
        <v>47126</v>
      </c>
      <c r="D20" s="36">
        <f>26277+21412</f>
        <v>47689</v>
      </c>
      <c r="E20" s="36">
        <v>79349.782000000007</v>
      </c>
      <c r="F20" s="77">
        <v>79117.587</v>
      </c>
      <c r="G20" s="36">
        <v>79601.312999999995</v>
      </c>
      <c r="H20" s="36">
        <v>88107.37</v>
      </c>
      <c r="I20" s="37">
        <v>90632.938999999998</v>
      </c>
      <c r="J20" s="37">
        <v>95959.100999999995</v>
      </c>
      <c r="K20" s="37">
        <v>108550.874</v>
      </c>
      <c r="L20" s="37">
        <v>135172.91</v>
      </c>
      <c r="M20" s="37">
        <v>143051.28099999999</v>
      </c>
      <c r="N20" s="37">
        <v>141788.87</v>
      </c>
      <c r="O20" s="37">
        <v>142451.26699999999</v>
      </c>
      <c r="P20" s="37">
        <v>143987.19099999999</v>
      </c>
      <c r="Q20" s="37">
        <v>163478.81400000001</v>
      </c>
      <c r="R20" s="37">
        <v>173592.405</v>
      </c>
      <c r="S20" s="37">
        <v>182088.31700000001</v>
      </c>
      <c r="T20" s="23">
        <v>192404.53400000001</v>
      </c>
      <c r="U20" s="23">
        <v>152116.19200000001</v>
      </c>
      <c r="V20" s="23">
        <v>222901.89600000001</v>
      </c>
      <c r="W20" s="23">
        <v>228152.296</v>
      </c>
      <c r="X20" s="2">
        <v>233232.02799999999</v>
      </c>
      <c r="Y20" s="2">
        <v>260506.59599999999</v>
      </c>
      <c r="Z20" s="2">
        <v>279525.75099999999</v>
      </c>
      <c r="AA20" s="2">
        <v>305384.73200000002</v>
      </c>
    </row>
    <row r="21" spans="1:27" s="17" customFormat="1">
      <c r="A21" s="22" t="s">
        <v>14</v>
      </c>
      <c r="B21" s="36">
        <f>19140+37530</f>
        <v>56670</v>
      </c>
      <c r="C21" s="36">
        <f>23178+42474</f>
        <v>65652</v>
      </c>
      <c r="D21" s="36">
        <f>25753+45328</f>
        <v>71081</v>
      </c>
      <c r="E21" s="36">
        <v>91716.36</v>
      </c>
      <c r="F21" s="77">
        <v>90083.429000000004</v>
      </c>
      <c r="G21" s="36">
        <v>101518.45</v>
      </c>
      <c r="H21" s="36">
        <v>110501.361</v>
      </c>
      <c r="I21" s="37">
        <v>120384.003</v>
      </c>
      <c r="J21" s="37">
        <v>126595.035</v>
      </c>
      <c r="K21" s="37">
        <v>127447.02276000001</v>
      </c>
      <c r="L21" s="37">
        <v>145423.508</v>
      </c>
      <c r="M21" s="37">
        <v>153745.35399999999</v>
      </c>
      <c r="N21" s="37">
        <v>145609.984</v>
      </c>
      <c r="O21" s="37">
        <v>165348.408</v>
      </c>
      <c r="P21" s="37">
        <v>155803.4</v>
      </c>
      <c r="Q21" s="37">
        <v>171595.117</v>
      </c>
      <c r="R21" s="37">
        <v>176269.82699999999</v>
      </c>
      <c r="S21" s="37">
        <v>190259.48300000001</v>
      </c>
      <c r="T21" s="23">
        <v>207929.97500000001</v>
      </c>
      <c r="U21" s="23">
        <v>208683.39499999999</v>
      </c>
      <c r="V21" s="23">
        <v>246349.66500000001</v>
      </c>
      <c r="W21" s="23">
        <v>264077.86900000001</v>
      </c>
      <c r="X21" s="23">
        <v>289529.46899999998</v>
      </c>
      <c r="Y21" s="2">
        <v>288287.76400000002</v>
      </c>
      <c r="Z21" s="2">
        <v>313497.99400000001</v>
      </c>
      <c r="AA21" s="2">
        <v>314986.11800000002</v>
      </c>
    </row>
    <row r="22" spans="1:27">
      <c r="A22" s="22" t="s">
        <v>15</v>
      </c>
      <c r="B22" s="36">
        <f>56526+131121</f>
        <v>187647</v>
      </c>
      <c r="C22" s="36">
        <f>59505+155159</f>
        <v>214664</v>
      </c>
      <c r="D22" s="36">
        <f>61411+164578</f>
        <v>225989</v>
      </c>
      <c r="E22" s="36">
        <v>326676.57500000001</v>
      </c>
      <c r="F22" s="77">
        <v>354223.04499999998</v>
      </c>
      <c r="G22" s="36">
        <v>359757.73599999998</v>
      </c>
      <c r="H22" s="36">
        <v>363242.64899999998</v>
      </c>
      <c r="I22" s="37">
        <v>392927.87199999997</v>
      </c>
      <c r="J22" s="37">
        <v>423797.79100000003</v>
      </c>
      <c r="K22" s="37">
        <v>440403.25199999998</v>
      </c>
      <c r="L22" s="37">
        <v>592338.39599999995</v>
      </c>
      <c r="M22" s="37">
        <v>640393.74899999995</v>
      </c>
      <c r="N22" s="37">
        <v>664203.91099999996</v>
      </c>
      <c r="O22" s="37">
        <v>651152.5</v>
      </c>
      <c r="P22" s="37">
        <v>724332.42299999995</v>
      </c>
      <c r="Q22" s="37">
        <v>793708.02300000004</v>
      </c>
      <c r="R22" s="37">
        <v>896661.31200000003</v>
      </c>
      <c r="S22" s="37">
        <v>988051.73199999996</v>
      </c>
      <c r="T22" s="23">
        <v>1112786.585</v>
      </c>
      <c r="U22" s="23">
        <v>896374.51300000004</v>
      </c>
      <c r="V22" s="23">
        <v>1453203.203</v>
      </c>
      <c r="W22" s="23">
        <v>1481175.953</v>
      </c>
      <c r="X22" s="2">
        <v>1606011.7620000001</v>
      </c>
      <c r="Y22" s="2">
        <v>1345740.8419999999</v>
      </c>
      <c r="Z22" s="2">
        <v>1468892.129</v>
      </c>
      <c r="AA22" s="2">
        <v>1592048.764</v>
      </c>
    </row>
    <row r="23" spans="1:27">
      <c r="A23" s="22" t="s">
        <v>16</v>
      </c>
      <c r="B23" s="36">
        <f>41415+46775</f>
        <v>88190</v>
      </c>
      <c r="C23" s="36">
        <f>48295+56757</f>
        <v>105052</v>
      </c>
      <c r="D23" s="36">
        <f>47442+64012</f>
        <v>111454</v>
      </c>
      <c r="E23" s="36">
        <v>168022.97500000001</v>
      </c>
      <c r="F23" s="77">
        <v>169120.834</v>
      </c>
      <c r="G23" s="36">
        <v>180940.22099999999</v>
      </c>
      <c r="H23" s="36">
        <v>202391.28099999999</v>
      </c>
      <c r="I23" s="37">
        <v>214028.3</v>
      </c>
      <c r="J23" s="37">
        <v>220143.33</v>
      </c>
      <c r="K23" s="37">
        <v>240278.981</v>
      </c>
      <c r="L23" s="37">
        <v>290864.19099999999</v>
      </c>
      <c r="M23" s="37">
        <v>310052.79700000002</v>
      </c>
      <c r="N23" s="37">
        <v>295679.908</v>
      </c>
      <c r="O23" s="37">
        <v>268818.52</v>
      </c>
      <c r="P23" s="37">
        <v>295346.95400000003</v>
      </c>
      <c r="Q23" s="37">
        <v>318137.25900000002</v>
      </c>
      <c r="R23" s="37">
        <v>362836.22</v>
      </c>
      <c r="S23" s="37">
        <v>399985.28100000002</v>
      </c>
      <c r="T23" s="23">
        <v>435137.13699999999</v>
      </c>
      <c r="U23" s="23">
        <v>452684.31900000002</v>
      </c>
      <c r="V23" s="23">
        <v>486143.853</v>
      </c>
      <c r="W23" s="23">
        <v>529087.16399999999</v>
      </c>
      <c r="X23" s="2">
        <v>563171.81000000006</v>
      </c>
      <c r="Y23" s="2">
        <v>595945.39300000004</v>
      </c>
      <c r="Z23" s="2">
        <v>637172.35800000001</v>
      </c>
      <c r="AA23" s="2">
        <v>657705.21799999999</v>
      </c>
    </row>
    <row r="24" spans="1:27">
      <c r="A24" s="83" t="s">
        <v>17</v>
      </c>
      <c r="B24" s="66">
        <f>18696+10162</f>
        <v>28858</v>
      </c>
      <c r="C24" s="66">
        <f>19998+10834</f>
        <v>30832</v>
      </c>
      <c r="D24" s="66">
        <f>22282+11749</f>
        <v>34031</v>
      </c>
      <c r="E24" s="66">
        <v>34626.387999999999</v>
      </c>
      <c r="F24" s="82">
        <v>37154.675000000003</v>
      </c>
      <c r="G24" s="66">
        <v>40260.300999999999</v>
      </c>
      <c r="H24" s="66">
        <v>41359.120000000003</v>
      </c>
      <c r="I24" s="63">
        <v>44764.775999999998</v>
      </c>
      <c r="J24" s="63">
        <v>48169.449000000001</v>
      </c>
      <c r="K24" s="63">
        <v>51522.911610000003</v>
      </c>
      <c r="L24" s="63">
        <v>61543.569000000003</v>
      </c>
      <c r="M24" s="63">
        <v>63197.5</v>
      </c>
      <c r="N24" s="63">
        <v>55665.250999999997</v>
      </c>
      <c r="O24" s="63">
        <v>59436.260999999999</v>
      </c>
      <c r="P24" s="63">
        <v>58697.514999999999</v>
      </c>
      <c r="Q24" s="63">
        <v>57001.444000000003</v>
      </c>
      <c r="R24" s="63">
        <v>64376.690999999999</v>
      </c>
      <c r="S24" s="63">
        <v>72451.725999999995</v>
      </c>
      <c r="T24" s="45">
        <v>71193.248999999996</v>
      </c>
      <c r="U24" s="45">
        <v>70053.656000000003</v>
      </c>
      <c r="V24" s="45">
        <v>88923.335000000006</v>
      </c>
      <c r="W24" s="45">
        <v>98089.808000000005</v>
      </c>
      <c r="X24" s="45">
        <v>103609.61</v>
      </c>
      <c r="Y24" s="45">
        <v>102655.336</v>
      </c>
      <c r="Z24" s="45">
        <v>105409.723</v>
      </c>
      <c r="AA24" s="45">
        <v>103991.55899999999</v>
      </c>
    </row>
    <row r="25" spans="1:27" s="23" customFormat="1">
      <c r="A25" s="79" t="s">
        <v>120</v>
      </c>
      <c r="B25" s="90">
        <f>SUM(B27:B39)</f>
        <v>0</v>
      </c>
      <c r="C25" s="90">
        <f t="shared" ref="C25:AA25" si="8">SUM(C27:C39)</f>
        <v>0</v>
      </c>
      <c r="D25" s="90">
        <f t="shared" si="8"/>
        <v>0</v>
      </c>
      <c r="E25" s="90">
        <f t="shared" si="8"/>
        <v>0</v>
      </c>
      <c r="F25" s="90">
        <f t="shared" si="8"/>
        <v>1500334.3699999999</v>
      </c>
      <c r="G25" s="90">
        <f t="shared" si="8"/>
        <v>0</v>
      </c>
      <c r="H25" s="90">
        <f t="shared" si="8"/>
        <v>0</v>
      </c>
      <c r="I25" s="90">
        <f t="shared" si="8"/>
        <v>1717740.5669999996</v>
      </c>
      <c r="J25" s="90">
        <f t="shared" si="8"/>
        <v>0</v>
      </c>
      <c r="K25" s="90">
        <f t="shared" si="8"/>
        <v>2014262.1340599994</v>
      </c>
      <c r="L25" s="90">
        <f t="shared" si="8"/>
        <v>2525218.7519999999</v>
      </c>
      <c r="M25" s="90">
        <f t="shared" si="8"/>
        <v>2642436.9600000004</v>
      </c>
      <c r="N25" s="90">
        <f t="shared" si="8"/>
        <v>2434960.0789999999</v>
      </c>
      <c r="O25" s="90">
        <f t="shared" si="8"/>
        <v>2535566.8120000004</v>
      </c>
      <c r="P25" s="90">
        <f t="shared" si="8"/>
        <v>2618000.3670000001</v>
      </c>
      <c r="Q25" s="90">
        <f t="shared" si="8"/>
        <v>2723660.3709999998</v>
      </c>
      <c r="R25" s="90">
        <f t="shared" si="8"/>
        <v>2882642.6679999996</v>
      </c>
      <c r="S25" s="90">
        <f t="shared" si="8"/>
        <v>3100798.7799999993</v>
      </c>
      <c r="T25" s="90">
        <f t="shared" si="8"/>
        <v>3603438.048</v>
      </c>
      <c r="U25" s="90">
        <f t="shared" si="8"/>
        <v>3355399.3830000004</v>
      </c>
      <c r="V25" s="90">
        <f t="shared" si="8"/>
        <v>4049741.9599999995</v>
      </c>
      <c r="W25" s="90">
        <f t="shared" si="8"/>
        <v>4414789.1310000001</v>
      </c>
      <c r="X25" s="90">
        <f t="shared" si="8"/>
        <v>4821264.2410000004</v>
      </c>
      <c r="Y25" s="90">
        <f t="shared" si="8"/>
        <v>5087860.2649999987</v>
      </c>
      <c r="Z25" s="90">
        <f t="shared" si="8"/>
        <v>5320458.6129999999</v>
      </c>
      <c r="AA25" s="90">
        <f t="shared" si="8"/>
        <v>5667849.5060000001</v>
      </c>
    </row>
    <row r="26" spans="1:27">
      <c r="A26" s="79" t="s">
        <v>119</v>
      </c>
      <c r="B26" s="37"/>
      <c r="C26" s="37"/>
      <c r="D26" s="37"/>
      <c r="E26" s="37"/>
      <c r="F26" s="37"/>
      <c r="G26" s="37"/>
      <c r="H26" s="37"/>
      <c r="I26" s="37"/>
      <c r="J26" s="37"/>
      <c r="K26" s="37"/>
      <c r="L26" s="37"/>
      <c r="M26" s="37"/>
      <c r="N26" s="37"/>
      <c r="O26" s="37"/>
      <c r="P26" s="37"/>
      <c r="Q26" s="37"/>
      <c r="R26" s="37"/>
      <c r="S26" s="37"/>
      <c r="T26" s="23"/>
      <c r="U26" s="23"/>
      <c r="V26" s="23"/>
      <c r="W26" s="23"/>
      <c r="X26" s="2">
        <v>0</v>
      </c>
      <c r="Y26" s="2">
        <v>0</v>
      </c>
    </row>
    <row r="27" spans="1:27">
      <c r="A27" s="23" t="s">
        <v>85</v>
      </c>
      <c r="B27" s="36"/>
      <c r="C27" s="36"/>
      <c r="D27" s="37"/>
      <c r="E27" s="36"/>
      <c r="F27" s="77">
        <v>22333.867999999999</v>
      </c>
      <c r="G27" s="36"/>
      <c r="H27" s="36"/>
      <c r="I27" s="37">
        <v>25503.358</v>
      </c>
      <c r="J27" s="37"/>
      <c r="K27" s="37">
        <v>25895.512999999999</v>
      </c>
      <c r="L27" s="37">
        <v>27203.084999999999</v>
      </c>
      <c r="M27" s="37">
        <v>29520.062999999998</v>
      </c>
      <c r="N27" s="37">
        <v>32100.685000000001</v>
      </c>
      <c r="O27" s="37">
        <v>33991.203999999998</v>
      </c>
      <c r="P27" s="37">
        <v>36763.578000000001</v>
      </c>
      <c r="Q27" s="37">
        <v>40796.544999999998</v>
      </c>
      <c r="R27" s="37">
        <v>44465.84</v>
      </c>
      <c r="S27" s="37">
        <v>50412.542999999998</v>
      </c>
      <c r="T27" s="23">
        <v>51859.006000000001</v>
      </c>
      <c r="U27" s="23">
        <v>65295.656000000003</v>
      </c>
      <c r="V27" s="23">
        <v>68660.398000000001</v>
      </c>
      <c r="W27" s="23">
        <v>73109.116999999998</v>
      </c>
      <c r="X27" s="2">
        <v>77821.085999999996</v>
      </c>
      <c r="Y27" s="2">
        <v>78091.089000000007</v>
      </c>
      <c r="Z27" s="2">
        <v>81849.971000000005</v>
      </c>
      <c r="AA27" s="2">
        <v>80052.918999999994</v>
      </c>
    </row>
    <row r="28" spans="1:27">
      <c r="A28" s="23" t="s">
        <v>86</v>
      </c>
      <c r="B28" s="36"/>
      <c r="C28" s="36"/>
      <c r="D28" s="36"/>
      <c r="E28" s="36"/>
      <c r="F28" s="77">
        <v>120990.815</v>
      </c>
      <c r="G28" s="36"/>
      <c r="H28" s="36"/>
      <c r="I28" s="37">
        <v>132369.329</v>
      </c>
      <c r="J28" s="37"/>
      <c r="K28" s="37">
        <v>149575.549</v>
      </c>
      <c r="L28" s="37">
        <v>175225.58600000001</v>
      </c>
      <c r="M28" s="37">
        <v>193683.98699999999</v>
      </c>
      <c r="N28" s="37">
        <v>164272.649</v>
      </c>
      <c r="O28" s="37">
        <v>172287.315</v>
      </c>
      <c r="P28" s="37">
        <v>197362.75</v>
      </c>
      <c r="Q28" s="37">
        <v>220528.19200000001</v>
      </c>
      <c r="R28" s="37">
        <v>251254.973</v>
      </c>
      <c r="S28" s="37">
        <v>271557.76000000001</v>
      </c>
      <c r="T28" s="23">
        <v>299393.29300000001</v>
      </c>
      <c r="U28" s="23">
        <v>304036.158</v>
      </c>
      <c r="V28" s="23">
        <v>369121.19900000002</v>
      </c>
      <c r="W28" s="23">
        <v>407925.61200000002</v>
      </c>
      <c r="X28" s="2">
        <v>449204.89799999999</v>
      </c>
      <c r="Y28" s="2">
        <v>484745.14299999998</v>
      </c>
      <c r="Z28" s="2">
        <v>539989.11800000002</v>
      </c>
      <c r="AA28" s="2">
        <v>625789.33400000003</v>
      </c>
    </row>
    <row r="29" spans="1:27">
      <c r="A29" s="23" t="s">
        <v>87</v>
      </c>
      <c r="B29" s="36"/>
      <c r="C29" s="36"/>
      <c r="D29" s="36"/>
      <c r="E29" s="36"/>
      <c r="F29" s="77">
        <v>811578.93400000001</v>
      </c>
      <c r="G29" s="36"/>
      <c r="H29" s="36"/>
      <c r="I29" s="37">
        <v>911238.53099999996</v>
      </c>
      <c r="J29" s="37"/>
      <c r="K29" s="37">
        <v>1097548.4269999999</v>
      </c>
      <c r="L29" s="37">
        <v>1447529.4920000001</v>
      </c>
      <c r="M29" s="37">
        <v>1475735.696</v>
      </c>
      <c r="N29" s="37">
        <v>1329937.4580000001</v>
      </c>
      <c r="O29" s="37">
        <v>1411531.0190000001</v>
      </c>
      <c r="P29" s="37">
        <v>1442877.568</v>
      </c>
      <c r="Q29" s="37">
        <v>1394045.9750000001</v>
      </c>
      <c r="R29" s="37">
        <v>1515702.0149999999</v>
      </c>
      <c r="S29" s="37">
        <v>1625477.581</v>
      </c>
      <c r="T29" s="23">
        <v>1907125.3570000001</v>
      </c>
      <c r="U29" s="23">
        <v>1680926.828</v>
      </c>
      <c r="V29" s="23">
        <v>2127158.8450000002</v>
      </c>
      <c r="W29" s="23">
        <v>2359482.7609999999</v>
      </c>
      <c r="X29" s="2">
        <v>2597424.341</v>
      </c>
      <c r="Y29" s="2">
        <v>2784862.52</v>
      </c>
      <c r="Z29" s="2">
        <v>2848107.9840000002</v>
      </c>
      <c r="AA29" s="2">
        <v>3008313.827</v>
      </c>
    </row>
    <row r="30" spans="1:27">
      <c r="A30" s="23" t="s">
        <v>88</v>
      </c>
      <c r="B30" s="36"/>
      <c r="C30" s="36"/>
      <c r="D30" s="36"/>
      <c r="E30" s="36"/>
      <c r="F30" s="77">
        <v>109017.307</v>
      </c>
      <c r="G30" s="36"/>
      <c r="H30" s="36"/>
      <c r="I30" s="37">
        <v>117201.988</v>
      </c>
      <c r="J30" s="37"/>
      <c r="K30" s="37">
        <v>132698.78510000001</v>
      </c>
      <c r="L30" s="37">
        <v>161440.65400000001</v>
      </c>
      <c r="M30" s="37">
        <v>172973.97700000001</v>
      </c>
      <c r="N30" s="37">
        <v>158664.00200000001</v>
      </c>
      <c r="O30" s="37">
        <v>161277.07999999999</v>
      </c>
      <c r="P30" s="37">
        <v>140476.875</v>
      </c>
      <c r="Q30" s="37">
        <v>218293.28700000001</v>
      </c>
      <c r="R30" s="37">
        <v>174186.177</v>
      </c>
      <c r="S30" s="37">
        <v>186205.33199999999</v>
      </c>
      <c r="T30" s="23">
        <v>211146.39499999999</v>
      </c>
      <c r="U30" s="23">
        <v>214022.247</v>
      </c>
      <c r="V30" s="23">
        <v>258676.671</v>
      </c>
      <c r="W30" s="23">
        <v>276411.54200000002</v>
      </c>
      <c r="X30" s="2">
        <v>310445.13400000002</v>
      </c>
      <c r="Y30" s="2">
        <v>331901.27</v>
      </c>
      <c r="Z30" s="2">
        <v>356672.255</v>
      </c>
      <c r="AA30" s="2">
        <v>393937.35600000003</v>
      </c>
    </row>
    <row r="31" spans="1:27">
      <c r="A31" s="23" t="s">
        <v>91</v>
      </c>
      <c r="B31" s="36"/>
      <c r="C31" s="36"/>
      <c r="D31" s="36"/>
      <c r="E31" s="36"/>
      <c r="F31" s="77">
        <v>36981.796999999999</v>
      </c>
      <c r="G31" s="36"/>
      <c r="H31" s="36"/>
      <c r="I31" s="37">
        <v>40121.868999999999</v>
      </c>
      <c r="J31" s="37"/>
      <c r="K31" s="37">
        <v>44290.25</v>
      </c>
      <c r="L31" s="37">
        <v>41748.103999999999</v>
      </c>
      <c r="M31" s="37">
        <v>43857.163999999997</v>
      </c>
      <c r="N31" s="37">
        <v>41311.339999999997</v>
      </c>
      <c r="O31" s="37">
        <v>51443.667000000001</v>
      </c>
      <c r="P31" s="37">
        <v>50326.173999999999</v>
      </c>
      <c r="Q31" s="37">
        <v>52948.845999999998</v>
      </c>
      <c r="R31" s="37">
        <v>57517.150999999998</v>
      </c>
      <c r="S31" s="37">
        <v>59524.36</v>
      </c>
      <c r="T31" s="23">
        <v>69585.138999999996</v>
      </c>
      <c r="U31" s="23">
        <v>81680.254000000001</v>
      </c>
      <c r="V31" s="23">
        <v>80907.228000000003</v>
      </c>
      <c r="W31" s="23">
        <v>91455.017999999996</v>
      </c>
      <c r="X31" s="2">
        <v>94873.388999999996</v>
      </c>
      <c r="Y31" s="2">
        <v>91441.210999999996</v>
      </c>
      <c r="Z31" s="2">
        <v>92407.201000000001</v>
      </c>
      <c r="AA31" s="2">
        <v>86986.183999999994</v>
      </c>
    </row>
    <row r="32" spans="1:27">
      <c r="A32" s="23" t="s">
        <v>92</v>
      </c>
      <c r="B32" s="36"/>
      <c r="C32" s="36"/>
      <c r="D32" s="36"/>
      <c r="E32" s="36"/>
      <c r="F32" s="77">
        <v>23152.793000000001</v>
      </c>
      <c r="G32" s="36"/>
      <c r="H32" s="36"/>
      <c r="I32" s="37">
        <v>34040.595000000001</v>
      </c>
      <c r="J32" s="37"/>
      <c r="K32" s="37">
        <v>38325.275000000001</v>
      </c>
      <c r="L32" s="37">
        <v>46652.743999999999</v>
      </c>
      <c r="M32" s="37">
        <v>46855.925000000003</v>
      </c>
      <c r="N32" s="37">
        <v>40345.292000000001</v>
      </c>
      <c r="O32" s="37">
        <v>36389.142</v>
      </c>
      <c r="P32" s="37">
        <v>40338.103999999999</v>
      </c>
      <c r="Q32" s="37">
        <v>40338.358999999997</v>
      </c>
      <c r="R32" s="37">
        <v>45626.088000000003</v>
      </c>
      <c r="S32" s="37">
        <v>50761.574000000001</v>
      </c>
      <c r="T32" s="23">
        <v>57357.635000000002</v>
      </c>
      <c r="U32" s="23">
        <v>57567.798000000003</v>
      </c>
      <c r="V32" s="23">
        <v>69045.217999999993</v>
      </c>
      <c r="W32" s="23">
        <v>68045.892000000007</v>
      </c>
      <c r="X32" s="2">
        <v>72163.998000000007</v>
      </c>
      <c r="Y32" s="2">
        <v>77285.557000000001</v>
      </c>
      <c r="Z32" s="2">
        <v>76569.409</v>
      </c>
      <c r="AA32" s="2">
        <v>75993.118000000002</v>
      </c>
    </row>
    <row r="33" spans="1:58">
      <c r="A33" s="23" t="s">
        <v>100</v>
      </c>
      <c r="B33" s="37"/>
      <c r="C33" s="37"/>
      <c r="D33" s="37"/>
      <c r="E33" s="37"/>
      <c r="F33" s="77">
        <v>22113.262999999999</v>
      </c>
      <c r="G33" s="37"/>
      <c r="H33" s="37"/>
      <c r="I33" s="37">
        <v>29251.096000000001</v>
      </c>
      <c r="J33" s="37"/>
      <c r="K33" s="37">
        <v>45782.260999999999</v>
      </c>
      <c r="L33" s="37">
        <v>32293.501</v>
      </c>
      <c r="M33" s="37">
        <v>35510.665000000001</v>
      </c>
      <c r="N33" s="37">
        <v>35309.258999999998</v>
      </c>
      <c r="O33" s="37">
        <v>37888.5</v>
      </c>
      <c r="P33" s="37">
        <v>36780.188999999998</v>
      </c>
      <c r="Q33" s="37">
        <v>37640.127</v>
      </c>
      <c r="R33" s="37">
        <v>41820.428</v>
      </c>
      <c r="S33" s="37">
        <v>46927.834000000003</v>
      </c>
      <c r="T33" s="23">
        <v>54356.665000000001</v>
      </c>
      <c r="U33" s="23">
        <v>64701.271000000001</v>
      </c>
      <c r="V33" s="23">
        <v>70291.762000000002</v>
      </c>
      <c r="W33" s="23">
        <v>72883.403000000006</v>
      </c>
      <c r="X33" s="2">
        <v>75265.705000000002</v>
      </c>
      <c r="Y33" s="2">
        <v>77817.751999999993</v>
      </c>
      <c r="Z33" s="2">
        <v>78644.864000000001</v>
      </c>
      <c r="AA33" s="2">
        <v>84735.337</v>
      </c>
    </row>
    <row r="34" spans="1:58">
      <c r="A34" s="23" t="s">
        <v>102</v>
      </c>
      <c r="B34" s="37"/>
      <c r="C34" s="37"/>
      <c r="D34" s="37"/>
      <c r="E34" s="37"/>
      <c r="F34" s="77">
        <v>29795.496999999999</v>
      </c>
      <c r="G34" s="37"/>
      <c r="H34" s="37"/>
      <c r="I34" s="37">
        <v>30234.525000000001</v>
      </c>
      <c r="J34" s="37"/>
      <c r="K34" s="37">
        <v>44999.538</v>
      </c>
      <c r="L34" s="37">
        <v>54387.055999999997</v>
      </c>
      <c r="M34" s="37">
        <v>56012.41</v>
      </c>
      <c r="N34" s="37">
        <v>51134.591999999997</v>
      </c>
      <c r="O34" s="37">
        <v>60792.315999999999</v>
      </c>
      <c r="P34" s="37">
        <v>78070.978000000003</v>
      </c>
      <c r="Q34" s="37">
        <v>85668.149000000005</v>
      </c>
      <c r="R34" s="37">
        <v>96365.801999999996</v>
      </c>
      <c r="S34" s="37">
        <v>109449.145</v>
      </c>
      <c r="T34" s="23">
        <v>118912.72</v>
      </c>
      <c r="U34" s="23">
        <v>100552.425</v>
      </c>
      <c r="V34" s="23">
        <v>107197.008</v>
      </c>
      <c r="W34" s="23">
        <v>110111.25199999999</v>
      </c>
      <c r="X34" s="2">
        <v>114069.514</v>
      </c>
      <c r="Y34" s="2">
        <v>115756.04700000001</v>
      </c>
      <c r="Z34" s="2">
        <v>124615.97199999999</v>
      </c>
      <c r="AA34" s="2">
        <v>137397.33499999999</v>
      </c>
    </row>
    <row r="35" spans="1:58">
      <c r="A35" s="23" t="s">
        <v>105</v>
      </c>
      <c r="B35" s="37"/>
      <c r="C35" s="37"/>
      <c r="D35" s="37"/>
      <c r="E35" s="37"/>
      <c r="F35" s="77">
        <v>34626.731</v>
      </c>
      <c r="G35" s="37"/>
      <c r="H35" s="37"/>
      <c r="I35" s="37">
        <v>40490.788</v>
      </c>
      <c r="J35" s="37"/>
      <c r="K35" s="37">
        <v>45747.040959999998</v>
      </c>
      <c r="L35" s="37">
        <v>47260.993000000002</v>
      </c>
      <c r="M35" s="37">
        <v>51030.031000000003</v>
      </c>
      <c r="N35" s="37">
        <v>47617.428999999996</v>
      </c>
      <c r="O35" s="37">
        <v>51365.904999999999</v>
      </c>
      <c r="P35" s="37">
        <v>52850.218000000001</v>
      </c>
      <c r="Q35" s="37">
        <v>58257.580999999998</v>
      </c>
      <c r="R35" s="37">
        <v>61608.063999999998</v>
      </c>
      <c r="S35" s="37">
        <v>65630.994000000006</v>
      </c>
      <c r="T35" s="23">
        <v>69879.054000000004</v>
      </c>
      <c r="U35" s="23">
        <v>69393.085999999996</v>
      </c>
      <c r="V35" s="23">
        <v>80647.963000000003</v>
      </c>
      <c r="W35" s="23">
        <v>80980.778000000006</v>
      </c>
      <c r="X35" s="2">
        <v>89480.296000000002</v>
      </c>
      <c r="Y35" s="2">
        <v>88311.614000000001</v>
      </c>
      <c r="Z35" s="2">
        <v>88073.118000000002</v>
      </c>
      <c r="AA35" s="2">
        <v>91769.255000000005</v>
      </c>
    </row>
    <row r="36" spans="1:58">
      <c r="A36" s="23" t="s">
        <v>109</v>
      </c>
      <c r="B36" s="37"/>
      <c r="C36" s="37"/>
      <c r="D36" s="37"/>
      <c r="E36" s="37"/>
      <c r="F36" s="77">
        <v>70658.816000000006</v>
      </c>
      <c r="G36" s="37"/>
      <c r="H36" s="37"/>
      <c r="I36" s="37">
        <v>81682.212</v>
      </c>
      <c r="J36" s="37"/>
      <c r="K36" s="37">
        <v>88537.197</v>
      </c>
      <c r="L36" s="37">
        <v>108392.323</v>
      </c>
      <c r="M36" s="37">
        <v>118781.239</v>
      </c>
      <c r="N36" s="37">
        <v>119396.41499999999</v>
      </c>
      <c r="O36" s="37">
        <v>141300.07999999999</v>
      </c>
      <c r="P36" s="37">
        <v>143659.17199999999</v>
      </c>
      <c r="Q36" s="37">
        <v>155656.576</v>
      </c>
      <c r="R36" s="37">
        <v>149083.65100000001</v>
      </c>
      <c r="S36" s="37">
        <v>153320.34099999999</v>
      </c>
      <c r="T36" s="23">
        <v>183821.239</v>
      </c>
      <c r="U36" s="23">
        <v>141317.25899999999</v>
      </c>
      <c r="V36" s="23">
        <v>203224.902</v>
      </c>
      <c r="W36" s="23">
        <v>222154.24100000001</v>
      </c>
      <c r="X36" s="2">
        <v>245586.55600000001</v>
      </c>
      <c r="Y36" s="2">
        <v>263016.43</v>
      </c>
      <c r="Z36" s="2">
        <v>278111.91600000003</v>
      </c>
      <c r="AA36" s="2">
        <v>273832.01899999997</v>
      </c>
    </row>
    <row r="37" spans="1:58">
      <c r="A37" s="23" t="s">
        <v>113</v>
      </c>
      <c r="B37" s="37"/>
      <c r="C37" s="37"/>
      <c r="D37" s="37"/>
      <c r="E37" s="37"/>
      <c r="F37" s="77">
        <v>54847.241000000002</v>
      </c>
      <c r="G37" s="37"/>
      <c r="H37" s="37"/>
      <c r="I37" s="37">
        <v>72119.09</v>
      </c>
      <c r="J37" s="37"/>
      <c r="K37" s="37">
        <v>82193.404999999999</v>
      </c>
      <c r="L37" s="37">
        <v>111440.496</v>
      </c>
      <c r="M37" s="37">
        <v>113511.383</v>
      </c>
      <c r="N37" s="37">
        <v>112657.51</v>
      </c>
      <c r="O37" s="37">
        <v>116225.12300000001</v>
      </c>
      <c r="P37" s="37">
        <v>116397.76700000001</v>
      </c>
      <c r="Q37" s="37">
        <v>127034.217</v>
      </c>
      <c r="R37" s="37">
        <v>127865.75599999999</v>
      </c>
      <c r="S37" s="37">
        <v>135570.755</v>
      </c>
      <c r="T37" s="23">
        <v>165021.97099999999</v>
      </c>
      <c r="U37" s="23">
        <v>170871.62400000001</v>
      </c>
      <c r="V37" s="23">
        <v>167267.04399999999</v>
      </c>
      <c r="W37" s="23">
        <v>177288.84099999999</v>
      </c>
      <c r="X37" s="2">
        <v>196905.179</v>
      </c>
      <c r="Y37" s="2">
        <v>195620.86199999999</v>
      </c>
      <c r="Z37" s="2">
        <v>202838.913</v>
      </c>
      <c r="AA37" s="2">
        <v>217466.55499999999</v>
      </c>
    </row>
    <row r="38" spans="1:58">
      <c r="A38" s="23" t="s">
        <v>115</v>
      </c>
      <c r="B38" s="37"/>
      <c r="C38" s="37"/>
      <c r="D38" s="37"/>
      <c r="E38" s="37"/>
      <c r="F38" s="77">
        <v>150596.17800000001</v>
      </c>
      <c r="G38" s="37"/>
      <c r="H38" s="37"/>
      <c r="I38" s="37">
        <v>189002.66500000001</v>
      </c>
      <c r="J38" s="37"/>
      <c r="K38" s="37">
        <v>203522.77100000001</v>
      </c>
      <c r="L38" s="37">
        <v>253998.42800000001</v>
      </c>
      <c r="M38" s="37">
        <v>287142.27100000001</v>
      </c>
      <c r="N38" s="37">
        <v>286480.51</v>
      </c>
      <c r="O38" s="37">
        <v>244641.52600000001</v>
      </c>
      <c r="P38" s="37">
        <v>264579.804</v>
      </c>
      <c r="Q38" s="37">
        <v>272541.614</v>
      </c>
      <c r="R38" s="37">
        <v>295460.91700000002</v>
      </c>
      <c r="S38" s="37">
        <v>321073.52799999999</v>
      </c>
      <c r="T38" s="23">
        <v>386134.80800000002</v>
      </c>
      <c r="U38" s="23">
        <v>377633.16899999999</v>
      </c>
      <c r="V38" s="23">
        <v>416713.81699999998</v>
      </c>
      <c r="W38" s="23">
        <v>445594.42700000003</v>
      </c>
      <c r="X38" s="2">
        <v>458294.19300000003</v>
      </c>
      <c r="Y38" s="2">
        <v>461843.31</v>
      </c>
      <c r="Z38" s="2">
        <v>513780.44199999998</v>
      </c>
      <c r="AA38" s="2">
        <v>553082.94400000002</v>
      </c>
    </row>
    <row r="39" spans="1:58">
      <c r="A39" s="45" t="s">
        <v>117</v>
      </c>
      <c r="B39" s="63"/>
      <c r="C39" s="63"/>
      <c r="D39" s="63"/>
      <c r="E39" s="63"/>
      <c r="F39" s="82">
        <v>13641.13</v>
      </c>
      <c r="G39" s="63"/>
      <c r="H39" s="63"/>
      <c r="I39" s="63">
        <v>14484.521000000001</v>
      </c>
      <c r="J39" s="63"/>
      <c r="K39" s="63">
        <v>15146.121999999999</v>
      </c>
      <c r="L39" s="63">
        <v>17646.29</v>
      </c>
      <c r="M39" s="63">
        <v>17822.149000000001</v>
      </c>
      <c r="N39" s="63">
        <v>15732.938</v>
      </c>
      <c r="O39" s="63">
        <v>16433.935000000001</v>
      </c>
      <c r="P39" s="63">
        <v>17517.189999999999</v>
      </c>
      <c r="Q39" s="63">
        <v>19910.902999999998</v>
      </c>
      <c r="R39" s="63">
        <v>21685.806</v>
      </c>
      <c r="S39" s="63">
        <v>24887.032999999999</v>
      </c>
      <c r="T39" s="45">
        <v>28844.766</v>
      </c>
      <c r="U39" s="45">
        <v>27401.608</v>
      </c>
      <c r="V39" s="45">
        <v>30829.904999999999</v>
      </c>
      <c r="W39" s="45">
        <v>29346.246999999999</v>
      </c>
      <c r="X39" s="45">
        <v>39729.951999999997</v>
      </c>
      <c r="Y39" s="45">
        <v>37167.46</v>
      </c>
      <c r="Z39" s="45">
        <v>38797.449999999997</v>
      </c>
      <c r="AA39" s="45">
        <v>38493.322999999997</v>
      </c>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row>
    <row r="40" spans="1:58" s="23" customFormat="1">
      <c r="A40" s="79" t="s">
        <v>121</v>
      </c>
      <c r="B40" s="90">
        <f>SUM(B42:B53)</f>
        <v>0</v>
      </c>
      <c r="C40" s="90">
        <f t="shared" ref="C40:AA40" si="9">SUM(C42:C53)</f>
        <v>0</v>
      </c>
      <c r="D40" s="90">
        <f t="shared" si="9"/>
        <v>0</v>
      </c>
      <c r="E40" s="90">
        <f t="shared" si="9"/>
        <v>0</v>
      </c>
      <c r="F40" s="90">
        <f t="shared" si="9"/>
        <v>1573739.3460000001</v>
      </c>
      <c r="G40" s="90">
        <f t="shared" si="9"/>
        <v>0</v>
      </c>
      <c r="H40" s="90">
        <f t="shared" si="9"/>
        <v>0</v>
      </c>
      <c r="I40" s="90">
        <f t="shared" si="9"/>
        <v>1826736.5460000003</v>
      </c>
      <c r="J40" s="90">
        <f t="shared" si="9"/>
        <v>0</v>
      </c>
      <c r="K40" s="90">
        <f t="shared" si="9"/>
        <v>2039510.3988999999</v>
      </c>
      <c r="L40" s="90">
        <f t="shared" si="9"/>
        <v>2457886.7570000002</v>
      </c>
      <c r="M40" s="90">
        <f t="shared" si="9"/>
        <v>2677952.2460000007</v>
      </c>
      <c r="N40" s="90">
        <f t="shared" si="9"/>
        <v>2583096.0419999999</v>
      </c>
      <c r="O40" s="90">
        <f t="shared" si="9"/>
        <v>2643261.2830000003</v>
      </c>
      <c r="P40" s="90">
        <f t="shared" si="9"/>
        <v>2761799.3190000001</v>
      </c>
      <c r="Q40" s="90">
        <f t="shared" si="9"/>
        <v>2910211.1779999998</v>
      </c>
      <c r="R40" s="90">
        <f t="shared" si="9"/>
        <v>3081125.0189999999</v>
      </c>
      <c r="S40" s="90">
        <f t="shared" si="9"/>
        <v>3255771.3829999994</v>
      </c>
      <c r="T40" s="90">
        <f t="shared" si="9"/>
        <v>3639264.5549999997</v>
      </c>
      <c r="U40" s="90">
        <f t="shared" si="9"/>
        <v>3959934.219</v>
      </c>
      <c r="V40" s="90">
        <f t="shared" si="9"/>
        <v>4450687.63</v>
      </c>
      <c r="W40" s="90">
        <f t="shared" si="9"/>
        <v>4571968.6870000008</v>
      </c>
      <c r="X40" s="90">
        <f t="shared" si="9"/>
        <v>4854016.0729999989</v>
      </c>
      <c r="Y40" s="90">
        <f t="shared" si="9"/>
        <v>5151368.2170000002</v>
      </c>
      <c r="Z40" s="90">
        <f t="shared" si="9"/>
        <v>5447141.1970000006</v>
      </c>
      <c r="AA40" s="90">
        <f t="shared" si="9"/>
        <v>5675434.8439999996</v>
      </c>
    </row>
    <row r="41" spans="1:58">
      <c r="A41" s="79" t="s">
        <v>119</v>
      </c>
      <c r="B41" s="37"/>
      <c r="C41" s="37"/>
      <c r="D41" s="37"/>
      <c r="E41" s="37"/>
      <c r="F41" s="37"/>
      <c r="G41" s="37"/>
      <c r="H41" s="37"/>
      <c r="I41" s="37"/>
      <c r="J41" s="37"/>
      <c r="K41" s="37"/>
      <c r="L41" s="37"/>
      <c r="M41" s="37"/>
      <c r="N41" s="37"/>
      <c r="O41" s="37"/>
      <c r="P41" s="37"/>
      <c r="Q41" s="37"/>
      <c r="R41" s="37"/>
      <c r="S41" s="37"/>
      <c r="T41" s="23"/>
      <c r="U41" s="23"/>
      <c r="V41" s="23"/>
      <c r="W41" s="23"/>
      <c r="X41" s="2">
        <v>0</v>
      </c>
      <c r="Y41" s="2">
        <v>0</v>
      </c>
    </row>
    <row r="42" spans="1:58">
      <c r="A42" s="23" t="s">
        <v>93</v>
      </c>
      <c r="B42" s="36"/>
      <c r="C42" s="36"/>
      <c r="D42" s="36"/>
      <c r="E42" s="36"/>
      <c r="F42" s="77">
        <v>222298.253</v>
      </c>
      <c r="G42" s="36"/>
      <c r="H42" s="36"/>
      <c r="I42" s="37">
        <v>256784.02</v>
      </c>
      <c r="J42" s="37"/>
      <c r="K42" s="37">
        <v>255809.024</v>
      </c>
      <c r="L42" s="37">
        <v>304640.27399999998</v>
      </c>
      <c r="M42" s="37">
        <v>335629.24</v>
      </c>
      <c r="N42" s="37">
        <v>369468.57799999998</v>
      </c>
      <c r="O42" s="37">
        <v>357565.652</v>
      </c>
      <c r="P42" s="37">
        <v>360271.84399999998</v>
      </c>
      <c r="Q42" s="37">
        <v>380451.04200000002</v>
      </c>
      <c r="R42" s="37">
        <v>406549.75799999997</v>
      </c>
      <c r="S42" s="37">
        <v>443701.66700000002</v>
      </c>
      <c r="T42" s="23">
        <v>470218.83199999999</v>
      </c>
      <c r="U42" s="23">
        <v>550182.83100000001</v>
      </c>
      <c r="V42" s="23">
        <v>709661.46799999999</v>
      </c>
      <c r="W42" s="23">
        <v>716045.93200000003</v>
      </c>
      <c r="X42" s="2">
        <v>769297.18700000003</v>
      </c>
      <c r="Y42" s="2">
        <v>834729.79</v>
      </c>
      <c r="Z42" s="2">
        <v>888200.33600000001</v>
      </c>
      <c r="AA42" s="2">
        <v>974760.39099999995</v>
      </c>
    </row>
    <row r="43" spans="1:58">
      <c r="A43" s="23" t="s">
        <v>58</v>
      </c>
      <c r="B43" s="36"/>
      <c r="C43" s="36"/>
      <c r="D43" s="36"/>
      <c r="E43" s="36"/>
      <c r="F43" s="77">
        <v>178046.446</v>
      </c>
      <c r="G43" s="36"/>
      <c r="H43" s="36"/>
      <c r="I43" s="37">
        <v>213418.80300000001</v>
      </c>
      <c r="J43" s="37"/>
      <c r="K43" s="37">
        <v>217859.29699999999</v>
      </c>
      <c r="L43" s="37">
        <v>258048.24600000001</v>
      </c>
      <c r="M43" s="37">
        <v>280338.22200000001</v>
      </c>
      <c r="N43" s="37">
        <v>250289.16399999999</v>
      </c>
      <c r="O43" s="37">
        <v>248960.83199999999</v>
      </c>
      <c r="P43" s="37">
        <v>290302.40500000003</v>
      </c>
      <c r="Q43" s="37">
        <v>298467.315</v>
      </c>
      <c r="R43" s="37">
        <v>312558.16600000003</v>
      </c>
      <c r="S43" s="37">
        <v>304624.68300000002</v>
      </c>
      <c r="T43" s="23">
        <v>310439.86700000003</v>
      </c>
      <c r="U43" s="23">
        <v>355881.56199999998</v>
      </c>
      <c r="V43" s="23">
        <v>438025.42599999998</v>
      </c>
      <c r="W43" s="23">
        <v>433631.87900000002</v>
      </c>
      <c r="X43" s="2">
        <v>486524.14299999998</v>
      </c>
      <c r="Y43" s="2">
        <v>645524.56599999999</v>
      </c>
      <c r="Z43" s="2">
        <v>696314.45299999998</v>
      </c>
      <c r="AA43" s="2">
        <v>716312.87699999998</v>
      </c>
    </row>
    <row r="44" spans="1:58">
      <c r="A44" s="23" t="s">
        <v>94</v>
      </c>
      <c r="B44" s="36"/>
      <c r="C44" s="36"/>
      <c r="D44" s="36"/>
      <c r="E44" s="36"/>
      <c r="F44" s="77">
        <v>86299.532999999996</v>
      </c>
      <c r="G44" s="36"/>
      <c r="H44" s="36"/>
      <c r="I44" s="37">
        <v>99554.778999999995</v>
      </c>
      <c r="J44" s="37"/>
      <c r="K44" s="37">
        <v>121213.318</v>
      </c>
      <c r="L44" s="37">
        <v>147296.736</v>
      </c>
      <c r="M44" s="37">
        <v>158581.30300000001</v>
      </c>
      <c r="N44" s="37">
        <v>140521.345</v>
      </c>
      <c r="O44" s="37">
        <v>143026.04199999999</v>
      </c>
      <c r="P44" s="37">
        <v>160504.57999999999</v>
      </c>
      <c r="Q44" s="37">
        <v>172440.18799999999</v>
      </c>
      <c r="R44" s="37">
        <v>184999.269</v>
      </c>
      <c r="S44" s="37">
        <v>217735.60399999999</v>
      </c>
      <c r="T44" s="23">
        <v>230510.36799999999</v>
      </c>
      <c r="U44" s="23">
        <v>260022.06200000001</v>
      </c>
      <c r="V44" s="23">
        <v>302689.34600000002</v>
      </c>
      <c r="W44" s="23">
        <v>297614.21399999998</v>
      </c>
      <c r="X44" s="2">
        <v>339108.11599999998</v>
      </c>
      <c r="Y44" s="2">
        <v>387416.94199999998</v>
      </c>
      <c r="Z44" s="2">
        <v>400678.13799999998</v>
      </c>
      <c r="AA44" s="2">
        <v>423151.56400000001</v>
      </c>
    </row>
    <row r="45" spans="1:58">
      <c r="A45" s="23" t="s">
        <v>95</v>
      </c>
      <c r="B45" s="36"/>
      <c r="C45" s="36"/>
      <c r="D45" s="36"/>
      <c r="E45" s="36"/>
      <c r="F45" s="77">
        <v>78481.061000000002</v>
      </c>
      <c r="G45" s="36"/>
      <c r="H45" s="36"/>
      <c r="I45" s="37">
        <v>90018.964999999997</v>
      </c>
      <c r="J45" s="37"/>
      <c r="K45" s="37">
        <v>94793.356120000011</v>
      </c>
      <c r="L45" s="37">
        <v>117551.376</v>
      </c>
      <c r="M45" s="37">
        <v>130998.54</v>
      </c>
      <c r="N45" s="37">
        <v>136752.179</v>
      </c>
      <c r="O45" s="37">
        <v>146043.45600000001</v>
      </c>
      <c r="P45" s="37">
        <v>144166.758</v>
      </c>
      <c r="Q45" s="37">
        <v>158070.98300000001</v>
      </c>
      <c r="R45" s="37">
        <v>168420.389</v>
      </c>
      <c r="S45" s="37">
        <v>176128.193</v>
      </c>
      <c r="T45" s="23">
        <v>191604.08900000001</v>
      </c>
      <c r="U45" s="23">
        <v>196064.476</v>
      </c>
      <c r="V45" s="23">
        <v>220306.095</v>
      </c>
      <c r="W45" s="23">
        <v>227611.27299999999</v>
      </c>
      <c r="X45" s="2">
        <v>241511.492</v>
      </c>
      <c r="Y45" s="2">
        <v>207541.908</v>
      </c>
      <c r="Z45" s="2">
        <v>214839.75</v>
      </c>
      <c r="AA45" s="2">
        <v>226243.02799999999</v>
      </c>
    </row>
    <row r="46" spans="1:58">
      <c r="A46" s="23" t="s">
        <v>98</v>
      </c>
      <c r="B46" s="36"/>
      <c r="C46" s="36"/>
      <c r="D46" s="36"/>
      <c r="E46" s="37"/>
      <c r="F46" s="77">
        <v>258086.39799999999</v>
      </c>
      <c r="G46" s="36"/>
      <c r="H46" s="36"/>
      <c r="I46" s="37">
        <v>297901.61599999998</v>
      </c>
      <c r="J46" s="37"/>
      <c r="K46" s="37">
        <v>355138.83199999999</v>
      </c>
      <c r="L46" s="37">
        <v>431517.71500000003</v>
      </c>
      <c r="M46" s="37">
        <v>471553.87800000003</v>
      </c>
      <c r="N46" s="37">
        <v>414986.891</v>
      </c>
      <c r="O46" s="37">
        <v>430793.46100000001</v>
      </c>
      <c r="P46" s="37">
        <v>444098.25199999998</v>
      </c>
      <c r="Q46" s="37">
        <v>463454.571</v>
      </c>
      <c r="R46" s="37">
        <v>479689.625</v>
      </c>
      <c r="S46" s="37">
        <v>481858.946</v>
      </c>
      <c r="T46" s="23">
        <v>730839.84</v>
      </c>
      <c r="U46" s="23">
        <v>758028.95400000003</v>
      </c>
      <c r="V46" s="23">
        <v>783529.29399999999</v>
      </c>
      <c r="W46" s="23">
        <v>800547.35499999998</v>
      </c>
      <c r="X46" s="2">
        <v>851263.54200000002</v>
      </c>
      <c r="Y46" s="2">
        <v>874811.61300000001</v>
      </c>
      <c r="Z46" s="2">
        <v>919984.74800000002</v>
      </c>
      <c r="AA46" s="2">
        <v>966648.27599999995</v>
      </c>
    </row>
    <row r="47" spans="1:58">
      <c r="A47" s="23" t="s">
        <v>99</v>
      </c>
      <c r="B47" s="37"/>
      <c r="C47" s="37"/>
      <c r="D47" s="37"/>
      <c r="E47" s="37"/>
      <c r="F47" s="77">
        <v>147321.03200000001</v>
      </c>
      <c r="G47" s="37"/>
      <c r="H47" s="37"/>
      <c r="I47" s="37">
        <v>183883.45699999999</v>
      </c>
      <c r="J47" s="37"/>
      <c r="K47" s="37">
        <v>207858.859</v>
      </c>
      <c r="L47" s="37">
        <v>271693.98</v>
      </c>
      <c r="M47" s="37">
        <v>298004.54700000002</v>
      </c>
      <c r="N47" s="37">
        <v>308912.946</v>
      </c>
      <c r="O47" s="37">
        <v>335020.96999999997</v>
      </c>
      <c r="P47" s="37">
        <v>320302.46399999998</v>
      </c>
      <c r="Q47" s="37">
        <v>338441.73499999999</v>
      </c>
      <c r="R47" s="37">
        <v>371936.95</v>
      </c>
      <c r="S47" s="37">
        <v>428191.45</v>
      </c>
      <c r="T47" s="23">
        <v>418047.07299999997</v>
      </c>
      <c r="U47" s="23">
        <v>550711.48899999994</v>
      </c>
      <c r="V47" s="23">
        <v>541353.06299999997</v>
      </c>
      <c r="W47" s="23">
        <v>543457.99399999995</v>
      </c>
      <c r="X47" s="2">
        <v>553812</v>
      </c>
      <c r="Y47" s="2">
        <v>561997.22600000002</v>
      </c>
      <c r="Z47" s="2">
        <v>601743.55900000001</v>
      </c>
      <c r="AA47" s="2">
        <v>576314.76899999997</v>
      </c>
    </row>
    <row r="48" spans="1:58">
      <c r="A48" s="23" t="s">
        <v>59</v>
      </c>
      <c r="B48" s="37"/>
      <c r="C48" s="37"/>
      <c r="D48" s="37"/>
      <c r="E48" s="37"/>
      <c r="F48" s="77">
        <v>84891.043000000005</v>
      </c>
      <c r="G48" s="37"/>
      <c r="H48" s="37"/>
      <c r="I48" s="37">
        <v>103159.15399999999</v>
      </c>
      <c r="J48" s="37"/>
      <c r="K48" s="37">
        <v>131182.51699999999</v>
      </c>
      <c r="L48" s="37">
        <v>141413.69200000001</v>
      </c>
      <c r="M48" s="37">
        <v>146555.77499999999</v>
      </c>
      <c r="N48" s="37">
        <v>152306.783</v>
      </c>
      <c r="O48" s="37">
        <v>139341.76500000001</v>
      </c>
      <c r="P48" s="37">
        <v>144291.47899999999</v>
      </c>
      <c r="Q48" s="37">
        <v>158535.198</v>
      </c>
      <c r="R48" s="37">
        <v>162862.85500000001</v>
      </c>
      <c r="S48" s="37">
        <v>165835.454</v>
      </c>
      <c r="T48" s="23">
        <v>194706.93799999999</v>
      </c>
      <c r="U48" s="23">
        <v>208823.24900000001</v>
      </c>
      <c r="V48" s="23">
        <v>211190.81099999999</v>
      </c>
      <c r="W48" s="23">
        <v>210365.46799999999</v>
      </c>
      <c r="X48" s="2">
        <v>219299.18799999999</v>
      </c>
      <c r="Y48" s="2">
        <v>226943.64499999999</v>
      </c>
      <c r="Z48" s="2">
        <v>236185.58199999999</v>
      </c>
      <c r="AA48" s="2">
        <v>244257.09599999999</v>
      </c>
    </row>
    <row r="49" spans="1:58">
      <c r="A49" s="23" t="s">
        <v>101</v>
      </c>
      <c r="B49" s="37"/>
      <c r="C49" s="37"/>
      <c r="D49" s="37"/>
      <c r="E49" s="37"/>
      <c r="F49" s="77">
        <v>48133.205999999998</v>
      </c>
      <c r="G49" s="37"/>
      <c r="H49" s="37"/>
      <c r="I49" s="37">
        <v>53238.076000000001</v>
      </c>
      <c r="J49" s="37"/>
      <c r="K49" s="37">
        <v>64517.9</v>
      </c>
      <c r="L49" s="37">
        <v>72985.947</v>
      </c>
      <c r="M49" s="37">
        <v>80021.305999999997</v>
      </c>
      <c r="N49" s="37">
        <v>83578.967999999993</v>
      </c>
      <c r="O49" s="37">
        <v>82835.084000000003</v>
      </c>
      <c r="P49" s="37">
        <v>88123.714000000007</v>
      </c>
      <c r="Q49" s="37">
        <v>93998.941999999995</v>
      </c>
      <c r="R49" s="37">
        <v>95324.202000000005</v>
      </c>
      <c r="S49" s="37">
        <v>100586.954</v>
      </c>
      <c r="T49" s="23">
        <v>107607.246</v>
      </c>
      <c r="U49" s="23">
        <v>87874.993000000002</v>
      </c>
      <c r="V49" s="23">
        <v>130067.96400000001</v>
      </c>
      <c r="W49" s="23">
        <v>143969.93799999999</v>
      </c>
      <c r="X49" s="2">
        <v>144951.86799999999</v>
      </c>
      <c r="Y49" s="2">
        <v>150421.33100000001</v>
      </c>
      <c r="Z49" s="2">
        <v>156931.44899999999</v>
      </c>
      <c r="AA49" s="2">
        <v>180954.321</v>
      </c>
    </row>
    <row r="50" spans="1:58">
      <c r="A50" s="23" t="s">
        <v>107</v>
      </c>
      <c r="B50" s="37"/>
      <c r="C50" s="37"/>
      <c r="D50" s="37"/>
      <c r="E50" s="37"/>
      <c r="F50" s="77">
        <v>23560.09</v>
      </c>
      <c r="G50" s="37"/>
      <c r="H50" s="37"/>
      <c r="I50" s="37">
        <v>26028.261999999999</v>
      </c>
      <c r="J50" s="37"/>
      <c r="K50" s="37">
        <v>32093.112000000001</v>
      </c>
      <c r="L50" s="37">
        <v>35211.4</v>
      </c>
      <c r="M50" s="37">
        <v>38499.874000000003</v>
      </c>
      <c r="N50" s="37">
        <v>39252.834000000003</v>
      </c>
      <c r="O50" s="37">
        <v>38479.769</v>
      </c>
      <c r="P50" s="37">
        <v>41184.612999999998</v>
      </c>
      <c r="Q50" s="37">
        <v>47750.642</v>
      </c>
      <c r="R50" s="37">
        <v>49311.194000000003</v>
      </c>
      <c r="S50" s="37">
        <v>50256.004999999997</v>
      </c>
      <c r="T50" s="23">
        <v>51591.962</v>
      </c>
      <c r="U50" s="23">
        <v>56723.722999999998</v>
      </c>
      <c r="V50" s="23">
        <v>56353.199000000001</v>
      </c>
      <c r="W50" s="23">
        <v>68527.057000000001</v>
      </c>
      <c r="X50" s="2">
        <v>73533.414000000004</v>
      </c>
      <c r="Y50" s="2">
        <v>76189.904999999999</v>
      </c>
      <c r="Z50" s="2">
        <v>79355.611000000004</v>
      </c>
      <c r="AA50" s="2">
        <v>84583.273000000001</v>
      </c>
    </row>
    <row r="51" spans="1:58">
      <c r="A51" s="23" t="s">
        <v>108</v>
      </c>
      <c r="B51" s="37"/>
      <c r="C51" s="37"/>
      <c r="D51" s="37"/>
      <c r="E51" s="37"/>
      <c r="F51" s="77">
        <v>263734.69099999999</v>
      </c>
      <c r="G51" s="37"/>
      <c r="H51" s="37"/>
      <c r="I51" s="37">
        <v>294809.72700000001</v>
      </c>
      <c r="J51" s="37"/>
      <c r="K51" s="37">
        <v>325218.978</v>
      </c>
      <c r="L51" s="37">
        <v>396883.75400000002</v>
      </c>
      <c r="M51" s="37">
        <v>421038.84100000001</v>
      </c>
      <c r="N51" s="37">
        <v>385761.75699999998</v>
      </c>
      <c r="O51" s="37">
        <v>403984.75099999999</v>
      </c>
      <c r="P51" s="37">
        <v>445896.73700000002</v>
      </c>
      <c r="Q51" s="37">
        <v>476209.89799999999</v>
      </c>
      <c r="R51" s="37">
        <v>530605.679</v>
      </c>
      <c r="S51" s="37">
        <v>555979.31299999997</v>
      </c>
      <c r="T51" s="23">
        <v>581797.69200000004</v>
      </c>
      <c r="U51" s="23">
        <v>575445.73600000003</v>
      </c>
      <c r="V51" s="23">
        <v>655734.61</v>
      </c>
      <c r="W51" s="23">
        <v>707917.35600000003</v>
      </c>
      <c r="X51" s="2">
        <v>731541.83100000001</v>
      </c>
      <c r="Y51" s="2">
        <v>734702.43700000003</v>
      </c>
      <c r="Z51" s="2">
        <v>768064.12600000005</v>
      </c>
      <c r="AA51" s="2">
        <v>787768.55799999996</v>
      </c>
    </row>
    <row r="52" spans="1:58">
      <c r="A52" s="23" t="s">
        <v>112</v>
      </c>
      <c r="B52" s="37"/>
      <c r="C52" s="37"/>
      <c r="D52" s="37"/>
      <c r="E52" s="37"/>
      <c r="F52" s="77">
        <v>19436.911</v>
      </c>
      <c r="G52" s="37"/>
      <c r="H52" s="37"/>
      <c r="I52" s="37">
        <v>24266.241999999998</v>
      </c>
      <c r="J52" s="37"/>
      <c r="K52" s="37">
        <v>27111.443780000001</v>
      </c>
      <c r="L52" s="37">
        <v>30945.048999999999</v>
      </c>
      <c r="M52" s="37">
        <v>34146.552000000003</v>
      </c>
      <c r="N52" s="37">
        <v>34492.379000000001</v>
      </c>
      <c r="O52" s="37">
        <v>37104.807999999997</v>
      </c>
      <c r="P52" s="37">
        <v>40174.356</v>
      </c>
      <c r="Q52" s="37">
        <v>40791.616000000002</v>
      </c>
      <c r="R52" s="37">
        <v>39984.544000000002</v>
      </c>
      <c r="S52" s="37">
        <v>43549.55</v>
      </c>
      <c r="T52" s="23">
        <v>48104.171999999999</v>
      </c>
      <c r="U52" s="23">
        <v>45847.807999999997</v>
      </c>
      <c r="V52" s="23">
        <v>55849.298000000003</v>
      </c>
      <c r="W52" s="23">
        <v>55532.457000000002</v>
      </c>
      <c r="X52" s="2">
        <v>60480.141000000003</v>
      </c>
      <c r="Y52" s="2">
        <v>61196.457000000002</v>
      </c>
      <c r="Z52" s="2">
        <v>63916.574999999997</v>
      </c>
      <c r="AA52" s="2">
        <v>64911.341</v>
      </c>
    </row>
    <row r="53" spans="1:58">
      <c r="A53" s="45" t="s">
        <v>116</v>
      </c>
      <c r="B53" s="63"/>
      <c r="C53" s="63"/>
      <c r="D53" s="63"/>
      <c r="E53" s="63"/>
      <c r="F53" s="82">
        <v>163450.682</v>
      </c>
      <c r="G53" s="63"/>
      <c r="H53" s="63"/>
      <c r="I53" s="63">
        <v>183673.44500000001</v>
      </c>
      <c r="J53" s="63"/>
      <c r="K53" s="63">
        <v>206713.76199999999</v>
      </c>
      <c r="L53" s="63">
        <v>249698.58799999999</v>
      </c>
      <c r="M53" s="63">
        <v>282584.16800000001</v>
      </c>
      <c r="N53" s="63">
        <v>266772.21799999999</v>
      </c>
      <c r="O53" s="63">
        <v>280104.69300000003</v>
      </c>
      <c r="P53" s="63">
        <v>282482.11700000003</v>
      </c>
      <c r="Q53" s="63">
        <v>281599.04800000001</v>
      </c>
      <c r="R53" s="63">
        <v>278882.38799999998</v>
      </c>
      <c r="S53" s="63">
        <v>287323.56400000001</v>
      </c>
      <c r="T53" s="45">
        <v>303796.47600000002</v>
      </c>
      <c r="U53" s="45">
        <v>314327.33600000001</v>
      </c>
      <c r="V53" s="45">
        <v>345927.05599999998</v>
      </c>
      <c r="W53" s="45">
        <v>366747.76400000002</v>
      </c>
      <c r="X53" s="45">
        <v>382693.15100000001</v>
      </c>
      <c r="Y53" s="45">
        <v>389892.397</v>
      </c>
      <c r="Z53" s="45">
        <v>420926.87</v>
      </c>
      <c r="AA53" s="45">
        <v>429529.35</v>
      </c>
    </row>
    <row r="54" spans="1:58" s="23" customFormat="1">
      <c r="A54" s="79" t="s">
        <v>122</v>
      </c>
      <c r="B54" s="90">
        <f>SUM(B56:B64)</f>
        <v>0</v>
      </c>
      <c r="C54" s="90">
        <f t="shared" ref="C54:AA54" si="10">SUM(C56:C64)</f>
        <v>0</v>
      </c>
      <c r="D54" s="90">
        <f t="shared" si="10"/>
        <v>0</v>
      </c>
      <c r="E54" s="90">
        <f t="shared" si="10"/>
        <v>0</v>
      </c>
      <c r="F54" s="90">
        <f t="shared" si="10"/>
        <v>817062.42</v>
      </c>
      <c r="G54" s="90">
        <f t="shared" si="10"/>
        <v>0</v>
      </c>
      <c r="H54" s="90">
        <f t="shared" si="10"/>
        <v>0</v>
      </c>
      <c r="I54" s="90">
        <f t="shared" si="10"/>
        <v>927166.31400000001</v>
      </c>
      <c r="J54" s="90">
        <f t="shared" si="10"/>
        <v>0</v>
      </c>
      <c r="K54" s="90">
        <f t="shared" si="10"/>
        <v>1110634.925</v>
      </c>
      <c r="L54" s="90">
        <f t="shared" si="10"/>
        <v>1192712.129</v>
      </c>
      <c r="M54" s="90">
        <f t="shared" si="10"/>
        <v>1247157.2210000001</v>
      </c>
      <c r="N54" s="90">
        <f t="shared" si="10"/>
        <v>1105886.8960000002</v>
      </c>
      <c r="O54" s="90">
        <f t="shared" si="10"/>
        <v>986144.71899999992</v>
      </c>
      <c r="P54" s="90">
        <f t="shared" si="10"/>
        <v>1045231.3999999999</v>
      </c>
      <c r="Q54" s="90">
        <f t="shared" si="10"/>
        <v>1251845.2960000001</v>
      </c>
      <c r="R54" s="90">
        <f t="shared" si="10"/>
        <v>1262717.176</v>
      </c>
      <c r="S54" s="90">
        <f t="shared" si="10"/>
        <v>1328080.371</v>
      </c>
      <c r="T54" s="90">
        <f t="shared" si="10"/>
        <v>1460165.148</v>
      </c>
      <c r="U54" s="90">
        <f t="shared" si="10"/>
        <v>1522392.1140000003</v>
      </c>
      <c r="V54" s="90">
        <f t="shared" si="10"/>
        <v>1959899.5759999999</v>
      </c>
      <c r="W54" s="90">
        <f t="shared" si="10"/>
        <v>2062837.6310000001</v>
      </c>
      <c r="X54" s="90">
        <f t="shared" si="10"/>
        <v>2112173.6459999997</v>
      </c>
      <c r="Y54" s="90">
        <f t="shared" si="10"/>
        <v>2122516.6319999998</v>
      </c>
      <c r="Z54" s="90">
        <f t="shared" si="10"/>
        <v>2304438.3130000001</v>
      </c>
      <c r="AA54" s="90">
        <f t="shared" si="10"/>
        <v>2341052.8160000001</v>
      </c>
    </row>
    <row r="55" spans="1:58">
      <c r="A55" s="79" t="s">
        <v>119</v>
      </c>
      <c r="B55" s="37"/>
      <c r="C55" s="37"/>
      <c r="D55" s="37"/>
      <c r="E55" s="37"/>
      <c r="F55" s="37"/>
      <c r="G55" s="37"/>
      <c r="H55" s="37"/>
      <c r="I55" s="37"/>
      <c r="J55" s="37"/>
      <c r="K55" s="37"/>
      <c r="L55" s="37"/>
      <c r="M55" s="37"/>
      <c r="N55" s="37"/>
      <c r="O55" s="37"/>
      <c r="P55" s="37"/>
      <c r="Q55" s="37"/>
      <c r="R55" s="37"/>
      <c r="S55" s="37"/>
      <c r="T55" s="23"/>
      <c r="U55" s="23"/>
      <c r="V55" s="23"/>
      <c r="W55" s="23"/>
      <c r="X55" s="2">
        <v>0</v>
      </c>
      <c r="Y55" s="2">
        <v>0</v>
      </c>
    </row>
    <row r="56" spans="1:58" s="23" customFormat="1">
      <c r="A56" s="23" t="s">
        <v>89</v>
      </c>
      <c r="B56" s="36"/>
      <c r="C56" s="36"/>
      <c r="D56" s="36"/>
      <c r="E56" s="36"/>
      <c r="F56" s="77">
        <v>69435.998000000007</v>
      </c>
      <c r="G56" s="36"/>
      <c r="H56" s="36"/>
      <c r="I56" s="37">
        <v>76613.601999999999</v>
      </c>
      <c r="J56" s="37"/>
      <c r="K56" s="37">
        <v>79977.801999999996</v>
      </c>
      <c r="L56" s="37">
        <v>112087.57399999999</v>
      </c>
      <c r="M56" s="37">
        <v>104809.41499999999</v>
      </c>
      <c r="N56" s="37">
        <v>122847.319</v>
      </c>
      <c r="O56" s="37">
        <v>120427.128</v>
      </c>
      <c r="P56" s="37">
        <v>132107.19399999999</v>
      </c>
      <c r="Q56" s="37">
        <v>138307.541</v>
      </c>
      <c r="R56" s="37">
        <v>138650.02299999999</v>
      </c>
      <c r="S56" s="37">
        <v>146276.27100000001</v>
      </c>
      <c r="T56" s="23">
        <v>175390.15700000001</v>
      </c>
      <c r="U56" s="23">
        <v>190302.11499999999</v>
      </c>
      <c r="V56" s="23">
        <v>192940.69500000001</v>
      </c>
      <c r="W56" s="23">
        <v>206264.595</v>
      </c>
      <c r="X56" s="23">
        <v>211218.05499999999</v>
      </c>
      <c r="Y56" s="2">
        <v>227351.24600000001</v>
      </c>
      <c r="Z56" s="2">
        <v>247476.71900000001</v>
      </c>
      <c r="AA56" s="2">
        <v>260545.41099999999</v>
      </c>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row>
    <row r="57" spans="1:58" s="23" customFormat="1">
      <c r="A57" s="23" t="s">
        <v>96</v>
      </c>
      <c r="B57" s="36"/>
      <c r="C57" s="36"/>
      <c r="D57" s="36"/>
      <c r="E57" s="36"/>
      <c r="F57" s="77">
        <v>31004.111000000001</v>
      </c>
      <c r="G57" s="36"/>
      <c r="H57" s="36"/>
      <c r="I57" s="37">
        <v>29576.591</v>
      </c>
      <c r="J57" s="37"/>
      <c r="K57" s="37">
        <v>42955.747000000003</v>
      </c>
      <c r="L57" s="37">
        <v>38663.06</v>
      </c>
      <c r="M57" s="37">
        <v>40991.928</v>
      </c>
      <c r="N57" s="37">
        <v>43356.563999999998</v>
      </c>
      <c r="O57" s="37">
        <v>45853.519</v>
      </c>
      <c r="P57" s="37">
        <v>52393.864999999998</v>
      </c>
      <c r="Q57" s="37">
        <v>55615.322999999997</v>
      </c>
      <c r="R57" s="37">
        <v>50634.703999999998</v>
      </c>
      <c r="S57" s="37">
        <v>55052.114999999998</v>
      </c>
      <c r="T57" s="23">
        <v>57253.017999999996</v>
      </c>
      <c r="U57" s="23">
        <v>60306.14</v>
      </c>
      <c r="V57" s="23">
        <v>69801.160999999993</v>
      </c>
      <c r="W57" s="23">
        <v>72130.422999999995</v>
      </c>
      <c r="X57" s="23">
        <v>74523.842999999993</v>
      </c>
      <c r="Y57" s="2">
        <v>72931.252999999997</v>
      </c>
      <c r="Z57" s="2">
        <v>72565.402000000002</v>
      </c>
      <c r="AA57" s="2">
        <v>70332.910999999993</v>
      </c>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row>
    <row r="58" spans="1:58" s="17" customFormat="1">
      <c r="A58" s="23" t="s">
        <v>97</v>
      </c>
      <c r="B58" s="36"/>
      <c r="C58" s="36"/>
      <c r="D58" s="36"/>
      <c r="E58" s="37"/>
      <c r="F58" s="77">
        <v>87535.933999999994</v>
      </c>
      <c r="G58" s="36"/>
      <c r="H58" s="36"/>
      <c r="I58" s="37">
        <v>105787.144</v>
      </c>
      <c r="J58" s="37"/>
      <c r="K58" s="37">
        <v>112421.26</v>
      </c>
      <c r="L58" s="37">
        <v>133650.56899999999</v>
      </c>
      <c r="M58" s="37">
        <v>148774.70199999999</v>
      </c>
      <c r="N58" s="37">
        <v>139941.17199999999</v>
      </c>
      <c r="O58" s="37">
        <v>136279.89499999999</v>
      </c>
      <c r="P58" s="37">
        <v>144277.78</v>
      </c>
      <c r="Q58" s="37">
        <v>158290.283</v>
      </c>
      <c r="R58" s="37">
        <v>173803.23</v>
      </c>
      <c r="S58" s="37">
        <v>187046.43599999999</v>
      </c>
      <c r="T58" s="23">
        <v>201794.07</v>
      </c>
      <c r="U58" s="23">
        <v>164573.33799999999</v>
      </c>
      <c r="V58" s="23">
        <v>219179.69699999999</v>
      </c>
      <c r="W58" s="23">
        <v>240325.46400000001</v>
      </c>
      <c r="X58" s="23">
        <v>263670.783</v>
      </c>
      <c r="Y58" s="2">
        <v>263439.37599999999</v>
      </c>
      <c r="Z58" s="2">
        <v>274538.65000000002</v>
      </c>
      <c r="AA58" s="2">
        <v>302358.641</v>
      </c>
    </row>
    <row r="59" spans="1:58">
      <c r="A59" s="23" t="s">
        <v>103</v>
      </c>
      <c r="B59" s="37"/>
      <c r="C59" s="37"/>
      <c r="D59" s="37"/>
      <c r="E59" s="37"/>
      <c r="F59" s="77">
        <v>20670.816999999999</v>
      </c>
      <c r="G59" s="37"/>
      <c r="H59" s="37"/>
      <c r="I59" s="37">
        <v>22711.082999999999</v>
      </c>
      <c r="J59" s="37"/>
      <c r="K59" s="37">
        <v>24941.826000000001</v>
      </c>
      <c r="L59" s="37">
        <v>32141.991999999998</v>
      </c>
      <c r="M59" s="37">
        <v>34674.351000000002</v>
      </c>
      <c r="N59" s="37">
        <v>39624.887000000002</v>
      </c>
      <c r="O59" s="37">
        <v>44499.044000000002</v>
      </c>
      <c r="P59" s="37">
        <v>47097.821000000004</v>
      </c>
      <c r="Q59" s="37">
        <v>49937.61</v>
      </c>
      <c r="R59" s="37">
        <v>51359.046000000002</v>
      </c>
      <c r="S59" s="37">
        <v>49814.034</v>
      </c>
      <c r="T59" s="23">
        <v>55907.18</v>
      </c>
      <c r="U59" s="23">
        <v>55601.798999999999</v>
      </c>
      <c r="V59" s="23">
        <v>57095.92</v>
      </c>
      <c r="W59" s="23">
        <v>64471.156999999999</v>
      </c>
      <c r="X59" s="2">
        <v>66269.176999999996</v>
      </c>
      <c r="Y59" s="2">
        <v>69254.838000000003</v>
      </c>
      <c r="Z59" s="2">
        <v>71687.828999999998</v>
      </c>
      <c r="AA59" s="2">
        <v>80029.157999999996</v>
      </c>
    </row>
    <row r="60" spans="1:58">
      <c r="A60" s="23" t="s">
        <v>104</v>
      </c>
      <c r="B60" s="37"/>
      <c r="C60" s="37"/>
      <c r="D60" s="37"/>
      <c r="E60" s="37"/>
      <c r="F60" s="77">
        <v>59083.892999999996</v>
      </c>
      <c r="G60" s="37"/>
      <c r="H60" s="37"/>
      <c r="I60" s="37">
        <v>63362.021999999997</v>
      </c>
      <c r="J60" s="37"/>
      <c r="K60" s="37">
        <v>124076.23299999999</v>
      </c>
      <c r="L60" s="37">
        <v>91320.05</v>
      </c>
      <c r="M60" s="37">
        <v>99256.020999999993</v>
      </c>
      <c r="N60" s="37">
        <v>106967.452</v>
      </c>
      <c r="O60" s="37">
        <v>118207.493</v>
      </c>
      <c r="P60" s="37">
        <v>125606.158</v>
      </c>
      <c r="Q60" s="37">
        <v>233835.17800000001</v>
      </c>
      <c r="R60" s="37">
        <v>240671.08199999999</v>
      </c>
      <c r="S60" s="37">
        <v>229111.30300000001</v>
      </c>
      <c r="T60" s="23">
        <v>251741.77299999999</v>
      </c>
      <c r="U60" s="23">
        <v>235857.3</v>
      </c>
      <c r="V60" s="23">
        <v>282401.25400000002</v>
      </c>
      <c r="W60" s="23">
        <v>296392.90899999999</v>
      </c>
      <c r="X60" s="2">
        <v>311475.18099999998</v>
      </c>
      <c r="Y60" s="2">
        <v>313360.39799999999</v>
      </c>
      <c r="Z60" s="2">
        <v>361070.07799999998</v>
      </c>
      <c r="AA60" s="2">
        <v>348455.19099999999</v>
      </c>
    </row>
    <row r="61" spans="1:58">
      <c r="A61" s="23" t="s">
        <v>106</v>
      </c>
      <c r="B61" s="37"/>
      <c r="C61" s="37"/>
      <c r="D61" s="37"/>
      <c r="E61" s="37"/>
      <c r="F61" s="77">
        <v>213357.83900000001</v>
      </c>
      <c r="G61" s="37"/>
      <c r="H61" s="37"/>
      <c r="I61" s="37">
        <v>246962.734</v>
      </c>
      <c r="J61" s="37"/>
      <c r="K61" s="37">
        <v>308370.40500000003</v>
      </c>
      <c r="L61" s="37">
        <v>288841.78100000002</v>
      </c>
      <c r="M61" s="37">
        <v>352051.05599999998</v>
      </c>
      <c r="N61" s="37">
        <v>364556.16200000001</v>
      </c>
      <c r="O61" s="37">
        <v>323308.86800000002</v>
      </c>
      <c r="P61" s="37">
        <v>333372.33399999997</v>
      </c>
      <c r="Q61" s="37">
        <v>403170.71799999999</v>
      </c>
      <c r="R61" s="37">
        <v>388389.48200000002</v>
      </c>
      <c r="S61" s="37">
        <v>421987.37599999999</v>
      </c>
      <c r="T61" s="23">
        <v>460363.00099999999</v>
      </c>
      <c r="U61" s="23">
        <v>547291.61300000001</v>
      </c>
      <c r="V61" s="23">
        <v>814034.58600000001</v>
      </c>
      <c r="W61" s="23">
        <v>859021.97499999998</v>
      </c>
      <c r="X61" s="2">
        <v>856444.62</v>
      </c>
      <c r="Y61" s="2">
        <v>830127.45200000005</v>
      </c>
      <c r="Z61" s="2">
        <v>927836.91</v>
      </c>
      <c r="AA61" s="2">
        <v>920972.24199999997</v>
      </c>
    </row>
    <row r="62" spans="1:58">
      <c r="A62" s="23" t="s">
        <v>110</v>
      </c>
      <c r="B62" s="37"/>
      <c r="C62" s="37"/>
      <c r="D62" s="37"/>
      <c r="E62" s="37"/>
      <c r="F62" s="77">
        <v>287376.27899999998</v>
      </c>
      <c r="G62" s="37"/>
      <c r="H62" s="37"/>
      <c r="I62" s="37">
        <v>328822.78999999998</v>
      </c>
      <c r="J62" s="37"/>
      <c r="K62" s="37">
        <v>354750.14899999998</v>
      </c>
      <c r="L62" s="37">
        <v>423191.886</v>
      </c>
      <c r="M62" s="37">
        <v>388042.91499999998</v>
      </c>
      <c r="N62" s="37">
        <v>213991.92300000001</v>
      </c>
      <c r="O62" s="37">
        <v>124427.274</v>
      </c>
      <c r="P62" s="37">
        <v>122940.026</v>
      </c>
      <c r="Q62" s="37">
        <v>122576.11</v>
      </c>
      <c r="R62" s="37">
        <v>128391.04399999999</v>
      </c>
      <c r="S62" s="37">
        <v>141862.79699999999</v>
      </c>
      <c r="T62" s="23">
        <v>150381.25899999999</v>
      </c>
      <c r="U62" s="23">
        <v>165647.69200000001</v>
      </c>
      <c r="V62" s="23">
        <v>196857.11199999999</v>
      </c>
      <c r="W62" s="23">
        <v>189736.10200000001</v>
      </c>
      <c r="X62" s="2">
        <v>190328.01300000001</v>
      </c>
      <c r="Y62" s="2">
        <v>204683.875</v>
      </c>
      <c r="Z62" s="2">
        <v>206749.33</v>
      </c>
      <c r="AA62" s="2">
        <v>213659.245</v>
      </c>
    </row>
    <row r="63" spans="1:58">
      <c r="A63" s="23" t="s">
        <v>111</v>
      </c>
      <c r="B63" s="37"/>
      <c r="C63" s="37"/>
      <c r="D63" s="37"/>
      <c r="E63" s="37"/>
      <c r="F63" s="77">
        <v>27376.123</v>
      </c>
      <c r="G63" s="37"/>
      <c r="H63" s="37"/>
      <c r="I63" s="37">
        <v>27467.418000000001</v>
      </c>
      <c r="J63" s="37"/>
      <c r="K63" s="37">
        <v>33196.620000000003</v>
      </c>
      <c r="L63" s="37">
        <v>40066.798000000003</v>
      </c>
      <c r="M63" s="37">
        <v>40884.786999999997</v>
      </c>
      <c r="N63" s="37">
        <v>37822.252</v>
      </c>
      <c r="O63" s="37">
        <v>45788.531000000003</v>
      </c>
      <c r="P63" s="37">
        <v>46204.372000000003</v>
      </c>
      <c r="Q63" s="37">
        <v>47148.233999999997</v>
      </c>
      <c r="R63" s="37">
        <v>47558.118999999999</v>
      </c>
      <c r="S63" s="37">
        <v>47251.438999999998</v>
      </c>
      <c r="T63" s="23">
        <v>46791.017999999996</v>
      </c>
      <c r="U63" s="23">
        <v>47143.148000000001</v>
      </c>
      <c r="V63" s="23">
        <v>55985.021000000001</v>
      </c>
      <c r="W63" s="23">
        <v>60258.432000000001</v>
      </c>
      <c r="X63" s="2">
        <v>60503.281999999999</v>
      </c>
      <c r="Y63" s="2">
        <v>64332.754999999997</v>
      </c>
      <c r="Z63" s="2">
        <v>62445.523999999998</v>
      </c>
      <c r="AA63" s="2">
        <v>63755.843999999997</v>
      </c>
    </row>
    <row r="64" spans="1:58">
      <c r="A64" s="45" t="s">
        <v>114</v>
      </c>
      <c r="B64" s="63"/>
      <c r="C64" s="63"/>
      <c r="D64" s="63"/>
      <c r="E64" s="63"/>
      <c r="F64" s="82">
        <v>21221.425999999999</v>
      </c>
      <c r="G64" s="63"/>
      <c r="H64" s="63"/>
      <c r="I64" s="63">
        <v>25862.93</v>
      </c>
      <c r="J64" s="63"/>
      <c r="K64" s="63">
        <v>29944.883000000002</v>
      </c>
      <c r="L64" s="63">
        <v>32748.419000000002</v>
      </c>
      <c r="M64" s="63">
        <v>37672.046000000002</v>
      </c>
      <c r="N64" s="63">
        <v>36779.165000000001</v>
      </c>
      <c r="O64" s="63">
        <v>27352.967000000001</v>
      </c>
      <c r="P64" s="63">
        <v>41231.85</v>
      </c>
      <c r="Q64" s="63">
        <v>42964.298999999999</v>
      </c>
      <c r="R64" s="63">
        <v>43260.446000000004</v>
      </c>
      <c r="S64" s="63">
        <v>49678.6</v>
      </c>
      <c r="T64" s="45">
        <v>60543.671999999999</v>
      </c>
      <c r="U64" s="45">
        <v>55668.968999999997</v>
      </c>
      <c r="V64" s="45">
        <v>71604.13</v>
      </c>
      <c r="W64" s="45">
        <v>74236.573999999993</v>
      </c>
      <c r="X64" s="45">
        <v>77740.691999999995</v>
      </c>
      <c r="Y64" s="45">
        <v>77035.438999999998</v>
      </c>
      <c r="Z64" s="45">
        <v>80067.870999999999</v>
      </c>
      <c r="AA64" s="45">
        <v>80944.172999999995</v>
      </c>
    </row>
    <row r="65" spans="1:58">
      <c r="A65" s="88" t="s">
        <v>90</v>
      </c>
      <c r="B65" s="84"/>
      <c r="C65" s="84"/>
      <c r="D65" s="84"/>
      <c r="E65" s="84"/>
      <c r="F65" s="85">
        <v>13934.57</v>
      </c>
      <c r="G65" s="84"/>
      <c r="H65" s="84"/>
      <c r="I65" s="86">
        <v>7098.1120000000001</v>
      </c>
      <c r="J65" s="86"/>
      <c r="K65" s="86">
        <v>8694.28442</v>
      </c>
      <c r="L65" s="86">
        <v>6263.732</v>
      </c>
      <c r="M65" s="86">
        <v>8620.3410000000003</v>
      </c>
      <c r="N65" s="86">
        <v>10363.549000000001</v>
      </c>
      <c r="O65" s="86">
        <v>10691.951999999999</v>
      </c>
      <c r="P65" s="86">
        <v>8399.3639999999996</v>
      </c>
      <c r="Q65" s="86">
        <v>11500.377</v>
      </c>
      <c r="R65" s="86">
        <v>17079.357</v>
      </c>
      <c r="S65" s="86">
        <v>14352.803</v>
      </c>
      <c r="T65" s="87">
        <v>20405.77</v>
      </c>
      <c r="U65" s="87">
        <v>15259.525</v>
      </c>
      <c r="V65" s="87">
        <v>20139</v>
      </c>
      <c r="W65" s="87">
        <v>24335.175999999999</v>
      </c>
      <c r="X65" s="45">
        <v>21022.454000000002</v>
      </c>
      <c r="Y65" s="45">
        <v>19975.754000000001</v>
      </c>
      <c r="Z65" s="45">
        <v>15360.365</v>
      </c>
      <c r="AA65" s="45">
        <v>18031.113000000001</v>
      </c>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row>
    <row r="67" spans="1:58">
      <c r="I67" s="34" t="s">
        <v>78</v>
      </c>
      <c r="J67" s="34" t="s">
        <v>76</v>
      </c>
      <c r="K67" s="34"/>
      <c r="L67" s="34" t="s">
        <v>69</v>
      </c>
      <c r="M67" s="34"/>
      <c r="N67" s="34"/>
      <c r="O67" s="34" t="s">
        <v>78</v>
      </c>
      <c r="P67" s="34" t="s">
        <v>78</v>
      </c>
      <c r="Q67" s="34" t="s">
        <v>78</v>
      </c>
      <c r="R67" s="34" t="s">
        <v>78</v>
      </c>
      <c r="S67" s="34"/>
      <c r="T67" s="34"/>
      <c r="U67" s="34"/>
      <c r="V67" s="34"/>
      <c r="W67" s="34"/>
    </row>
    <row r="68" spans="1:58">
      <c r="I68" s="14" t="s">
        <v>79</v>
      </c>
      <c r="J68" s="14" t="s">
        <v>72</v>
      </c>
      <c r="L68" s="14" t="s">
        <v>70</v>
      </c>
      <c r="O68" s="14" t="s">
        <v>79</v>
      </c>
      <c r="P68" s="14" t="s">
        <v>79</v>
      </c>
      <c r="Q68" s="14" t="s">
        <v>79</v>
      </c>
      <c r="R68" s="14" t="s">
        <v>79</v>
      </c>
    </row>
    <row r="69" spans="1:58">
      <c r="I69" s="14" t="s">
        <v>80</v>
      </c>
      <c r="J69" s="14" t="s">
        <v>73</v>
      </c>
      <c r="O69" s="14" t="s">
        <v>80</v>
      </c>
      <c r="P69" s="14" t="s">
        <v>80</v>
      </c>
      <c r="Q69" s="14" t="s">
        <v>80</v>
      </c>
      <c r="R69" s="14" t="s">
        <v>80</v>
      </c>
    </row>
    <row r="70" spans="1:58">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codeName="Sheet7">
    <tabColor theme="4" tint="0.39997558519241921"/>
  </sheetPr>
  <dimension ref="A1:BF70"/>
  <sheetViews>
    <sheetView showZeros="0" zoomScale="80" zoomScaleNormal="80" workbookViewId="0">
      <pane xSplit="1" ySplit="5" topLeftCell="N6" activePane="bottomRight" state="frozen"/>
      <selection activeCell="AC65" sqref="AC65"/>
      <selection pane="topRight" activeCell="AC65" sqref="AC65"/>
      <selection pane="bottomLeft" activeCell="AC65" sqref="AC65"/>
      <selection pane="bottomRight" activeCell="AA1" sqref="AA1"/>
    </sheetView>
  </sheetViews>
  <sheetFormatPr defaultColWidth="9.7109375" defaultRowHeight="12.75"/>
  <cols>
    <col min="1" max="1" width="23.42578125" style="80" customWidth="1"/>
    <col min="2" max="23" width="12.42578125" style="14" customWidth="1"/>
    <col min="24" max="58" width="10.7109375" style="2" customWidth="1"/>
    <col min="59" max="16384" width="9.7109375" style="2"/>
  </cols>
  <sheetData>
    <row r="1" spans="1:27">
      <c r="A1" s="8" t="s">
        <v>39</v>
      </c>
      <c r="B1" s="46"/>
      <c r="C1" s="46"/>
      <c r="D1" s="12"/>
      <c r="E1" s="12"/>
      <c r="F1" s="12"/>
      <c r="G1" s="13"/>
      <c r="H1" s="13"/>
    </row>
    <row r="2" spans="1:27">
      <c r="A2" s="8"/>
      <c r="B2" s="46"/>
      <c r="C2" s="46"/>
      <c r="D2" s="12"/>
      <c r="E2" s="12"/>
      <c r="F2" s="13"/>
      <c r="G2" s="13"/>
      <c r="H2" s="13"/>
    </row>
    <row r="3" spans="1:27">
      <c r="A3" s="8" t="s">
        <v>21</v>
      </c>
      <c r="B3" s="46"/>
      <c r="C3" s="46"/>
      <c r="D3" s="12"/>
      <c r="E3" s="12"/>
      <c r="F3" s="13"/>
      <c r="G3" s="13"/>
      <c r="H3" s="13"/>
    </row>
    <row r="4" spans="1:27" s="61"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74">
        <v>2005</v>
      </c>
      <c r="R4" s="74">
        <v>2006</v>
      </c>
      <c r="S4" s="74">
        <v>2007</v>
      </c>
      <c r="T4" s="74">
        <v>2008</v>
      </c>
      <c r="U4" s="74">
        <v>2009</v>
      </c>
      <c r="V4" s="74">
        <v>2010</v>
      </c>
      <c r="W4" s="74">
        <v>2011</v>
      </c>
      <c r="X4" s="173" t="s">
        <v>142</v>
      </c>
      <c r="Y4" s="173" t="s">
        <v>144</v>
      </c>
      <c r="Z4" s="173" t="s">
        <v>145</v>
      </c>
      <c r="AA4" s="173" t="s">
        <v>146</v>
      </c>
    </row>
    <row r="5" spans="1:27">
      <c r="B5" s="15" t="s">
        <v>2</v>
      </c>
      <c r="C5" s="15" t="s">
        <v>2</v>
      </c>
      <c r="D5" s="15" t="s">
        <v>2</v>
      </c>
      <c r="E5" s="15" t="s">
        <v>2</v>
      </c>
      <c r="F5" s="15" t="s">
        <v>2</v>
      </c>
      <c r="G5" s="15" t="s">
        <v>2</v>
      </c>
      <c r="H5" s="15" t="s">
        <v>2</v>
      </c>
      <c r="I5" s="15" t="s">
        <v>2</v>
      </c>
      <c r="J5" s="15" t="s">
        <v>2</v>
      </c>
      <c r="K5" s="15" t="s">
        <v>2</v>
      </c>
      <c r="L5" s="15" t="s">
        <v>2</v>
      </c>
      <c r="M5" s="15" t="s">
        <v>2</v>
      </c>
      <c r="N5" s="15" t="s">
        <v>2</v>
      </c>
      <c r="O5" s="15" t="s">
        <v>2</v>
      </c>
      <c r="P5" s="15" t="s">
        <v>2</v>
      </c>
      <c r="Q5" s="15" t="s">
        <v>2</v>
      </c>
      <c r="R5" s="15" t="s">
        <v>2</v>
      </c>
      <c r="S5" s="15" t="s">
        <v>2</v>
      </c>
      <c r="T5" s="15" t="s">
        <v>2</v>
      </c>
      <c r="U5" s="15" t="s">
        <v>2</v>
      </c>
      <c r="V5" s="15" t="s">
        <v>2</v>
      </c>
      <c r="W5" s="15" t="s">
        <v>2</v>
      </c>
      <c r="X5" s="172" t="s">
        <v>2</v>
      </c>
      <c r="Y5" s="172" t="s">
        <v>2</v>
      </c>
      <c r="Z5" s="172" t="s">
        <v>2</v>
      </c>
      <c r="AA5" s="172" t="s">
        <v>2</v>
      </c>
    </row>
    <row r="6" spans="1:27" s="23" customFormat="1">
      <c r="A6" s="63" t="s">
        <v>118</v>
      </c>
      <c r="B6" s="13">
        <v>723469</v>
      </c>
      <c r="C6" s="13">
        <v>807909</v>
      </c>
      <c r="D6" s="13">
        <v>877683</v>
      </c>
      <c r="E6" s="13">
        <v>1282874.9240000001</v>
      </c>
      <c r="F6" s="91">
        <f>+F7+F25+F40+F54+F65</f>
        <v>1270905.263</v>
      </c>
      <c r="G6" s="13">
        <v>1404989.3189999999</v>
      </c>
      <c r="H6" s="13">
        <v>1511754.71</v>
      </c>
      <c r="I6" s="91">
        <f>+I7+I25+I40+I54+I65</f>
        <v>1473756.7420000001</v>
      </c>
      <c r="J6" s="76">
        <v>1697514.9720000001</v>
      </c>
      <c r="K6" s="91">
        <f t="shared" ref="K6:U6" si="0">+K7+K25+K40+K54+K65</f>
        <v>1814678.9627100001</v>
      </c>
      <c r="L6" s="91">
        <f t="shared" si="0"/>
        <v>2149458.4669999997</v>
      </c>
      <c r="M6" s="91">
        <f t="shared" si="0"/>
        <v>2366005.9589999998</v>
      </c>
      <c r="N6" s="91">
        <f t="shared" si="0"/>
        <v>2380279.8299999996</v>
      </c>
      <c r="O6" s="91">
        <f t="shared" si="0"/>
        <v>2374682.5580000002</v>
      </c>
      <c r="P6" s="91">
        <f t="shared" si="0"/>
        <v>2429875.6870000004</v>
      </c>
      <c r="Q6" s="91">
        <f t="shared" si="0"/>
        <v>2749206.4210000006</v>
      </c>
      <c r="R6" s="91">
        <f t="shared" si="0"/>
        <v>2927585.6189999999</v>
      </c>
      <c r="S6" s="91">
        <f t="shared" si="0"/>
        <v>3120586.7050000001</v>
      </c>
      <c r="T6" s="91">
        <f t="shared" si="0"/>
        <v>3458789.45</v>
      </c>
      <c r="U6" s="91">
        <f t="shared" si="0"/>
        <v>3824576.8890000004</v>
      </c>
      <c r="V6" s="91">
        <f t="shared" ref="V6:W6" si="1">+V7+V25+V40+V54+V65</f>
        <v>4484811.835</v>
      </c>
      <c r="W6" s="91">
        <f t="shared" si="1"/>
        <v>4683027.3389999997</v>
      </c>
      <c r="X6" s="91">
        <f t="shared" ref="X6:Y6" si="2">+X7+X25+X40+X54+X65</f>
        <v>4767651.6579999998</v>
      </c>
      <c r="Y6" s="91">
        <f t="shared" si="2"/>
        <v>4202189.9909999995</v>
      </c>
      <c r="Z6" s="91">
        <f t="shared" ref="Z6:AA6" si="3">+Z7+Z25+Z40+Z54+Z65</f>
        <v>4426522.6969999997</v>
      </c>
      <c r="AA6" s="91">
        <f t="shared" si="3"/>
        <v>4524773.4339999994</v>
      </c>
    </row>
    <row r="7" spans="1:27" s="23" customFormat="1">
      <c r="A7" s="22" t="s">
        <v>56</v>
      </c>
      <c r="B7" s="89">
        <f>SUM(B8:B24)</f>
        <v>233746</v>
      </c>
      <c r="C7" s="89">
        <f t="shared" ref="C7:U7" si="4">SUM(C8:C24)</f>
        <v>260723</v>
      </c>
      <c r="D7" s="89">
        <f t="shared" si="4"/>
        <v>273381</v>
      </c>
      <c r="E7" s="89">
        <f t="shared" si="4"/>
        <v>413402.60800000007</v>
      </c>
      <c r="F7" s="89">
        <f t="shared" si="4"/>
        <v>409758.82700000005</v>
      </c>
      <c r="G7" s="89">
        <f t="shared" si="4"/>
        <v>447806.02800000005</v>
      </c>
      <c r="H7" s="89">
        <f t="shared" si="4"/>
        <v>477158.64000000007</v>
      </c>
      <c r="I7" s="89">
        <f t="shared" si="4"/>
        <v>495889.55800000002</v>
      </c>
      <c r="J7" s="89">
        <f t="shared" si="4"/>
        <v>516749.39699999994</v>
      </c>
      <c r="K7" s="89">
        <f t="shared" si="4"/>
        <v>541724.03960000002</v>
      </c>
      <c r="L7" s="89">
        <f t="shared" si="4"/>
        <v>723109.429</v>
      </c>
      <c r="M7" s="89">
        <f t="shared" si="4"/>
        <v>812216.71000000008</v>
      </c>
      <c r="N7" s="89">
        <f t="shared" si="4"/>
        <v>795887.21199999994</v>
      </c>
      <c r="O7" s="89">
        <f t="shared" si="4"/>
        <v>792737.23400000005</v>
      </c>
      <c r="P7" s="89">
        <f t="shared" si="4"/>
        <v>822907.853</v>
      </c>
      <c r="Q7" s="89">
        <f t="shared" si="4"/>
        <v>928484.49599999993</v>
      </c>
      <c r="R7" s="89">
        <f t="shared" si="4"/>
        <v>972901.00399999996</v>
      </c>
      <c r="S7" s="89">
        <f t="shared" si="4"/>
        <v>1061781.0780000002</v>
      </c>
      <c r="T7" s="89">
        <f t="shared" si="4"/>
        <v>1185410.7760000001</v>
      </c>
      <c r="U7" s="89">
        <f t="shared" si="4"/>
        <v>1306165.7520000001</v>
      </c>
      <c r="V7" s="89">
        <f t="shared" ref="V7:W7" si="5">SUM(V8:V24)</f>
        <v>1551355.3779999998</v>
      </c>
      <c r="W7" s="89">
        <f t="shared" si="5"/>
        <v>1637863.4310000001</v>
      </c>
      <c r="X7" s="89">
        <f t="shared" ref="X7:Y7" si="6">SUM(X8:X24)</f>
        <v>1699001.76</v>
      </c>
      <c r="Y7" s="89">
        <f t="shared" si="6"/>
        <v>1635565.5</v>
      </c>
      <c r="Z7" s="89">
        <f t="shared" ref="Z7:AA7" si="7">SUM(Z8:Z24)</f>
        <v>1719791.3799999997</v>
      </c>
      <c r="AA7" s="89">
        <f t="shared" si="7"/>
        <v>1760151.4029999999</v>
      </c>
    </row>
    <row r="8" spans="1:27">
      <c r="A8" s="79" t="s">
        <v>119</v>
      </c>
      <c r="T8" s="2"/>
      <c r="U8" s="2"/>
      <c r="V8" s="2"/>
      <c r="W8" s="2"/>
    </row>
    <row r="9" spans="1:27">
      <c r="A9" s="22" t="s">
        <v>3</v>
      </c>
      <c r="B9" s="13">
        <v>8112</v>
      </c>
      <c r="C9" s="13">
        <v>9751</v>
      </c>
      <c r="D9" s="13">
        <v>11423</v>
      </c>
      <c r="E9" s="13">
        <v>18661.806</v>
      </c>
      <c r="F9" s="76">
        <v>19255.021000000001</v>
      </c>
      <c r="G9" s="13">
        <v>20891.671999999999</v>
      </c>
      <c r="H9" s="13">
        <v>24724.179</v>
      </c>
      <c r="I9" s="13">
        <v>24621.824000000001</v>
      </c>
      <c r="J9" s="13">
        <v>25682.516</v>
      </c>
      <c r="K9" s="13">
        <v>24202.017340000002</v>
      </c>
      <c r="L9" s="14">
        <v>29925.612000000001</v>
      </c>
      <c r="M9" s="14">
        <v>29509.546999999999</v>
      </c>
      <c r="N9" s="14">
        <v>30657.383000000002</v>
      </c>
      <c r="O9" s="14">
        <v>33065.667000000001</v>
      </c>
      <c r="P9" s="14">
        <v>32608.353999999999</v>
      </c>
      <c r="Q9" s="14">
        <v>37107.173000000003</v>
      </c>
      <c r="R9" s="14">
        <v>41556.881000000001</v>
      </c>
      <c r="S9" s="14">
        <v>43384.982000000004</v>
      </c>
      <c r="T9" s="2">
        <v>55168.025999999998</v>
      </c>
      <c r="U9" s="2">
        <v>50903.088000000003</v>
      </c>
      <c r="V9" s="2">
        <v>53968.425000000003</v>
      </c>
      <c r="W9" s="2">
        <v>56528.311000000002</v>
      </c>
      <c r="X9" s="2">
        <v>55633.959000000003</v>
      </c>
      <c r="Y9" s="2">
        <v>53350.622000000003</v>
      </c>
      <c r="Z9" s="2">
        <v>54008.436999999998</v>
      </c>
      <c r="AA9" s="2">
        <v>55048.275999999998</v>
      </c>
    </row>
    <row r="10" spans="1:27">
      <c r="A10" s="22" t="s">
        <v>4</v>
      </c>
      <c r="B10" s="13">
        <v>2342</v>
      </c>
      <c r="C10" s="13">
        <v>2341</v>
      </c>
      <c r="D10" s="13">
        <v>2879</v>
      </c>
      <c r="E10" s="13">
        <v>4050.1280000000002</v>
      </c>
      <c r="F10" s="76">
        <v>4826.3249999999998</v>
      </c>
      <c r="G10" s="13">
        <v>6002.9949999999999</v>
      </c>
      <c r="H10" s="13">
        <v>7219.165</v>
      </c>
      <c r="I10" s="14">
        <v>7945.1790000000001</v>
      </c>
      <c r="J10" s="14">
        <v>11368.378000000001</v>
      </c>
      <c r="K10" s="14">
        <v>9002.8089999999993</v>
      </c>
      <c r="L10" s="14">
        <v>13949.358</v>
      </c>
      <c r="M10" s="14">
        <v>13891.097</v>
      </c>
      <c r="N10" s="14">
        <v>12797.224</v>
      </c>
      <c r="O10" s="14">
        <v>14385.51</v>
      </c>
      <c r="P10" s="14">
        <v>15991.227999999999</v>
      </c>
      <c r="Q10" s="14">
        <v>16934.964</v>
      </c>
      <c r="R10" s="14">
        <v>20533.093000000001</v>
      </c>
      <c r="S10" s="14">
        <v>27695.73</v>
      </c>
      <c r="T10" s="2">
        <v>32752.207999999999</v>
      </c>
      <c r="U10" s="2">
        <v>31094.079000000002</v>
      </c>
      <c r="V10" s="2">
        <v>38430.735000000001</v>
      </c>
      <c r="W10" s="2">
        <v>42452.606</v>
      </c>
      <c r="X10" s="2">
        <v>42660.728999999999</v>
      </c>
      <c r="Y10" s="2">
        <v>42549.656999999999</v>
      </c>
      <c r="Z10" s="2">
        <v>42725.209000000003</v>
      </c>
      <c r="AA10" s="2">
        <v>42177.461000000003</v>
      </c>
    </row>
    <row r="11" spans="1:27">
      <c r="A11" s="22" t="s">
        <v>52</v>
      </c>
      <c r="B11" s="13"/>
      <c r="C11" s="13"/>
      <c r="D11" s="13">
        <v>2358</v>
      </c>
      <c r="E11" s="13">
        <v>2665.6529999999998</v>
      </c>
      <c r="F11" s="76">
        <v>3072.8679999999999</v>
      </c>
      <c r="G11" s="13"/>
      <c r="H11" s="13"/>
      <c r="I11" s="14">
        <v>14266.812</v>
      </c>
      <c r="J11" s="14">
        <v>4802.9179999999997</v>
      </c>
      <c r="K11" s="14">
        <v>2983.067</v>
      </c>
      <c r="L11" s="14">
        <v>6596.259</v>
      </c>
      <c r="M11" s="14">
        <v>7048.6850000000004</v>
      </c>
      <c r="N11" s="14">
        <v>7735.53</v>
      </c>
      <c r="O11" s="14">
        <v>7829.3249999999998</v>
      </c>
      <c r="P11" s="14">
        <v>9404.8040000000001</v>
      </c>
      <c r="Q11" s="14">
        <v>10433.699000000001</v>
      </c>
      <c r="R11" s="14">
        <v>13072.611999999999</v>
      </c>
      <c r="S11" s="14">
        <v>12114.79</v>
      </c>
      <c r="T11" s="2">
        <v>13781.062</v>
      </c>
      <c r="U11" s="2">
        <v>13261.933000000001</v>
      </c>
      <c r="V11" s="2">
        <v>15294.665999999999</v>
      </c>
      <c r="W11" s="2">
        <v>15946.456</v>
      </c>
      <c r="X11" s="2">
        <v>16478.905999999999</v>
      </c>
      <c r="Y11" s="2">
        <v>16740.809000000001</v>
      </c>
      <c r="Z11" s="2">
        <v>17302.196</v>
      </c>
      <c r="AA11" s="2">
        <v>18131.383999999998</v>
      </c>
    </row>
    <row r="12" spans="1:27">
      <c r="A12" s="22" t="s">
        <v>5</v>
      </c>
      <c r="B12" s="13">
        <v>49859</v>
      </c>
      <c r="C12" s="13">
        <v>53239</v>
      </c>
      <c r="D12" s="13">
        <v>52443</v>
      </c>
      <c r="E12" s="13">
        <v>86919.387000000002</v>
      </c>
      <c r="F12" s="76">
        <v>84178.3</v>
      </c>
      <c r="G12" s="13">
        <v>90626.887000000002</v>
      </c>
      <c r="H12" s="13">
        <v>95425.203999999998</v>
      </c>
      <c r="I12" s="14">
        <v>98303.513999999996</v>
      </c>
      <c r="J12" s="14">
        <v>96432.672000000006</v>
      </c>
      <c r="K12" s="14">
        <v>105204.291</v>
      </c>
      <c r="L12" s="14">
        <v>167378.92000000001</v>
      </c>
      <c r="M12" s="14">
        <v>184087.22899999999</v>
      </c>
      <c r="N12" s="14">
        <v>167360.65900000001</v>
      </c>
      <c r="O12" s="14">
        <v>138188.39199999999</v>
      </c>
      <c r="P12" s="14">
        <v>144829.503</v>
      </c>
      <c r="Q12" s="14">
        <v>148685.61600000001</v>
      </c>
      <c r="R12" s="14">
        <v>148820.25399999999</v>
      </c>
      <c r="S12" s="14">
        <v>188005.87299999999</v>
      </c>
      <c r="T12" s="2">
        <v>189928.29199999999</v>
      </c>
      <c r="U12" s="2">
        <v>294482.65299999999</v>
      </c>
      <c r="V12" s="2">
        <v>302905.16499999998</v>
      </c>
      <c r="W12" s="2">
        <v>323565.18599999999</v>
      </c>
      <c r="X12" s="2">
        <v>324112.60700000002</v>
      </c>
      <c r="Y12" s="2">
        <v>315270.11599999998</v>
      </c>
      <c r="Z12" s="2">
        <v>329215.891</v>
      </c>
      <c r="AA12" s="2">
        <v>328119.67700000003</v>
      </c>
    </row>
    <row r="13" spans="1:27">
      <c r="A13" s="22" t="s">
        <v>6</v>
      </c>
      <c r="B13" s="13">
        <v>7215</v>
      </c>
      <c r="C13" s="13">
        <v>7622</v>
      </c>
      <c r="D13" s="13">
        <v>8981</v>
      </c>
      <c r="E13" s="13">
        <v>18700.11</v>
      </c>
      <c r="F13" s="76">
        <v>22361.804</v>
      </c>
      <c r="G13" s="13">
        <v>25611.727999999999</v>
      </c>
      <c r="H13" s="13">
        <v>27971.157999999999</v>
      </c>
      <c r="I13" s="14">
        <v>31368.505000000001</v>
      </c>
      <c r="J13" s="14">
        <v>27695.501</v>
      </c>
      <c r="K13" s="14">
        <v>27843.239659999996</v>
      </c>
      <c r="L13" s="14">
        <v>59916.260999999999</v>
      </c>
      <c r="M13" s="14">
        <v>66038.625</v>
      </c>
      <c r="N13" s="14">
        <v>77656.034</v>
      </c>
      <c r="O13" s="14">
        <v>76004.274999999994</v>
      </c>
      <c r="P13" s="14">
        <v>77034.732000000004</v>
      </c>
      <c r="Q13" s="14">
        <v>80034.547000000006</v>
      </c>
      <c r="R13" s="14">
        <v>84192.566000000006</v>
      </c>
      <c r="S13" s="14">
        <v>80874.418000000005</v>
      </c>
      <c r="T13" s="2">
        <v>87985.241999999998</v>
      </c>
      <c r="U13" s="2">
        <v>38119.809000000001</v>
      </c>
      <c r="V13" s="2">
        <v>122394.262</v>
      </c>
      <c r="W13" s="2">
        <v>130313.59699999999</v>
      </c>
      <c r="X13" s="2">
        <v>152981.70000000001</v>
      </c>
      <c r="Y13" s="2">
        <v>41369.398000000001</v>
      </c>
      <c r="Z13" s="2">
        <v>51738.485999999997</v>
      </c>
      <c r="AA13" s="2">
        <v>54113.368000000002</v>
      </c>
    </row>
    <row r="14" spans="1:27">
      <c r="A14" s="22" t="s">
        <v>7</v>
      </c>
      <c r="B14" s="13">
        <v>3699</v>
      </c>
      <c r="C14" s="13">
        <v>6636</v>
      </c>
      <c r="D14" s="13">
        <v>5026</v>
      </c>
      <c r="E14" s="13">
        <v>8156.0370000000003</v>
      </c>
      <c r="F14" s="76">
        <v>7504.7719999999999</v>
      </c>
      <c r="G14" s="13">
        <v>7734.3069999999998</v>
      </c>
      <c r="H14" s="13">
        <v>8469.2819999999992</v>
      </c>
      <c r="I14" s="14">
        <v>9822.14</v>
      </c>
      <c r="J14" s="14">
        <v>9736.5059999999994</v>
      </c>
      <c r="K14" s="14">
        <v>12574.549000000001</v>
      </c>
      <c r="L14" s="14">
        <v>24085.136999999999</v>
      </c>
      <c r="M14" s="14">
        <v>23480.474999999999</v>
      </c>
      <c r="N14" s="14">
        <v>1662.7719999999999</v>
      </c>
      <c r="O14" s="14">
        <v>1992.441</v>
      </c>
      <c r="P14" s="14">
        <v>2247.2280000000001</v>
      </c>
      <c r="Q14" s="14">
        <v>24554.969000000001</v>
      </c>
      <c r="R14" s="14">
        <v>24911.06</v>
      </c>
      <c r="S14" s="14">
        <v>29121.296999999999</v>
      </c>
      <c r="T14" s="2">
        <v>37733.042999999998</v>
      </c>
      <c r="U14" s="2">
        <v>33267.61</v>
      </c>
      <c r="V14" s="2">
        <v>40515.999000000003</v>
      </c>
      <c r="W14" s="2">
        <v>41096.800999999999</v>
      </c>
      <c r="X14" s="2">
        <v>44471.597000000002</v>
      </c>
      <c r="Y14" s="2">
        <v>42795.264000000003</v>
      </c>
      <c r="Z14" s="2">
        <v>38274.177000000003</v>
      </c>
      <c r="AA14" s="2">
        <v>39928.137999999999</v>
      </c>
    </row>
    <row r="15" spans="1:27">
      <c r="A15" s="22" t="s">
        <v>8</v>
      </c>
      <c r="B15" s="36">
        <v>3717</v>
      </c>
      <c r="C15" s="36">
        <v>4126</v>
      </c>
      <c r="D15" s="36">
        <v>4050</v>
      </c>
      <c r="E15" s="36">
        <v>5047.2039999999997</v>
      </c>
      <c r="F15" s="77">
        <v>5644.6220000000003</v>
      </c>
      <c r="G15" s="36">
        <v>6194.2120000000004</v>
      </c>
      <c r="H15" s="36">
        <v>7176.9030000000002</v>
      </c>
      <c r="I15" s="37">
        <v>5786.4690000000001</v>
      </c>
      <c r="J15" s="37">
        <v>8768.2860000000001</v>
      </c>
      <c r="K15" s="37">
        <v>7899.1095300000015</v>
      </c>
      <c r="L15" s="37">
        <v>7409.2439999999997</v>
      </c>
      <c r="M15" s="37">
        <v>8251.8050000000003</v>
      </c>
      <c r="N15" s="37">
        <v>8026.4120000000003</v>
      </c>
      <c r="O15" s="37">
        <v>11160.331</v>
      </c>
      <c r="P15" s="37">
        <v>13986.7</v>
      </c>
      <c r="Q15" s="37">
        <v>16334.069</v>
      </c>
      <c r="R15" s="37">
        <v>15437.541999999999</v>
      </c>
      <c r="S15" s="37">
        <v>22492.34</v>
      </c>
      <c r="T15" s="23">
        <v>27795.853999999999</v>
      </c>
      <c r="U15" s="23">
        <v>22027.843000000001</v>
      </c>
      <c r="V15" s="23">
        <v>29562.218000000001</v>
      </c>
      <c r="W15" s="23">
        <v>28882.26</v>
      </c>
      <c r="X15" s="2">
        <v>35392.410000000003</v>
      </c>
      <c r="Y15" s="2">
        <v>26025.272000000001</v>
      </c>
      <c r="Z15" s="2">
        <v>28239.217000000001</v>
      </c>
      <c r="AA15" s="2">
        <v>27634.182000000001</v>
      </c>
    </row>
    <row r="16" spans="1:27">
      <c r="A16" s="22" t="s">
        <v>9</v>
      </c>
      <c r="B16" s="36">
        <v>15531</v>
      </c>
      <c r="C16" s="36">
        <v>15274</v>
      </c>
      <c r="D16" s="36">
        <v>17076</v>
      </c>
      <c r="E16" s="36">
        <v>36085.618000000002</v>
      </c>
      <c r="F16" s="77">
        <v>28905.038</v>
      </c>
      <c r="G16" s="36">
        <v>35828.383000000002</v>
      </c>
      <c r="H16" s="36">
        <v>38905.374000000003</v>
      </c>
      <c r="I16" s="37">
        <v>31981.805</v>
      </c>
      <c r="J16" s="37">
        <v>41435.317999999999</v>
      </c>
      <c r="K16" s="37">
        <v>41926.995999999999</v>
      </c>
      <c r="L16" s="37">
        <v>58794.485000000001</v>
      </c>
      <c r="M16" s="37">
        <v>64120.141000000003</v>
      </c>
      <c r="N16" s="37">
        <v>66912.713000000003</v>
      </c>
      <c r="O16" s="37">
        <v>74241.164999999994</v>
      </c>
      <c r="P16" s="37">
        <v>76990.653999999995</v>
      </c>
      <c r="Q16" s="37">
        <v>82490.076000000001</v>
      </c>
      <c r="R16" s="37">
        <v>86932.294999999998</v>
      </c>
      <c r="S16" s="37">
        <v>92332.861000000004</v>
      </c>
      <c r="T16" s="23">
        <v>99015.491999999998</v>
      </c>
      <c r="U16" s="23">
        <v>114680.435</v>
      </c>
      <c r="V16" s="23">
        <v>119288.52899999999</v>
      </c>
      <c r="W16" s="23">
        <v>119327.614</v>
      </c>
      <c r="X16" s="2">
        <v>124740.783</v>
      </c>
      <c r="Y16" s="2">
        <v>141541.679</v>
      </c>
      <c r="Z16" s="2">
        <v>152527.698</v>
      </c>
      <c r="AA16" s="2">
        <v>160397.72399999999</v>
      </c>
    </row>
    <row r="17" spans="1:27">
      <c r="A17" s="22" t="s">
        <v>10</v>
      </c>
      <c r="B17" s="36">
        <v>4868</v>
      </c>
      <c r="C17" s="36">
        <v>6252</v>
      </c>
      <c r="D17" s="36">
        <v>5767</v>
      </c>
      <c r="E17" s="36">
        <v>8446.1029999999992</v>
      </c>
      <c r="F17" s="77">
        <v>8217.98</v>
      </c>
      <c r="G17" s="36">
        <v>9512.9279999999999</v>
      </c>
      <c r="H17" s="36">
        <v>10299.616</v>
      </c>
      <c r="I17" s="37">
        <v>14210.583000000001</v>
      </c>
      <c r="J17" s="37">
        <v>12929.982</v>
      </c>
      <c r="K17" s="37">
        <v>13675.582</v>
      </c>
      <c r="L17" s="37">
        <v>15273.221</v>
      </c>
      <c r="M17" s="37">
        <v>16447.307000000001</v>
      </c>
      <c r="N17" s="37">
        <v>15261.788</v>
      </c>
      <c r="O17" s="37">
        <v>15540.165999999999</v>
      </c>
      <c r="P17" s="37">
        <v>15478.501</v>
      </c>
      <c r="Q17" s="37">
        <v>15661.11</v>
      </c>
      <c r="R17" s="37">
        <v>17186.883000000002</v>
      </c>
      <c r="S17" s="37">
        <v>17168.814999999999</v>
      </c>
      <c r="T17" s="23">
        <v>18950.378000000001</v>
      </c>
      <c r="U17" s="23">
        <v>20547.839</v>
      </c>
      <c r="V17" s="23">
        <v>21852.213</v>
      </c>
      <c r="W17" s="23">
        <v>21802.030999999999</v>
      </c>
      <c r="X17" s="2">
        <v>21361.636999999999</v>
      </c>
      <c r="Y17" s="2">
        <v>23193.536</v>
      </c>
      <c r="Z17" s="2">
        <v>23497.49</v>
      </c>
      <c r="AA17" s="2">
        <v>21537.998</v>
      </c>
    </row>
    <row r="18" spans="1:27">
      <c r="A18" s="22" t="s">
        <v>11</v>
      </c>
      <c r="B18" s="36">
        <v>29174</v>
      </c>
      <c r="C18" s="36">
        <v>32550</v>
      </c>
      <c r="D18" s="36">
        <v>32516</v>
      </c>
      <c r="E18" s="36">
        <v>46644.834000000003</v>
      </c>
      <c r="F18" s="77">
        <v>46654.235000000001</v>
      </c>
      <c r="G18" s="36">
        <v>48695.752999999997</v>
      </c>
      <c r="H18" s="36">
        <v>48419.184000000001</v>
      </c>
      <c r="I18" s="37">
        <v>48765.784</v>
      </c>
      <c r="J18" s="37">
        <v>50349.347999999998</v>
      </c>
      <c r="K18" s="37">
        <v>51186.338419999985</v>
      </c>
      <c r="L18" s="37">
        <v>49726.525999999998</v>
      </c>
      <c r="M18" s="37">
        <v>77707.482000000004</v>
      </c>
      <c r="N18" s="37">
        <v>77075.967999999993</v>
      </c>
      <c r="O18" s="37">
        <v>82461.239000000001</v>
      </c>
      <c r="P18" s="37">
        <v>93476.436000000002</v>
      </c>
      <c r="Q18" s="37">
        <v>102509.00199999999</v>
      </c>
      <c r="R18" s="37">
        <v>114226.417</v>
      </c>
      <c r="S18" s="37">
        <v>117204.155</v>
      </c>
      <c r="T18" s="23">
        <v>127055.292</v>
      </c>
      <c r="U18" s="23">
        <v>131856.87100000001</v>
      </c>
      <c r="V18" s="23">
        <v>141324.31099999999</v>
      </c>
      <c r="W18" s="23">
        <v>161047.75899999999</v>
      </c>
      <c r="X18" s="2">
        <v>175281.42199999999</v>
      </c>
      <c r="Y18" s="2">
        <v>185508.91800000001</v>
      </c>
      <c r="Z18" s="2">
        <v>188231.84599999999</v>
      </c>
      <c r="AA18" s="2">
        <v>193507.03700000001</v>
      </c>
    </row>
    <row r="19" spans="1:27">
      <c r="A19" s="22" t="s">
        <v>12</v>
      </c>
      <c r="B19" s="36">
        <v>5867</v>
      </c>
      <c r="C19" s="36">
        <v>6108</v>
      </c>
      <c r="D19" s="37">
        <v>6669</v>
      </c>
      <c r="E19" s="36">
        <v>11722.385</v>
      </c>
      <c r="F19" s="77">
        <v>12710.26</v>
      </c>
      <c r="G19" s="36">
        <v>13069.484</v>
      </c>
      <c r="H19" s="36">
        <v>14094.874</v>
      </c>
      <c r="I19" s="37">
        <v>15408.081</v>
      </c>
      <c r="J19" s="37">
        <v>16069.343000000001</v>
      </c>
      <c r="K19" s="37">
        <v>17985.523819999991</v>
      </c>
      <c r="L19" s="37">
        <v>22529.392</v>
      </c>
      <c r="M19" s="37">
        <v>24740.460999999999</v>
      </c>
      <c r="N19" s="37">
        <v>19143.871999999999</v>
      </c>
      <c r="O19" s="37">
        <v>15838.089</v>
      </c>
      <c r="P19" s="37">
        <v>15453.49</v>
      </c>
      <c r="Q19" s="37">
        <v>18063.945</v>
      </c>
      <c r="R19" s="37">
        <v>16805.438999999998</v>
      </c>
      <c r="S19" s="37">
        <v>17146.282999999999</v>
      </c>
      <c r="T19" s="23">
        <v>21107.205000000002</v>
      </c>
      <c r="U19" s="23">
        <v>26196.289000000001</v>
      </c>
      <c r="V19" s="23">
        <v>28589.976999999999</v>
      </c>
      <c r="W19" s="23">
        <v>29179.491999999998</v>
      </c>
      <c r="X19" s="2">
        <v>31564.276000000002</v>
      </c>
      <c r="Y19" s="2">
        <v>32277.665000000001</v>
      </c>
      <c r="Z19" s="2">
        <v>37585.692999999999</v>
      </c>
      <c r="AA19" s="2">
        <v>57656.182999999997</v>
      </c>
    </row>
    <row r="20" spans="1:27">
      <c r="A20" s="22" t="s">
        <v>13</v>
      </c>
      <c r="B20" s="36">
        <v>9189</v>
      </c>
      <c r="C20" s="36">
        <v>12370</v>
      </c>
      <c r="D20" s="36">
        <v>12914</v>
      </c>
      <c r="E20" s="36">
        <v>24044.805</v>
      </c>
      <c r="F20" s="77">
        <v>26676.581999999999</v>
      </c>
      <c r="G20" s="36">
        <v>29167.585999999999</v>
      </c>
      <c r="H20" s="36">
        <v>27445.682000000001</v>
      </c>
      <c r="I20" s="37">
        <v>27778.989000000001</v>
      </c>
      <c r="J20" s="37">
        <v>28767.556</v>
      </c>
      <c r="K20" s="37">
        <v>35093.510999999999</v>
      </c>
      <c r="L20" s="37">
        <v>45349.872000000003</v>
      </c>
      <c r="M20" s="37">
        <v>48136.870999999999</v>
      </c>
      <c r="N20" s="37">
        <v>52840.790999999997</v>
      </c>
      <c r="O20" s="37">
        <v>54041.108999999997</v>
      </c>
      <c r="P20" s="37">
        <v>52557.055999999997</v>
      </c>
      <c r="Q20" s="37">
        <v>58937.629000000001</v>
      </c>
      <c r="R20" s="37">
        <v>57151.12</v>
      </c>
      <c r="S20" s="37">
        <v>58930.146999999997</v>
      </c>
      <c r="T20" s="23">
        <v>71083.997000000003</v>
      </c>
      <c r="U20" s="23">
        <v>74949.198000000004</v>
      </c>
      <c r="V20" s="23">
        <v>75782.892000000007</v>
      </c>
      <c r="W20" s="23">
        <v>78185.58</v>
      </c>
      <c r="X20" s="2">
        <v>75893.107000000004</v>
      </c>
      <c r="Y20" s="2">
        <v>80305.555999999997</v>
      </c>
      <c r="Z20" s="2">
        <v>87416.134999999995</v>
      </c>
      <c r="AA20" s="2">
        <v>86200.683999999994</v>
      </c>
    </row>
    <row r="21" spans="1:27" s="17" customFormat="1">
      <c r="A21" s="22" t="s">
        <v>14</v>
      </c>
      <c r="B21" s="36">
        <v>7702</v>
      </c>
      <c r="C21" s="36">
        <v>9149</v>
      </c>
      <c r="D21" s="36">
        <v>10623</v>
      </c>
      <c r="E21" s="36">
        <v>12985.825000000001</v>
      </c>
      <c r="F21" s="77">
        <v>12540.782999999999</v>
      </c>
      <c r="G21" s="36">
        <v>15306.305</v>
      </c>
      <c r="H21" s="36">
        <v>18309.417000000001</v>
      </c>
      <c r="I21" s="37">
        <v>20788.677</v>
      </c>
      <c r="J21" s="37">
        <v>20854.876</v>
      </c>
      <c r="K21" s="37">
        <v>20859.400000000001</v>
      </c>
      <c r="L21" s="37">
        <v>20125.994999999999</v>
      </c>
      <c r="M21" s="37">
        <v>22091.134999999998</v>
      </c>
      <c r="N21" s="37">
        <v>27849.212</v>
      </c>
      <c r="O21" s="37">
        <v>30169.088</v>
      </c>
      <c r="P21" s="37">
        <v>29730.597000000002</v>
      </c>
      <c r="Q21" s="37">
        <v>32076.873</v>
      </c>
      <c r="R21" s="37">
        <v>34883.224999999999</v>
      </c>
      <c r="S21" s="37">
        <v>36490.563999999998</v>
      </c>
      <c r="T21" s="23">
        <v>39741.445</v>
      </c>
      <c r="U21" s="23">
        <v>44659.406000000003</v>
      </c>
      <c r="V21" s="23">
        <v>50656.144</v>
      </c>
      <c r="W21" s="23">
        <v>58599.031999999999</v>
      </c>
      <c r="X21" s="23">
        <v>57993.483</v>
      </c>
      <c r="Y21" s="2">
        <v>62617.267999999996</v>
      </c>
      <c r="Z21" s="2">
        <v>62052.955000000002</v>
      </c>
      <c r="AA21" s="2">
        <v>61187.542999999998</v>
      </c>
    </row>
    <row r="22" spans="1:27">
      <c r="A22" s="22" t="s">
        <v>15</v>
      </c>
      <c r="B22" s="36">
        <v>64063</v>
      </c>
      <c r="C22" s="36">
        <v>69842</v>
      </c>
      <c r="D22" s="36">
        <v>72193</v>
      </c>
      <c r="E22" s="36">
        <v>97430.395000000004</v>
      </c>
      <c r="F22" s="77">
        <v>94446.335999999996</v>
      </c>
      <c r="G22" s="36">
        <v>105431.25</v>
      </c>
      <c r="H22" s="36">
        <v>110725.38499999999</v>
      </c>
      <c r="I22" s="37">
        <v>105724.469</v>
      </c>
      <c r="J22" s="37">
        <v>122838.451</v>
      </c>
      <c r="K22" s="37">
        <v>129356.02800000001</v>
      </c>
      <c r="L22" s="37">
        <v>148065.12299999999</v>
      </c>
      <c r="M22" s="37">
        <v>168334.35200000001</v>
      </c>
      <c r="N22" s="37">
        <v>174303.095</v>
      </c>
      <c r="O22" s="37">
        <v>182175.851</v>
      </c>
      <c r="P22" s="37">
        <v>183446.43900000001</v>
      </c>
      <c r="Q22" s="37">
        <v>216943.177</v>
      </c>
      <c r="R22" s="37">
        <v>226467.75700000001</v>
      </c>
      <c r="S22" s="37">
        <v>238133.228</v>
      </c>
      <c r="T22" s="23">
        <v>274552.37300000002</v>
      </c>
      <c r="U22" s="23">
        <v>316002.39600000001</v>
      </c>
      <c r="V22" s="23">
        <v>404169.63500000001</v>
      </c>
      <c r="W22" s="23">
        <v>420275.38099999999</v>
      </c>
      <c r="X22" s="2">
        <v>418112.12900000002</v>
      </c>
      <c r="Y22" s="2">
        <v>451975.462</v>
      </c>
      <c r="Z22" s="2">
        <v>472884.62</v>
      </c>
      <c r="AA22" s="2">
        <v>480730.80800000002</v>
      </c>
    </row>
    <row r="23" spans="1:27">
      <c r="A23" s="22" t="s">
        <v>16</v>
      </c>
      <c r="B23" s="36">
        <v>21043</v>
      </c>
      <c r="C23" s="36">
        <v>23716</v>
      </c>
      <c r="D23" s="36">
        <v>26635</v>
      </c>
      <c r="E23" s="36">
        <v>29743.267</v>
      </c>
      <c r="F23" s="77">
        <v>30571.119999999999</v>
      </c>
      <c r="G23" s="36">
        <v>31621.538</v>
      </c>
      <c r="H23" s="36">
        <v>35678.159</v>
      </c>
      <c r="I23" s="37">
        <v>36489.769999999997</v>
      </c>
      <c r="J23" s="37">
        <v>36219.046999999999</v>
      </c>
      <c r="K23" s="37">
        <v>38771.887999999999</v>
      </c>
      <c r="L23" s="37">
        <v>50514.288999999997</v>
      </c>
      <c r="M23" s="37">
        <v>53829.057000000001</v>
      </c>
      <c r="N23" s="37">
        <v>53448.614999999998</v>
      </c>
      <c r="O23" s="37">
        <v>50924.911</v>
      </c>
      <c r="P23" s="37">
        <v>56533.885000000002</v>
      </c>
      <c r="Q23" s="37">
        <v>60642.946000000004</v>
      </c>
      <c r="R23" s="37">
        <v>65757.421000000002</v>
      </c>
      <c r="S23" s="37">
        <v>74793.505000000005</v>
      </c>
      <c r="T23" s="23">
        <v>82888.161999999997</v>
      </c>
      <c r="U23" s="23">
        <v>87077.070999999996</v>
      </c>
      <c r="V23" s="23">
        <v>94163.540999999997</v>
      </c>
      <c r="W23" s="23">
        <v>98053.562999999995</v>
      </c>
      <c r="X23" s="2">
        <v>111686.08100000001</v>
      </c>
      <c r="Y23" s="2">
        <v>109238.43</v>
      </c>
      <c r="Z23" s="2">
        <v>124136.72100000001</v>
      </c>
      <c r="AA23" s="2">
        <v>122579.193</v>
      </c>
    </row>
    <row r="24" spans="1:27">
      <c r="A24" s="83" t="s">
        <v>17</v>
      </c>
      <c r="B24" s="66">
        <v>1365</v>
      </c>
      <c r="C24" s="66">
        <v>1747</v>
      </c>
      <c r="D24" s="66">
        <v>1828</v>
      </c>
      <c r="E24" s="66">
        <v>2099.0509999999999</v>
      </c>
      <c r="F24" s="82">
        <v>2192.7809999999999</v>
      </c>
      <c r="G24" s="66">
        <v>2111</v>
      </c>
      <c r="H24" s="66">
        <v>2295.058</v>
      </c>
      <c r="I24" s="63">
        <v>2626.9569999999999</v>
      </c>
      <c r="J24" s="63">
        <v>2798.6990000000001</v>
      </c>
      <c r="K24" s="63">
        <v>3159.6898299999984</v>
      </c>
      <c r="L24" s="63">
        <v>3469.7350000000001</v>
      </c>
      <c r="M24" s="63">
        <v>4502.4409999999998</v>
      </c>
      <c r="N24" s="63">
        <v>3155.1439999999998</v>
      </c>
      <c r="O24" s="63">
        <v>4719.6750000000002</v>
      </c>
      <c r="P24" s="63">
        <v>3138.2460000000001</v>
      </c>
      <c r="Q24" s="63">
        <v>7074.701</v>
      </c>
      <c r="R24" s="63">
        <v>4966.4390000000003</v>
      </c>
      <c r="S24" s="63">
        <v>5892.09</v>
      </c>
      <c r="T24" s="45">
        <v>5872.7049999999999</v>
      </c>
      <c r="U24" s="45">
        <v>7039.232</v>
      </c>
      <c r="V24" s="45">
        <v>12456.665999999999</v>
      </c>
      <c r="W24" s="45">
        <v>12607.762000000001</v>
      </c>
      <c r="X24" s="45">
        <v>10636.933999999999</v>
      </c>
      <c r="Y24" s="45">
        <v>10805.848</v>
      </c>
      <c r="Z24" s="45">
        <v>9954.6090000000004</v>
      </c>
      <c r="AA24" s="45">
        <v>11201.746999999999</v>
      </c>
    </row>
    <row r="25" spans="1:27" s="23" customFormat="1">
      <c r="A25" s="79" t="s">
        <v>120</v>
      </c>
      <c r="B25" s="90">
        <f>SUM(B27:B39)</f>
        <v>0</v>
      </c>
      <c r="C25" s="90">
        <f t="shared" ref="C25:AA25" si="8">SUM(C27:C39)</f>
        <v>0</v>
      </c>
      <c r="D25" s="90">
        <f t="shared" si="8"/>
        <v>0</v>
      </c>
      <c r="E25" s="90">
        <f t="shared" si="8"/>
        <v>0</v>
      </c>
      <c r="F25" s="90">
        <f t="shared" si="8"/>
        <v>393242.06900000002</v>
      </c>
      <c r="G25" s="90">
        <f t="shared" si="8"/>
        <v>0</v>
      </c>
      <c r="H25" s="90">
        <f t="shared" si="8"/>
        <v>0</v>
      </c>
      <c r="I25" s="90">
        <f t="shared" si="8"/>
        <v>432998.69899999996</v>
      </c>
      <c r="J25" s="90">
        <f t="shared" si="8"/>
        <v>0</v>
      </c>
      <c r="K25" s="90">
        <f t="shared" si="8"/>
        <v>568197.16347999987</v>
      </c>
      <c r="L25" s="90">
        <f t="shared" si="8"/>
        <v>621238.554</v>
      </c>
      <c r="M25" s="90">
        <f t="shared" si="8"/>
        <v>659775.576</v>
      </c>
      <c r="N25" s="90">
        <f t="shared" si="8"/>
        <v>679916.74099999981</v>
      </c>
      <c r="O25" s="90">
        <f t="shared" si="8"/>
        <v>666233.60499999998</v>
      </c>
      <c r="P25" s="90">
        <f t="shared" si="8"/>
        <v>661943.29600000009</v>
      </c>
      <c r="Q25" s="90">
        <f t="shared" si="8"/>
        <v>830234.19000000006</v>
      </c>
      <c r="R25" s="90">
        <f t="shared" si="8"/>
        <v>908655.49000000011</v>
      </c>
      <c r="S25" s="90">
        <f t="shared" si="8"/>
        <v>961868.5419999999</v>
      </c>
      <c r="T25" s="90">
        <f t="shared" si="8"/>
        <v>1092958.0100000002</v>
      </c>
      <c r="U25" s="90">
        <f t="shared" si="8"/>
        <v>1187772.318</v>
      </c>
      <c r="V25" s="90">
        <f t="shared" si="8"/>
        <v>1332451.9949999999</v>
      </c>
      <c r="W25" s="90">
        <f t="shared" si="8"/>
        <v>1384726.9519999998</v>
      </c>
      <c r="X25" s="90">
        <f t="shared" si="8"/>
        <v>1364911.3080000002</v>
      </c>
      <c r="Y25" s="90">
        <f t="shared" si="8"/>
        <v>1008303.5109999999</v>
      </c>
      <c r="Z25" s="90">
        <f t="shared" si="8"/>
        <v>1061853.5970000001</v>
      </c>
      <c r="AA25" s="90">
        <f t="shared" si="8"/>
        <v>1086441.9819999998</v>
      </c>
    </row>
    <row r="26" spans="1:27">
      <c r="A26" s="79" t="s">
        <v>119</v>
      </c>
      <c r="B26" s="37"/>
      <c r="C26" s="37"/>
      <c r="D26" s="37"/>
      <c r="E26" s="37"/>
      <c r="F26" s="37"/>
      <c r="G26" s="37"/>
      <c r="H26" s="37"/>
      <c r="I26" s="37"/>
      <c r="J26" s="37"/>
      <c r="K26" s="37"/>
      <c r="L26" s="37"/>
      <c r="M26" s="37"/>
      <c r="N26" s="37"/>
      <c r="O26" s="37"/>
      <c r="P26" s="37"/>
      <c r="Q26" s="37"/>
      <c r="R26" s="37"/>
      <c r="S26" s="37"/>
      <c r="T26" s="23"/>
      <c r="U26" s="23"/>
      <c r="V26" s="23"/>
      <c r="W26" s="23"/>
      <c r="X26" s="2">
        <v>0</v>
      </c>
    </row>
    <row r="27" spans="1:27">
      <c r="A27" s="23" t="s">
        <v>85</v>
      </c>
      <c r="B27" s="36"/>
      <c r="C27" s="36"/>
      <c r="D27" s="37"/>
      <c r="E27" s="36"/>
      <c r="F27" s="77">
        <v>226.999</v>
      </c>
      <c r="G27" s="36"/>
      <c r="H27" s="36"/>
      <c r="I27" s="37">
        <v>179.476</v>
      </c>
      <c r="J27" s="37"/>
      <c r="K27" s="37">
        <v>156.15600000000001</v>
      </c>
      <c r="L27" s="37">
        <v>1679.9490000000001</v>
      </c>
      <c r="M27" s="37">
        <v>257.25</v>
      </c>
      <c r="N27" s="37">
        <v>1811.3330000000001</v>
      </c>
      <c r="O27" s="37">
        <v>1717.354</v>
      </c>
      <c r="P27" s="37">
        <v>1436.556</v>
      </c>
      <c r="Q27" s="37">
        <v>193.46700000000001</v>
      </c>
      <c r="R27" s="37">
        <v>1511.74</v>
      </c>
      <c r="S27" s="37">
        <v>1425.375</v>
      </c>
      <c r="T27" s="23">
        <v>2248.5770000000002</v>
      </c>
      <c r="U27" s="23">
        <v>2934.2489999999998</v>
      </c>
      <c r="V27" s="23">
        <v>3104.1680000000001</v>
      </c>
      <c r="W27" s="23">
        <v>946.51700000000005</v>
      </c>
      <c r="X27" s="2">
        <v>3314.9580000000001</v>
      </c>
      <c r="Y27" s="2">
        <v>1158.4359999999999</v>
      </c>
    </row>
    <row r="28" spans="1:27">
      <c r="A28" s="23" t="s">
        <v>86</v>
      </c>
      <c r="B28" s="36"/>
      <c r="C28" s="36"/>
      <c r="D28" s="36"/>
      <c r="E28" s="36"/>
      <c r="F28" s="77">
        <v>32010.059000000001</v>
      </c>
      <c r="G28" s="36"/>
      <c r="H28" s="36"/>
      <c r="I28" s="37">
        <v>38028.319000000003</v>
      </c>
      <c r="J28" s="37"/>
      <c r="K28" s="37">
        <v>45534.453870000005</v>
      </c>
      <c r="L28" s="37">
        <v>58347.434999999998</v>
      </c>
      <c r="M28" s="37">
        <v>62638.661</v>
      </c>
      <c r="N28" s="37">
        <v>67862.346999999994</v>
      </c>
      <c r="O28" s="37">
        <v>70360.812999999995</v>
      </c>
      <c r="P28" s="37">
        <v>78023.370999999999</v>
      </c>
      <c r="Q28" s="37">
        <v>83371.521999999997</v>
      </c>
      <c r="R28" s="37">
        <v>93604.676000000007</v>
      </c>
      <c r="S28" s="37">
        <v>99126.464999999997</v>
      </c>
      <c r="T28" s="23">
        <v>114008.769</v>
      </c>
      <c r="U28" s="23">
        <v>117584.57</v>
      </c>
      <c r="V28" s="23">
        <v>130559.352</v>
      </c>
      <c r="W28" s="23">
        <v>132521.141</v>
      </c>
      <c r="X28" s="2">
        <v>142789.27100000001</v>
      </c>
      <c r="Y28" s="2">
        <v>27930.356</v>
      </c>
      <c r="Z28" s="2">
        <v>31303.636999999999</v>
      </c>
      <c r="AA28" s="2">
        <v>30261.052</v>
      </c>
    </row>
    <row r="29" spans="1:27">
      <c r="A29" s="23" t="s">
        <v>87</v>
      </c>
      <c r="B29" s="36"/>
      <c r="C29" s="36"/>
      <c r="D29" s="36"/>
      <c r="E29" s="36"/>
      <c r="F29" s="77">
        <v>237875.158</v>
      </c>
      <c r="G29" s="36"/>
      <c r="H29" s="36"/>
      <c r="I29" s="37">
        <v>248909.288</v>
      </c>
      <c r="J29" s="37"/>
      <c r="K29" s="37">
        <v>344143.43774999998</v>
      </c>
      <c r="L29" s="37">
        <v>348924.408</v>
      </c>
      <c r="M29" s="37">
        <v>359128.27600000001</v>
      </c>
      <c r="N29" s="37">
        <v>368691.87599999999</v>
      </c>
      <c r="O29" s="37">
        <v>356326.842</v>
      </c>
      <c r="P29" s="37">
        <v>350951.02500000002</v>
      </c>
      <c r="Q29" s="37">
        <v>509148.10100000002</v>
      </c>
      <c r="R29" s="37">
        <v>557585.18700000003</v>
      </c>
      <c r="S29" s="37">
        <v>599270.34100000001</v>
      </c>
      <c r="T29" s="23">
        <v>682894.21900000004</v>
      </c>
      <c r="U29" s="23">
        <v>728631.73199999996</v>
      </c>
      <c r="V29" s="23">
        <v>820187.68299999996</v>
      </c>
      <c r="W29" s="23">
        <v>853031.55900000001</v>
      </c>
      <c r="X29" s="2">
        <v>816374.76199999999</v>
      </c>
      <c r="Y29" s="2">
        <v>612124.48499999999</v>
      </c>
      <c r="Z29" s="2">
        <v>628636.03200000001</v>
      </c>
      <c r="AA29" s="2">
        <v>642557.24899999995</v>
      </c>
    </row>
    <row r="30" spans="1:27">
      <c r="A30" s="23" t="s">
        <v>88</v>
      </c>
      <c r="B30" s="36"/>
      <c r="C30" s="36"/>
      <c r="D30" s="36"/>
      <c r="E30" s="36"/>
      <c r="F30" s="77">
        <v>16955.332999999999</v>
      </c>
      <c r="G30" s="36"/>
      <c r="H30" s="36"/>
      <c r="I30" s="37">
        <v>19786.597000000002</v>
      </c>
      <c r="J30" s="37"/>
      <c r="K30" s="37">
        <v>22415.471000000001</v>
      </c>
      <c r="L30" s="37">
        <v>30671.553</v>
      </c>
      <c r="M30" s="37">
        <v>32731.662</v>
      </c>
      <c r="N30" s="37">
        <v>32745.626</v>
      </c>
      <c r="O30" s="37">
        <v>33331.771000000001</v>
      </c>
      <c r="P30" s="37">
        <v>31743.258999999998</v>
      </c>
      <c r="Q30" s="37">
        <v>33707.964</v>
      </c>
      <c r="R30" s="37">
        <v>34241.489000000001</v>
      </c>
      <c r="S30" s="37">
        <v>34602.894999999997</v>
      </c>
      <c r="T30" s="23">
        <v>38752.675000000003</v>
      </c>
      <c r="U30" s="23">
        <v>36638.97</v>
      </c>
      <c r="V30" s="23">
        <v>43286.747000000003</v>
      </c>
      <c r="W30" s="23">
        <v>44071.508999999998</v>
      </c>
      <c r="X30" s="2">
        <v>45923.703999999998</v>
      </c>
      <c r="Y30" s="2">
        <v>25321.371999999999</v>
      </c>
      <c r="Z30" s="2">
        <v>25616.329000000002</v>
      </c>
      <c r="AA30" s="2">
        <v>23697.687000000002</v>
      </c>
    </row>
    <row r="31" spans="1:27">
      <c r="A31" s="23" t="s">
        <v>91</v>
      </c>
      <c r="B31" s="36"/>
      <c r="C31" s="36"/>
      <c r="D31" s="36"/>
      <c r="E31" s="36"/>
      <c r="F31" s="77">
        <v>9819.8179999999993</v>
      </c>
      <c r="G31" s="36"/>
      <c r="H31" s="36"/>
      <c r="I31" s="37">
        <v>10690.513999999999</v>
      </c>
      <c r="J31" s="37"/>
      <c r="K31" s="37">
        <v>11330.54</v>
      </c>
      <c r="L31" s="37">
        <v>13136.597</v>
      </c>
      <c r="M31" s="37">
        <v>13170.745000000001</v>
      </c>
      <c r="N31" s="37">
        <v>13647.918</v>
      </c>
      <c r="O31" s="37">
        <v>14691.991</v>
      </c>
      <c r="P31" s="37">
        <v>13170.977000000001</v>
      </c>
      <c r="Q31" s="37">
        <v>13763.034</v>
      </c>
      <c r="R31" s="37">
        <v>15386.728999999999</v>
      </c>
      <c r="S31" s="37">
        <v>17151.28</v>
      </c>
      <c r="T31" s="23">
        <v>19678.625</v>
      </c>
      <c r="U31" s="23">
        <v>25746.205000000002</v>
      </c>
      <c r="V31" s="23">
        <v>26215.43</v>
      </c>
      <c r="W31" s="23">
        <v>26485.200000000001</v>
      </c>
      <c r="X31" s="2">
        <v>26347.893</v>
      </c>
      <c r="Y31" s="2">
        <v>28024.612000000001</v>
      </c>
      <c r="Z31" s="2">
        <v>29468.05</v>
      </c>
      <c r="AA31" s="2">
        <v>24139.017</v>
      </c>
    </row>
    <row r="32" spans="1:27">
      <c r="A32" s="23" t="s">
        <v>92</v>
      </c>
      <c r="B32" s="36"/>
      <c r="C32" s="36"/>
      <c r="D32" s="36"/>
      <c r="E32" s="36"/>
      <c r="F32" s="77">
        <v>4586.4059999999999</v>
      </c>
      <c r="G32" s="36"/>
      <c r="H32" s="36"/>
      <c r="I32" s="37">
        <v>3831.127</v>
      </c>
      <c r="J32" s="37"/>
      <c r="K32" s="37">
        <v>4319.0940000000001</v>
      </c>
      <c r="L32" s="37">
        <v>6110.0659999999998</v>
      </c>
      <c r="M32" s="37">
        <v>5902.9759999999997</v>
      </c>
      <c r="N32" s="37">
        <v>6011.1080000000002</v>
      </c>
      <c r="O32" s="37">
        <v>5462.3549999999996</v>
      </c>
      <c r="P32" s="37">
        <v>5826.39</v>
      </c>
      <c r="Q32" s="37">
        <v>6471.4679999999998</v>
      </c>
      <c r="R32" s="37">
        <v>7392.2290000000003</v>
      </c>
      <c r="S32" s="37">
        <v>6667.8789999999999</v>
      </c>
      <c r="T32" s="23">
        <v>6148.518</v>
      </c>
      <c r="U32" s="23">
        <v>7363.067</v>
      </c>
      <c r="V32" s="23">
        <v>7904.7659999999996</v>
      </c>
      <c r="W32" s="23">
        <v>7749.9340000000002</v>
      </c>
      <c r="X32" s="2">
        <v>12778.875</v>
      </c>
      <c r="Y32" s="2">
        <v>12967.734</v>
      </c>
      <c r="Z32" s="2">
        <v>15911.898999999999</v>
      </c>
      <c r="AA32" s="2">
        <v>18106.594000000001</v>
      </c>
    </row>
    <row r="33" spans="1:58">
      <c r="A33" s="23" t="s">
        <v>100</v>
      </c>
      <c r="B33" s="37"/>
      <c r="C33" s="37"/>
      <c r="D33" s="37"/>
      <c r="E33" s="37"/>
      <c r="F33" s="77">
        <v>1356.232</v>
      </c>
      <c r="G33" s="37"/>
      <c r="H33" s="37"/>
      <c r="I33" s="37">
        <v>3662.1880000000001</v>
      </c>
      <c r="J33" s="37"/>
      <c r="K33" s="37">
        <v>4837.3594500000027</v>
      </c>
      <c r="L33" s="37">
        <v>4325.3249999999998</v>
      </c>
      <c r="M33" s="37">
        <v>4606.3810000000003</v>
      </c>
      <c r="N33" s="37">
        <v>5890.8429999999998</v>
      </c>
      <c r="O33" s="37">
        <v>4891.777</v>
      </c>
      <c r="P33" s="37">
        <v>5004.1480000000001</v>
      </c>
      <c r="Q33" s="37">
        <v>6068.2250000000004</v>
      </c>
      <c r="R33" s="37">
        <v>6083.6589999999997</v>
      </c>
      <c r="S33" s="37">
        <v>6120.5379999999996</v>
      </c>
      <c r="T33" s="23">
        <v>7038.7749999999996</v>
      </c>
      <c r="U33" s="23">
        <v>8344.3449999999993</v>
      </c>
      <c r="V33" s="23">
        <v>9202.0750000000007</v>
      </c>
      <c r="W33" s="23">
        <v>8406.6110000000008</v>
      </c>
      <c r="X33" s="2">
        <v>8565.9279999999999</v>
      </c>
      <c r="Y33" s="2">
        <v>8543.3469999999998</v>
      </c>
      <c r="Z33" s="2">
        <v>9024.1810000000005</v>
      </c>
      <c r="AA33" s="2">
        <v>9955.9840000000004</v>
      </c>
    </row>
    <row r="34" spans="1:58">
      <c r="A34" s="23" t="s">
        <v>102</v>
      </c>
      <c r="B34" s="37"/>
      <c r="C34" s="37"/>
      <c r="D34" s="37"/>
      <c r="E34" s="37"/>
      <c r="F34" s="77">
        <v>5835.9859999999999</v>
      </c>
      <c r="G34" s="37"/>
      <c r="H34" s="37"/>
      <c r="I34" s="37">
        <v>5934.0020000000004</v>
      </c>
      <c r="J34" s="37"/>
      <c r="K34" s="37">
        <v>8054</v>
      </c>
      <c r="L34" s="37">
        <v>10524</v>
      </c>
      <c r="M34" s="37">
        <v>11743</v>
      </c>
      <c r="N34" s="37">
        <v>12658</v>
      </c>
      <c r="O34" s="37">
        <v>13861</v>
      </c>
      <c r="P34" s="37">
        <v>6165</v>
      </c>
      <c r="Q34" s="37">
        <v>6890</v>
      </c>
      <c r="R34" s="37">
        <v>7550</v>
      </c>
      <c r="S34" s="37">
        <v>5619</v>
      </c>
      <c r="T34" s="23">
        <v>5385</v>
      </c>
      <c r="U34" s="23">
        <v>23298.315999999999</v>
      </c>
      <c r="V34" s="23">
        <v>28431.574000000001</v>
      </c>
      <c r="W34" s="23">
        <v>26410.024000000001</v>
      </c>
      <c r="X34" s="2">
        <v>25474.574000000001</v>
      </c>
      <c r="Y34" s="2">
        <v>26301.477999999999</v>
      </c>
      <c r="Z34" s="2">
        <v>26317.491999999998</v>
      </c>
      <c r="AA34" s="2">
        <v>27913.782999999999</v>
      </c>
    </row>
    <row r="35" spans="1:58">
      <c r="A35" s="23" t="s">
        <v>105</v>
      </c>
      <c r="B35" s="37"/>
      <c r="C35" s="37"/>
      <c r="D35" s="37"/>
      <c r="E35" s="37"/>
      <c r="F35" s="77">
        <v>10483.467000000001</v>
      </c>
      <c r="G35" s="37"/>
      <c r="H35" s="37"/>
      <c r="I35" s="37">
        <v>14861.528</v>
      </c>
      <c r="J35" s="37"/>
      <c r="K35" s="37">
        <v>17905.595289999997</v>
      </c>
      <c r="L35" s="37">
        <v>21812.800999999999</v>
      </c>
      <c r="M35" s="37">
        <v>22148.056</v>
      </c>
      <c r="N35" s="37">
        <v>24654.092000000001</v>
      </c>
      <c r="O35" s="37">
        <v>26660.713</v>
      </c>
      <c r="P35" s="37">
        <v>28018.118999999999</v>
      </c>
      <c r="Q35" s="37">
        <v>28315.84</v>
      </c>
      <c r="R35" s="37">
        <v>28809.040000000001</v>
      </c>
      <c r="S35" s="37">
        <v>32990.137000000002</v>
      </c>
      <c r="T35" s="23">
        <v>36482.038999999997</v>
      </c>
      <c r="U35" s="23">
        <v>41715.728000000003</v>
      </c>
      <c r="V35" s="23">
        <v>44482.061999999998</v>
      </c>
      <c r="W35" s="23">
        <v>48440.875</v>
      </c>
      <c r="X35" s="2">
        <v>46067.084000000003</v>
      </c>
      <c r="Y35" s="2">
        <v>29996.911</v>
      </c>
      <c r="Z35" s="2">
        <v>32653.871999999999</v>
      </c>
      <c r="AA35" s="2">
        <v>34626.82</v>
      </c>
    </row>
    <row r="36" spans="1:58">
      <c r="A36" s="23" t="s">
        <v>109</v>
      </c>
      <c r="B36" s="37"/>
      <c r="C36" s="37"/>
      <c r="D36" s="37"/>
      <c r="E36" s="37"/>
      <c r="F36" s="77">
        <v>22716.476999999999</v>
      </c>
      <c r="G36" s="37"/>
      <c r="H36" s="37"/>
      <c r="I36" s="37">
        <v>29594.973999999998</v>
      </c>
      <c r="J36" s="37"/>
      <c r="K36" s="37">
        <v>37970.650090000003</v>
      </c>
      <c r="L36" s="37">
        <v>44014.57</v>
      </c>
      <c r="M36" s="37">
        <v>50640.177000000003</v>
      </c>
      <c r="N36" s="37">
        <v>52626.358999999997</v>
      </c>
      <c r="O36" s="37">
        <v>44018.207999999999</v>
      </c>
      <c r="P36" s="37">
        <v>46427.012999999999</v>
      </c>
      <c r="Q36" s="37">
        <v>44959.309000000001</v>
      </c>
      <c r="R36" s="37">
        <v>51511.561000000002</v>
      </c>
      <c r="S36" s="37">
        <v>56694.330999999998</v>
      </c>
      <c r="T36" s="23">
        <v>67632.676999999996</v>
      </c>
      <c r="U36" s="23">
        <v>71506.327000000005</v>
      </c>
      <c r="V36" s="23">
        <v>77398.228000000003</v>
      </c>
      <c r="W36" s="23">
        <v>85463.038</v>
      </c>
      <c r="X36" s="2">
        <v>96431.445000000007</v>
      </c>
      <c r="Y36" s="2">
        <v>91876.673999999999</v>
      </c>
      <c r="Z36" s="2">
        <v>92522.876000000004</v>
      </c>
      <c r="AA36" s="2">
        <v>87059.915999999997</v>
      </c>
    </row>
    <row r="37" spans="1:58">
      <c r="A37" s="23" t="s">
        <v>113</v>
      </c>
      <c r="B37" s="37"/>
      <c r="C37" s="37"/>
      <c r="D37" s="37"/>
      <c r="E37" s="37"/>
      <c r="F37" s="77">
        <v>9376.7029999999995</v>
      </c>
      <c r="G37" s="37"/>
      <c r="H37" s="37"/>
      <c r="I37" s="37">
        <v>9652.3230000000003</v>
      </c>
      <c r="J37" s="37"/>
      <c r="K37" s="37">
        <v>10492.815000000001</v>
      </c>
      <c r="L37" s="37">
        <v>10820.721</v>
      </c>
      <c r="M37" s="37">
        <v>12546.248</v>
      </c>
      <c r="N37" s="37">
        <v>13771.977000000001</v>
      </c>
      <c r="O37" s="37">
        <v>13028.394</v>
      </c>
      <c r="P37" s="37">
        <v>13392.358</v>
      </c>
      <c r="Q37" s="37">
        <v>13336.984</v>
      </c>
      <c r="R37" s="37">
        <v>13133.608</v>
      </c>
      <c r="S37" s="37">
        <v>13771.894</v>
      </c>
      <c r="T37" s="23">
        <v>16409.044999999998</v>
      </c>
      <c r="U37" s="23">
        <v>15360.561</v>
      </c>
      <c r="V37" s="23">
        <v>16650.879000000001</v>
      </c>
      <c r="W37" s="23">
        <v>18613.102999999999</v>
      </c>
      <c r="X37" s="2">
        <v>13336.333000000001</v>
      </c>
      <c r="Y37" s="2">
        <v>23480.61</v>
      </c>
      <c r="Z37" s="2">
        <v>22541.705000000002</v>
      </c>
      <c r="AA37" s="2">
        <v>26173.795999999998</v>
      </c>
    </row>
    <row r="38" spans="1:58">
      <c r="A38" s="23" t="s">
        <v>115</v>
      </c>
      <c r="B38" s="37"/>
      <c r="C38" s="37"/>
      <c r="D38" s="37"/>
      <c r="E38" s="37"/>
      <c r="F38" s="77">
        <v>35736.743000000002</v>
      </c>
      <c r="G38" s="37"/>
      <c r="H38" s="37"/>
      <c r="I38" s="37">
        <v>41998.269</v>
      </c>
      <c r="J38" s="37"/>
      <c r="K38" s="37">
        <v>53129.915030000004</v>
      </c>
      <c r="L38" s="37">
        <v>61362.12</v>
      </c>
      <c r="M38" s="37">
        <v>73940.373000000007</v>
      </c>
      <c r="N38" s="37">
        <v>67342.046000000002</v>
      </c>
      <c r="O38" s="37">
        <v>70347.726999999999</v>
      </c>
      <c r="P38" s="37">
        <v>70103.168999999994</v>
      </c>
      <c r="Q38" s="37">
        <v>72331.423999999999</v>
      </c>
      <c r="R38" s="37">
        <v>78710.813999999998</v>
      </c>
      <c r="S38" s="37">
        <v>74595.722999999998</v>
      </c>
      <c r="T38" s="23">
        <v>78885.543000000005</v>
      </c>
      <c r="U38" s="23">
        <v>90872.698999999993</v>
      </c>
      <c r="V38" s="23">
        <v>103025.52099999999</v>
      </c>
      <c r="W38" s="23">
        <v>107611.79300000001</v>
      </c>
      <c r="X38" s="2">
        <v>102381.531</v>
      </c>
      <c r="Y38" s="2">
        <v>94879.383000000002</v>
      </c>
      <c r="Z38" s="2">
        <v>120817.253</v>
      </c>
      <c r="AA38" s="2">
        <v>133851.076</v>
      </c>
    </row>
    <row r="39" spans="1:58">
      <c r="A39" s="45" t="s">
        <v>117</v>
      </c>
      <c r="B39" s="63"/>
      <c r="C39" s="63"/>
      <c r="D39" s="63"/>
      <c r="E39" s="63"/>
      <c r="F39" s="82">
        <v>6262.6880000000001</v>
      </c>
      <c r="G39" s="63"/>
      <c r="H39" s="63"/>
      <c r="I39" s="63">
        <v>5870.0940000000001</v>
      </c>
      <c r="J39" s="63"/>
      <c r="K39" s="63">
        <v>7907.6760000000004</v>
      </c>
      <c r="L39" s="63">
        <v>9509.009</v>
      </c>
      <c r="M39" s="63">
        <v>10321.771000000001</v>
      </c>
      <c r="N39" s="63">
        <v>12203.216</v>
      </c>
      <c r="O39" s="63">
        <v>11534.66</v>
      </c>
      <c r="P39" s="63">
        <v>11681.911</v>
      </c>
      <c r="Q39" s="63">
        <v>11676.852000000001</v>
      </c>
      <c r="R39" s="63">
        <v>13134.758</v>
      </c>
      <c r="S39" s="63">
        <v>13832.683999999999</v>
      </c>
      <c r="T39" s="45">
        <v>17393.547999999999</v>
      </c>
      <c r="U39" s="45">
        <v>17775.548999999999</v>
      </c>
      <c r="V39" s="45">
        <v>22003.51</v>
      </c>
      <c r="W39" s="45">
        <v>24975.648000000001</v>
      </c>
      <c r="X39" s="45">
        <v>25124.95</v>
      </c>
      <c r="Y39" s="45">
        <v>25698.113000000001</v>
      </c>
      <c r="Z39" s="45">
        <v>27040.271000000001</v>
      </c>
      <c r="AA39" s="45">
        <v>28099.008000000002</v>
      </c>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row>
    <row r="40" spans="1:58" s="23" customFormat="1">
      <c r="A40" s="79" t="s">
        <v>121</v>
      </c>
      <c r="B40" s="90">
        <f>SUM(B42:B53)</f>
        <v>0</v>
      </c>
      <c r="C40" s="90">
        <f t="shared" ref="C40:AA40" si="9">SUM(C42:C53)</f>
        <v>0</v>
      </c>
      <c r="D40" s="90">
        <f t="shared" si="9"/>
        <v>0</v>
      </c>
      <c r="E40" s="90">
        <f t="shared" si="9"/>
        <v>0</v>
      </c>
      <c r="F40" s="90">
        <f t="shared" si="9"/>
        <v>302921.45899999997</v>
      </c>
      <c r="G40" s="90">
        <f t="shared" si="9"/>
        <v>0</v>
      </c>
      <c r="H40" s="90">
        <f t="shared" si="9"/>
        <v>0</v>
      </c>
      <c r="I40" s="90">
        <f t="shared" si="9"/>
        <v>347205.989</v>
      </c>
      <c r="J40" s="90">
        <f t="shared" si="9"/>
        <v>0</v>
      </c>
      <c r="K40" s="90">
        <f t="shared" si="9"/>
        <v>450515.67335000006</v>
      </c>
      <c r="L40" s="90">
        <f t="shared" si="9"/>
        <v>531417.33699999994</v>
      </c>
      <c r="M40" s="90">
        <f t="shared" si="9"/>
        <v>579431.821</v>
      </c>
      <c r="N40" s="90">
        <f t="shared" si="9"/>
        <v>573942.91700000002</v>
      </c>
      <c r="O40" s="90">
        <f t="shared" si="9"/>
        <v>567585.13100000005</v>
      </c>
      <c r="P40" s="90">
        <f t="shared" si="9"/>
        <v>577308.00900000008</v>
      </c>
      <c r="Q40" s="90">
        <f t="shared" si="9"/>
        <v>601745.38400000008</v>
      </c>
      <c r="R40" s="90">
        <f t="shared" si="9"/>
        <v>636939.73399999994</v>
      </c>
      <c r="S40" s="90">
        <f t="shared" si="9"/>
        <v>667550.3189999999</v>
      </c>
      <c r="T40" s="90">
        <f t="shared" si="9"/>
        <v>705142.61199999985</v>
      </c>
      <c r="U40" s="90">
        <f t="shared" si="9"/>
        <v>796155.34400000016</v>
      </c>
      <c r="V40" s="90">
        <f t="shared" si="9"/>
        <v>960847.34100000001</v>
      </c>
      <c r="W40" s="90">
        <f t="shared" si="9"/>
        <v>988174.42699999991</v>
      </c>
      <c r="X40" s="90">
        <f t="shared" si="9"/>
        <v>1026472.7189999999</v>
      </c>
      <c r="Y40" s="90">
        <f t="shared" si="9"/>
        <v>859320.8</v>
      </c>
      <c r="Z40" s="90">
        <f t="shared" si="9"/>
        <v>889565.61300000001</v>
      </c>
      <c r="AA40" s="90">
        <f t="shared" si="9"/>
        <v>901358.50300000003</v>
      </c>
    </row>
    <row r="41" spans="1:58">
      <c r="A41" s="79" t="s">
        <v>119</v>
      </c>
      <c r="B41" s="37"/>
      <c r="C41" s="37"/>
      <c r="D41" s="37"/>
      <c r="E41" s="37"/>
      <c r="F41" s="37"/>
      <c r="G41" s="37"/>
      <c r="H41" s="37"/>
      <c r="I41" s="37"/>
      <c r="J41" s="37"/>
      <c r="K41" s="37"/>
      <c r="L41" s="37"/>
      <c r="M41" s="37"/>
      <c r="N41" s="37"/>
      <c r="O41" s="37"/>
      <c r="P41" s="37"/>
      <c r="Q41" s="37"/>
      <c r="R41" s="37"/>
      <c r="S41" s="37"/>
      <c r="T41" s="23"/>
      <c r="U41" s="23"/>
      <c r="V41" s="23"/>
      <c r="W41" s="23"/>
      <c r="X41" s="2">
        <v>0</v>
      </c>
    </row>
    <row r="42" spans="1:58">
      <c r="A42" s="23" t="s">
        <v>93</v>
      </c>
      <c r="B42" s="36"/>
      <c r="C42" s="36"/>
      <c r="D42" s="36"/>
      <c r="E42" s="36"/>
      <c r="F42" s="77">
        <v>50901.819000000003</v>
      </c>
      <c r="G42" s="36"/>
      <c r="H42" s="36"/>
      <c r="I42" s="37">
        <v>57964.546000000002</v>
      </c>
      <c r="J42" s="37"/>
      <c r="K42" s="37">
        <v>76903.80780000001</v>
      </c>
      <c r="L42" s="37">
        <v>99240.52</v>
      </c>
      <c r="M42" s="37">
        <v>102738.81600000001</v>
      </c>
      <c r="N42" s="37">
        <v>102624.289</v>
      </c>
      <c r="O42" s="37">
        <v>93134.929000000004</v>
      </c>
      <c r="P42" s="37">
        <v>105894.62699999999</v>
      </c>
      <c r="Q42" s="37">
        <v>100797.739</v>
      </c>
      <c r="R42" s="37">
        <v>110317.452</v>
      </c>
      <c r="S42" s="37">
        <v>120497.66099999999</v>
      </c>
      <c r="T42" s="23">
        <v>127931.265</v>
      </c>
      <c r="U42" s="23">
        <v>144674.22099999999</v>
      </c>
      <c r="V42" s="23">
        <v>188084.815</v>
      </c>
      <c r="W42" s="23">
        <v>182969.79500000001</v>
      </c>
      <c r="X42" s="2">
        <v>198022.663</v>
      </c>
      <c r="Y42" s="2">
        <v>108236.784</v>
      </c>
      <c r="Z42" s="2">
        <v>110535.87699999999</v>
      </c>
      <c r="AA42" s="2">
        <v>112622.81200000001</v>
      </c>
    </row>
    <row r="43" spans="1:58">
      <c r="A43" s="23" t="s">
        <v>58</v>
      </c>
      <c r="B43" s="36"/>
      <c r="C43" s="36"/>
      <c r="D43" s="36"/>
      <c r="E43" s="36"/>
      <c r="F43" s="77">
        <v>9782.5149999999994</v>
      </c>
      <c r="G43" s="36"/>
      <c r="H43" s="36"/>
      <c r="I43" s="37">
        <v>11255.188</v>
      </c>
      <c r="J43" s="37"/>
      <c r="K43" s="37">
        <v>12836.278</v>
      </c>
      <c r="L43" s="37">
        <v>15433.994000000001</v>
      </c>
      <c r="M43" s="37">
        <v>16651.822</v>
      </c>
      <c r="N43" s="37">
        <v>14647.953</v>
      </c>
      <c r="O43" s="37">
        <v>14759.468999999999</v>
      </c>
      <c r="P43" s="37">
        <v>14718.64</v>
      </c>
      <c r="Q43" s="37">
        <v>17964.528999999999</v>
      </c>
      <c r="R43" s="37">
        <v>21815.260999999999</v>
      </c>
      <c r="S43" s="37">
        <v>23217.832999999999</v>
      </c>
      <c r="T43" s="23">
        <v>21421.66</v>
      </c>
      <c r="U43" s="23">
        <v>25688.597000000002</v>
      </c>
      <c r="V43" s="23">
        <v>34579.987000000001</v>
      </c>
      <c r="W43" s="23">
        <v>35187.841</v>
      </c>
      <c r="X43" s="2">
        <v>56357.394</v>
      </c>
      <c r="Y43" s="2">
        <v>62488.783000000003</v>
      </c>
      <c r="Z43" s="2">
        <v>67897.106</v>
      </c>
      <c r="AA43" s="2">
        <v>66493.464000000007</v>
      </c>
    </row>
    <row r="44" spans="1:58">
      <c r="A44" s="23" t="s">
        <v>94</v>
      </c>
      <c r="B44" s="36"/>
      <c r="C44" s="36"/>
      <c r="D44" s="36"/>
      <c r="E44" s="36"/>
      <c r="F44" s="77">
        <v>21170.02</v>
      </c>
      <c r="G44" s="36"/>
      <c r="H44" s="36"/>
      <c r="I44" s="37">
        <v>21943.297999999999</v>
      </c>
      <c r="J44" s="37"/>
      <c r="K44" s="37">
        <v>22936.877</v>
      </c>
      <c r="L44" s="37">
        <v>27990.690999999999</v>
      </c>
      <c r="M44" s="37">
        <v>29462.244999999999</v>
      </c>
      <c r="N44" s="37">
        <v>26102.132000000001</v>
      </c>
      <c r="O44" s="37">
        <v>23849.846000000001</v>
      </c>
      <c r="P44" s="37">
        <v>28484.469000000001</v>
      </c>
      <c r="Q44" s="37">
        <v>30498.87</v>
      </c>
      <c r="R44" s="37">
        <v>33330.33</v>
      </c>
      <c r="S44" s="37">
        <v>30048.514999999999</v>
      </c>
      <c r="T44" s="23">
        <v>32514.518</v>
      </c>
      <c r="U44" s="23">
        <v>36404.093999999997</v>
      </c>
      <c r="V44" s="23">
        <v>46196.57</v>
      </c>
      <c r="W44" s="23">
        <v>42185.023000000001</v>
      </c>
      <c r="X44" s="2">
        <v>39795.167000000001</v>
      </c>
      <c r="Y44" s="2">
        <v>37136.474000000002</v>
      </c>
      <c r="Z44" s="2">
        <v>37648.764000000003</v>
      </c>
      <c r="AA44" s="2">
        <v>37608.442999999999</v>
      </c>
    </row>
    <row r="45" spans="1:58">
      <c r="A45" s="23" t="s">
        <v>95</v>
      </c>
      <c r="B45" s="36"/>
      <c r="C45" s="36"/>
      <c r="D45" s="36"/>
      <c r="E45" s="36"/>
      <c r="F45" s="77">
        <v>17854.937999999998</v>
      </c>
      <c r="G45" s="36"/>
      <c r="H45" s="36"/>
      <c r="I45" s="37">
        <v>23867.987000000001</v>
      </c>
      <c r="J45" s="37"/>
      <c r="K45" s="37">
        <v>30425.008989999995</v>
      </c>
      <c r="L45" s="37">
        <v>33335.114000000001</v>
      </c>
      <c r="M45" s="37">
        <v>35980.152999999998</v>
      </c>
      <c r="N45" s="37">
        <v>38494.534</v>
      </c>
      <c r="O45" s="37">
        <v>35575.258999999998</v>
      </c>
      <c r="P45" s="37">
        <v>36404.749000000003</v>
      </c>
      <c r="Q45" s="37">
        <v>39923.699000000001</v>
      </c>
      <c r="R45" s="37">
        <v>42903.682000000001</v>
      </c>
      <c r="S45" s="37">
        <v>44920.993000000002</v>
      </c>
      <c r="T45" s="23">
        <v>45557.002</v>
      </c>
      <c r="U45" s="23">
        <v>50223.436999999998</v>
      </c>
      <c r="V45" s="23">
        <v>56493.209000000003</v>
      </c>
      <c r="W45" s="23">
        <v>55175.527999999998</v>
      </c>
      <c r="X45" s="2">
        <v>54704.997000000003</v>
      </c>
      <c r="Y45" s="2">
        <v>50655.993000000002</v>
      </c>
      <c r="Z45" s="2">
        <v>50718.756000000001</v>
      </c>
      <c r="AA45" s="2">
        <v>51229.209000000003</v>
      </c>
    </row>
    <row r="46" spans="1:58">
      <c r="A46" s="23" t="s">
        <v>98</v>
      </c>
      <c r="B46" s="36"/>
      <c r="C46" s="36"/>
      <c r="D46" s="36"/>
      <c r="E46" s="37"/>
      <c r="F46" s="77">
        <v>86713.482999999993</v>
      </c>
      <c r="G46" s="36"/>
      <c r="H46" s="36"/>
      <c r="I46" s="37">
        <v>108634.641</v>
      </c>
      <c r="J46" s="37"/>
      <c r="K46" s="37">
        <v>124412.67404000003</v>
      </c>
      <c r="L46" s="37">
        <v>142334.845</v>
      </c>
      <c r="M46" s="37">
        <v>156205.628</v>
      </c>
      <c r="N46" s="37">
        <v>165476.144</v>
      </c>
      <c r="O46" s="37">
        <v>170191.39</v>
      </c>
      <c r="P46" s="37">
        <v>154131.34599999999</v>
      </c>
      <c r="Q46" s="37">
        <v>162468.34299999999</v>
      </c>
      <c r="R46" s="37">
        <v>168272.742</v>
      </c>
      <c r="S46" s="37">
        <v>169509.12</v>
      </c>
      <c r="T46" s="23">
        <v>183668.41099999999</v>
      </c>
      <c r="U46" s="23">
        <v>188948.71400000001</v>
      </c>
      <c r="V46" s="23">
        <v>246455.731</v>
      </c>
      <c r="W46" s="23">
        <v>245559.36199999999</v>
      </c>
      <c r="X46" s="2">
        <v>245327.177</v>
      </c>
      <c r="Y46" s="2">
        <v>228619.22099999999</v>
      </c>
      <c r="Z46" s="2">
        <v>227025.851</v>
      </c>
      <c r="AA46" s="2">
        <v>228082.94099999999</v>
      </c>
    </row>
    <row r="47" spans="1:58">
      <c r="A47" s="23" t="s">
        <v>99</v>
      </c>
      <c r="B47" s="37"/>
      <c r="C47" s="37"/>
      <c r="D47" s="37"/>
      <c r="E47" s="37"/>
      <c r="F47" s="77">
        <v>28613.179</v>
      </c>
      <c r="G47" s="37"/>
      <c r="H47" s="37"/>
      <c r="I47" s="37">
        <v>37254.260999999999</v>
      </c>
      <c r="J47" s="37"/>
      <c r="K47" s="37">
        <v>55806.008270000013</v>
      </c>
      <c r="L47" s="37">
        <v>73265.232999999993</v>
      </c>
      <c r="M47" s="37">
        <v>82487.98</v>
      </c>
      <c r="N47" s="37">
        <v>81547.482999999993</v>
      </c>
      <c r="O47" s="37">
        <v>76222.926999999996</v>
      </c>
      <c r="P47" s="37">
        <v>81420.001000000004</v>
      </c>
      <c r="Q47" s="37">
        <v>88368.540999999997</v>
      </c>
      <c r="R47" s="37">
        <v>91661.411999999997</v>
      </c>
      <c r="S47" s="37">
        <v>102960.327</v>
      </c>
      <c r="T47" s="23">
        <v>112893.993</v>
      </c>
      <c r="U47" s="23">
        <v>117902.442</v>
      </c>
      <c r="V47" s="23">
        <v>132353.73300000001</v>
      </c>
      <c r="W47" s="23">
        <v>136145</v>
      </c>
      <c r="X47" s="2">
        <v>130311.901</v>
      </c>
      <c r="Y47" s="2">
        <v>101664.412</v>
      </c>
      <c r="Z47" s="2">
        <v>103144.622</v>
      </c>
      <c r="AA47" s="2">
        <v>105315.727</v>
      </c>
    </row>
    <row r="48" spans="1:58">
      <c r="A48" s="23" t="s">
        <v>59</v>
      </c>
      <c r="B48" s="37"/>
      <c r="C48" s="37"/>
      <c r="D48" s="37"/>
      <c r="E48" s="37"/>
      <c r="F48" s="77">
        <v>16093.296</v>
      </c>
      <c r="G48" s="37"/>
      <c r="H48" s="37"/>
      <c r="I48" s="37">
        <v>5870.2749999999996</v>
      </c>
      <c r="J48" s="37"/>
      <c r="K48" s="37">
        <v>26730.444</v>
      </c>
      <c r="L48" s="37">
        <v>13801.699000000001</v>
      </c>
      <c r="M48" s="37">
        <v>18189.108</v>
      </c>
      <c r="N48" s="37">
        <v>14599.853999999999</v>
      </c>
      <c r="O48" s="37">
        <v>16943.841</v>
      </c>
      <c r="P48" s="37">
        <v>15993.626</v>
      </c>
      <c r="Q48" s="37">
        <v>17493.237000000001</v>
      </c>
      <c r="R48" s="37">
        <v>18565.745999999999</v>
      </c>
      <c r="S48" s="37">
        <v>20083.517</v>
      </c>
      <c r="T48" s="23">
        <v>21962.695</v>
      </c>
      <c r="U48" s="23">
        <v>24165.581999999999</v>
      </c>
      <c r="V48" s="23">
        <v>28656.249</v>
      </c>
      <c r="W48" s="23">
        <v>50570.773000000001</v>
      </c>
      <c r="X48" s="2">
        <v>50408.400999999998</v>
      </c>
      <c r="Y48" s="2">
        <v>49588.457000000002</v>
      </c>
      <c r="Z48" s="2">
        <v>66999</v>
      </c>
      <c r="AA48" s="2">
        <v>69773.362999999998</v>
      </c>
    </row>
    <row r="49" spans="1:58">
      <c r="A49" s="23" t="s">
        <v>101</v>
      </c>
      <c r="B49" s="37"/>
      <c r="C49" s="37"/>
      <c r="D49" s="37"/>
      <c r="E49" s="37"/>
      <c r="F49" s="77">
        <v>9270.2350000000006</v>
      </c>
      <c r="G49" s="37"/>
      <c r="H49" s="37"/>
      <c r="I49" s="37">
        <v>10235.098</v>
      </c>
      <c r="J49" s="37"/>
      <c r="K49" s="37">
        <v>17794.425999999999</v>
      </c>
      <c r="L49" s="37">
        <v>22438.842000000001</v>
      </c>
      <c r="M49" s="37">
        <v>22986.84</v>
      </c>
      <c r="N49" s="37">
        <v>24128.487000000001</v>
      </c>
      <c r="O49" s="37">
        <v>23752.901000000002</v>
      </c>
      <c r="P49" s="37">
        <v>24659.282999999999</v>
      </c>
      <c r="Q49" s="37">
        <v>25906.617999999999</v>
      </c>
      <c r="R49" s="37">
        <v>27047.187999999998</v>
      </c>
      <c r="S49" s="37">
        <v>28327.467000000001</v>
      </c>
      <c r="T49" s="23">
        <v>29341.562000000002</v>
      </c>
      <c r="U49" s="23">
        <v>31801.268</v>
      </c>
      <c r="V49" s="23">
        <v>37391.228999999999</v>
      </c>
      <c r="W49" s="23">
        <v>37061.834999999999</v>
      </c>
      <c r="X49" s="2">
        <v>41375.095999999998</v>
      </c>
      <c r="Y49" s="2">
        <v>35648.442000000003</v>
      </c>
      <c r="Z49" s="2">
        <v>35706.491000000002</v>
      </c>
      <c r="AA49" s="2">
        <v>38633.981</v>
      </c>
    </row>
    <row r="50" spans="1:58">
      <c r="A50" s="23" t="s">
        <v>107</v>
      </c>
      <c r="B50" s="37"/>
      <c r="C50" s="37"/>
      <c r="D50" s="37"/>
      <c r="E50" s="37"/>
      <c r="F50" s="77">
        <v>2973.8209999999999</v>
      </c>
      <c r="G50" s="37"/>
      <c r="H50" s="37"/>
      <c r="I50" s="37">
        <v>3560.3560000000002</v>
      </c>
      <c r="J50" s="37"/>
      <c r="K50" s="37">
        <v>2835.1106599999966</v>
      </c>
      <c r="L50" s="37">
        <v>4378.2740000000003</v>
      </c>
      <c r="M50" s="37">
        <v>4442.5320000000002</v>
      </c>
      <c r="N50" s="37">
        <v>4558.7389999999996</v>
      </c>
      <c r="O50" s="37">
        <v>3774.0770000000002</v>
      </c>
      <c r="P50" s="37">
        <v>3769.68</v>
      </c>
      <c r="Q50" s="37">
        <v>4536.3270000000002</v>
      </c>
      <c r="R50" s="37">
        <v>4149.3450000000003</v>
      </c>
      <c r="S50" s="37">
        <v>4811.1989999999996</v>
      </c>
      <c r="T50" s="23">
        <v>3962.0430000000001</v>
      </c>
      <c r="U50" s="23">
        <v>5692.4830000000002</v>
      </c>
      <c r="V50" s="23">
        <v>6981.0690000000004</v>
      </c>
      <c r="W50" s="23">
        <v>7724.4780000000001</v>
      </c>
      <c r="X50" s="2">
        <v>11504.504000000001</v>
      </c>
      <c r="Y50" s="2">
        <v>11325.433999999999</v>
      </c>
      <c r="Z50" s="2">
        <v>12472.619000000001</v>
      </c>
      <c r="AA50" s="2">
        <v>12264.477999999999</v>
      </c>
    </row>
    <row r="51" spans="1:58">
      <c r="A51" s="23" t="s">
        <v>108</v>
      </c>
      <c r="B51" s="37"/>
      <c r="C51" s="37"/>
      <c r="D51" s="37"/>
      <c r="E51" s="37"/>
      <c r="F51" s="77">
        <v>43189.644</v>
      </c>
      <c r="G51" s="37"/>
      <c r="H51" s="37"/>
      <c r="I51" s="37">
        <v>47528.843999999997</v>
      </c>
      <c r="J51" s="37"/>
      <c r="K51" s="37">
        <v>56305.830999999998</v>
      </c>
      <c r="L51" s="37">
        <v>69368.237999999998</v>
      </c>
      <c r="M51" s="37">
        <v>75957.782999999996</v>
      </c>
      <c r="N51" s="37">
        <v>66332.107999999993</v>
      </c>
      <c r="O51" s="37">
        <v>73085.043999999994</v>
      </c>
      <c r="P51" s="37">
        <v>74225.804999999993</v>
      </c>
      <c r="Q51" s="37">
        <v>74925.675000000003</v>
      </c>
      <c r="R51" s="37">
        <v>79027.084000000003</v>
      </c>
      <c r="S51" s="37">
        <v>84586.483999999997</v>
      </c>
      <c r="T51" s="23">
        <v>87156.379000000001</v>
      </c>
      <c r="U51" s="23">
        <v>126063.91499999999</v>
      </c>
      <c r="V51" s="23">
        <v>129191.51</v>
      </c>
      <c r="W51" s="23">
        <v>139927.83499999999</v>
      </c>
      <c r="X51" s="2">
        <v>140853.85500000001</v>
      </c>
      <c r="Y51" s="2">
        <v>144146.22200000001</v>
      </c>
      <c r="Z51" s="2">
        <v>146637.101</v>
      </c>
      <c r="AA51" s="2">
        <v>146272.64300000001</v>
      </c>
    </row>
    <row r="52" spans="1:58">
      <c r="A52" s="23" t="s">
        <v>112</v>
      </c>
      <c r="B52" s="37"/>
      <c r="C52" s="37"/>
      <c r="D52" s="37"/>
      <c r="E52" s="37"/>
      <c r="F52" s="77">
        <v>91.733000000000004</v>
      </c>
      <c r="G52" s="37"/>
      <c r="H52" s="37"/>
      <c r="I52" s="37">
        <v>115.36499999999999</v>
      </c>
      <c r="J52" s="37"/>
      <c r="K52" s="37">
        <v>1702.0525899999998</v>
      </c>
      <c r="L52" s="37">
        <v>3125.4639999999999</v>
      </c>
      <c r="M52" s="37">
        <v>2829.47</v>
      </c>
      <c r="N52" s="37">
        <v>3735.9879999999998</v>
      </c>
      <c r="O52" s="37">
        <v>1903.3720000000001</v>
      </c>
      <c r="P52" s="37">
        <v>1548.848</v>
      </c>
      <c r="Q52" s="37">
        <v>1222.932</v>
      </c>
      <c r="R52" s="37">
        <v>1531.2170000000001</v>
      </c>
      <c r="S52" s="37">
        <v>2273.1880000000001</v>
      </c>
      <c r="T52" s="23">
        <v>2262.1680000000001</v>
      </c>
      <c r="U52" s="23">
        <v>5231.5569999999998</v>
      </c>
      <c r="V52" s="23">
        <v>2255.3209999999999</v>
      </c>
      <c r="W52" s="23">
        <v>2800.9209999999998</v>
      </c>
      <c r="X52" s="2">
        <v>2677.0990000000002</v>
      </c>
      <c r="Y52" s="2">
        <v>7864.6989999999996</v>
      </c>
      <c r="Z52" s="2">
        <v>8083.4780000000001</v>
      </c>
      <c r="AA52" s="2">
        <v>10261.050999999999</v>
      </c>
    </row>
    <row r="53" spans="1:58">
      <c r="A53" s="45" t="s">
        <v>116</v>
      </c>
      <c r="B53" s="63"/>
      <c r="C53" s="63"/>
      <c r="D53" s="63"/>
      <c r="E53" s="63"/>
      <c r="F53" s="82">
        <v>16266.776</v>
      </c>
      <c r="G53" s="63"/>
      <c r="H53" s="63"/>
      <c r="I53" s="63">
        <v>18976.13</v>
      </c>
      <c r="J53" s="63"/>
      <c r="K53" s="63">
        <v>21827.154999999999</v>
      </c>
      <c r="L53" s="63">
        <v>26704.422999999999</v>
      </c>
      <c r="M53" s="63">
        <v>31499.444</v>
      </c>
      <c r="N53" s="63">
        <v>31695.205999999998</v>
      </c>
      <c r="O53" s="63">
        <v>34392.076000000001</v>
      </c>
      <c r="P53" s="63">
        <v>36056.934999999998</v>
      </c>
      <c r="Q53" s="63">
        <v>37638.874000000003</v>
      </c>
      <c r="R53" s="63">
        <v>38318.275000000001</v>
      </c>
      <c r="S53" s="63">
        <v>36314.014999999999</v>
      </c>
      <c r="T53" s="45">
        <v>36470.915999999997</v>
      </c>
      <c r="U53" s="45">
        <v>39359.034</v>
      </c>
      <c r="V53" s="45">
        <v>52207.917999999998</v>
      </c>
      <c r="W53" s="45">
        <v>52866.036</v>
      </c>
      <c r="X53" s="45">
        <v>55134.464999999997</v>
      </c>
      <c r="Y53" s="45">
        <v>21945.879000000001</v>
      </c>
      <c r="Z53" s="45">
        <v>22695.948</v>
      </c>
      <c r="AA53" s="45">
        <v>22800.391</v>
      </c>
    </row>
    <row r="54" spans="1:58" s="23" customFormat="1">
      <c r="A54" s="79" t="s">
        <v>122</v>
      </c>
      <c r="B54" s="90">
        <f>SUM(B56:B64)</f>
        <v>0</v>
      </c>
      <c r="C54" s="90">
        <f t="shared" ref="C54:AA54" si="10">SUM(C56:C64)</f>
        <v>0</v>
      </c>
      <c r="D54" s="90">
        <f t="shared" si="10"/>
        <v>0</v>
      </c>
      <c r="E54" s="90">
        <f t="shared" si="10"/>
        <v>0</v>
      </c>
      <c r="F54" s="90">
        <f>SUM(F56:F64)</f>
        <v>164982.90800000002</v>
      </c>
      <c r="G54" s="90">
        <f t="shared" si="10"/>
        <v>0</v>
      </c>
      <c r="H54" s="90">
        <f t="shared" si="10"/>
        <v>0</v>
      </c>
      <c r="I54" s="90">
        <f t="shared" si="10"/>
        <v>197662.49599999998</v>
      </c>
      <c r="J54" s="90">
        <f t="shared" si="10"/>
        <v>0</v>
      </c>
      <c r="K54" s="90">
        <f t="shared" si="10"/>
        <v>254242.08628000005</v>
      </c>
      <c r="L54" s="90">
        <f t="shared" si="10"/>
        <v>273693.147</v>
      </c>
      <c r="M54" s="90">
        <f t="shared" si="10"/>
        <v>314581.85199999996</v>
      </c>
      <c r="N54" s="90">
        <f t="shared" si="10"/>
        <v>330532.96000000002</v>
      </c>
      <c r="O54" s="90">
        <f t="shared" si="10"/>
        <v>348126.58799999993</v>
      </c>
      <c r="P54" s="90">
        <f t="shared" si="10"/>
        <v>367716.52899999998</v>
      </c>
      <c r="Q54" s="90">
        <f t="shared" si="10"/>
        <v>388742.35100000008</v>
      </c>
      <c r="R54" s="90">
        <f t="shared" si="10"/>
        <v>409089.39099999995</v>
      </c>
      <c r="S54" s="90">
        <f t="shared" si="10"/>
        <v>429386.76599999995</v>
      </c>
      <c r="T54" s="90">
        <f t="shared" si="10"/>
        <v>475278.05200000003</v>
      </c>
      <c r="U54" s="90">
        <f t="shared" si="10"/>
        <v>534483.47499999998</v>
      </c>
      <c r="V54" s="90">
        <f t="shared" si="10"/>
        <v>640157.12100000004</v>
      </c>
      <c r="W54" s="90">
        <f t="shared" si="10"/>
        <v>672262.5290000001</v>
      </c>
      <c r="X54" s="90">
        <f t="shared" si="10"/>
        <v>677265.87100000004</v>
      </c>
      <c r="Y54" s="90">
        <f t="shared" si="10"/>
        <v>699000.18</v>
      </c>
      <c r="Z54" s="90">
        <f t="shared" si="10"/>
        <v>755312.10699999996</v>
      </c>
      <c r="AA54" s="90">
        <f t="shared" si="10"/>
        <v>776821.54599999997</v>
      </c>
    </row>
    <row r="55" spans="1:58">
      <c r="A55" s="79" t="s">
        <v>119</v>
      </c>
      <c r="B55" s="37"/>
      <c r="C55" s="37"/>
      <c r="D55" s="37"/>
      <c r="E55" s="37"/>
      <c r="F55" s="37"/>
      <c r="G55" s="37"/>
      <c r="H55" s="37"/>
      <c r="I55" s="37"/>
      <c r="J55" s="37"/>
      <c r="K55" s="37"/>
      <c r="L55" s="37"/>
      <c r="M55" s="37"/>
      <c r="N55" s="37"/>
      <c r="O55" s="37"/>
      <c r="P55" s="37"/>
      <c r="Q55" s="37"/>
      <c r="R55" s="37"/>
      <c r="S55" s="37"/>
      <c r="T55" s="23"/>
      <c r="U55" s="23"/>
      <c r="V55" s="23"/>
      <c r="W55" s="23"/>
      <c r="X55" s="2">
        <v>0</v>
      </c>
    </row>
    <row r="56" spans="1:58" s="23" customFormat="1">
      <c r="A56" s="23" t="s">
        <v>89</v>
      </c>
      <c r="B56" s="36"/>
      <c r="C56" s="36"/>
      <c r="D56" s="36"/>
      <c r="E56" s="36"/>
      <c r="F56" s="77">
        <v>17672.684000000001</v>
      </c>
      <c r="G56" s="36"/>
      <c r="H56" s="36"/>
      <c r="I56" s="37">
        <v>19982.758000000002</v>
      </c>
      <c r="J56" s="37"/>
      <c r="K56" s="37">
        <v>28212.475040000005</v>
      </c>
      <c r="L56" s="37">
        <v>35536.800999999999</v>
      </c>
      <c r="M56" s="37">
        <v>35433.023000000001</v>
      </c>
      <c r="N56" s="37">
        <v>39891.862000000001</v>
      </c>
      <c r="O56" s="37">
        <v>39738.464</v>
      </c>
      <c r="P56" s="37">
        <v>39992.133999999998</v>
      </c>
      <c r="Q56" s="37">
        <v>45493.953999999998</v>
      </c>
      <c r="R56" s="37">
        <v>48866.875</v>
      </c>
      <c r="S56" s="37">
        <v>52920.802000000003</v>
      </c>
      <c r="T56" s="23">
        <v>61464.536</v>
      </c>
      <c r="U56" s="23">
        <v>78049.228000000003</v>
      </c>
      <c r="V56" s="23">
        <v>87572.513000000006</v>
      </c>
      <c r="W56" s="23">
        <v>91381.123000000007</v>
      </c>
      <c r="X56" s="2">
        <v>92943.967999999993</v>
      </c>
      <c r="Y56" s="2">
        <v>92184.557000000001</v>
      </c>
      <c r="Z56" s="2">
        <v>99084.517999999996</v>
      </c>
      <c r="AA56" s="2">
        <v>106605.03</v>
      </c>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row>
    <row r="57" spans="1:58" s="23" customFormat="1">
      <c r="A57" s="23" t="s">
        <v>96</v>
      </c>
      <c r="B57" s="36"/>
      <c r="C57" s="36"/>
      <c r="D57" s="36"/>
      <c r="E57" s="36"/>
      <c r="F57" s="77">
        <v>4353.95</v>
      </c>
      <c r="G57" s="36"/>
      <c r="H57" s="36"/>
      <c r="I57" s="37">
        <v>5004.6109999999999</v>
      </c>
      <c r="J57" s="37"/>
      <c r="K57" s="37">
        <v>5043.5439999999999</v>
      </c>
      <c r="L57" s="37">
        <v>6104.527</v>
      </c>
      <c r="M57" s="37">
        <v>6337.4849999999997</v>
      </c>
      <c r="N57" s="37">
        <v>6900.0039999999999</v>
      </c>
      <c r="O57" s="37">
        <v>6690.2619999999997</v>
      </c>
      <c r="P57" s="37">
        <v>7121.8410000000003</v>
      </c>
      <c r="Q57" s="37">
        <v>7017.76</v>
      </c>
      <c r="R57" s="37">
        <v>7029.9769999999999</v>
      </c>
      <c r="S57" s="37">
        <v>7285.3010000000004</v>
      </c>
      <c r="T57" s="23">
        <v>8099.1859999999997</v>
      </c>
      <c r="U57" s="23">
        <v>10303.039000000001</v>
      </c>
      <c r="V57" s="23">
        <v>10371.584000000001</v>
      </c>
      <c r="W57" s="23">
        <v>11429.528</v>
      </c>
      <c r="X57" s="2">
        <v>12657.302</v>
      </c>
      <c r="Y57" s="2">
        <v>13306.607</v>
      </c>
      <c r="Z57" s="2">
        <v>12796.977000000001</v>
      </c>
      <c r="AA57" s="2">
        <v>13164.022999999999</v>
      </c>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row>
    <row r="58" spans="1:58" s="17" customFormat="1">
      <c r="A58" s="23" t="s">
        <v>97</v>
      </c>
      <c r="B58" s="36"/>
      <c r="C58" s="36"/>
      <c r="D58" s="36"/>
      <c r="E58" s="37"/>
      <c r="F58" s="77">
        <v>24147.462</v>
      </c>
      <c r="G58" s="36"/>
      <c r="H58" s="36"/>
      <c r="I58" s="37">
        <v>37982.120000000003</v>
      </c>
      <c r="J58" s="37"/>
      <c r="K58" s="37">
        <v>45753.733</v>
      </c>
      <c r="L58" s="37">
        <v>55682.235999999997</v>
      </c>
      <c r="M58" s="37">
        <v>60925.754000000001</v>
      </c>
      <c r="N58" s="37">
        <v>59775.917999999998</v>
      </c>
      <c r="O58" s="37">
        <v>58494.722999999998</v>
      </c>
      <c r="P58" s="37">
        <v>63434.154000000002</v>
      </c>
      <c r="Q58" s="37">
        <v>69988.418000000005</v>
      </c>
      <c r="R58" s="37">
        <v>76142.557000000001</v>
      </c>
      <c r="S58" s="37">
        <v>80666.368000000002</v>
      </c>
      <c r="T58" s="23">
        <v>85145.509000000005</v>
      </c>
      <c r="U58" s="23">
        <v>78745.554000000004</v>
      </c>
      <c r="V58" s="23">
        <v>93032.058000000005</v>
      </c>
      <c r="W58" s="23">
        <v>98978.368000000002</v>
      </c>
      <c r="X58" s="23">
        <v>101761.05</v>
      </c>
      <c r="Y58" s="2">
        <v>104548.473</v>
      </c>
      <c r="Z58" s="2">
        <v>108633.54700000001</v>
      </c>
      <c r="AA58" s="2">
        <v>114667.4</v>
      </c>
    </row>
    <row r="59" spans="1:58">
      <c r="A59" s="23" t="s">
        <v>103</v>
      </c>
      <c r="B59" s="37"/>
      <c r="C59" s="37"/>
      <c r="D59" s="37"/>
      <c r="E59" s="37"/>
      <c r="F59" s="77">
        <v>3390.7739999999999</v>
      </c>
      <c r="G59" s="37"/>
      <c r="H59" s="37"/>
      <c r="I59" s="37">
        <v>2853.2460000000001</v>
      </c>
      <c r="J59" s="37"/>
      <c r="K59" s="37">
        <v>3456.8560000000002</v>
      </c>
      <c r="L59" s="37">
        <v>2261.7869999999998</v>
      </c>
      <c r="M59" s="37">
        <v>2789.5239999999999</v>
      </c>
      <c r="N59" s="37">
        <v>4176.6220000000003</v>
      </c>
      <c r="O59" s="37">
        <v>1997.9659999999999</v>
      </c>
      <c r="P59" s="37">
        <v>3006.11</v>
      </c>
      <c r="Q59" s="37">
        <v>2562.4630000000002</v>
      </c>
      <c r="R59" s="37">
        <v>2247.8380000000002</v>
      </c>
      <c r="S59" s="37">
        <v>1731.3789999999999</v>
      </c>
      <c r="T59" s="23">
        <v>3874.9830000000002</v>
      </c>
      <c r="U59" s="23">
        <v>4011.366</v>
      </c>
      <c r="V59" s="23">
        <v>3955.011</v>
      </c>
      <c r="W59" s="23">
        <v>3991.4290000000001</v>
      </c>
      <c r="X59" s="2">
        <v>9095.2620000000006</v>
      </c>
      <c r="Y59" s="2">
        <v>7522.4660000000003</v>
      </c>
      <c r="Z59" s="2">
        <v>7037.1480000000001</v>
      </c>
      <c r="AA59" s="2">
        <v>7526.2870000000003</v>
      </c>
    </row>
    <row r="60" spans="1:58">
      <c r="A60" s="23" t="s">
        <v>104</v>
      </c>
      <c r="B60" s="37"/>
      <c r="C60" s="37"/>
      <c r="D60" s="37"/>
      <c r="E60" s="37"/>
      <c r="F60" s="77">
        <v>35731.14</v>
      </c>
      <c r="G60" s="37"/>
      <c r="H60" s="37"/>
      <c r="I60" s="37">
        <v>41599.915000000001</v>
      </c>
      <c r="J60" s="37"/>
      <c r="K60" s="37">
        <v>42314.525000000001</v>
      </c>
      <c r="L60" s="37">
        <v>48819.794999999998</v>
      </c>
      <c r="M60" s="37">
        <v>52520.203999999998</v>
      </c>
      <c r="N60" s="37">
        <v>54996.050999999999</v>
      </c>
      <c r="O60" s="37">
        <v>59411.260999999999</v>
      </c>
      <c r="P60" s="37">
        <v>63555.92</v>
      </c>
      <c r="Q60" s="37">
        <v>68009.293000000005</v>
      </c>
      <c r="R60" s="37">
        <v>69852.570999999996</v>
      </c>
      <c r="S60" s="37">
        <v>70671.481</v>
      </c>
      <c r="T60" s="23">
        <v>78208.914000000004</v>
      </c>
      <c r="U60" s="23">
        <v>83954.502999999997</v>
      </c>
      <c r="V60" s="23">
        <v>103714.883</v>
      </c>
      <c r="W60" s="23">
        <v>103657.289</v>
      </c>
      <c r="X60" s="2">
        <v>99530.497000000003</v>
      </c>
      <c r="Y60" s="2">
        <v>101726.981</v>
      </c>
      <c r="Z60" s="2">
        <v>106802.851</v>
      </c>
      <c r="AA60" s="2">
        <v>107369.603</v>
      </c>
    </row>
    <row r="61" spans="1:58">
      <c r="A61" s="23" t="s">
        <v>106</v>
      </c>
      <c r="B61" s="37"/>
      <c r="C61" s="37"/>
      <c r="D61" s="37"/>
      <c r="E61" s="37"/>
      <c r="F61" s="77">
        <v>39828.309000000001</v>
      </c>
      <c r="G61" s="37"/>
      <c r="H61" s="37"/>
      <c r="I61" s="37">
        <v>48924.163</v>
      </c>
      <c r="J61" s="37"/>
      <c r="K61" s="37">
        <v>80484.418000000005</v>
      </c>
      <c r="L61" s="37">
        <v>78345.698000000004</v>
      </c>
      <c r="M61" s="37">
        <v>105849.333</v>
      </c>
      <c r="N61" s="37">
        <v>111317.401</v>
      </c>
      <c r="O61" s="37">
        <v>121887.23699999999</v>
      </c>
      <c r="P61" s="37">
        <v>128260.281</v>
      </c>
      <c r="Q61" s="37">
        <v>132171.30900000001</v>
      </c>
      <c r="R61" s="37">
        <v>135734.31299999999</v>
      </c>
      <c r="S61" s="37">
        <v>142973.274</v>
      </c>
      <c r="T61" s="23">
        <v>154971.04300000001</v>
      </c>
      <c r="U61" s="23">
        <v>179186.43400000001</v>
      </c>
      <c r="V61" s="23">
        <v>227629.41500000001</v>
      </c>
      <c r="W61" s="23">
        <v>243854.71400000001</v>
      </c>
      <c r="X61" s="2">
        <v>236123.5</v>
      </c>
      <c r="Y61" s="2">
        <v>252241.42800000001</v>
      </c>
      <c r="Z61" s="2">
        <v>292418.10200000001</v>
      </c>
      <c r="AA61" s="2">
        <v>297664.43400000001</v>
      </c>
    </row>
    <row r="62" spans="1:58">
      <c r="A62" s="23" t="s">
        <v>110</v>
      </c>
      <c r="B62" s="37"/>
      <c r="C62" s="37"/>
      <c r="D62" s="37"/>
      <c r="E62" s="37"/>
      <c r="F62" s="77">
        <v>32833.195</v>
      </c>
      <c r="G62" s="37"/>
      <c r="H62" s="37"/>
      <c r="I62" s="37">
        <v>34237.868000000002</v>
      </c>
      <c r="J62" s="37"/>
      <c r="K62" s="37">
        <v>41370.397240000013</v>
      </c>
      <c r="L62" s="37">
        <v>38153.428999999996</v>
      </c>
      <c r="M62" s="37">
        <v>41659.321000000004</v>
      </c>
      <c r="N62" s="37">
        <v>44103.264000000003</v>
      </c>
      <c r="O62" s="37">
        <v>49960.805999999997</v>
      </c>
      <c r="P62" s="37">
        <v>51937.616000000002</v>
      </c>
      <c r="Q62" s="37">
        <v>52695.633999999998</v>
      </c>
      <c r="R62" s="37">
        <v>57161.008000000002</v>
      </c>
      <c r="S62" s="37">
        <v>61196.978999999999</v>
      </c>
      <c r="T62" s="23">
        <v>69999.812000000005</v>
      </c>
      <c r="U62" s="23">
        <v>81882.91</v>
      </c>
      <c r="V62" s="23">
        <v>97822.707999999999</v>
      </c>
      <c r="W62" s="23">
        <v>101178.731</v>
      </c>
      <c r="X62" s="2">
        <v>106967.164</v>
      </c>
      <c r="Y62" s="2">
        <v>103674.47199999999</v>
      </c>
      <c r="Z62" s="2">
        <v>104449.205</v>
      </c>
      <c r="AA62" s="2">
        <v>106553.505</v>
      </c>
    </row>
    <row r="63" spans="1:58">
      <c r="A63" s="23" t="s">
        <v>111</v>
      </c>
      <c r="B63" s="37"/>
      <c r="C63" s="37"/>
      <c r="D63" s="37"/>
      <c r="E63" s="37"/>
      <c r="F63" s="77">
        <v>2965.3539999999998</v>
      </c>
      <c r="G63" s="37"/>
      <c r="H63" s="37"/>
      <c r="I63" s="37">
        <v>3640.3960000000002</v>
      </c>
      <c r="J63" s="37"/>
      <c r="K63" s="37">
        <v>3817.779</v>
      </c>
      <c r="L63" s="37">
        <v>4064.95</v>
      </c>
      <c r="M63" s="37">
        <v>4239.3980000000001</v>
      </c>
      <c r="N63" s="37">
        <v>4631.7250000000004</v>
      </c>
      <c r="O63" s="37">
        <v>4895.2700000000004</v>
      </c>
      <c r="P63" s="37">
        <v>5307.0690000000004</v>
      </c>
      <c r="Q63" s="37">
        <v>5305.5209999999997</v>
      </c>
      <c r="R63" s="37">
        <v>6470.1469999999999</v>
      </c>
      <c r="S63" s="37">
        <v>6286.7629999999999</v>
      </c>
      <c r="T63" s="23">
        <v>6973.375</v>
      </c>
      <c r="U63" s="23">
        <v>8479.8060000000005</v>
      </c>
      <c r="V63" s="23">
        <v>7894.9409999999998</v>
      </c>
      <c r="W63" s="23">
        <v>8522.6479999999992</v>
      </c>
      <c r="X63" s="2">
        <v>8195.8729999999996</v>
      </c>
      <c r="Y63" s="2">
        <v>8426.5920000000006</v>
      </c>
      <c r="Z63" s="2">
        <v>8833.7780000000002</v>
      </c>
      <c r="AA63" s="2">
        <v>9027.4310000000005</v>
      </c>
    </row>
    <row r="64" spans="1:58">
      <c r="A64" s="45" t="s">
        <v>114</v>
      </c>
      <c r="B64" s="63"/>
      <c r="C64" s="63"/>
      <c r="D64" s="63"/>
      <c r="E64" s="63"/>
      <c r="F64" s="82">
        <v>4060.04</v>
      </c>
      <c r="G64" s="63"/>
      <c r="H64" s="63"/>
      <c r="I64" s="63">
        <v>3437.4189999999999</v>
      </c>
      <c r="J64" s="63"/>
      <c r="K64" s="63">
        <v>3788.3589999999999</v>
      </c>
      <c r="L64" s="63">
        <v>4723.924</v>
      </c>
      <c r="M64" s="63">
        <v>4827.8100000000004</v>
      </c>
      <c r="N64" s="63">
        <v>4740.1130000000003</v>
      </c>
      <c r="O64" s="63">
        <v>5050.5990000000002</v>
      </c>
      <c r="P64" s="63">
        <v>5101.4040000000005</v>
      </c>
      <c r="Q64" s="63">
        <v>5497.9989999999998</v>
      </c>
      <c r="R64" s="63">
        <v>5584.1049999999996</v>
      </c>
      <c r="S64" s="63">
        <v>5654.4189999999999</v>
      </c>
      <c r="T64" s="45">
        <v>6540.6940000000004</v>
      </c>
      <c r="U64" s="45">
        <v>9870.6350000000002</v>
      </c>
      <c r="V64" s="45">
        <v>8164.0079999999998</v>
      </c>
      <c r="W64" s="45">
        <v>9268.6990000000005</v>
      </c>
      <c r="X64" s="45">
        <v>9991.2549999999992</v>
      </c>
      <c r="Y64" s="45">
        <v>15368.603999999999</v>
      </c>
      <c r="Z64" s="45">
        <v>15255.981</v>
      </c>
      <c r="AA64" s="45">
        <v>14243.833000000001</v>
      </c>
    </row>
    <row r="65" spans="1:58">
      <c r="A65" s="88" t="s">
        <v>90</v>
      </c>
      <c r="B65" s="84"/>
      <c r="C65" s="84"/>
      <c r="D65" s="84"/>
      <c r="E65" s="84"/>
      <c r="F65" s="85">
        <v>0</v>
      </c>
      <c r="G65" s="84"/>
      <c r="H65" s="84"/>
      <c r="I65" s="86">
        <v>0</v>
      </c>
      <c r="J65" s="86"/>
      <c r="K65" s="86">
        <v>0</v>
      </c>
      <c r="L65" s="86">
        <v>0</v>
      </c>
      <c r="M65" s="86">
        <v>0</v>
      </c>
      <c r="N65" s="86">
        <v>0</v>
      </c>
      <c r="O65" s="86">
        <v>0</v>
      </c>
      <c r="P65" s="86">
        <v>0</v>
      </c>
      <c r="Q65" s="86">
        <v>0</v>
      </c>
      <c r="R65" s="86">
        <v>0</v>
      </c>
      <c r="S65" s="86">
        <v>0</v>
      </c>
      <c r="T65" s="87">
        <v>0</v>
      </c>
      <c r="U65" s="87">
        <v>0</v>
      </c>
      <c r="V65" s="87">
        <v>0</v>
      </c>
      <c r="W65" s="87">
        <v>0</v>
      </c>
      <c r="X65" s="45"/>
      <c r="Y65" s="45"/>
      <c r="Z65" s="45"/>
      <c r="AA65" s="45"/>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row>
    <row r="67" spans="1:58">
      <c r="I67" s="34" t="s">
        <v>78</v>
      </c>
      <c r="J67" s="34" t="s">
        <v>76</v>
      </c>
      <c r="K67" s="34"/>
      <c r="L67" s="34" t="s">
        <v>69</v>
      </c>
      <c r="M67" s="34"/>
      <c r="N67" s="34"/>
      <c r="O67" s="34" t="s">
        <v>78</v>
      </c>
      <c r="P67" s="34" t="s">
        <v>78</v>
      </c>
      <c r="Q67" s="34" t="s">
        <v>78</v>
      </c>
      <c r="R67" s="34" t="s">
        <v>78</v>
      </c>
      <c r="S67" s="34"/>
      <c r="T67" s="34"/>
      <c r="U67" s="34"/>
      <c r="V67" s="34"/>
      <c r="W67" s="34"/>
    </row>
    <row r="68" spans="1:58">
      <c r="I68" s="14" t="s">
        <v>79</v>
      </c>
      <c r="J68" s="14" t="s">
        <v>72</v>
      </c>
      <c r="L68" s="14" t="s">
        <v>70</v>
      </c>
      <c r="O68" s="14" t="s">
        <v>79</v>
      </c>
      <c r="P68" s="14" t="s">
        <v>79</v>
      </c>
      <c r="Q68" s="14" t="s">
        <v>79</v>
      </c>
      <c r="R68" s="14" t="s">
        <v>79</v>
      </c>
    </row>
    <row r="69" spans="1:58">
      <c r="I69" s="14" t="s">
        <v>80</v>
      </c>
      <c r="J69" s="14" t="s">
        <v>73</v>
      </c>
      <c r="O69" s="14" t="s">
        <v>80</v>
      </c>
      <c r="P69" s="14" t="s">
        <v>80</v>
      </c>
      <c r="Q69" s="14" t="s">
        <v>80</v>
      </c>
      <c r="R69" s="14" t="s">
        <v>80</v>
      </c>
    </row>
    <row r="70" spans="1:58">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tabColor theme="4" tint="0.39997558519241921"/>
  </sheetPr>
  <dimension ref="A1:AP70"/>
  <sheetViews>
    <sheetView showZeros="0" zoomScale="80" zoomScaleNormal="80" workbookViewId="0">
      <pane xSplit="1" ySplit="5" topLeftCell="R6" activePane="bottomRight" state="frozen"/>
      <selection activeCell="AC65" sqref="AC65"/>
      <selection pane="topRight" activeCell="AC65" sqref="AC65"/>
      <selection pane="bottomLeft" activeCell="AC65" sqref="AC65"/>
      <selection pane="bottomRight" activeCell="Z23" sqref="Z23"/>
    </sheetView>
  </sheetViews>
  <sheetFormatPr defaultColWidth="9.7109375" defaultRowHeight="12.75"/>
  <cols>
    <col min="1" max="1" width="23.42578125" style="80" customWidth="1"/>
    <col min="2" max="23" width="12.42578125" style="14" customWidth="1"/>
    <col min="24" max="42" width="10.7109375" style="2" customWidth="1"/>
    <col min="43" max="16384" width="9.7109375" style="2"/>
  </cols>
  <sheetData>
    <row r="1" spans="1:27">
      <c r="A1" s="21" t="s">
        <v>39</v>
      </c>
      <c r="B1"/>
      <c r="C1"/>
      <c r="D1"/>
      <c r="E1"/>
      <c r="F1"/>
      <c r="G1"/>
      <c r="H1"/>
      <c r="I1"/>
      <c r="J1"/>
      <c r="K1"/>
      <c r="L1"/>
      <c r="M1"/>
      <c r="N1"/>
      <c r="O1" s="46"/>
      <c r="P1" s="46"/>
      <c r="Q1" s="46"/>
      <c r="R1" s="46"/>
      <c r="S1"/>
      <c r="T1"/>
      <c r="U1"/>
      <c r="V1"/>
      <c r="W1"/>
    </row>
    <row r="2" spans="1:27">
      <c r="A2" s="12"/>
      <c r="B2"/>
      <c r="C2"/>
      <c r="D2"/>
      <c r="E2"/>
      <c r="F2"/>
      <c r="G2"/>
      <c r="H2"/>
      <c r="I2"/>
      <c r="J2"/>
      <c r="K2"/>
      <c r="L2"/>
      <c r="M2"/>
      <c r="N2"/>
      <c r="O2" s="46"/>
      <c r="P2" s="46"/>
      <c r="Q2" s="46"/>
      <c r="R2" s="46"/>
      <c r="S2"/>
      <c r="T2"/>
      <c r="U2"/>
      <c r="V2"/>
      <c r="W2"/>
    </row>
    <row r="3" spans="1:27">
      <c r="A3" s="13" t="s">
        <v>22</v>
      </c>
      <c r="B3"/>
      <c r="C3"/>
      <c r="D3"/>
      <c r="E3"/>
      <c r="F3"/>
      <c r="G3"/>
      <c r="H3"/>
      <c r="I3"/>
      <c r="J3"/>
      <c r="K3"/>
      <c r="L3"/>
      <c r="M3"/>
      <c r="N3"/>
      <c r="O3" s="46"/>
      <c r="P3" s="46"/>
      <c r="Q3" s="46"/>
      <c r="R3" s="46"/>
      <c r="S3"/>
      <c r="T3"/>
      <c r="U3"/>
      <c r="V3"/>
      <c r="W3"/>
    </row>
    <row r="4" spans="1:27" s="65"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60">
        <v>2005</v>
      </c>
      <c r="R4" s="60">
        <v>2006</v>
      </c>
      <c r="S4" s="74">
        <v>2007</v>
      </c>
      <c r="T4" s="74">
        <v>2008</v>
      </c>
      <c r="U4" s="74">
        <v>2009</v>
      </c>
      <c r="V4" s="74">
        <v>2010</v>
      </c>
      <c r="W4" s="74">
        <v>2011</v>
      </c>
      <c r="X4" s="173" t="s">
        <v>142</v>
      </c>
      <c r="Y4" s="173" t="s">
        <v>144</v>
      </c>
      <c r="Z4" s="173" t="s">
        <v>145</v>
      </c>
      <c r="AA4" s="173" t="s">
        <v>146</v>
      </c>
    </row>
    <row r="5" spans="1:27" s="19" customFormat="1">
      <c r="B5" s="15" t="s">
        <v>1</v>
      </c>
      <c r="C5" s="15" t="s">
        <v>1</v>
      </c>
      <c r="D5" s="15" t="s">
        <v>1</v>
      </c>
      <c r="E5" s="15" t="s">
        <v>1</v>
      </c>
      <c r="F5" s="15" t="s">
        <v>1</v>
      </c>
      <c r="G5" s="15" t="s">
        <v>1</v>
      </c>
      <c r="H5" s="15" t="s">
        <v>1</v>
      </c>
      <c r="I5" s="15" t="s">
        <v>1</v>
      </c>
      <c r="J5" s="15" t="s">
        <v>1</v>
      </c>
      <c r="K5" s="15" t="s">
        <v>1</v>
      </c>
      <c r="L5" s="15" t="s">
        <v>1</v>
      </c>
      <c r="M5" s="15" t="s">
        <v>1</v>
      </c>
      <c r="N5" s="15" t="s">
        <v>1</v>
      </c>
      <c r="O5" s="15" t="s">
        <v>1</v>
      </c>
      <c r="P5" s="15" t="s">
        <v>1</v>
      </c>
      <c r="Q5" s="15" t="s">
        <v>1</v>
      </c>
      <c r="R5" s="15" t="s">
        <v>1</v>
      </c>
      <c r="S5" s="15" t="s">
        <v>1</v>
      </c>
      <c r="T5" s="15" t="s">
        <v>1</v>
      </c>
      <c r="U5" s="15" t="s">
        <v>1</v>
      </c>
      <c r="V5" s="15" t="s">
        <v>1</v>
      </c>
      <c r="W5" s="15" t="s">
        <v>1</v>
      </c>
      <c r="X5" s="19" t="s">
        <v>1</v>
      </c>
      <c r="Y5" s="19" t="s">
        <v>1</v>
      </c>
      <c r="Z5" s="19" t="s">
        <v>1</v>
      </c>
      <c r="AA5" s="19" t="s">
        <v>1</v>
      </c>
    </row>
    <row r="6" spans="1:27" s="23" customFormat="1">
      <c r="A6" s="63" t="s">
        <v>118</v>
      </c>
      <c r="B6" s="13">
        <f>534162+1150940</f>
        <v>1685102</v>
      </c>
      <c r="C6" s="13">
        <f>588558+1253205</f>
        <v>1841763</v>
      </c>
      <c r="D6" s="13">
        <f>639977+1361198</f>
        <v>2001175</v>
      </c>
      <c r="E6" s="13">
        <v>2772947.1239999998</v>
      </c>
      <c r="F6" s="91">
        <f>+F7+F25+F40+F54+F65</f>
        <v>2862019.622</v>
      </c>
      <c r="G6" s="13">
        <v>3269448.477</v>
      </c>
      <c r="H6" s="13">
        <v>3298838.8190000001</v>
      </c>
      <c r="I6" s="91">
        <f>+I7+I25+I40+I54+I65</f>
        <v>3405337.8819999998</v>
      </c>
      <c r="J6" s="14">
        <v>3525266.301</v>
      </c>
      <c r="K6" s="91">
        <f t="shared" ref="K6:U6" si="0">+K7+K25+K40+K54+K65</f>
        <v>3881206.0453199996</v>
      </c>
      <c r="L6" s="91">
        <f t="shared" si="0"/>
        <v>4664135.0159999998</v>
      </c>
      <c r="M6" s="91">
        <f t="shared" si="0"/>
        <v>4952500.5470000003</v>
      </c>
      <c r="N6" s="91">
        <f t="shared" si="0"/>
        <v>5211416.4550000001</v>
      </c>
      <c r="O6" s="91">
        <f t="shared" si="0"/>
        <v>5375257.3640000001</v>
      </c>
      <c r="P6" s="91">
        <f t="shared" si="0"/>
        <v>5637180.9160000002</v>
      </c>
      <c r="Q6" s="91">
        <f t="shared" si="0"/>
        <v>6189602.5379999997</v>
      </c>
      <c r="R6" s="91">
        <f t="shared" si="0"/>
        <v>6425120.8950000014</v>
      </c>
      <c r="S6" s="91">
        <f t="shared" si="0"/>
        <v>6875146.0760000004</v>
      </c>
      <c r="T6" s="91">
        <f t="shared" si="0"/>
        <v>7739845.5589999994</v>
      </c>
      <c r="U6" s="91">
        <f t="shared" si="0"/>
        <v>7978662.3099999996</v>
      </c>
      <c r="V6" s="91">
        <f t="shared" ref="V6:W6" si="1">+V7+V25+V40+V54+V65</f>
        <v>9309767.568</v>
      </c>
      <c r="W6" s="91">
        <f t="shared" si="1"/>
        <v>9722966.3499999996</v>
      </c>
      <c r="X6" s="91">
        <f t="shared" ref="X6:Y6" si="2">+X7+X25+X40+X54+X65</f>
        <v>10278086.606999999</v>
      </c>
      <c r="Y6" s="91">
        <f t="shared" si="2"/>
        <v>10739928.431999998</v>
      </c>
      <c r="Z6" s="91">
        <f t="shared" ref="Z6:AA6" si="3">+Z7+Z25+Z40+Z54+Z65</f>
        <v>11534187.737</v>
      </c>
      <c r="AA6" s="91">
        <f t="shared" si="3"/>
        <v>12033843.597999999</v>
      </c>
    </row>
    <row r="7" spans="1:27" s="23" customFormat="1">
      <c r="A7" s="22" t="s">
        <v>56</v>
      </c>
      <c r="B7" s="89">
        <f>SUM(B8:B24)</f>
        <v>419587</v>
      </c>
      <c r="C7" s="89">
        <f t="shared" ref="C7:U7" si="4">SUM(C8:C24)</f>
        <v>461112</v>
      </c>
      <c r="D7" s="89">
        <f t="shared" si="4"/>
        <v>508993</v>
      </c>
      <c r="E7" s="89">
        <f t="shared" si="4"/>
        <v>724983.85499999998</v>
      </c>
      <c r="F7" s="89">
        <f t="shared" si="4"/>
        <v>754283.39300000004</v>
      </c>
      <c r="G7" s="89">
        <f t="shared" si="4"/>
        <v>810540.55299999984</v>
      </c>
      <c r="H7" s="89">
        <f t="shared" si="4"/>
        <v>862587.1</v>
      </c>
      <c r="I7" s="89">
        <f t="shared" si="4"/>
        <v>940786.72600000002</v>
      </c>
      <c r="J7" s="89">
        <f t="shared" si="4"/>
        <v>1000750.7769999999</v>
      </c>
      <c r="K7" s="89">
        <f t="shared" si="4"/>
        <v>1060449.75376</v>
      </c>
      <c r="L7" s="89">
        <f t="shared" si="4"/>
        <v>1369357.7850000001</v>
      </c>
      <c r="M7" s="89">
        <f t="shared" si="4"/>
        <v>1470353.307</v>
      </c>
      <c r="N7" s="89">
        <f t="shared" si="4"/>
        <v>1599360.0019999999</v>
      </c>
      <c r="O7" s="89">
        <f t="shared" si="4"/>
        <v>1719401.6950000001</v>
      </c>
      <c r="P7" s="89">
        <f t="shared" si="4"/>
        <v>1796446.4080000001</v>
      </c>
      <c r="Q7" s="89">
        <f t="shared" si="4"/>
        <v>2046051.155</v>
      </c>
      <c r="R7" s="89">
        <f t="shared" si="4"/>
        <v>2095190.6460000002</v>
      </c>
      <c r="S7" s="89">
        <f t="shared" si="4"/>
        <v>2219104.36</v>
      </c>
      <c r="T7" s="89">
        <f t="shared" si="4"/>
        <v>2506182.1210000003</v>
      </c>
      <c r="U7" s="89">
        <f t="shared" si="4"/>
        <v>2543015.9900000002</v>
      </c>
      <c r="V7" s="89">
        <f t="shared" ref="V7:W7" si="5">SUM(V8:V24)</f>
        <v>3061067.4830000009</v>
      </c>
      <c r="W7" s="89">
        <f t="shared" si="5"/>
        <v>3223858.4389999998</v>
      </c>
      <c r="X7" s="89">
        <f t="shared" ref="X7:Y7" si="6">SUM(X8:X24)</f>
        <v>3415602.7129999995</v>
      </c>
      <c r="Y7" s="89">
        <f t="shared" si="6"/>
        <v>3548333.1770000001</v>
      </c>
      <c r="Z7" s="89">
        <f t="shared" ref="Z7:AA7" si="7">SUM(Z8:Z24)</f>
        <v>3763196.1669999999</v>
      </c>
      <c r="AA7" s="89">
        <f t="shared" si="7"/>
        <v>3884938.0039999997</v>
      </c>
    </row>
    <row r="8" spans="1:27">
      <c r="A8" s="79" t="s">
        <v>119</v>
      </c>
      <c r="T8" s="2"/>
      <c r="U8" s="2"/>
      <c r="V8" s="2"/>
      <c r="W8" s="2"/>
    </row>
    <row r="9" spans="1:27">
      <c r="A9" s="22" t="s">
        <v>3</v>
      </c>
      <c r="B9" s="13">
        <f>7966+23428</f>
        <v>31394</v>
      </c>
      <c r="C9" s="13">
        <f>8494+26253</f>
        <v>34747</v>
      </c>
      <c r="D9" s="13">
        <f>9323+29235</f>
        <v>38558</v>
      </c>
      <c r="E9" s="13">
        <v>55927.031999999999</v>
      </c>
      <c r="F9" s="76">
        <v>57481.09</v>
      </c>
      <c r="G9" s="13">
        <v>63171.076999999997</v>
      </c>
      <c r="H9" s="13">
        <v>68761.494999999995</v>
      </c>
      <c r="I9" s="13">
        <v>75551.721000000005</v>
      </c>
      <c r="J9" s="13">
        <v>72954.720000000001</v>
      </c>
      <c r="K9" s="13">
        <v>75028.785000000003</v>
      </c>
      <c r="L9" s="14">
        <v>97535.877999999997</v>
      </c>
      <c r="M9" s="14">
        <v>103598.318</v>
      </c>
      <c r="N9" s="14">
        <v>107990.209</v>
      </c>
      <c r="O9" s="14">
        <v>114496.18799999999</v>
      </c>
      <c r="P9" s="14">
        <v>114110.38400000001</v>
      </c>
      <c r="Q9" s="14">
        <v>126744.08199999999</v>
      </c>
      <c r="R9" s="14">
        <v>143651.97099999999</v>
      </c>
      <c r="S9" s="14">
        <v>155111.09</v>
      </c>
      <c r="T9" s="2">
        <v>173529.622</v>
      </c>
      <c r="U9" s="2">
        <v>188654.19699999999</v>
      </c>
      <c r="V9" s="2">
        <v>217811.09899999999</v>
      </c>
      <c r="W9" s="2">
        <v>232375.726</v>
      </c>
      <c r="X9" s="2">
        <v>249743.56700000001</v>
      </c>
      <c r="Y9" s="2">
        <v>268094.45</v>
      </c>
      <c r="Z9" s="2">
        <v>291287.27600000001</v>
      </c>
      <c r="AA9" s="2">
        <v>304223.09399999998</v>
      </c>
    </row>
    <row r="10" spans="1:27">
      <c r="A10" s="22" t="s">
        <v>4</v>
      </c>
      <c r="B10" s="13">
        <f>2574+6545</f>
        <v>9119</v>
      </c>
      <c r="C10" s="13">
        <f>3015+7440</f>
        <v>10455</v>
      </c>
      <c r="D10" s="13">
        <f>3373+7977</f>
        <v>11350</v>
      </c>
      <c r="E10" s="13">
        <v>16503.120999999999</v>
      </c>
      <c r="F10" s="76">
        <v>17986.368999999999</v>
      </c>
      <c r="G10" s="13">
        <v>19438.065999999999</v>
      </c>
      <c r="H10" s="13">
        <v>19669.092000000001</v>
      </c>
      <c r="I10" s="14">
        <v>20028.282999999999</v>
      </c>
      <c r="J10" s="14">
        <v>24095.71</v>
      </c>
      <c r="K10" s="14">
        <v>27533.895</v>
      </c>
      <c r="L10" s="14">
        <v>34451.088000000003</v>
      </c>
      <c r="M10" s="14">
        <v>35635.815999999999</v>
      </c>
      <c r="N10" s="14">
        <v>39711.091999999997</v>
      </c>
      <c r="O10" s="14">
        <v>43949.99</v>
      </c>
      <c r="P10" s="14">
        <v>50995.074999999997</v>
      </c>
      <c r="Q10" s="14">
        <v>53087.752</v>
      </c>
      <c r="R10" s="14">
        <v>57971.324000000001</v>
      </c>
      <c r="S10" s="14">
        <v>55129.391000000003</v>
      </c>
      <c r="T10" s="2">
        <v>61507.777999999998</v>
      </c>
      <c r="U10" s="2">
        <v>61961.396000000001</v>
      </c>
      <c r="V10" s="2">
        <v>79758.192999999999</v>
      </c>
      <c r="W10" s="2">
        <v>85286.251000000004</v>
      </c>
      <c r="X10" s="2">
        <v>89819.688999999998</v>
      </c>
      <c r="Y10" s="2">
        <v>95697.811000000002</v>
      </c>
      <c r="Z10" s="2">
        <v>98985.553</v>
      </c>
      <c r="AA10" s="2">
        <v>100636.516</v>
      </c>
    </row>
    <row r="11" spans="1:27" ht="12" customHeight="1">
      <c r="A11" s="22" t="s">
        <v>52</v>
      </c>
      <c r="B11" s="13"/>
      <c r="C11" s="13"/>
      <c r="D11" s="13">
        <f>6954+1937</f>
        <v>8891</v>
      </c>
      <c r="E11" s="13">
        <v>12953.847</v>
      </c>
      <c r="F11" s="76">
        <v>13572.08</v>
      </c>
      <c r="G11" s="13"/>
      <c r="H11" s="13"/>
      <c r="I11" s="14">
        <v>17375.366000000002</v>
      </c>
      <c r="J11" s="14">
        <v>17453.524000000001</v>
      </c>
      <c r="K11" s="14">
        <v>17726.221000000001</v>
      </c>
      <c r="L11" s="14">
        <v>21177.713</v>
      </c>
      <c r="M11" s="14">
        <v>24946.172999999999</v>
      </c>
      <c r="N11" s="14">
        <v>25319.242999999999</v>
      </c>
      <c r="O11" s="14">
        <v>25532.830999999998</v>
      </c>
      <c r="P11" s="14">
        <v>27089.837</v>
      </c>
      <c r="Q11" s="14">
        <f>8427.627+19244.397</f>
        <v>27672.024000000001</v>
      </c>
      <c r="R11" s="14">
        <v>32222.204000000002</v>
      </c>
      <c r="S11" s="14">
        <v>14458.902</v>
      </c>
      <c r="T11" s="2">
        <v>41578.453000000001</v>
      </c>
      <c r="U11" s="2">
        <v>41901.065000000002</v>
      </c>
      <c r="V11" s="2">
        <v>44396.156999999999</v>
      </c>
      <c r="W11" s="2">
        <v>46489.368000000002</v>
      </c>
      <c r="X11" s="2">
        <v>45595.09</v>
      </c>
      <c r="Y11" s="2">
        <v>17055.633999999998</v>
      </c>
      <c r="Z11" s="2">
        <v>53303.894999999997</v>
      </c>
      <c r="AA11" s="2">
        <v>52305.067000000003</v>
      </c>
    </row>
    <row r="12" spans="1:27">
      <c r="A12" s="22" t="s">
        <v>5</v>
      </c>
      <c r="B12" s="13">
        <f>13592+19092</f>
        <v>32684</v>
      </c>
      <c r="C12" s="13">
        <f>14216+23327</f>
        <v>37543</v>
      </c>
      <c r="D12" s="13">
        <f>15246+26024</f>
        <v>41270</v>
      </c>
      <c r="E12" s="13">
        <v>77691.638000000006</v>
      </c>
      <c r="F12" s="76">
        <v>78046.797000000006</v>
      </c>
      <c r="G12" s="13">
        <v>91567.13</v>
      </c>
      <c r="H12" s="13">
        <v>89812.857999999993</v>
      </c>
      <c r="I12" s="14">
        <v>98549.554000000004</v>
      </c>
      <c r="J12" s="14">
        <v>106798.416</v>
      </c>
      <c r="K12" s="14">
        <v>102759.613</v>
      </c>
      <c r="L12" s="14">
        <v>145828.51</v>
      </c>
      <c r="M12" s="14">
        <v>152773.96900000001</v>
      </c>
      <c r="N12" s="14">
        <v>170589.93400000001</v>
      </c>
      <c r="O12" s="14">
        <v>214241.848</v>
      </c>
      <c r="P12" s="14">
        <v>207440.23199999999</v>
      </c>
      <c r="Q12" s="14">
        <v>220381.609</v>
      </c>
      <c r="R12" s="14">
        <v>229481.321</v>
      </c>
      <c r="S12" s="14">
        <v>231142.93900000001</v>
      </c>
      <c r="T12" s="2">
        <v>245655.22899999999</v>
      </c>
      <c r="U12" s="2">
        <v>232883.91800000001</v>
      </c>
      <c r="V12" s="2">
        <v>255229.78700000001</v>
      </c>
      <c r="W12" s="2">
        <v>275407.71899999998</v>
      </c>
      <c r="X12" s="2">
        <v>292511.86099999998</v>
      </c>
      <c r="Y12" s="2">
        <v>321792.48700000002</v>
      </c>
      <c r="Z12" s="2">
        <v>341901.43599999999</v>
      </c>
      <c r="AA12" s="2">
        <v>354410.147</v>
      </c>
    </row>
    <row r="13" spans="1:27">
      <c r="A13" s="22" t="s">
        <v>6</v>
      </c>
      <c r="B13" s="13">
        <f>5207+17228</f>
        <v>22435</v>
      </c>
      <c r="C13" s="13">
        <f>5686+18935</f>
        <v>24621</v>
      </c>
      <c r="D13" s="13">
        <f>5920+25445</f>
        <v>31365</v>
      </c>
      <c r="E13" s="13">
        <v>45194.661999999997</v>
      </c>
      <c r="F13" s="76">
        <v>43654.053999999996</v>
      </c>
      <c r="G13" s="13">
        <v>63301.78</v>
      </c>
      <c r="H13" s="13">
        <v>68140.464999999997</v>
      </c>
      <c r="I13" s="14">
        <v>73655.991999999998</v>
      </c>
      <c r="J13" s="14">
        <v>79457.100999999995</v>
      </c>
      <c r="K13" s="14">
        <v>88765.611999999994</v>
      </c>
      <c r="L13" s="14">
        <v>109895.20600000001</v>
      </c>
      <c r="M13" s="14">
        <v>120087.61900000001</v>
      </c>
      <c r="N13" s="14">
        <v>121617.97500000001</v>
      </c>
      <c r="O13" s="14">
        <v>133903.62299999999</v>
      </c>
      <c r="P13" s="14">
        <v>137727.185</v>
      </c>
      <c r="Q13" s="14">
        <v>145051.21799999999</v>
      </c>
      <c r="R13" s="14">
        <v>150846.96400000001</v>
      </c>
      <c r="S13" s="14">
        <v>168907.88699999999</v>
      </c>
      <c r="T13" s="2">
        <v>190976.48300000001</v>
      </c>
      <c r="U13" s="2">
        <v>190581.71299999999</v>
      </c>
      <c r="V13" s="2">
        <v>231274.546</v>
      </c>
      <c r="W13" s="2">
        <v>271582.83600000001</v>
      </c>
      <c r="X13" s="2">
        <v>285815.31099999999</v>
      </c>
      <c r="Y13" s="2">
        <v>307283.83799999999</v>
      </c>
      <c r="Z13" s="2">
        <v>313813.80200000003</v>
      </c>
      <c r="AA13" s="2">
        <v>345461.23300000001</v>
      </c>
    </row>
    <row r="14" spans="1:27">
      <c r="A14" s="22" t="s">
        <v>7</v>
      </c>
      <c r="B14" s="13">
        <f>14270+18487</f>
        <v>32757</v>
      </c>
      <c r="C14" s="13">
        <f>15174+20524</f>
        <v>35698</v>
      </c>
      <c r="D14" s="13">
        <f>16390+21268</f>
        <v>37658</v>
      </c>
      <c r="E14" s="13">
        <v>50528.906999999999</v>
      </c>
      <c r="F14" s="76">
        <v>54121.690999999999</v>
      </c>
      <c r="G14" s="13">
        <v>54696.51</v>
      </c>
      <c r="H14" s="13">
        <v>57865.760000000002</v>
      </c>
      <c r="I14" s="14">
        <v>59711.69</v>
      </c>
      <c r="J14" s="14">
        <v>63123.678999999996</v>
      </c>
      <c r="K14" s="14">
        <v>65926.179999999993</v>
      </c>
      <c r="L14" s="14">
        <v>75933.175000000003</v>
      </c>
      <c r="M14" s="14">
        <v>80558.241999999998</v>
      </c>
      <c r="N14" s="14">
        <v>80656.361000000004</v>
      </c>
      <c r="O14" s="14">
        <v>88793.656000000003</v>
      </c>
      <c r="P14" s="14">
        <v>93158.695999999996</v>
      </c>
      <c r="Q14" s="14">
        <v>98780.611999999994</v>
      </c>
      <c r="R14" s="14">
        <v>107466.63800000001</v>
      </c>
      <c r="S14" s="14">
        <v>117779.891</v>
      </c>
      <c r="T14" s="2">
        <v>135137.99100000001</v>
      </c>
      <c r="U14" s="2">
        <v>142725.296</v>
      </c>
      <c r="V14" s="2">
        <v>171928.76800000001</v>
      </c>
      <c r="W14" s="2">
        <v>186728.568</v>
      </c>
      <c r="X14" s="2">
        <v>201237.94</v>
      </c>
      <c r="Y14" s="2">
        <v>209569.99900000001</v>
      </c>
      <c r="Z14" s="2">
        <v>214316.04300000001</v>
      </c>
      <c r="AA14" s="2">
        <v>221773.73300000001</v>
      </c>
    </row>
    <row r="15" spans="1:27">
      <c r="A15" s="22" t="s">
        <v>8</v>
      </c>
      <c r="B15" s="36">
        <f>3472+25348</f>
        <v>28820</v>
      </c>
      <c r="C15" s="36">
        <f>3334+27196</f>
        <v>30530</v>
      </c>
      <c r="D15" s="36">
        <f>3713+27481</f>
        <v>31194</v>
      </c>
      <c r="E15" s="36">
        <v>44712.09</v>
      </c>
      <c r="F15" s="77">
        <v>47804.35</v>
      </c>
      <c r="G15" s="36">
        <v>48095.953000000001</v>
      </c>
      <c r="H15" s="36">
        <v>47876.972999999998</v>
      </c>
      <c r="I15" s="37">
        <v>49959.908000000003</v>
      </c>
      <c r="J15" s="37">
        <v>51976.065000000002</v>
      </c>
      <c r="K15" s="37">
        <v>54849.476999999999</v>
      </c>
      <c r="L15" s="37">
        <v>66366.028999999995</v>
      </c>
      <c r="M15" s="37">
        <v>70410.84</v>
      </c>
      <c r="N15" s="37">
        <v>76324.884000000005</v>
      </c>
      <c r="O15" s="37">
        <v>78386.847999999998</v>
      </c>
      <c r="P15" s="37">
        <v>89306.952000000005</v>
      </c>
      <c r="Q15" s="37">
        <v>92431.35</v>
      </c>
      <c r="R15" s="37">
        <v>93119.400999999998</v>
      </c>
      <c r="S15" s="37">
        <v>97481.884000000005</v>
      </c>
      <c r="T15" s="23">
        <v>119526.947</v>
      </c>
      <c r="U15" s="23">
        <v>123465.254</v>
      </c>
      <c r="V15" s="23">
        <v>141189.908</v>
      </c>
      <c r="W15" s="23">
        <v>140502.85200000001</v>
      </c>
      <c r="X15" s="2">
        <v>141200.11600000001</v>
      </c>
      <c r="Y15" s="2">
        <v>142335.74299999999</v>
      </c>
      <c r="Z15" s="2">
        <v>146115.872</v>
      </c>
      <c r="AA15" s="2">
        <v>148713.538</v>
      </c>
    </row>
    <row r="16" spans="1:27">
      <c r="A16" s="22" t="s">
        <v>9</v>
      </c>
      <c r="B16" s="36">
        <v>34600</v>
      </c>
      <c r="C16" s="36">
        <f>0+39006</f>
        <v>39006</v>
      </c>
      <c r="D16" s="36">
        <f>0+34121</f>
        <v>34121</v>
      </c>
      <c r="E16" s="36">
        <v>53416.159</v>
      </c>
      <c r="F16" s="77">
        <v>52759.904000000002</v>
      </c>
      <c r="G16" s="36">
        <v>50499.665000000001</v>
      </c>
      <c r="H16" s="36">
        <v>55814.997000000003</v>
      </c>
      <c r="I16" s="37">
        <v>59208.728000000003</v>
      </c>
      <c r="J16" s="37">
        <v>62401.434000000001</v>
      </c>
      <c r="K16" s="37">
        <v>72879.817999999999</v>
      </c>
      <c r="L16" s="37">
        <v>83362.164999999994</v>
      </c>
      <c r="M16" s="37">
        <v>90285.036999999997</v>
      </c>
      <c r="N16" s="37">
        <v>110517.272</v>
      </c>
      <c r="O16" s="37">
        <v>113659.015</v>
      </c>
      <c r="P16" s="37">
        <v>111112.126</v>
      </c>
      <c r="Q16" s="37">
        <v>222901.02100000001</v>
      </c>
      <c r="R16" s="37">
        <v>135991.31400000001</v>
      </c>
      <c r="S16" s="37">
        <v>155717.823</v>
      </c>
      <c r="T16" s="23">
        <v>171544.486</v>
      </c>
      <c r="U16" s="23">
        <v>181261.598</v>
      </c>
      <c r="V16" s="23">
        <v>204144.853</v>
      </c>
      <c r="W16" s="23">
        <v>208931.867</v>
      </c>
      <c r="X16" s="2">
        <v>225514.353</v>
      </c>
      <c r="Y16" s="2">
        <v>231083.30900000001</v>
      </c>
      <c r="Z16" s="2">
        <v>247894.82800000001</v>
      </c>
      <c r="AA16" s="2">
        <v>252491.51</v>
      </c>
    </row>
    <row r="17" spans="1:27">
      <c r="A17" s="22" t="s">
        <v>10</v>
      </c>
      <c r="B17" s="36">
        <f>2856+13503</f>
        <v>16359</v>
      </c>
      <c r="C17" s="36">
        <f>2759+14975</f>
        <v>17734</v>
      </c>
      <c r="D17" s="36">
        <f>2925+17664</f>
        <v>20589</v>
      </c>
      <c r="E17" s="36">
        <v>24462.089</v>
      </c>
      <c r="F17" s="77">
        <v>24816.226999999999</v>
      </c>
      <c r="G17" s="36">
        <v>26453.039000000001</v>
      </c>
      <c r="H17" s="36">
        <v>28188.953000000001</v>
      </c>
      <c r="I17" s="37">
        <v>30725.210999999999</v>
      </c>
      <c r="J17" s="37">
        <v>33575.705000000002</v>
      </c>
      <c r="K17" s="37">
        <v>31710.719000000001</v>
      </c>
      <c r="L17" s="37">
        <v>48061.521000000001</v>
      </c>
      <c r="M17" s="37">
        <v>47055.601000000002</v>
      </c>
      <c r="N17" s="37">
        <v>47601.648999999998</v>
      </c>
      <c r="O17" s="37">
        <v>49954.277999999998</v>
      </c>
      <c r="P17" s="37">
        <v>51026.553999999996</v>
      </c>
      <c r="Q17" s="37">
        <v>54095.400999999998</v>
      </c>
      <c r="R17" s="37">
        <v>58018.131999999998</v>
      </c>
      <c r="S17" s="37">
        <v>67303.233999999997</v>
      </c>
      <c r="T17" s="23">
        <v>71893.491999999998</v>
      </c>
      <c r="U17" s="23">
        <v>71757.611000000004</v>
      </c>
      <c r="V17" s="23">
        <v>81275.551999999996</v>
      </c>
      <c r="W17" s="23">
        <v>82231.770999999993</v>
      </c>
      <c r="X17" s="2">
        <v>84901.240999999995</v>
      </c>
      <c r="Y17" s="2">
        <v>86508.1</v>
      </c>
      <c r="Z17" s="2">
        <v>92150.399000000005</v>
      </c>
      <c r="AA17" s="2">
        <v>93626.538</v>
      </c>
    </row>
    <row r="18" spans="1:27">
      <c r="A18" s="22" t="s">
        <v>11</v>
      </c>
      <c r="B18" s="36">
        <f>4171+22880</f>
        <v>27051</v>
      </c>
      <c r="C18" s="36">
        <f>4936+25139</f>
        <v>30075</v>
      </c>
      <c r="D18" s="36">
        <f>5341+28068</f>
        <v>33409</v>
      </c>
      <c r="E18" s="36">
        <v>45075.476999999999</v>
      </c>
      <c r="F18" s="77">
        <v>46454.677000000003</v>
      </c>
      <c r="G18" s="36">
        <v>50439.281999999999</v>
      </c>
      <c r="H18" s="36">
        <v>53519.048000000003</v>
      </c>
      <c r="I18" s="37">
        <v>59696.991999999998</v>
      </c>
      <c r="J18" s="37">
        <v>62287.947999999997</v>
      </c>
      <c r="K18" s="37">
        <v>65507.358</v>
      </c>
      <c r="L18" s="37">
        <v>80979.023000000001</v>
      </c>
      <c r="M18" s="37">
        <v>87514.100999999995</v>
      </c>
      <c r="N18" s="37">
        <v>98016.144</v>
      </c>
      <c r="O18" s="37">
        <v>98413.150999999998</v>
      </c>
      <c r="P18" s="37">
        <v>102099.912</v>
      </c>
      <c r="Q18" s="37">
        <v>109728.808</v>
      </c>
      <c r="R18" s="37">
        <v>121035.001</v>
      </c>
      <c r="S18" s="37">
        <v>138293.98000000001</v>
      </c>
      <c r="T18" s="23">
        <v>150961.12299999999</v>
      </c>
      <c r="U18" s="23">
        <v>153237.201</v>
      </c>
      <c r="V18" s="23">
        <v>192293.726</v>
      </c>
      <c r="W18" s="23">
        <v>203533.44399999999</v>
      </c>
      <c r="X18" s="2">
        <v>199572.86300000001</v>
      </c>
      <c r="Y18" s="2">
        <v>222847.11499999999</v>
      </c>
      <c r="Z18" s="2">
        <v>229030.02100000001</v>
      </c>
      <c r="AA18" s="2">
        <v>236393.31899999999</v>
      </c>
    </row>
    <row r="19" spans="1:27">
      <c r="A19" s="22" t="s">
        <v>12</v>
      </c>
      <c r="B19" s="36">
        <v>12765</v>
      </c>
      <c r="C19" s="36">
        <f>0+12483</f>
        <v>12483</v>
      </c>
      <c r="D19" s="37">
        <f>0+16609</f>
        <v>16609</v>
      </c>
      <c r="E19" s="36">
        <v>20370.488000000001</v>
      </c>
      <c r="F19" s="77">
        <v>24631.776000000002</v>
      </c>
      <c r="G19" s="36">
        <v>25311.164000000001</v>
      </c>
      <c r="H19" s="36">
        <v>26648.576000000001</v>
      </c>
      <c r="I19" s="37">
        <v>28160.358</v>
      </c>
      <c r="J19" s="37">
        <v>30277.048999999999</v>
      </c>
      <c r="K19" s="37">
        <v>34016.907189999998</v>
      </c>
      <c r="L19" s="37">
        <v>47453.908000000003</v>
      </c>
      <c r="M19" s="37">
        <v>52093.031999999999</v>
      </c>
      <c r="N19" s="37">
        <v>50373.059000000001</v>
      </c>
      <c r="O19" s="37">
        <v>54814.84</v>
      </c>
      <c r="P19" s="37">
        <v>56630.266000000003</v>
      </c>
      <c r="Q19" s="37">
        <v>68453.437999999995</v>
      </c>
      <c r="R19" s="37">
        <v>76814.346000000005</v>
      </c>
      <c r="S19" s="37">
        <v>80722.369000000006</v>
      </c>
      <c r="T19" s="23">
        <v>94039.702999999994</v>
      </c>
      <c r="U19" s="23">
        <v>90122.728000000003</v>
      </c>
      <c r="V19" s="23">
        <v>106588.223</v>
      </c>
      <c r="W19" s="23">
        <v>109192.747</v>
      </c>
      <c r="X19" s="2">
        <v>114890.997</v>
      </c>
      <c r="Y19" s="2">
        <v>124131.773</v>
      </c>
      <c r="Z19" s="2">
        <v>128657.315</v>
      </c>
      <c r="AA19" s="2">
        <v>134341.65400000001</v>
      </c>
    </row>
    <row r="20" spans="1:27">
      <c r="A20" s="22" t="s">
        <v>13</v>
      </c>
      <c r="B20" s="36">
        <f>10931+11980</f>
        <v>22911</v>
      </c>
      <c r="C20" s="36">
        <f>11581+14123</f>
        <v>25704</v>
      </c>
      <c r="D20" s="36">
        <f>12590+15677</f>
        <v>28267</v>
      </c>
      <c r="E20" s="36">
        <v>39647.877</v>
      </c>
      <c r="F20" s="77">
        <v>41163.387000000002</v>
      </c>
      <c r="G20" s="36">
        <v>43038.775000000001</v>
      </c>
      <c r="H20" s="36">
        <v>44885.050999999999</v>
      </c>
      <c r="I20" s="37">
        <v>47024.855000000003</v>
      </c>
      <c r="J20" s="37">
        <v>50111.072999999997</v>
      </c>
      <c r="K20" s="37">
        <v>54520.46</v>
      </c>
      <c r="L20" s="37">
        <v>72483.111999999994</v>
      </c>
      <c r="M20" s="37">
        <v>76014.520999999993</v>
      </c>
      <c r="N20" s="37">
        <v>80299.792000000001</v>
      </c>
      <c r="O20" s="37">
        <v>91343.294999999998</v>
      </c>
      <c r="P20" s="37">
        <v>99870.415999999997</v>
      </c>
      <c r="Q20" s="37">
        <v>101950.164</v>
      </c>
      <c r="R20" s="37">
        <v>120373.711</v>
      </c>
      <c r="S20" s="37">
        <v>133779.296</v>
      </c>
      <c r="T20" s="23">
        <v>150778.54399999999</v>
      </c>
      <c r="U20" s="23">
        <v>139060.046</v>
      </c>
      <c r="V20" s="23">
        <v>181306.80600000001</v>
      </c>
      <c r="W20" s="23">
        <v>188389.35800000001</v>
      </c>
      <c r="X20" s="2">
        <v>197394.10800000001</v>
      </c>
      <c r="Y20" s="2">
        <v>218810.62299999999</v>
      </c>
      <c r="Z20" s="2">
        <v>242562.867</v>
      </c>
      <c r="AA20" s="2">
        <v>246564.28700000001</v>
      </c>
    </row>
    <row r="21" spans="1:27" s="45" customFormat="1">
      <c r="A21" s="22" t="s">
        <v>14</v>
      </c>
      <c r="B21" s="36">
        <f>8694+28697</f>
        <v>37391</v>
      </c>
      <c r="C21" s="36">
        <f>9467+31738</f>
        <v>41205</v>
      </c>
      <c r="D21" s="36">
        <f>11943+33209</f>
        <v>45152</v>
      </c>
      <c r="E21" s="36">
        <v>66787.707999999999</v>
      </c>
      <c r="F21" s="77">
        <v>65789.991999999998</v>
      </c>
      <c r="G21" s="36">
        <v>73548.846000000005</v>
      </c>
      <c r="H21" s="36">
        <v>80310.091</v>
      </c>
      <c r="I21" s="37">
        <v>86914.998000000007</v>
      </c>
      <c r="J21" s="37">
        <v>93390.614000000001</v>
      </c>
      <c r="K21" s="37">
        <v>95350.998470000006</v>
      </c>
      <c r="L21" s="37">
        <v>130238.5</v>
      </c>
      <c r="M21" s="37">
        <v>139543.875</v>
      </c>
      <c r="N21" s="37">
        <v>149734.45499999999</v>
      </c>
      <c r="O21" s="37">
        <v>151364.61300000001</v>
      </c>
      <c r="P21" s="37">
        <v>159188.19899999999</v>
      </c>
      <c r="Q21" s="37">
        <v>179492.23699999999</v>
      </c>
      <c r="R21" s="37">
        <v>181468.09299999999</v>
      </c>
      <c r="S21" s="37">
        <v>176183.022</v>
      </c>
      <c r="T21" s="23">
        <v>192312.476</v>
      </c>
      <c r="U21" s="23">
        <v>202659.978</v>
      </c>
      <c r="V21" s="23">
        <v>243082.50099999999</v>
      </c>
      <c r="W21" s="23">
        <v>252834.65100000001</v>
      </c>
      <c r="X21" s="23">
        <v>277235.995</v>
      </c>
      <c r="Y21" s="2">
        <v>281837.52299999999</v>
      </c>
      <c r="Z21" s="2">
        <v>292980.05300000001</v>
      </c>
      <c r="AA21" s="2">
        <v>291165.31800000003</v>
      </c>
    </row>
    <row r="22" spans="1:27">
      <c r="A22" s="22" t="s">
        <v>15</v>
      </c>
      <c r="B22" s="36">
        <f>19788+44629</f>
        <v>64417</v>
      </c>
      <c r="C22" s="36">
        <f>27412+42147</f>
        <v>69559</v>
      </c>
      <c r="D22" s="36">
        <f>26811+42894</f>
        <v>69705</v>
      </c>
      <c r="E22" s="36">
        <v>86205.198000000004</v>
      </c>
      <c r="F22" s="77">
        <v>99256.18</v>
      </c>
      <c r="G22" s="36">
        <v>112502.04300000001</v>
      </c>
      <c r="H22" s="36">
        <v>124081.575</v>
      </c>
      <c r="I22" s="37">
        <v>129192.42200000001</v>
      </c>
      <c r="J22" s="37">
        <v>147350.40599999999</v>
      </c>
      <c r="K22" s="37">
        <v>159196.201</v>
      </c>
      <c r="L22" s="37">
        <v>224082.095</v>
      </c>
      <c r="M22" s="37">
        <v>247323.16800000001</v>
      </c>
      <c r="N22" s="37">
        <v>296721.45500000002</v>
      </c>
      <c r="O22" s="37">
        <v>314602.37099999998</v>
      </c>
      <c r="P22" s="37">
        <v>353025.375</v>
      </c>
      <c r="Q22" s="37">
        <v>387299.52100000001</v>
      </c>
      <c r="R22" s="37">
        <v>415509.66499999998</v>
      </c>
      <c r="S22" s="37">
        <v>443000.21799999999</v>
      </c>
      <c r="T22" s="23">
        <v>497079.75099999999</v>
      </c>
      <c r="U22" s="23">
        <v>508249.88400000002</v>
      </c>
      <c r="V22" s="23">
        <v>641830.22</v>
      </c>
      <c r="W22" s="23">
        <v>655269.43900000001</v>
      </c>
      <c r="X22" s="2">
        <v>711091.41099999996</v>
      </c>
      <c r="Y22" s="2">
        <v>709814.054</v>
      </c>
      <c r="Z22" s="2">
        <v>753879.18700000003</v>
      </c>
      <c r="AA22" s="2">
        <v>776592.13899999997</v>
      </c>
    </row>
    <row r="23" spans="1:27">
      <c r="A23" s="22" t="s">
        <v>16</v>
      </c>
      <c r="B23" s="36">
        <f>11235+21622</f>
        <v>32857</v>
      </c>
      <c r="C23" s="36">
        <f>12682+23755</f>
        <v>36437</v>
      </c>
      <c r="D23" s="36">
        <f>13920+29967</f>
        <v>43887</v>
      </c>
      <c r="E23" s="36">
        <v>60550.508000000002</v>
      </c>
      <c r="F23" s="77">
        <v>59949.11</v>
      </c>
      <c r="G23" s="36">
        <v>60052.478000000003</v>
      </c>
      <c r="H23" s="36">
        <v>65286.722999999998</v>
      </c>
      <c r="I23" s="37">
        <v>69863.452000000005</v>
      </c>
      <c r="J23" s="37">
        <v>70587.338000000003</v>
      </c>
      <c r="K23" s="37">
        <v>78090.153000000006</v>
      </c>
      <c r="L23" s="37">
        <v>89671.53</v>
      </c>
      <c r="M23" s="37">
        <v>96238.195999999996</v>
      </c>
      <c r="N23" s="37">
        <v>99348.69</v>
      </c>
      <c r="O23" s="37">
        <v>97451.846999999994</v>
      </c>
      <c r="P23" s="37">
        <v>97396.293000000005</v>
      </c>
      <c r="Q23" s="37">
        <v>109050.95699999999</v>
      </c>
      <c r="R23" s="37">
        <v>119174.424</v>
      </c>
      <c r="S23" s="37">
        <v>127873.92200000001</v>
      </c>
      <c r="T23" s="23">
        <v>146817.69500000001</v>
      </c>
      <c r="U23" s="23">
        <v>152903.52100000001</v>
      </c>
      <c r="V23" s="23">
        <v>189308.52900000001</v>
      </c>
      <c r="W23" s="23">
        <v>198597.68100000001</v>
      </c>
      <c r="X23" s="2">
        <v>206826.791</v>
      </c>
      <c r="Y23" s="2">
        <v>217873.16800000001</v>
      </c>
      <c r="Z23" s="2">
        <v>224484.81</v>
      </c>
      <c r="AA23" s="2">
        <v>234587.55</v>
      </c>
    </row>
    <row r="24" spans="1:27">
      <c r="A24" s="83" t="s">
        <v>17</v>
      </c>
      <c r="B24" s="66">
        <f>5932+8095</f>
        <v>14027</v>
      </c>
      <c r="C24" s="66">
        <f>6524+8791</f>
        <v>15315</v>
      </c>
      <c r="D24" s="66">
        <f>7085+9883</f>
        <v>16968</v>
      </c>
      <c r="E24" s="66">
        <v>24957.054</v>
      </c>
      <c r="F24" s="82">
        <v>26795.708999999999</v>
      </c>
      <c r="G24" s="66">
        <v>28424.744999999999</v>
      </c>
      <c r="H24" s="66">
        <v>31725.442999999999</v>
      </c>
      <c r="I24" s="63">
        <v>35167.196000000004</v>
      </c>
      <c r="J24" s="63">
        <v>34909.995000000003</v>
      </c>
      <c r="K24" s="63">
        <v>36587.356100000005</v>
      </c>
      <c r="L24" s="63">
        <v>41838.332000000002</v>
      </c>
      <c r="M24" s="63">
        <v>46274.798999999999</v>
      </c>
      <c r="N24" s="63">
        <v>44537.788</v>
      </c>
      <c r="O24" s="63">
        <v>48493.300999999999</v>
      </c>
      <c r="P24" s="63">
        <v>46268.906000000003</v>
      </c>
      <c r="Q24" s="63">
        <v>48930.961000000003</v>
      </c>
      <c r="R24" s="63">
        <v>52046.137000000002</v>
      </c>
      <c r="S24" s="63">
        <v>56218.512000000002</v>
      </c>
      <c r="T24" s="45">
        <v>62842.347999999998</v>
      </c>
      <c r="U24" s="45">
        <v>61590.584000000003</v>
      </c>
      <c r="V24" s="45">
        <v>79648.615000000005</v>
      </c>
      <c r="W24" s="45">
        <v>86504.160999999993</v>
      </c>
      <c r="X24" s="45">
        <v>92251.38</v>
      </c>
      <c r="Y24" s="45">
        <v>93597.55</v>
      </c>
      <c r="Z24" s="45">
        <v>91832.81</v>
      </c>
      <c r="AA24" s="45">
        <v>91652.361000000004</v>
      </c>
    </row>
    <row r="25" spans="1:27" s="23" customFormat="1">
      <c r="A25" s="79" t="s">
        <v>120</v>
      </c>
      <c r="B25" s="90">
        <f>SUM(B27:B39)</f>
        <v>0</v>
      </c>
      <c r="C25" s="90">
        <f t="shared" ref="C25:AA25" si="8">SUM(C27:C39)</f>
        <v>0</v>
      </c>
      <c r="D25" s="90">
        <f t="shared" si="8"/>
        <v>0</v>
      </c>
      <c r="E25" s="90">
        <f t="shared" si="8"/>
        <v>0</v>
      </c>
      <c r="F25" s="90">
        <f t="shared" si="8"/>
        <v>755912.96800000011</v>
      </c>
      <c r="G25" s="90">
        <f t="shared" si="8"/>
        <v>0</v>
      </c>
      <c r="H25" s="90">
        <f t="shared" si="8"/>
        <v>0</v>
      </c>
      <c r="I25" s="90">
        <f t="shared" si="8"/>
        <v>879486.14399999985</v>
      </c>
      <c r="J25" s="90">
        <f t="shared" si="8"/>
        <v>0</v>
      </c>
      <c r="K25" s="90">
        <f t="shared" si="8"/>
        <v>984374.15868000011</v>
      </c>
      <c r="L25" s="90">
        <f t="shared" si="8"/>
        <v>1148286.3519999997</v>
      </c>
      <c r="M25" s="90">
        <f t="shared" si="8"/>
        <v>1261910.0330000001</v>
      </c>
      <c r="N25" s="90">
        <f t="shared" si="8"/>
        <v>1334271.3390000002</v>
      </c>
      <c r="O25" s="90">
        <f t="shared" si="8"/>
        <v>1386631.0759999997</v>
      </c>
      <c r="P25" s="90">
        <f t="shared" si="8"/>
        <v>1448698.8939999999</v>
      </c>
      <c r="Q25" s="90">
        <f t="shared" si="8"/>
        <v>1554195.5759999997</v>
      </c>
      <c r="R25" s="90">
        <f t="shared" si="8"/>
        <v>1637725.5530000003</v>
      </c>
      <c r="S25" s="90">
        <f t="shared" si="8"/>
        <v>1796154.3729999997</v>
      </c>
      <c r="T25" s="90">
        <f t="shared" si="8"/>
        <v>2078688.8120000002</v>
      </c>
      <c r="U25" s="90">
        <f t="shared" si="8"/>
        <v>2066363.8309999998</v>
      </c>
      <c r="V25" s="90">
        <f t="shared" si="8"/>
        <v>2305093.6780000003</v>
      </c>
      <c r="W25" s="90">
        <f t="shared" si="8"/>
        <v>2432500.8590000002</v>
      </c>
      <c r="X25" s="90">
        <f t="shared" si="8"/>
        <v>2631413.0419999994</v>
      </c>
      <c r="Y25" s="90">
        <f t="shared" si="8"/>
        <v>2808701.760999999</v>
      </c>
      <c r="Z25" s="90">
        <f t="shared" si="8"/>
        <v>3104582.341</v>
      </c>
      <c r="AA25" s="90">
        <f t="shared" si="8"/>
        <v>3272142.4129999997</v>
      </c>
    </row>
    <row r="26" spans="1:27">
      <c r="A26" s="79" t="s">
        <v>119</v>
      </c>
      <c r="B26" s="37"/>
      <c r="C26" s="37"/>
      <c r="D26" s="37"/>
      <c r="E26" s="37"/>
      <c r="F26" s="37"/>
      <c r="G26" s="37"/>
      <c r="H26" s="37"/>
      <c r="I26" s="37"/>
      <c r="J26" s="37"/>
      <c r="K26" s="37"/>
      <c r="L26" s="37"/>
      <c r="M26" s="37"/>
      <c r="N26" s="37"/>
      <c r="O26" s="37"/>
      <c r="P26" s="37"/>
      <c r="Q26" s="37"/>
      <c r="R26" s="37"/>
      <c r="S26" s="37"/>
      <c r="T26" s="23"/>
      <c r="U26" s="23"/>
      <c r="V26" s="23"/>
      <c r="W26" s="23"/>
      <c r="X26" s="2">
        <v>0</v>
      </c>
      <c r="Y26" s="2">
        <v>0</v>
      </c>
    </row>
    <row r="27" spans="1:27">
      <c r="A27" s="23" t="s">
        <v>85</v>
      </c>
      <c r="B27" s="36"/>
      <c r="C27" s="36"/>
      <c r="D27" s="37"/>
      <c r="E27" s="36"/>
      <c r="F27" s="77">
        <v>18301.045999999998</v>
      </c>
      <c r="G27" s="36"/>
      <c r="H27" s="36"/>
      <c r="I27" s="37">
        <v>22742.123</v>
      </c>
      <c r="J27" s="37"/>
      <c r="K27" s="37">
        <v>23116.848999999998</v>
      </c>
      <c r="L27" s="37">
        <v>23838.185000000001</v>
      </c>
      <c r="M27" s="37">
        <v>26261.656999999999</v>
      </c>
      <c r="N27" s="37">
        <v>28653.49</v>
      </c>
      <c r="O27" s="37">
        <v>31156.173999999999</v>
      </c>
      <c r="P27" s="37">
        <v>32744.350999999999</v>
      </c>
      <c r="Q27" s="37">
        <v>35757.421000000002</v>
      </c>
      <c r="R27" s="37">
        <v>38240.879000000001</v>
      </c>
      <c r="S27" s="37">
        <v>41592.800999999999</v>
      </c>
      <c r="T27" s="23">
        <v>45093.949000000001</v>
      </c>
      <c r="U27" s="23">
        <v>57706.67</v>
      </c>
      <c r="V27" s="23">
        <v>59927.563999999998</v>
      </c>
      <c r="W27" s="23">
        <v>61902.273000000001</v>
      </c>
      <c r="X27" s="2">
        <v>63241.771999999997</v>
      </c>
      <c r="Y27" s="2">
        <v>65602.712</v>
      </c>
      <c r="Z27" s="2">
        <v>66368.267000000007</v>
      </c>
      <c r="AA27" s="2">
        <v>66321.828999999998</v>
      </c>
    </row>
    <row r="28" spans="1:27">
      <c r="A28" s="23" t="s">
        <v>86</v>
      </c>
      <c r="B28" s="36"/>
      <c r="C28" s="36"/>
      <c r="D28" s="36"/>
      <c r="E28" s="36"/>
      <c r="F28" s="77">
        <v>44909.114000000001</v>
      </c>
      <c r="G28" s="36"/>
      <c r="H28" s="36"/>
      <c r="I28" s="37">
        <v>46249.760000000002</v>
      </c>
      <c r="J28" s="37"/>
      <c r="K28" s="37">
        <v>57165.139000000003</v>
      </c>
      <c r="L28" s="37">
        <v>70547.694000000003</v>
      </c>
      <c r="M28" s="37">
        <v>78195.888000000006</v>
      </c>
      <c r="N28" s="37">
        <v>70942.172999999995</v>
      </c>
      <c r="O28" s="37">
        <v>70467.914000000004</v>
      </c>
      <c r="P28" s="37">
        <v>76685.78</v>
      </c>
      <c r="Q28" s="37">
        <v>86050.546000000002</v>
      </c>
      <c r="R28" s="37">
        <v>91735.82</v>
      </c>
      <c r="S28" s="37">
        <v>101080.99800000001</v>
      </c>
      <c r="T28" s="23">
        <v>110940.98</v>
      </c>
      <c r="U28" s="23">
        <v>107863.122</v>
      </c>
      <c r="V28" s="23">
        <v>118711.234</v>
      </c>
      <c r="W28" s="23">
        <v>135337.29800000001</v>
      </c>
      <c r="X28" s="2">
        <v>149806.71100000001</v>
      </c>
      <c r="Y28" s="2">
        <v>177050.201</v>
      </c>
      <c r="Z28" s="2">
        <v>198314.935</v>
      </c>
      <c r="AA28" s="2">
        <v>226163.587</v>
      </c>
    </row>
    <row r="29" spans="1:27">
      <c r="A29" s="23" t="s">
        <v>87</v>
      </c>
      <c r="B29" s="36"/>
      <c r="C29" s="36"/>
      <c r="D29" s="36"/>
      <c r="E29" s="36"/>
      <c r="F29" s="77">
        <v>422677.38400000002</v>
      </c>
      <c r="G29" s="36"/>
      <c r="H29" s="36"/>
      <c r="I29" s="37">
        <v>483566.79399999999</v>
      </c>
      <c r="J29" s="37"/>
      <c r="K29" s="37">
        <v>535879.30299999996</v>
      </c>
      <c r="L29" s="37">
        <v>650995.67599999998</v>
      </c>
      <c r="M29" s="37">
        <v>725190.098</v>
      </c>
      <c r="N29" s="37">
        <v>747176.72400000005</v>
      </c>
      <c r="O29" s="37">
        <v>777189.10600000003</v>
      </c>
      <c r="P29" s="37">
        <v>790429.76300000004</v>
      </c>
      <c r="Q29" s="37">
        <v>822628.00300000003</v>
      </c>
      <c r="R29" s="37">
        <v>895281.47600000002</v>
      </c>
      <c r="S29" s="37">
        <v>983965.52300000004</v>
      </c>
      <c r="T29" s="23">
        <v>1201119.3259999999</v>
      </c>
      <c r="U29" s="23">
        <v>1230723.1159999999</v>
      </c>
      <c r="V29" s="23">
        <v>1304904.2390000001</v>
      </c>
      <c r="W29" s="23">
        <v>1420380.655</v>
      </c>
      <c r="X29" s="2">
        <v>1538695.162</v>
      </c>
      <c r="Y29" s="2">
        <v>1635397.7919999999</v>
      </c>
      <c r="Z29" s="2">
        <v>1803444.844</v>
      </c>
      <c r="AA29" s="2">
        <v>1940965.2679999999</v>
      </c>
    </row>
    <row r="30" spans="1:27">
      <c r="A30" s="23" t="s">
        <v>88</v>
      </c>
      <c r="B30" s="36"/>
      <c r="C30" s="36"/>
      <c r="D30" s="36"/>
      <c r="E30" s="36"/>
      <c r="F30" s="77">
        <v>69355.682000000001</v>
      </c>
      <c r="G30" s="36"/>
      <c r="H30" s="36"/>
      <c r="I30" s="37">
        <v>84852.269</v>
      </c>
      <c r="J30" s="37"/>
      <c r="K30" s="37">
        <v>98511.713300000003</v>
      </c>
      <c r="L30" s="37">
        <v>107704.266</v>
      </c>
      <c r="M30" s="37">
        <v>113098.67600000001</v>
      </c>
      <c r="N30" s="37">
        <v>126166.26300000001</v>
      </c>
      <c r="O30" s="37">
        <v>126907.16499999999</v>
      </c>
      <c r="P30" s="37">
        <v>123878.389</v>
      </c>
      <c r="Q30" s="37">
        <v>157874.00099999999</v>
      </c>
      <c r="R30" s="37">
        <v>134150.26199999999</v>
      </c>
      <c r="S30" s="37">
        <v>126355.15300000001</v>
      </c>
      <c r="T30" s="23">
        <v>125372.37</v>
      </c>
      <c r="U30" s="23">
        <v>133587.82199999999</v>
      </c>
      <c r="V30" s="23">
        <v>159620.462</v>
      </c>
      <c r="W30" s="23">
        <v>169908.01800000001</v>
      </c>
      <c r="X30" s="2">
        <v>198155.986</v>
      </c>
      <c r="Y30" s="2">
        <v>209849.54500000001</v>
      </c>
      <c r="Z30" s="2">
        <v>230160.02799999999</v>
      </c>
      <c r="AA30" s="2">
        <v>252540.88399999999</v>
      </c>
    </row>
    <row r="31" spans="1:27">
      <c r="A31" s="23" t="s">
        <v>91</v>
      </c>
      <c r="B31" s="36"/>
      <c r="C31" s="36"/>
      <c r="D31" s="36"/>
      <c r="E31" s="36"/>
      <c r="F31" s="77">
        <v>17647.446</v>
      </c>
      <c r="G31" s="36"/>
      <c r="H31" s="36"/>
      <c r="I31" s="37">
        <v>20468.277999999998</v>
      </c>
      <c r="J31" s="37"/>
      <c r="K31" s="37">
        <v>20486.382000000001</v>
      </c>
      <c r="L31" s="37">
        <v>20283.103999999999</v>
      </c>
      <c r="M31" s="37">
        <v>20573.080000000002</v>
      </c>
      <c r="N31" s="37">
        <v>22355.376</v>
      </c>
      <c r="O31" s="37">
        <v>25327.576000000001</v>
      </c>
      <c r="P31" s="37">
        <v>29637</v>
      </c>
      <c r="Q31" s="37">
        <v>31521.338</v>
      </c>
      <c r="R31" s="37">
        <v>38018.411</v>
      </c>
      <c r="S31" s="37">
        <v>37940.436999999998</v>
      </c>
      <c r="T31" s="23">
        <v>42001.279000000002</v>
      </c>
      <c r="U31" s="23">
        <v>41998.37</v>
      </c>
      <c r="V31" s="23">
        <v>47632.637000000002</v>
      </c>
      <c r="W31" s="23">
        <v>57230.453999999998</v>
      </c>
      <c r="X31" s="2">
        <v>63736.732000000004</v>
      </c>
      <c r="Y31" s="2">
        <v>71016.561000000002</v>
      </c>
      <c r="Z31" s="2">
        <v>81154.77</v>
      </c>
      <c r="AA31" s="2">
        <v>49944.82</v>
      </c>
    </row>
    <row r="32" spans="1:27">
      <c r="A32" s="23" t="s">
        <v>92</v>
      </c>
      <c r="B32" s="36"/>
      <c r="C32" s="36"/>
      <c r="D32" s="36"/>
      <c r="E32" s="36"/>
      <c r="F32" s="77">
        <v>12694.396000000001</v>
      </c>
      <c r="G32" s="36"/>
      <c r="H32" s="36"/>
      <c r="I32" s="37">
        <v>15293.195</v>
      </c>
      <c r="J32" s="37"/>
      <c r="K32" s="37">
        <v>17290.583999999999</v>
      </c>
      <c r="L32" s="37">
        <v>22410.296999999999</v>
      </c>
      <c r="M32" s="37">
        <v>24173.002</v>
      </c>
      <c r="N32" s="37">
        <v>26870.856</v>
      </c>
      <c r="O32" s="37">
        <v>29994.242999999999</v>
      </c>
      <c r="P32" s="37">
        <v>26430.845000000001</v>
      </c>
      <c r="Q32" s="37">
        <v>25382.785</v>
      </c>
      <c r="R32" s="37">
        <v>26033.044999999998</v>
      </c>
      <c r="S32" s="37">
        <v>27320.725999999999</v>
      </c>
      <c r="T32" s="23">
        <v>29590.833999999999</v>
      </c>
      <c r="U32" s="23">
        <v>31428.007000000001</v>
      </c>
      <c r="V32" s="23">
        <v>37037.764000000003</v>
      </c>
      <c r="W32" s="23">
        <v>40331.408000000003</v>
      </c>
      <c r="X32" s="2">
        <v>42804.254000000001</v>
      </c>
      <c r="Y32" s="2">
        <v>45784.858999999997</v>
      </c>
      <c r="Z32" s="2">
        <v>52019.531999999999</v>
      </c>
      <c r="AA32" s="2">
        <v>56347.053999999996</v>
      </c>
    </row>
    <row r="33" spans="1:42">
      <c r="A33" s="23" t="s">
        <v>100</v>
      </c>
      <c r="B33" s="37"/>
      <c r="C33" s="37"/>
      <c r="D33" s="37"/>
      <c r="E33" s="37"/>
      <c r="F33" s="77">
        <v>23013.403999999999</v>
      </c>
      <c r="G33" s="37"/>
      <c r="H33" s="37"/>
      <c r="I33" s="37">
        <v>26484.411</v>
      </c>
      <c r="J33" s="37"/>
      <c r="K33" s="37">
        <v>30733.177</v>
      </c>
      <c r="L33" s="37">
        <v>34458.57</v>
      </c>
      <c r="M33" s="37">
        <v>35875.553</v>
      </c>
      <c r="N33" s="37">
        <v>37353.71</v>
      </c>
      <c r="O33" s="37">
        <v>37731.362999999998</v>
      </c>
      <c r="P33" s="37">
        <v>41478.754000000001</v>
      </c>
      <c r="Q33" s="37">
        <v>40336.042000000001</v>
      </c>
      <c r="R33" s="37">
        <v>43334.322999999997</v>
      </c>
      <c r="S33" s="37">
        <v>46213.71</v>
      </c>
      <c r="T33" s="23">
        <v>50129.595000000001</v>
      </c>
      <c r="U33" s="23">
        <v>60575.69</v>
      </c>
      <c r="V33" s="23">
        <v>64656.688999999998</v>
      </c>
      <c r="W33" s="23">
        <v>70015.922999999995</v>
      </c>
      <c r="X33" s="2">
        <v>74340.721000000005</v>
      </c>
      <c r="Y33" s="2">
        <v>78380.418999999994</v>
      </c>
      <c r="Z33" s="2">
        <v>80673.066999999995</v>
      </c>
      <c r="AA33" s="2">
        <v>80670.976999999999</v>
      </c>
    </row>
    <row r="34" spans="1:42">
      <c r="A34" s="23" t="s">
        <v>102</v>
      </c>
      <c r="B34" s="37"/>
      <c r="C34" s="37"/>
      <c r="D34" s="37"/>
      <c r="E34" s="37"/>
      <c r="F34" s="77">
        <v>19015.323</v>
      </c>
      <c r="G34" s="37"/>
      <c r="H34" s="37"/>
      <c r="I34" s="37">
        <v>21810.155999999999</v>
      </c>
      <c r="J34" s="37"/>
      <c r="K34" s="37">
        <v>23989.652999999998</v>
      </c>
      <c r="L34" s="37">
        <v>17873.019</v>
      </c>
      <c r="M34" s="37">
        <v>20961.962</v>
      </c>
      <c r="N34" s="37">
        <v>29430.83</v>
      </c>
      <c r="O34" s="37">
        <v>34545.300999999999</v>
      </c>
      <c r="P34" s="37">
        <v>52076.766000000003</v>
      </c>
      <c r="Q34" s="37">
        <v>57982.800999999999</v>
      </c>
      <c r="R34" s="37">
        <v>66623.616999999998</v>
      </c>
      <c r="S34" s="37">
        <v>83786.89</v>
      </c>
      <c r="T34" s="23">
        <v>91328.838000000003</v>
      </c>
      <c r="U34" s="23">
        <v>63759.675000000003</v>
      </c>
      <c r="V34" s="23">
        <v>71882.604999999996</v>
      </c>
      <c r="W34" s="23">
        <v>72613.172999999995</v>
      </c>
      <c r="X34" s="2">
        <v>71137.425000000003</v>
      </c>
      <c r="Y34" s="2">
        <v>87744.532999999996</v>
      </c>
      <c r="Z34" s="2">
        <v>117250.034</v>
      </c>
      <c r="AA34" s="2">
        <v>120082.628</v>
      </c>
    </row>
    <row r="35" spans="1:42">
      <c r="A35" s="23" t="s">
        <v>105</v>
      </c>
      <c r="B35" s="37"/>
      <c r="C35" s="37"/>
      <c r="D35" s="37"/>
      <c r="E35" s="37"/>
      <c r="F35" s="77">
        <v>27479.126</v>
      </c>
      <c r="G35" s="37"/>
      <c r="H35" s="37"/>
      <c r="I35" s="37">
        <v>31364.018</v>
      </c>
      <c r="J35" s="37"/>
      <c r="K35" s="37">
        <v>39179.513380000004</v>
      </c>
      <c r="L35" s="37">
        <v>36921.048000000003</v>
      </c>
      <c r="M35" s="37">
        <v>38696.623</v>
      </c>
      <c r="N35" s="37">
        <v>34275.535000000003</v>
      </c>
      <c r="O35" s="37">
        <v>35040.817999999999</v>
      </c>
      <c r="P35" s="37">
        <v>39834.750999999997</v>
      </c>
      <c r="Q35" s="37">
        <v>41532.197</v>
      </c>
      <c r="R35" s="37">
        <v>43296.353000000003</v>
      </c>
      <c r="S35" s="37">
        <v>47181.387000000002</v>
      </c>
      <c r="T35" s="23">
        <v>48984.925000000003</v>
      </c>
      <c r="U35" s="23">
        <v>51243.732000000004</v>
      </c>
      <c r="V35" s="23">
        <v>61508.347999999998</v>
      </c>
      <c r="W35" s="23">
        <v>59987.788</v>
      </c>
      <c r="X35" s="2">
        <v>60752.074999999997</v>
      </c>
      <c r="Y35" s="2">
        <v>62727.02</v>
      </c>
      <c r="Z35" s="2">
        <v>66782.37</v>
      </c>
      <c r="AA35" s="2">
        <v>67445.350999999995</v>
      </c>
    </row>
    <row r="36" spans="1:42">
      <c r="A36" s="23" t="s">
        <v>109</v>
      </c>
      <c r="B36" s="37"/>
      <c r="C36" s="37"/>
      <c r="D36" s="37"/>
      <c r="E36" s="37"/>
      <c r="F36" s="77">
        <v>30904.366000000002</v>
      </c>
      <c r="G36" s="37"/>
      <c r="H36" s="37"/>
      <c r="I36" s="37">
        <v>35518.135999999999</v>
      </c>
      <c r="J36" s="37"/>
      <c r="K36" s="37">
        <v>35408.006000000001</v>
      </c>
      <c r="L36" s="37">
        <v>41032.400000000001</v>
      </c>
      <c r="M36" s="37">
        <v>47014.184999999998</v>
      </c>
      <c r="N36" s="37">
        <v>75581.667000000001</v>
      </c>
      <c r="O36" s="37">
        <v>79323.244999999995</v>
      </c>
      <c r="P36" s="37">
        <v>87977.884999999995</v>
      </c>
      <c r="Q36" s="37">
        <v>100814.663</v>
      </c>
      <c r="R36" s="37">
        <v>96339.819000000003</v>
      </c>
      <c r="S36" s="37">
        <v>101832.045</v>
      </c>
      <c r="T36" s="23">
        <v>110997.264</v>
      </c>
      <c r="U36" s="23">
        <v>79411.982999999993</v>
      </c>
      <c r="V36" s="23">
        <v>145348.837</v>
      </c>
      <c r="W36" s="23">
        <v>100974.91</v>
      </c>
      <c r="X36" s="2">
        <v>108128.914</v>
      </c>
      <c r="Y36" s="2">
        <v>114307.70699999999</v>
      </c>
      <c r="Z36" s="2">
        <v>121998.79300000001</v>
      </c>
      <c r="AA36" s="2">
        <v>112373.48</v>
      </c>
    </row>
    <row r="37" spans="1:42">
      <c r="A37" s="23" t="s">
        <v>113</v>
      </c>
      <c r="B37" s="37"/>
      <c r="C37" s="37"/>
      <c r="D37" s="37"/>
      <c r="E37" s="37"/>
      <c r="F37" s="77">
        <v>25198.026999999998</v>
      </c>
      <c r="G37" s="37"/>
      <c r="H37" s="37"/>
      <c r="I37" s="37">
        <v>40329.167000000001</v>
      </c>
      <c r="J37" s="37"/>
      <c r="K37" s="37">
        <v>44477.832999999999</v>
      </c>
      <c r="L37" s="37">
        <v>50995.752999999997</v>
      </c>
      <c r="M37" s="37">
        <v>54676.110999999997</v>
      </c>
      <c r="N37" s="37">
        <v>55991.614999999998</v>
      </c>
      <c r="O37" s="37">
        <v>57290.771999999997</v>
      </c>
      <c r="P37" s="37">
        <v>60703.014000000003</v>
      </c>
      <c r="Q37" s="37">
        <v>64850.216</v>
      </c>
      <c r="R37" s="37">
        <v>69214.346999999994</v>
      </c>
      <c r="S37" s="37">
        <v>75533.179999999993</v>
      </c>
      <c r="T37" s="23">
        <v>84144.467000000004</v>
      </c>
      <c r="U37" s="23">
        <v>90110.281000000003</v>
      </c>
      <c r="V37" s="23">
        <v>99256.865999999995</v>
      </c>
      <c r="W37" s="23">
        <v>104035.344</v>
      </c>
      <c r="X37" s="2">
        <v>115713.999</v>
      </c>
      <c r="Y37" s="2">
        <v>112254.891</v>
      </c>
      <c r="Z37" s="2">
        <v>119987.125</v>
      </c>
      <c r="AA37" s="2">
        <v>127412.697</v>
      </c>
    </row>
    <row r="38" spans="1:42">
      <c r="A38" s="23" t="s">
        <v>115</v>
      </c>
      <c r="B38" s="37"/>
      <c r="C38" s="37"/>
      <c r="D38" s="37"/>
      <c r="E38" s="37"/>
      <c r="F38" s="77">
        <v>39546.192000000003</v>
      </c>
      <c r="G38" s="37"/>
      <c r="H38" s="37"/>
      <c r="I38" s="37">
        <v>46040.357000000004</v>
      </c>
      <c r="J38" s="37"/>
      <c r="K38" s="37">
        <v>52752.01</v>
      </c>
      <c r="L38" s="37">
        <v>63649.027999999998</v>
      </c>
      <c r="M38" s="37">
        <v>69916.240000000005</v>
      </c>
      <c r="N38" s="37">
        <v>69498.991999999998</v>
      </c>
      <c r="O38" s="37">
        <v>72322.982000000004</v>
      </c>
      <c r="P38" s="37">
        <v>76719.888999999996</v>
      </c>
      <c r="Q38" s="37">
        <v>79576.342999999993</v>
      </c>
      <c r="R38" s="37">
        <v>85838.107999999993</v>
      </c>
      <c r="S38" s="37">
        <v>113360.258</v>
      </c>
      <c r="T38" s="23">
        <v>127514.97500000001</v>
      </c>
      <c r="U38" s="23">
        <v>106441.298</v>
      </c>
      <c r="V38" s="23">
        <v>121442.211</v>
      </c>
      <c r="W38" s="23">
        <v>125839.753</v>
      </c>
      <c r="X38" s="2">
        <v>128781.59600000001</v>
      </c>
      <c r="Y38" s="2">
        <v>133149.97099999999</v>
      </c>
      <c r="Z38" s="2">
        <v>149531.72700000001</v>
      </c>
      <c r="AA38" s="2">
        <v>154590.022</v>
      </c>
    </row>
    <row r="39" spans="1:42">
      <c r="A39" s="45" t="s">
        <v>117</v>
      </c>
      <c r="B39" s="63"/>
      <c r="C39" s="63"/>
      <c r="D39" s="63"/>
      <c r="E39" s="63"/>
      <c r="F39" s="82">
        <v>5171.4620000000004</v>
      </c>
      <c r="G39" s="63"/>
      <c r="H39" s="63"/>
      <c r="I39" s="63">
        <v>4767.4799999999996</v>
      </c>
      <c r="J39" s="63"/>
      <c r="K39" s="63">
        <v>5383.9960000000001</v>
      </c>
      <c r="L39" s="63">
        <v>7577.3119999999999</v>
      </c>
      <c r="M39" s="63">
        <v>7276.9579999999996</v>
      </c>
      <c r="N39" s="63">
        <v>9974.1080000000002</v>
      </c>
      <c r="O39" s="63">
        <v>9334.4169999999995</v>
      </c>
      <c r="P39" s="63">
        <v>10101.707</v>
      </c>
      <c r="Q39" s="63">
        <v>9889.2199999999993</v>
      </c>
      <c r="R39" s="63">
        <v>9619.0930000000008</v>
      </c>
      <c r="S39" s="63">
        <v>9991.2649999999994</v>
      </c>
      <c r="T39" s="45">
        <v>11470.01</v>
      </c>
      <c r="U39" s="45">
        <v>11514.065000000001</v>
      </c>
      <c r="V39" s="45">
        <v>13164.222</v>
      </c>
      <c r="W39" s="45">
        <v>13943.861999999999</v>
      </c>
      <c r="X39" s="45">
        <v>16117.695</v>
      </c>
      <c r="Y39" s="45">
        <v>15435.55</v>
      </c>
      <c r="Z39" s="45">
        <v>16896.848999999998</v>
      </c>
      <c r="AA39" s="45">
        <v>17283.815999999999</v>
      </c>
      <c r="AB39" s="23"/>
      <c r="AC39" s="23"/>
      <c r="AD39" s="23"/>
      <c r="AE39" s="23"/>
      <c r="AF39" s="23"/>
      <c r="AG39" s="23"/>
      <c r="AH39" s="23"/>
      <c r="AI39" s="23"/>
      <c r="AJ39" s="23"/>
      <c r="AK39" s="23"/>
      <c r="AL39" s="23"/>
      <c r="AM39" s="23"/>
      <c r="AN39" s="23"/>
      <c r="AO39" s="23"/>
      <c r="AP39" s="23"/>
    </row>
    <row r="40" spans="1:42" s="23" customFormat="1">
      <c r="A40" s="79" t="s">
        <v>121</v>
      </c>
      <c r="B40" s="90">
        <f>SUM(B42:B53)</f>
        <v>0</v>
      </c>
      <c r="C40" s="90">
        <f t="shared" ref="C40:AA40" si="9">SUM(C42:C53)</f>
        <v>0</v>
      </c>
      <c r="D40" s="90">
        <f t="shared" si="9"/>
        <v>0</v>
      </c>
      <c r="E40" s="90">
        <f t="shared" si="9"/>
        <v>0</v>
      </c>
      <c r="F40" s="90">
        <f t="shared" si="9"/>
        <v>847313.51699999999</v>
      </c>
      <c r="G40" s="90">
        <f t="shared" si="9"/>
        <v>0</v>
      </c>
      <c r="H40" s="90">
        <f t="shared" si="9"/>
        <v>0</v>
      </c>
      <c r="I40" s="90">
        <f t="shared" si="9"/>
        <v>962196.36300000001</v>
      </c>
      <c r="J40" s="90">
        <f t="shared" si="9"/>
        <v>0</v>
      </c>
      <c r="K40" s="90">
        <f t="shared" si="9"/>
        <v>1080278.32121</v>
      </c>
      <c r="L40" s="90">
        <f t="shared" si="9"/>
        <v>1283167.0330000001</v>
      </c>
      <c r="M40" s="90">
        <f t="shared" si="9"/>
        <v>1366969.2779999999</v>
      </c>
      <c r="N40" s="90">
        <f t="shared" si="9"/>
        <v>1439213.1260000002</v>
      </c>
      <c r="O40" s="90">
        <f t="shared" si="9"/>
        <v>1485226.868</v>
      </c>
      <c r="P40" s="90">
        <f t="shared" si="9"/>
        <v>1562562.6239999998</v>
      </c>
      <c r="Q40" s="90">
        <f t="shared" si="9"/>
        <v>1612033.9900000002</v>
      </c>
      <c r="R40" s="90">
        <f t="shared" si="9"/>
        <v>1694162.2829999998</v>
      </c>
      <c r="S40" s="90">
        <f t="shared" si="9"/>
        <v>1776888.051</v>
      </c>
      <c r="T40" s="90">
        <f t="shared" si="9"/>
        <v>1942624.9519999996</v>
      </c>
      <c r="U40" s="90">
        <f t="shared" si="9"/>
        <v>2136599.8939999999</v>
      </c>
      <c r="V40" s="90">
        <f t="shared" si="9"/>
        <v>2406828.9589999998</v>
      </c>
      <c r="W40" s="90">
        <f t="shared" si="9"/>
        <v>2461277.5659999996</v>
      </c>
      <c r="X40" s="90">
        <f t="shared" si="9"/>
        <v>2567537.4680000003</v>
      </c>
      <c r="Y40" s="90">
        <f t="shared" si="9"/>
        <v>2695302.8939999999</v>
      </c>
      <c r="Z40" s="90">
        <f t="shared" si="9"/>
        <v>2858681.22</v>
      </c>
      <c r="AA40" s="90">
        <f t="shared" si="9"/>
        <v>3008681.7889999999</v>
      </c>
    </row>
    <row r="41" spans="1:42">
      <c r="A41" s="79" t="s">
        <v>119</v>
      </c>
      <c r="B41" s="37"/>
      <c r="C41" s="37"/>
      <c r="D41" s="37"/>
      <c r="E41" s="37"/>
      <c r="F41" s="37"/>
      <c r="G41" s="37"/>
      <c r="H41" s="37"/>
      <c r="I41" s="37"/>
      <c r="J41" s="37"/>
      <c r="K41" s="37"/>
      <c r="L41" s="37"/>
      <c r="M41" s="37"/>
      <c r="N41" s="37"/>
      <c r="O41" s="37"/>
      <c r="P41" s="37"/>
      <c r="Q41" s="37"/>
      <c r="R41" s="37"/>
      <c r="S41" s="37"/>
      <c r="T41" s="23"/>
      <c r="U41" s="23"/>
      <c r="V41" s="23"/>
      <c r="W41" s="23"/>
      <c r="X41" s="2">
        <v>0</v>
      </c>
      <c r="Y41" s="2">
        <v>0</v>
      </c>
    </row>
    <row r="42" spans="1:42">
      <c r="A42" s="23" t="s">
        <v>93</v>
      </c>
      <c r="B42" s="36"/>
      <c r="C42" s="36"/>
      <c r="D42" s="36"/>
      <c r="E42" s="36"/>
      <c r="F42" s="77">
        <v>118109.56200000001</v>
      </c>
      <c r="G42" s="36"/>
      <c r="H42" s="36"/>
      <c r="I42" s="37">
        <v>136724.08199999999</v>
      </c>
      <c r="J42" s="37"/>
      <c r="K42" s="37">
        <v>153667.96799999999</v>
      </c>
      <c r="L42" s="37">
        <v>169536.345</v>
      </c>
      <c r="M42" s="37">
        <v>176699.00399999999</v>
      </c>
      <c r="N42" s="37">
        <v>196037.43400000001</v>
      </c>
      <c r="O42" s="37">
        <v>199705.08499999999</v>
      </c>
      <c r="P42" s="37">
        <v>231576.08199999999</v>
      </c>
      <c r="Q42" s="37">
        <v>231671.67499999999</v>
      </c>
      <c r="R42" s="37">
        <v>243828.986</v>
      </c>
      <c r="S42" s="37">
        <v>262795.23499999999</v>
      </c>
      <c r="T42" s="23">
        <v>287946.27899999998</v>
      </c>
      <c r="U42" s="23">
        <v>318652.66700000002</v>
      </c>
      <c r="V42" s="23">
        <v>377058.962</v>
      </c>
      <c r="W42" s="23">
        <v>395717.67700000003</v>
      </c>
      <c r="X42" s="2">
        <v>414145.94400000002</v>
      </c>
      <c r="Y42" s="2">
        <v>451936.45500000002</v>
      </c>
      <c r="Z42" s="2">
        <v>465755.12099999998</v>
      </c>
      <c r="AA42" s="2">
        <v>501946.11700000003</v>
      </c>
    </row>
    <row r="43" spans="1:42">
      <c r="A43" s="23" t="s">
        <v>58</v>
      </c>
      <c r="B43" s="36"/>
      <c r="C43" s="36"/>
      <c r="D43" s="36"/>
      <c r="E43" s="36"/>
      <c r="F43" s="77">
        <v>60629.978999999999</v>
      </c>
      <c r="G43" s="36"/>
      <c r="H43" s="36"/>
      <c r="I43" s="37">
        <v>72183.857999999993</v>
      </c>
      <c r="J43" s="37"/>
      <c r="K43" s="37">
        <v>81646.956000000006</v>
      </c>
      <c r="L43" s="37">
        <v>96390.744999999995</v>
      </c>
      <c r="M43" s="37">
        <v>102460.908</v>
      </c>
      <c r="N43" s="37">
        <v>103230.67200000001</v>
      </c>
      <c r="O43" s="37">
        <v>111512.557</v>
      </c>
      <c r="P43" s="37">
        <v>123870.981</v>
      </c>
      <c r="Q43" s="37">
        <v>134893.25200000001</v>
      </c>
      <c r="R43" s="37">
        <v>141038.81200000001</v>
      </c>
      <c r="S43" s="37">
        <v>142319.611</v>
      </c>
      <c r="T43" s="23">
        <v>144400.63399999999</v>
      </c>
      <c r="U43" s="23">
        <v>184614.77100000001</v>
      </c>
      <c r="V43" s="23">
        <v>218533.66800000001</v>
      </c>
      <c r="W43" s="23">
        <v>200783.66899999999</v>
      </c>
      <c r="X43" s="2">
        <v>210316.47399999999</v>
      </c>
      <c r="Y43" s="2">
        <v>215715.288</v>
      </c>
      <c r="Z43" s="2">
        <v>220267.291</v>
      </c>
      <c r="AA43" s="2">
        <v>226878.61900000001</v>
      </c>
    </row>
    <row r="44" spans="1:42">
      <c r="A44" s="23" t="s">
        <v>94</v>
      </c>
      <c r="B44" s="36"/>
      <c r="C44" s="36"/>
      <c r="D44" s="36"/>
      <c r="E44" s="36"/>
      <c r="F44" s="77">
        <v>36223.199000000001</v>
      </c>
      <c r="G44" s="36"/>
      <c r="H44" s="36"/>
      <c r="I44" s="37">
        <v>37740.374000000003</v>
      </c>
      <c r="J44" s="37"/>
      <c r="K44" s="37">
        <v>42693.625</v>
      </c>
      <c r="L44" s="37">
        <v>49604.544999999998</v>
      </c>
      <c r="M44" s="37">
        <v>50943.010999999999</v>
      </c>
      <c r="N44" s="37">
        <v>50237.052000000003</v>
      </c>
      <c r="O44" s="37">
        <v>55322.877</v>
      </c>
      <c r="P44" s="37">
        <v>55564.527999999998</v>
      </c>
      <c r="Q44" s="37">
        <v>57311.580999999998</v>
      </c>
      <c r="R44" s="37">
        <v>61416.923000000003</v>
      </c>
      <c r="S44" s="37">
        <v>59148.741999999998</v>
      </c>
      <c r="T44" s="23">
        <v>63644.697</v>
      </c>
      <c r="U44" s="23">
        <v>64863.345000000001</v>
      </c>
      <c r="V44" s="23">
        <v>80433.243000000002</v>
      </c>
      <c r="W44" s="23">
        <v>76333.031000000003</v>
      </c>
      <c r="X44" s="2">
        <v>80426.941999999995</v>
      </c>
      <c r="Y44" s="2">
        <v>81722.615000000005</v>
      </c>
      <c r="Z44" s="2">
        <v>85088.657999999996</v>
      </c>
      <c r="AA44" s="2">
        <v>95690.883000000002</v>
      </c>
    </row>
    <row r="45" spans="1:42">
      <c r="A45" s="23" t="s">
        <v>95</v>
      </c>
      <c r="B45" s="36"/>
      <c r="C45" s="36"/>
      <c r="D45" s="36"/>
      <c r="E45" s="36"/>
      <c r="F45" s="77">
        <v>42803.544999999998</v>
      </c>
      <c r="G45" s="36"/>
      <c r="H45" s="36"/>
      <c r="I45" s="37">
        <v>53659.186000000002</v>
      </c>
      <c r="J45" s="37"/>
      <c r="K45" s="37">
        <v>60477.629070000003</v>
      </c>
      <c r="L45" s="37">
        <v>71537.129000000001</v>
      </c>
      <c r="M45" s="37">
        <v>69990.826000000001</v>
      </c>
      <c r="N45" s="37">
        <v>86420.657999999996</v>
      </c>
      <c r="O45" s="37">
        <v>76304.072</v>
      </c>
      <c r="P45" s="37">
        <v>79320.043999999994</v>
      </c>
      <c r="Q45" s="37">
        <v>83326.45</v>
      </c>
      <c r="R45" s="37">
        <v>88978.513999999996</v>
      </c>
      <c r="S45" s="37">
        <v>92197.866999999998</v>
      </c>
      <c r="T45" s="23">
        <v>103249.227</v>
      </c>
      <c r="U45" s="23">
        <v>139217.05499999999</v>
      </c>
      <c r="V45" s="23">
        <v>155115.00599999999</v>
      </c>
      <c r="W45" s="23">
        <v>166609.23000000001</v>
      </c>
      <c r="X45" s="2">
        <v>182188.37100000001</v>
      </c>
      <c r="Y45" s="2">
        <v>178879.14799999999</v>
      </c>
      <c r="Z45" s="2">
        <v>191398.16699999999</v>
      </c>
      <c r="AA45" s="2">
        <v>203785.56099999999</v>
      </c>
    </row>
    <row r="46" spans="1:42">
      <c r="A46" s="23" t="s">
        <v>98</v>
      </c>
      <c r="B46" s="36"/>
      <c r="C46" s="36"/>
      <c r="D46" s="36"/>
      <c r="E46" s="37"/>
      <c r="F46" s="77">
        <v>158220.41200000001</v>
      </c>
      <c r="G46" s="36"/>
      <c r="H46" s="36"/>
      <c r="I46" s="37">
        <v>169753.897</v>
      </c>
      <c r="J46" s="37"/>
      <c r="K46" s="37">
        <v>187894.50399999999</v>
      </c>
      <c r="L46" s="37">
        <v>215592.28099999999</v>
      </c>
      <c r="M46" s="37">
        <v>228214.43799999999</v>
      </c>
      <c r="N46" s="37">
        <v>240159.91200000001</v>
      </c>
      <c r="O46" s="37">
        <v>251584.53200000001</v>
      </c>
      <c r="P46" s="37">
        <v>238089.62400000001</v>
      </c>
      <c r="Q46" s="37">
        <v>242126.66200000001</v>
      </c>
      <c r="R46" s="37">
        <v>251745.48</v>
      </c>
      <c r="S46" s="37">
        <v>266786.65500000003</v>
      </c>
      <c r="T46" s="23">
        <v>318843.3</v>
      </c>
      <c r="U46" s="23">
        <v>350515.33</v>
      </c>
      <c r="V46" s="23">
        <v>374275.64899999998</v>
      </c>
      <c r="W46" s="23">
        <v>383647.26899999997</v>
      </c>
      <c r="X46" s="2">
        <v>398839.64</v>
      </c>
      <c r="Y46" s="2">
        <v>434475.97100000002</v>
      </c>
      <c r="Z46" s="2">
        <v>449918.75</v>
      </c>
      <c r="AA46" s="2">
        <v>472891.054</v>
      </c>
    </row>
    <row r="47" spans="1:42">
      <c r="A47" s="23" t="s">
        <v>99</v>
      </c>
      <c r="B47" s="37"/>
      <c r="C47" s="37"/>
      <c r="D47" s="37"/>
      <c r="E47" s="37"/>
      <c r="F47" s="77">
        <v>68328.039999999994</v>
      </c>
      <c r="G47" s="37"/>
      <c r="H47" s="37"/>
      <c r="I47" s="37">
        <v>73975.514999999999</v>
      </c>
      <c r="J47" s="37"/>
      <c r="K47" s="37">
        <v>94876.26</v>
      </c>
      <c r="L47" s="37">
        <v>115601.891</v>
      </c>
      <c r="M47" s="37">
        <v>128404.083</v>
      </c>
      <c r="N47" s="37">
        <v>133283.95600000001</v>
      </c>
      <c r="O47" s="37">
        <v>135413.25</v>
      </c>
      <c r="P47" s="37">
        <v>140443.68100000001</v>
      </c>
      <c r="Q47" s="37">
        <v>146855.48499999999</v>
      </c>
      <c r="R47" s="37">
        <v>157635.63399999999</v>
      </c>
      <c r="S47" s="37">
        <v>165558.492</v>
      </c>
      <c r="T47" s="23">
        <v>173400.83799999999</v>
      </c>
      <c r="U47" s="23">
        <v>213652.58100000001</v>
      </c>
      <c r="V47" s="23">
        <v>230645.845</v>
      </c>
      <c r="W47" s="23">
        <v>234151.36600000001</v>
      </c>
      <c r="X47" s="2">
        <v>237086.81599999999</v>
      </c>
      <c r="Y47" s="2">
        <v>253167.06400000001</v>
      </c>
      <c r="Z47" s="2">
        <v>264399.049</v>
      </c>
      <c r="AA47" s="2">
        <v>264252.86</v>
      </c>
    </row>
    <row r="48" spans="1:42">
      <c r="A48" s="23" t="s">
        <v>59</v>
      </c>
      <c r="B48" s="37"/>
      <c r="C48" s="37"/>
      <c r="D48" s="37"/>
      <c r="E48" s="37"/>
      <c r="F48" s="77">
        <v>65420.743000000002</v>
      </c>
      <c r="G48" s="37"/>
      <c r="H48" s="37"/>
      <c r="I48" s="37">
        <v>80144.017999999996</v>
      </c>
      <c r="J48" s="37"/>
      <c r="K48" s="37">
        <v>91457.004000000001</v>
      </c>
      <c r="L48" s="37">
        <v>109295.274</v>
      </c>
      <c r="M48" s="37">
        <v>118852.83</v>
      </c>
      <c r="N48" s="37">
        <v>110632.296</v>
      </c>
      <c r="O48" s="37">
        <v>106930.792</v>
      </c>
      <c r="P48" s="37">
        <v>120653.499</v>
      </c>
      <c r="Q48" s="37">
        <v>125880.065</v>
      </c>
      <c r="R48" s="37">
        <v>134829.50700000001</v>
      </c>
      <c r="S48" s="37">
        <v>137323.09299999999</v>
      </c>
      <c r="T48" s="23">
        <v>150499.02799999999</v>
      </c>
      <c r="U48" s="23">
        <v>152636.54199999999</v>
      </c>
      <c r="V48" s="23">
        <v>167803.23300000001</v>
      </c>
      <c r="W48" s="23">
        <v>169332.77299999999</v>
      </c>
      <c r="X48" s="2">
        <v>181953.37100000001</v>
      </c>
      <c r="Y48" s="2">
        <v>191349.81400000001</v>
      </c>
      <c r="Z48" s="2">
        <v>211690.40299999999</v>
      </c>
      <c r="AA48" s="2">
        <v>222976.633</v>
      </c>
    </row>
    <row r="49" spans="1:42">
      <c r="A49" s="23" t="s">
        <v>101</v>
      </c>
      <c r="B49" s="37"/>
      <c r="C49" s="37"/>
      <c r="D49" s="37"/>
      <c r="E49" s="37"/>
      <c r="F49" s="77">
        <v>18851.812999999998</v>
      </c>
      <c r="G49" s="37"/>
      <c r="H49" s="37"/>
      <c r="I49" s="37">
        <v>23305.936000000002</v>
      </c>
      <c r="J49" s="37"/>
      <c r="K49" s="37">
        <v>21518.357</v>
      </c>
      <c r="L49" s="37">
        <v>25302.931</v>
      </c>
      <c r="M49" s="37">
        <v>26581.93</v>
      </c>
      <c r="N49" s="37">
        <v>26401.032999999999</v>
      </c>
      <c r="O49" s="37">
        <v>24275.973000000002</v>
      </c>
      <c r="P49" s="37">
        <v>23303.701000000001</v>
      </c>
      <c r="Q49" s="37">
        <v>26192.537</v>
      </c>
      <c r="R49" s="37">
        <v>30518.645</v>
      </c>
      <c r="S49" s="37">
        <v>31889.874</v>
      </c>
      <c r="T49" s="23">
        <v>39920.481</v>
      </c>
      <c r="U49" s="23">
        <v>33792.639000000003</v>
      </c>
      <c r="V49" s="23">
        <v>43332.322</v>
      </c>
      <c r="W49" s="23">
        <v>45780.552000000003</v>
      </c>
      <c r="X49" s="2">
        <v>52525.14</v>
      </c>
      <c r="Y49" s="2">
        <v>48587.055</v>
      </c>
      <c r="Z49" s="2">
        <v>49018.205999999998</v>
      </c>
      <c r="AA49" s="2">
        <v>50763.212</v>
      </c>
    </row>
    <row r="50" spans="1:42">
      <c r="A50" s="23" t="s">
        <v>107</v>
      </c>
      <c r="B50" s="37"/>
      <c r="C50" s="37"/>
      <c r="D50" s="37"/>
      <c r="E50" s="37"/>
      <c r="F50" s="77">
        <v>12605.308999999999</v>
      </c>
      <c r="G50" s="37"/>
      <c r="H50" s="37"/>
      <c r="I50" s="37">
        <v>14351.857</v>
      </c>
      <c r="J50" s="37"/>
      <c r="K50" s="37">
        <v>14547.696</v>
      </c>
      <c r="L50" s="37">
        <v>16660.422999999999</v>
      </c>
      <c r="M50" s="37">
        <v>18966.27</v>
      </c>
      <c r="N50" s="37">
        <v>21338.143</v>
      </c>
      <c r="O50" s="37">
        <v>22849.91</v>
      </c>
      <c r="P50" s="37">
        <v>24578.146000000001</v>
      </c>
      <c r="Q50" s="37">
        <v>26070.504000000001</v>
      </c>
      <c r="R50" s="37">
        <v>29101.632000000001</v>
      </c>
      <c r="S50" s="37">
        <v>31098.465</v>
      </c>
      <c r="T50" s="23">
        <v>33078.533000000003</v>
      </c>
      <c r="U50" s="23">
        <v>34997.652000000002</v>
      </c>
      <c r="V50" s="23">
        <v>40960.559999999998</v>
      </c>
      <c r="W50" s="23">
        <v>45365.144999999997</v>
      </c>
      <c r="X50" s="2">
        <v>46162.089</v>
      </c>
      <c r="Y50" s="2">
        <v>47984.860999999997</v>
      </c>
      <c r="Z50" s="2">
        <v>90521.917000000001</v>
      </c>
      <c r="AA50" s="2">
        <v>100623.788</v>
      </c>
    </row>
    <row r="51" spans="1:42">
      <c r="A51" s="23" t="s">
        <v>108</v>
      </c>
      <c r="B51" s="37"/>
      <c r="C51" s="37"/>
      <c r="D51" s="37"/>
      <c r="E51" s="37"/>
      <c r="F51" s="77">
        <v>138465.351</v>
      </c>
      <c r="G51" s="37"/>
      <c r="H51" s="37"/>
      <c r="I51" s="37">
        <v>152975.897</v>
      </c>
      <c r="J51" s="37"/>
      <c r="K51" s="37">
        <v>170094.649</v>
      </c>
      <c r="L51" s="37">
        <v>212242.62599999999</v>
      </c>
      <c r="M51" s="37">
        <v>226351.17300000001</v>
      </c>
      <c r="N51" s="37">
        <v>236613.77499999999</v>
      </c>
      <c r="O51" s="37">
        <v>256922.22500000001</v>
      </c>
      <c r="P51" s="37">
        <v>266597.09000000003</v>
      </c>
      <c r="Q51" s="37">
        <v>270911.84700000001</v>
      </c>
      <c r="R51" s="37">
        <v>281016.95600000001</v>
      </c>
      <c r="S51" s="37">
        <v>288895.554</v>
      </c>
      <c r="T51" s="23">
        <v>312550.28200000001</v>
      </c>
      <c r="U51" s="23">
        <v>304216.98599999998</v>
      </c>
      <c r="V51" s="23">
        <v>330499.80099999998</v>
      </c>
      <c r="W51" s="23">
        <v>343143.14399999997</v>
      </c>
      <c r="X51" s="2">
        <v>339985.62099999998</v>
      </c>
      <c r="Y51" s="2">
        <v>360690.29800000001</v>
      </c>
      <c r="Z51" s="2">
        <v>378054.005</v>
      </c>
      <c r="AA51" s="2">
        <v>406972.86599999998</v>
      </c>
    </row>
    <row r="52" spans="1:42">
      <c r="A52" s="23" t="s">
        <v>112</v>
      </c>
      <c r="B52" s="37"/>
      <c r="C52" s="37"/>
      <c r="D52" s="37"/>
      <c r="E52" s="37"/>
      <c r="F52" s="77">
        <v>13095.206</v>
      </c>
      <c r="G52" s="37"/>
      <c r="H52" s="37"/>
      <c r="I52" s="37">
        <v>17389.377</v>
      </c>
      <c r="J52" s="37"/>
      <c r="K52" s="37">
        <v>18401.98314</v>
      </c>
      <c r="L52" s="37">
        <v>24671.412</v>
      </c>
      <c r="M52" s="37">
        <v>24393.243999999999</v>
      </c>
      <c r="N52" s="37">
        <v>26896.516</v>
      </c>
      <c r="O52" s="37">
        <v>26206.143</v>
      </c>
      <c r="P52" s="37">
        <v>28808.254000000001</v>
      </c>
      <c r="Q52" s="37">
        <v>32382.365000000002</v>
      </c>
      <c r="R52" s="37">
        <v>33775.578000000001</v>
      </c>
      <c r="S52" s="37">
        <v>36351.85</v>
      </c>
      <c r="T52" s="23">
        <v>39189.082000000002</v>
      </c>
      <c r="U52" s="23">
        <v>39234.949999999997</v>
      </c>
      <c r="V52" s="23">
        <v>44270.567000000003</v>
      </c>
      <c r="W52" s="23">
        <v>45718.483</v>
      </c>
      <c r="X52" s="2">
        <v>50967.415999999997</v>
      </c>
      <c r="Y52" s="2">
        <v>56358.936999999998</v>
      </c>
      <c r="Z52" s="2">
        <v>58516.05</v>
      </c>
      <c r="AA52" s="2">
        <v>61708.180999999997</v>
      </c>
    </row>
    <row r="53" spans="1:42">
      <c r="A53" s="45" t="s">
        <v>116</v>
      </c>
      <c r="B53" s="63"/>
      <c r="C53" s="63"/>
      <c r="D53" s="63"/>
      <c r="E53" s="63"/>
      <c r="F53" s="82">
        <v>114560.35799999999</v>
      </c>
      <c r="G53" s="63"/>
      <c r="H53" s="63"/>
      <c r="I53" s="63">
        <v>129992.36599999999</v>
      </c>
      <c r="J53" s="63"/>
      <c r="K53" s="63">
        <v>143001.69</v>
      </c>
      <c r="L53" s="63">
        <v>176731.43100000001</v>
      </c>
      <c r="M53" s="63">
        <v>195111.56099999999</v>
      </c>
      <c r="N53" s="63">
        <v>207961.679</v>
      </c>
      <c r="O53" s="63">
        <v>218199.45199999999</v>
      </c>
      <c r="P53" s="63">
        <v>229756.99400000001</v>
      </c>
      <c r="Q53" s="63">
        <v>234411.56700000001</v>
      </c>
      <c r="R53" s="63">
        <v>240275.61600000001</v>
      </c>
      <c r="S53" s="63">
        <v>262522.61300000001</v>
      </c>
      <c r="T53" s="45">
        <v>275902.571</v>
      </c>
      <c r="U53" s="45">
        <v>300205.37599999999</v>
      </c>
      <c r="V53" s="45">
        <v>343900.103</v>
      </c>
      <c r="W53" s="45">
        <v>354695.22700000001</v>
      </c>
      <c r="X53" s="45">
        <v>372939.64399999997</v>
      </c>
      <c r="Y53" s="45">
        <v>374435.38799999998</v>
      </c>
      <c r="Z53" s="45">
        <v>394053.603</v>
      </c>
      <c r="AA53" s="45">
        <v>400192.01500000001</v>
      </c>
    </row>
    <row r="54" spans="1:42" s="23" customFormat="1">
      <c r="A54" s="79" t="s">
        <v>122</v>
      </c>
      <c r="B54" s="90">
        <f>SUM(B56:B64)</f>
        <v>0</v>
      </c>
      <c r="C54" s="90">
        <f t="shared" ref="C54:AA54" si="10">SUM(C56:C64)</f>
        <v>0</v>
      </c>
      <c r="D54" s="90">
        <f t="shared" si="10"/>
        <v>0</v>
      </c>
      <c r="E54" s="90">
        <f t="shared" si="10"/>
        <v>0</v>
      </c>
      <c r="F54" s="90">
        <f>SUM(F56:F64)</f>
        <v>497928.19199999998</v>
      </c>
      <c r="G54" s="90">
        <f t="shared" si="10"/>
        <v>0</v>
      </c>
      <c r="H54" s="90">
        <f t="shared" si="10"/>
        <v>0</v>
      </c>
      <c r="I54" s="90">
        <f t="shared" si="10"/>
        <v>618317.34899999993</v>
      </c>
      <c r="J54" s="90">
        <f t="shared" si="10"/>
        <v>0</v>
      </c>
      <c r="K54" s="90">
        <f t="shared" si="10"/>
        <v>751238.96199999994</v>
      </c>
      <c r="L54" s="90">
        <f t="shared" si="10"/>
        <v>853964.04399999999</v>
      </c>
      <c r="M54" s="90">
        <f t="shared" si="10"/>
        <v>844677.679</v>
      </c>
      <c r="N54" s="90">
        <f t="shared" si="10"/>
        <v>833538.59699999995</v>
      </c>
      <c r="O54" s="90">
        <f t="shared" si="10"/>
        <v>779982.85400000005</v>
      </c>
      <c r="P54" s="90">
        <f t="shared" si="10"/>
        <v>825152.79500000016</v>
      </c>
      <c r="Q54" s="90">
        <f t="shared" si="10"/>
        <v>969434.61899999995</v>
      </c>
      <c r="R54" s="90">
        <f t="shared" si="10"/>
        <v>989909.39900000009</v>
      </c>
      <c r="S54" s="90">
        <f t="shared" si="10"/>
        <v>1074142.2169999999</v>
      </c>
      <c r="T54" s="90">
        <f t="shared" si="10"/>
        <v>1202739.5659999999</v>
      </c>
      <c r="U54" s="90">
        <f t="shared" si="10"/>
        <v>1223701.9179999998</v>
      </c>
      <c r="V54" s="90">
        <f t="shared" si="10"/>
        <v>1526758.4479999999</v>
      </c>
      <c r="W54" s="90">
        <f t="shared" si="10"/>
        <v>1595284.733</v>
      </c>
      <c r="X54" s="90">
        <f t="shared" si="10"/>
        <v>1651927.5179999999</v>
      </c>
      <c r="Y54" s="90">
        <f t="shared" si="10"/>
        <v>1675116.8359999999</v>
      </c>
      <c r="Z54" s="90">
        <f t="shared" si="10"/>
        <v>1800320.0739999998</v>
      </c>
      <c r="AA54" s="90">
        <f t="shared" si="10"/>
        <v>1858593.5220000001</v>
      </c>
    </row>
    <row r="55" spans="1:42">
      <c r="A55" s="79" t="s">
        <v>119</v>
      </c>
      <c r="B55" s="37"/>
      <c r="C55" s="37"/>
      <c r="D55" s="37"/>
      <c r="E55" s="37"/>
      <c r="F55" s="37"/>
      <c r="G55" s="37"/>
      <c r="H55" s="37"/>
      <c r="I55" s="37"/>
      <c r="J55" s="37"/>
      <c r="K55" s="37"/>
      <c r="L55" s="37"/>
      <c r="M55" s="37"/>
      <c r="N55" s="37"/>
      <c r="O55" s="37"/>
      <c r="P55" s="37"/>
      <c r="Q55" s="37"/>
      <c r="R55" s="37"/>
      <c r="S55" s="37"/>
      <c r="T55" s="23"/>
      <c r="U55" s="23"/>
      <c r="V55" s="23"/>
      <c r="W55" s="23"/>
      <c r="X55" s="2">
        <v>0</v>
      </c>
      <c r="Y55" s="2">
        <v>0</v>
      </c>
    </row>
    <row r="56" spans="1:42" s="23" customFormat="1">
      <c r="A56" s="23" t="s">
        <v>89</v>
      </c>
      <c r="B56" s="36"/>
      <c r="C56" s="36"/>
      <c r="D56" s="36"/>
      <c r="E56" s="36"/>
      <c r="F56" s="77">
        <v>22646.129000000001</v>
      </c>
      <c r="G56" s="36"/>
      <c r="H56" s="36"/>
      <c r="I56" s="37">
        <v>32285.432000000001</v>
      </c>
      <c r="J56" s="37"/>
      <c r="K56" s="37">
        <v>33489.195</v>
      </c>
      <c r="L56" s="37">
        <v>58354.69</v>
      </c>
      <c r="M56" s="37">
        <v>56579.985999999997</v>
      </c>
      <c r="N56" s="37">
        <v>62309.125</v>
      </c>
      <c r="O56" s="37">
        <v>66257.009999999995</v>
      </c>
      <c r="P56" s="37">
        <v>68289.558000000005</v>
      </c>
      <c r="Q56" s="37">
        <v>85014.751000000004</v>
      </c>
      <c r="R56" s="37">
        <v>82690.091</v>
      </c>
      <c r="S56" s="37">
        <v>92503.678</v>
      </c>
      <c r="T56" s="23">
        <v>113655.21</v>
      </c>
      <c r="U56" s="23">
        <v>115970.97100000001</v>
      </c>
      <c r="V56" s="23">
        <v>130811.976</v>
      </c>
      <c r="W56" s="23">
        <v>131353.45699999999</v>
      </c>
      <c r="X56" s="23">
        <v>120494.731</v>
      </c>
      <c r="Y56" s="2">
        <v>126534.423</v>
      </c>
      <c r="Z56" s="2">
        <v>149766.31099999999</v>
      </c>
      <c r="AA56" s="2">
        <v>160306.01</v>
      </c>
      <c r="AB56" s="2"/>
      <c r="AC56" s="2"/>
      <c r="AD56" s="2"/>
      <c r="AE56" s="2"/>
      <c r="AF56" s="2"/>
      <c r="AG56" s="2"/>
      <c r="AH56" s="2"/>
      <c r="AI56" s="2"/>
      <c r="AJ56" s="2"/>
      <c r="AK56" s="2"/>
      <c r="AL56" s="2"/>
      <c r="AM56" s="2"/>
      <c r="AN56" s="2"/>
      <c r="AO56" s="2"/>
      <c r="AP56" s="2"/>
    </row>
    <row r="57" spans="1:42" s="23" customFormat="1">
      <c r="A57" s="23" t="s">
        <v>96</v>
      </c>
      <c r="B57" s="36"/>
      <c r="C57" s="36"/>
      <c r="D57" s="36"/>
      <c r="E57" s="36"/>
      <c r="F57" s="77">
        <v>23047.458999999999</v>
      </c>
      <c r="G57" s="36"/>
      <c r="H57" s="36"/>
      <c r="I57" s="37">
        <v>25129.305</v>
      </c>
      <c r="J57" s="37"/>
      <c r="K57" s="37">
        <v>28571.003000000001</v>
      </c>
      <c r="L57" s="37">
        <v>33231.595999999998</v>
      </c>
      <c r="M57" s="37">
        <v>36257.802000000003</v>
      </c>
      <c r="N57" s="37">
        <v>36964.146000000001</v>
      </c>
      <c r="O57" s="37">
        <v>38844.39</v>
      </c>
      <c r="P57" s="37">
        <v>40749.4</v>
      </c>
      <c r="Q57" s="37">
        <v>42061.921999999999</v>
      </c>
      <c r="R57" s="37">
        <v>43800.978999999999</v>
      </c>
      <c r="S57" s="37">
        <v>47483.095000000001</v>
      </c>
      <c r="T57" s="23">
        <v>49704.41</v>
      </c>
      <c r="U57" s="23">
        <v>51457.849000000002</v>
      </c>
      <c r="V57" s="23">
        <v>58452.7</v>
      </c>
      <c r="W57" s="23">
        <v>59057.324999999997</v>
      </c>
      <c r="X57" s="23">
        <v>60254.008999999998</v>
      </c>
      <c r="Y57" s="2">
        <v>61444.821000000004</v>
      </c>
      <c r="Z57" s="2">
        <v>60809.696000000004</v>
      </c>
      <c r="AA57" s="2">
        <v>64083.053</v>
      </c>
      <c r="AB57" s="2"/>
      <c r="AC57" s="2"/>
      <c r="AD57" s="2"/>
      <c r="AE57" s="2"/>
      <c r="AF57" s="2"/>
      <c r="AG57" s="2"/>
      <c r="AH57" s="2"/>
      <c r="AI57" s="2"/>
      <c r="AJ57" s="2"/>
      <c r="AK57" s="2"/>
      <c r="AL57" s="2"/>
      <c r="AM57" s="2"/>
      <c r="AN57" s="2"/>
      <c r="AO57" s="2"/>
      <c r="AP57" s="2"/>
    </row>
    <row r="58" spans="1:42" s="45" customFormat="1">
      <c r="A58" s="23" t="s">
        <v>97</v>
      </c>
      <c r="B58" s="36"/>
      <c r="C58" s="36"/>
      <c r="D58" s="36"/>
      <c r="E58" s="37"/>
      <c r="F58" s="77">
        <v>56235.154000000002</v>
      </c>
      <c r="G58" s="36"/>
      <c r="H58" s="36"/>
      <c r="I58" s="37">
        <v>72243.626000000004</v>
      </c>
      <c r="J58" s="37"/>
      <c r="K58" s="37">
        <v>90166.892999999996</v>
      </c>
      <c r="L58" s="37">
        <v>108627.982</v>
      </c>
      <c r="M58" s="37">
        <v>121890.7</v>
      </c>
      <c r="N58" s="37">
        <v>119799.791</v>
      </c>
      <c r="O58" s="37">
        <v>115530.228</v>
      </c>
      <c r="P58" s="37">
        <v>117841.164</v>
      </c>
      <c r="Q58" s="37">
        <v>130393.82399999999</v>
      </c>
      <c r="R58" s="37">
        <v>136849.82999999999</v>
      </c>
      <c r="S58" s="37">
        <v>151160.163</v>
      </c>
      <c r="T58" s="23">
        <v>163729.44</v>
      </c>
      <c r="U58" s="23">
        <v>145038.81</v>
      </c>
      <c r="V58" s="23">
        <v>190324.01699999999</v>
      </c>
      <c r="W58" s="23">
        <v>209520.81</v>
      </c>
      <c r="X58" s="23">
        <v>225482.723</v>
      </c>
      <c r="Y58" s="2">
        <v>231609.24400000001</v>
      </c>
      <c r="Z58" s="2">
        <v>250833.75200000001</v>
      </c>
      <c r="AA58" s="2">
        <v>273692.05200000003</v>
      </c>
    </row>
    <row r="59" spans="1:42">
      <c r="A59" s="23" t="s">
        <v>103</v>
      </c>
      <c r="B59" s="37"/>
      <c r="C59" s="37"/>
      <c r="D59" s="37"/>
      <c r="E59" s="37"/>
      <c r="F59" s="77">
        <v>15278.573</v>
      </c>
      <c r="G59" s="37"/>
      <c r="H59" s="37"/>
      <c r="I59" s="37">
        <v>15636.526</v>
      </c>
      <c r="J59" s="37"/>
      <c r="K59" s="37">
        <v>16742.142</v>
      </c>
      <c r="L59" s="37">
        <v>18444.644</v>
      </c>
      <c r="M59" s="37">
        <v>20266.667000000001</v>
      </c>
      <c r="N59" s="37">
        <v>20942.811000000002</v>
      </c>
      <c r="O59" s="37">
        <v>25840.92</v>
      </c>
      <c r="P59" s="37">
        <v>25507.88</v>
      </c>
      <c r="Q59" s="37">
        <v>26394.858</v>
      </c>
      <c r="R59" s="37">
        <v>28871.49</v>
      </c>
      <c r="S59" s="37">
        <v>29444.147000000001</v>
      </c>
      <c r="T59" s="23">
        <v>36702.885999999999</v>
      </c>
      <c r="U59" s="23">
        <v>45367.881999999998</v>
      </c>
      <c r="V59" s="23">
        <v>43057.758000000002</v>
      </c>
      <c r="W59" s="23">
        <v>45335.809000000001</v>
      </c>
      <c r="X59" s="2">
        <v>39299.173999999999</v>
      </c>
      <c r="Y59" s="2">
        <v>39769.93</v>
      </c>
      <c r="Z59" s="2">
        <v>41922.834000000003</v>
      </c>
      <c r="AA59" s="2">
        <v>45752.042999999998</v>
      </c>
    </row>
    <row r="60" spans="1:42">
      <c r="A60" s="23" t="s">
        <v>104</v>
      </c>
      <c r="B60" s="37"/>
      <c r="C60" s="37"/>
      <c r="D60" s="37"/>
      <c r="E60" s="37"/>
      <c r="F60" s="77">
        <v>54174.499000000003</v>
      </c>
      <c r="G60" s="37"/>
      <c r="H60" s="37"/>
      <c r="I60" s="37">
        <v>62035.243000000002</v>
      </c>
      <c r="J60" s="37"/>
      <c r="K60" s="37">
        <v>111476.469</v>
      </c>
      <c r="L60" s="37">
        <v>80891.89</v>
      </c>
      <c r="M60" s="37">
        <v>90055.634999999995</v>
      </c>
      <c r="N60" s="37">
        <v>97483.498999999996</v>
      </c>
      <c r="O60" s="37">
        <v>88708.516000000003</v>
      </c>
      <c r="P60" s="37">
        <v>98722.092000000004</v>
      </c>
      <c r="Q60" s="37">
        <v>170318.75200000001</v>
      </c>
      <c r="R60" s="37">
        <v>188178.7</v>
      </c>
      <c r="S60" s="37">
        <v>194099.171</v>
      </c>
      <c r="T60" s="23">
        <v>212549.61</v>
      </c>
      <c r="U60" s="23">
        <v>218589.02900000001</v>
      </c>
      <c r="V60" s="23">
        <v>265123.44300000003</v>
      </c>
      <c r="W60" s="23">
        <v>273669.93</v>
      </c>
      <c r="X60" s="2">
        <v>299652.26899999997</v>
      </c>
      <c r="Y60" s="2">
        <v>305823.05499999999</v>
      </c>
      <c r="Z60" s="2">
        <v>344991.44099999999</v>
      </c>
      <c r="AA60" s="2">
        <v>330749.91499999998</v>
      </c>
    </row>
    <row r="61" spans="1:42">
      <c r="A61" s="23" t="s">
        <v>106</v>
      </c>
      <c r="B61" s="37"/>
      <c r="C61" s="37"/>
      <c r="D61" s="37"/>
      <c r="E61" s="37"/>
      <c r="F61" s="77">
        <v>154042.67600000001</v>
      </c>
      <c r="G61" s="37"/>
      <c r="H61" s="37"/>
      <c r="I61" s="37">
        <v>202696.08100000001</v>
      </c>
      <c r="J61" s="37"/>
      <c r="K61" s="37">
        <v>237734.72899999999</v>
      </c>
      <c r="L61" s="37">
        <v>270030.788</v>
      </c>
      <c r="M61" s="37">
        <v>257306.747</v>
      </c>
      <c r="N61" s="37">
        <v>282740.64500000002</v>
      </c>
      <c r="O61" s="37">
        <v>287704.63400000002</v>
      </c>
      <c r="P61" s="37">
        <v>295867.70500000002</v>
      </c>
      <c r="Q61" s="37">
        <v>341070.75099999999</v>
      </c>
      <c r="R61" s="37">
        <v>329826.35600000003</v>
      </c>
      <c r="S61" s="37">
        <v>366856.685</v>
      </c>
      <c r="T61" s="23">
        <v>412510.26500000001</v>
      </c>
      <c r="U61" s="23">
        <v>425388.18699999998</v>
      </c>
      <c r="V61" s="23">
        <v>567116.79299999995</v>
      </c>
      <c r="W61" s="23">
        <v>588988.299</v>
      </c>
      <c r="X61" s="2">
        <v>611461.103</v>
      </c>
      <c r="Y61" s="2">
        <v>608056.73699999996</v>
      </c>
      <c r="Z61" s="2">
        <v>634977.31999999995</v>
      </c>
      <c r="AA61" s="2">
        <v>659597.62699999998</v>
      </c>
    </row>
    <row r="62" spans="1:42">
      <c r="A62" s="23" t="s">
        <v>110</v>
      </c>
      <c r="B62" s="37"/>
      <c r="C62" s="37"/>
      <c r="D62" s="37"/>
      <c r="E62" s="37"/>
      <c r="F62" s="77">
        <v>147079.054</v>
      </c>
      <c r="G62" s="37"/>
      <c r="H62" s="37"/>
      <c r="I62" s="37">
        <v>176672.73300000001</v>
      </c>
      <c r="J62" s="37"/>
      <c r="K62" s="37">
        <v>196508.81</v>
      </c>
      <c r="L62" s="37">
        <v>248020.33</v>
      </c>
      <c r="M62" s="37">
        <v>223218.552</v>
      </c>
      <c r="N62" s="37">
        <v>166397.08499999999</v>
      </c>
      <c r="O62" s="37">
        <v>114331.103</v>
      </c>
      <c r="P62" s="37">
        <v>124566.586</v>
      </c>
      <c r="Q62" s="37">
        <v>117019.311</v>
      </c>
      <c r="R62" s="37">
        <v>120523.125</v>
      </c>
      <c r="S62" s="37">
        <v>128841.02099999999</v>
      </c>
      <c r="T62" s="23">
        <v>140517.29</v>
      </c>
      <c r="U62" s="23">
        <v>149697.90100000001</v>
      </c>
      <c r="V62" s="23">
        <v>185135.05</v>
      </c>
      <c r="W62" s="23">
        <v>196322.959</v>
      </c>
      <c r="X62" s="2">
        <v>199651.95699999999</v>
      </c>
      <c r="Y62" s="2">
        <v>205016.00399999999</v>
      </c>
      <c r="Z62" s="2">
        <v>213313.91899999999</v>
      </c>
      <c r="AA62" s="2">
        <v>216984.677</v>
      </c>
    </row>
    <row r="63" spans="1:42">
      <c r="A63" s="23" t="s">
        <v>111</v>
      </c>
      <c r="B63" s="37"/>
      <c r="C63" s="37"/>
      <c r="D63" s="37"/>
      <c r="E63" s="37"/>
      <c r="F63" s="77">
        <v>13309.314</v>
      </c>
      <c r="G63" s="37"/>
      <c r="H63" s="37"/>
      <c r="I63" s="37">
        <v>18235.886999999999</v>
      </c>
      <c r="J63" s="37"/>
      <c r="K63" s="37">
        <v>21755.892</v>
      </c>
      <c r="L63" s="37">
        <v>20681.835999999999</v>
      </c>
      <c r="M63" s="37">
        <v>21992.965</v>
      </c>
      <c r="N63" s="37">
        <v>23436.767</v>
      </c>
      <c r="O63" s="37">
        <v>24892.462</v>
      </c>
      <c r="P63" s="37">
        <v>27193.149000000001</v>
      </c>
      <c r="Q63" s="37">
        <v>29148.375</v>
      </c>
      <c r="R63" s="37">
        <v>30494.587</v>
      </c>
      <c r="S63" s="37">
        <v>30985.756000000001</v>
      </c>
      <c r="T63" s="23">
        <v>34418.156999999999</v>
      </c>
      <c r="U63" s="23">
        <v>34224.944000000003</v>
      </c>
      <c r="V63" s="23">
        <v>38455.892999999996</v>
      </c>
      <c r="W63" s="23">
        <v>40565.137999999999</v>
      </c>
      <c r="X63" s="2">
        <v>44708.281000000003</v>
      </c>
      <c r="Y63" s="2">
        <v>45398.196000000004</v>
      </c>
      <c r="Z63" s="2">
        <v>48028.733999999997</v>
      </c>
      <c r="AA63" s="2">
        <v>47835.633999999998</v>
      </c>
    </row>
    <row r="64" spans="1:42">
      <c r="A64" s="45" t="s">
        <v>114</v>
      </c>
      <c r="B64" s="63"/>
      <c r="C64" s="63"/>
      <c r="D64" s="63"/>
      <c r="E64" s="63"/>
      <c r="F64" s="82">
        <v>12115.334000000001</v>
      </c>
      <c r="G64" s="63"/>
      <c r="H64" s="63"/>
      <c r="I64" s="63">
        <v>13382.516</v>
      </c>
      <c r="J64" s="63"/>
      <c r="K64" s="63">
        <v>14793.829</v>
      </c>
      <c r="L64" s="63">
        <v>15680.288</v>
      </c>
      <c r="M64" s="63">
        <v>17108.625</v>
      </c>
      <c r="N64" s="63">
        <v>23464.727999999999</v>
      </c>
      <c r="O64" s="63">
        <v>17873.591</v>
      </c>
      <c r="P64" s="63">
        <v>26415.260999999999</v>
      </c>
      <c r="Q64" s="63">
        <v>28012.075000000001</v>
      </c>
      <c r="R64" s="63">
        <v>28674.241000000002</v>
      </c>
      <c r="S64" s="63">
        <v>32768.500999999997</v>
      </c>
      <c r="T64" s="45">
        <v>38952.298000000003</v>
      </c>
      <c r="U64" s="45">
        <v>37966.345000000001</v>
      </c>
      <c r="V64" s="45">
        <v>48280.817999999999</v>
      </c>
      <c r="W64" s="45">
        <v>50471.006000000001</v>
      </c>
      <c r="X64" s="45">
        <v>50923.271000000001</v>
      </c>
      <c r="Y64" s="45">
        <v>51464.425999999999</v>
      </c>
      <c r="Z64" s="45">
        <v>55676.067000000003</v>
      </c>
      <c r="AA64" s="45">
        <v>59592.510999999999</v>
      </c>
    </row>
    <row r="65" spans="1:42">
      <c r="A65" s="88" t="s">
        <v>90</v>
      </c>
      <c r="B65" s="84"/>
      <c r="C65" s="84"/>
      <c r="D65" s="84"/>
      <c r="E65" s="84"/>
      <c r="F65" s="85">
        <v>6581.5519999999997</v>
      </c>
      <c r="G65" s="84"/>
      <c r="H65" s="84"/>
      <c r="I65" s="86">
        <v>4551.3</v>
      </c>
      <c r="J65" s="86"/>
      <c r="K65" s="86">
        <v>4864.8496699999996</v>
      </c>
      <c r="L65" s="86">
        <v>9359.8019999999997</v>
      </c>
      <c r="M65" s="86">
        <v>8590.25</v>
      </c>
      <c r="N65" s="86">
        <v>5033.3909999999996</v>
      </c>
      <c r="O65" s="86">
        <v>4014.8710000000001</v>
      </c>
      <c r="P65" s="86">
        <v>4320.1949999999997</v>
      </c>
      <c r="Q65" s="86">
        <v>7887.1980000000003</v>
      </c>
      <c r="R65" s="86">
        <v>8133.0140000000001</v>
      </c>
      <c r="S65" s="86">
        <v>8857.0750000000007</v>
      </c>
      <c r="T65" s="87">
        <v>9610.1080000000002</v>
      </c>
      <c r="U65" s="87">
        <v>8980.6769999999997</v>
      </c>
      <c r="V65" s="87">
        <v>10019</v>
      </c>
      <c r="W65" s="87">
        <v>10044.753000000001</v>
      </c>
      <c r="X65" s="45">
        <v>11605.866</v>
      </c>
      <c r="Y65" s="45">
        <v>12473.763999999999</v>
      </c>
      <c r="Z65" s="45">
        <v>7407.9350000000004</v>
      </c>
      <c r="AA65" s="45">
        <v>9487.8700000000008</v>
      </c>
      <c r="AB65" s="23"/>
      <c r="AC65" s="23"/>
      <c r="AD65" s="23"/>
      <c r="AE65" s="23"/>
      <c r="AF65" s="23"/>
      <c r="AG65" s="23"/>
      <c r="AH65" s="23"/>
      <c r="AI65" s="23"/>
      <c r="AJ65" s="23"/>
      <c r="AK65" s="23"/>
      <c r="AL65" s="23"/>
      <c r="AM65" s="23"/>
      <c r="AN65" s="23"/>
      <c r="AO65" s="23"/>
      <c r="AP65" s="23"/>
    </row>
    <row r="67" spans="1:42">
      <c r="I67" s="34" t="s">
        <v>78</v>
      </c>
      <c r="J67" s="34" t="s">
        <v>76</v>
      </c>
      <c r="K67" s="34"/>
      <c r="L67" s="34" t="s">
        <v>69</v>
      </c>
      <c r="M67" s="34"/>
      <c r="N67" s="34"/>
      <c r="O67" s="34" t="s">
        <v>78</v>
      </c>
      <c r="P67" s="34" t="s">
        <v>78</v>
      </c>
      <c r="Q67" s="34" t="s">
        <v>78</v>
      </c>
      <c r="R67" s="34" t="s">
        <v>78</v>
      </c>
      <c r="S67" s="34"/>
      <c r="T67" s="34"/>
      <c r="U67" s="34"/>
      <c r="V67" s="34"/>
      <c r="W67" s="34"/>
    </row>
    <row r="68" spans="1:42">
      <c r="I68" s="14" t="s">
        <v>79</v>
      </c>
      <c r="J68" s="14" t="s">
        <v>72</v>
      </c>
      <c r="L68" s="14" t="s">
        <v>70</v>
      </c>
      <c r="O68" s="14" t="s">
        <v>79</v>
      </c>
      <c r="P68" s="14" t="s">
        <v>79</v>
      </c>
      <c r="Q68" s="14" t="s">
        <v>79</v>
      </c>
      <c r="R68" s="14" t="s">
        <v>79</v>
      </c>
    </row>
    <row r="69" spans="1:42">
      <c r="I69" s="14" t="s">
        <v>80</v>
      </c>
      <c r="J69" s="14" t="s">
        <v>73</v>
      </c>
      <c r="O69" s="14" t="s">
        <v>80</v>
      </c>
      <c r="P69" s="14" t="s">
        <v>80</v>
      </c>
      <c r="Q69" s="14" t="s">
        <v>80</v>
      </c>
      <c r="R69" s="14" t="s">
        <v>80</v>
      </c>
    </row>
    <row r="70" spans="1:42">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codeName="Sheet8">
    <tabColor theme="4" tint="0.39997558519241921"/>
  </sheetPr>
  <dimension ref="A1:AP70"/>
  <sheetViews>
    <sheetView showZeros="0" zoomScale="80" zoomScaleNormal="80" workbookViewId="0">
      <pane xSplit="1" ySplit="5" topLeftCell="U6" activePane="bottomRight" state="frozen"/>
      <selection activeCell="AC65" sqref="AC65"/>
      <selection pane="topRight" activeCell="AC65" sqref="AC65"/>
      <selection pane="bottomLeft" activeCell="AC65" sqref="AC65"/>
      <selection pane="bottomRight" activeCell="Z2" sqref="Z2"/>
    </sheetView>
  </sheetViews>
  <sheetFormatPr defaultColWidth="9.7109375" defaultRowHeight="12.75"/>
  <cols>
    <col min="1" max="1" width="23.42578125" style="80" customWidth="1"/>
    <col min="2" max="23" width="12.42578125" style="14" customWidth="1"/>
    <col min="24" max="24" width="10.7109375" style="2" customWidth="1"/>
    <col min="25" max="25" width="12.7109375" style="2" bestFit="1" customWidth="1"/>
    <col min="26" max="27" width="12.7109375" style="2" customWidth="1"/>
    <col min="28" max="42" width="10.7109375" style="2" customWidth="1"/>
    <col min="43" max="16384" width="9.7109375" style="2"/>
  </cols>
  <sheetData>
    <row r="1" spans="1:27">
      <c r="A1" s="21" t="s">
        <v>39</v>
      </c>
      <c r="B1"/>
      <c r="C1"/>
      <c r="D1"/>
      <c r="E1"/>
      <c r="F1"/>
      <c r="G1"/>
      <c r="H1"/>
      <c r="I1"/>
      <c r="J1"/>
      <c r="K1"/>
      <c r="L1"/>
      <c r="M1"/>
      <c r="N1"/>
      <c r="O1" s="46"/>
      <c r="P1" s="46"/>
      <c r="Q1" s="46"/>
      <c r="R1" s="46"/>
      <c r="S1"/>
      <c r="T1"/>
      <c r="U1"/>
      <c r="V1"/>
      <c r="W1"/>
    </row>
    <row r="2" spans="1:27">
      <c r="A2" s="12"/>
      <c r="B2"/>
      <c r="C2"/>
      <c r="D2"/>
      <c r="E2"/>
      <c r="F2"/>
      <c r="G2"/>
      <c r="H2"/>
      <c r="I2"/>
      <c r="J2"/>
      <c r="K2"/>
      <c r="L2"/>
      <c r="M2"/>
      <c r="N2"/>
      <c r="O2" s="46"/>
      <c r="P2" s="46"/>
      <c r="Q2" s="46"/>
      <c r="R2" s="46"/>
      <c r="S2"/>
      <c r="T2"/>
      <c r="U2"/>
      <c r="V2"/>
      <c r="W2"/>
    </row>
    <row r="3" spans="1:27">
      <c r="A3" s="13" t="s">
        <v>22</v>
      </c>
      <c r="B3"/>
      <c r="C3"/>
      <c r="D3"/>
      <c r="E3"/>
      <c r="F3"/>
      <c r="G3"/>
      <c r="H3"/>
      <c r="I3"/>
      <c r="J3"/>
      <c r="K3"/>
      <c r="L3"/>
      <c r="M3"/>
      <c r="N3"/>
      <c r="O3" s="46"/>
      <c r="P3" s="46"/>
      <c r="Q3" s="46"/>
      <c r="R3" s="46"/>
      <c r="S3"/>
      <c r="T3"/>
      <c r="U3"/>
      <c r="V3"/>
      <c r="W3"/>
    </row>
    <row r="4" spans="1:27" s="65"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60">
        <v>2005</v>
      </c>
      <c r="R4" s="60">
        <v>2006</v>
      </c>
      <c r="S4" s="74">
        <v>2007</v>
      </c>
      <c r="T4" s="74">
        <v>2008</v>
      </c>
      <c r="U4" s="74">
        <v>2009</v>
      </c>
      <c r="V4" s="74">
        <v>2010</v>
      </c>
      <c r="W4" s="74">
        <v>2011</v>
      </c>
      <c r="X4" s="173" t="s">
        <v>142</v>
      </c>
      <c r="Y4" s="173" t="s">
        <v>144</v>
      </c>
      <c r="Z4" s="173" t="s">
        <v>145</v>
      </c>
      <c r="AA4" s="173" t="s">
        <v>146</v>
      </c>
    </row>
    <row r="5" spans="1:27" s="19" customFormat="1">
      <c r="B5" s="15" t="s">
        <v>2</v>
      </c>
      <c r="C5" s="15" t="s">
        <v>2</v>
      </c>
      <c r="D5" s="15" t="s">
        <v>2</v>
      </c>
      <c r="E5" s="15" t="s">
        <v>2</v>
      </c>
      <c r="F5" s="15" t="s">
        <v>2</v>
      </c>
      <c r="G5" s="15" t="s">
        <v>2</v>
      </c>
      <c r="H5" s="15" t="s">
        <v>2</v>
      </c>
      <c r="I5" s="15" t="s">
        <v>2</v>
      </c>
      <c r="J5" s="15" t="s">
        <v>2</v>
      </c>
      <c r="K5" s="15" t="s">
        <v>2</v>
      </c>
      <c r="L5" s="15" t="s">
        <v>2</v>
      </c>
      <c r="M5" s="15" t="s">
        <v>2</v>
      </c>
      <c r="N5" s="15" t="s">
        <v>2</v>
      </c>
      <c r="O5" s="15" t="s">
        <v>2</v>
      </c>
      <c r="P5" s="15" t="s">
        <v>2</v>
      </c>
      <c r="Q5" s="15" t="s">
        <v>2</v>
      </c>
      <c r="R5" s="15" t="s">
        <v>2</v>
      </c>
      <c r="S5" s="15" t="s">
        <v>2</v>
      </c>
      <c r="T5" s="15" t="s">
        <v>2</v>
      </c>
      <c r="U5" s="15" t="s">
        <v>2</v>
      </c>
      <c r="V5" s="15" t="s">
        <v>2</v>
      </c>
      <c r="W5" s="15" t="s">
        <v>2</v>
      </c>
      <c r="X5" s="19" t="s">
        <v>2</v>
      </c>
      <c r="Y5" s="19" t="s">
        <v>2</v>
      </c>
      <c r="Z5" s="19" t="s">
        <v>2</v>
      </c>
      <c r="AA5" s="19" t="s">
        <v>2</v>
      </c>
    </row>
    <row r="6" spans="1:27" s="23" customFormat="1">
      <c r="A6" s="63" t="s">
        <v>118</v>
      </c>
      <c r="B6" s="13">
        <v>775102</v>
      </c>
      <c r="C6" s="13">
        <v>842580</v>
      </c>
      <c r="D6" s="13">
        <v>920584</v>
      </c>
      <c r="E6" s="13">
        <v>1494583.094</v>
      </c>
      <c r="F6" s="91">
        <f>+F7+F25+F40+F54+F55</f>
        <v>1587201.267</v>
      </c>
      <c r="G6" s="13">
        <v>1797787.031</v>
      </c>
      <c r="H6" s="13">
        <v>1906801.6669999999</v>
      </c>
      <c r="I6" s="91">
        <f>+I7+I25+I40+I54+I55</f>
        <v>1923559.7099999997</v>
      </c>
      <c r="J6" s="14">
        <v>2173970.1150000002</v>
      </c>
      <c r="K6" s="91">
        <f t="shared" ref="K6:U6" si="0">+K7+K25+K40+K54+K55</f>
        <v>2242781.8574600006</v>
      </c>
      <c r="L6" s="91">
        <f t="shared" si="0"/>
        <v>2551965.3009999995</v>
      </c>
      <c r="M6" s="91">
        <f t="shared" si="0"/>
        <v>2786238.628</v>
      </c>
      <c r="N6" s="91">
        <f t="shared" si="0"/>
        <v>2838801.6030000001</v>
      </c>
      <c r="O6" s="91">
        <f t="shared" si="0"/>
        <v>2946185.4359999998</v>
      </c>
      <c r="P6" s="91">
        <f t="shared" si="0"/>
        <v>3036538.071</v>
      </c>
      <c r="Q6" s="91">
        <f t="shared" si="0"/>
        <v>3460856.0970000001</v>
      </c>
      <c r="R6" s="91">
        <f t="shared" si="0"/>
        <v>3639083.9119999995</v>
      </c>
      <c r="S6" s="91">
        <f t="shared" si="0"/>
        <v>3901066.358</v>
      </c>
      <c r="T6" s="91">
        <f t="shared" si="0"/>
        <v>4214526.3679999998</v>
      </c>
      <c r="U6" s="91">
        <f t="shared" si="0"/>
        <v>4685088.4159999993</v>
      </c>
      <c r="V6" s="91">
        <f t="shared" ref="V6:W6" si="1">+V7+V25+V40+V54+V55</f>
        <v>5515884.8159999996</v>
      </c>
      <c r="W6" s="91">
        <f t="shared" si="1"/>
        <v>5701678.3920000009</v>
      </c>
      <c r="X6" s="91">
        <f t="shared" ref="X6:Y6" si="2">+X7+X25+X40+X54+X55</f>
        <v>5822183.5049999999</v>
      </c>
      <c r="Y6" s="91">
        <f t="shared" si="2"/>
        <v>5038833.6170000006</v>
      </c>
      <c r="Z6" s="91">
        <f t="shared" ref="Z6:AA6" si="3">+Z7+Z25+Z40+Z54+Z55</f>
        <v>5244172.3339999998</v>
      </c>
      <c r="AA6" s="91">
        <f t="shared" si="3"/>
        <v>5422272.0829999996</v>
      </c>
    </row>
    <row r="7" spans="1:27" s="23" customFormat="1">
      <c r="A7" s="22" t="s">
        <v>56</v>
      </c>
      <c r="B7" s="89">
        <f>SUM(B8:B24)</f>
        <v>215005</v>
      </c>
      <c r="C7" s="89">
        <f t="shared" ref="C7:U7" si="4">SUM(C8:C24)</f>
        <v>232101</v>
      </c>
      <c r="D7" s="89">
        <f t="shared" si="4"/>
        <v>256495</v>
      </c>
      <c r="E7" s="89">
        <f t="shared" si="4"/>
        <v>404611.26900000009</v>
      </c>
      <c r="F7" s="89">
        <f t="shared" si="4"/>
        <v>429054.929</v>
      </c>
      <c r="G7" s="89">
        <f t="shared" si="4"/>
        <v>474875.93700000009</v>
      </c>
      <c r="H7" s="89">
        <f t="shared" si="4"/>
        <v>522360.60499999998</v>
      </c>
      <c r="I7" s="89">
        <f t="shared" si="4"/>
        <v>551569.87400000007</v>
      </c>
      <c r="J7" s="89">
        <f t="shared" si="4"/>
        <v>592551.14799999993</v>
      </c>
      <c r="K7" s="89">
        <f t="shared" si="4"/>
        <v>606061.12185</v>
      </c>
      <c r="L7" s="89">
        <f t="shared" si="4"/>
        <v>768650.77099999995</v>
      </c>
      <c r="M7" s="89">
        <f t="shared" si="4"/>
        <v>868617.55200000003</v>
      </c>
      <c r="N7" s="89">
        <f t="shared" si="4"/>
        <v>846868.22799999989</v>
      </c>
      <c r="O7" s="89">
        <f t="shared" si="4"/>
        <v>872823.61199999996</v>
      </c>
      <c r="P7" s="89">
        <f t="shared" si="4"/>
        <v>915887.95199999993</v>
      </c>
      <c r="Q7" s="89">
        <f t="shared" si="4"/>
        <v>1009867.49</v>
      </c>
      <c r="R7" s="89">
        <f t="shared" si="4"/>
        <v>1070373.8109999998</v>
      </c>
      <c r="S7" s="89">
        <f t="shared" si="4"/>
        <v>1163593.291</v>
      </c>
      <c r="T7" s="89">
        <f t="shared" si="4"/>
        <v>1281704.3199999998</v>
      </c>
      <c r="U7" s="89">
        <f t="shared" si="4"/>
        <v>1446840.6139999998</v>
      </c>
      <c r="V7" s="89">
        <f t="shared" ref="V7:W7" si="5">SUM(V8:V24)</f>
        <v>1739986.7560000001</v>
      </c>
      <c r="W7" s="89">
        <f t="shared" si="5"/>
        <v>1834847.773</v>
      </c>
      <c r="X7" s="89">
        <f t="shared" ref="X7:Y7" si="6">SUM(X8:X24)</f>
        <v>1889440.318</v>
      </c>
      <c r="Y7" s="89">
        <f t="shared" si="6"/>
        <v>1845607.8949999998</v>
      </c>
      <c r="Z7" s="89">
        <f t="shared" ref="Z7:AA7" si="7">SUM(Z8:Z24)</f>
        <v>1917972.7110000001</v>
      </c>
      <c r="AA7" s="89">
        <f t="shared" si="7"/>
        <v>1937965.1389999997</v>
      </c>
    </row>
    <row r="8" spans="1:27">
      <c r="A8" s="79" t="s">
        <v>119</v>
      </c>
      <c r="T8" s="2"/>
      <c r="U8" s="2"/>
      <c r="V8" s="2"/>
      <c r="W8" s="2"/>
    </row>
    <row r="9" spans="1:27">
      <c r="A9" s="22" t="s">
        <v>3</v>
      </c>
      <c r="B9" s="13">
        <v>10656</v>
      </c>
      <c r="C9" s="13">
        <v>13446</v>
      </c>
      <c r="D9" s="13">
        <v>15787</v>
      </c>
      <c r="E9" s="13">
        <v>27172.903999999999</v>
      </c>
      <c r="F9" s="76">
        <v>25791.47</v>
      </c>
      <c r="G9" s="13">
        <v>28598.18</v>
      </c>
      <c r="H9" s="13">
        <v>30714.486000000001</v>
      </c>
      <c r="I9" s="13">
        <v>32342.355</v>
      </c>
      <c r="J9" s="13">
        <v>35380.856</v>
      </c>
      <c r="K9" s="13">
        <v>34658.134840000006</v>
      </c>
      <c r="L9" s="14">
        <v>42421.55</v>
      </c>
      <c r="M9" s="14">
        <v>47340.921000000002</v>
      </c>
      <c r="N9" s="14">
        <v>44740.523000000001</v>
      </c>
      <c r="O9" s="14">
        <v>47183.012000000002</v>
      </c>
      <c r="P9" s="14">
        <v>48173.714999999997</v>
      </c>
      <c r="Q9" s="14">
        <v>50467.750999999997</v>
      </c>
      <c r="R9" s="14">
        <v>55288.398999999998</v>
      </c>
      <c r="S9" s="14">
        <v>62251.076999999997</v>
      </c>
      <c r="T9" s="2">
        <v>79516.838000000003</v>
      </c>
      <c r="U9" s="2">
        <v>82951.476999999999</v>
      </c>
      <c r="V9" s="2">
        <v>92570.968999999997</v>
      </c>
      <c r="W9" s="2">
        <v>94333.663</v>
      </c>
      <c r="X9" s="2">
        <v>93097.354999999996</v>
      </c>
      <c r="Y9" s="2">
        <v>86853.664999999994</v>
      </c>
      <c r="Z9" s="2">
        <v>87623.88</v>
      </c>
      <c r="AA9" s="2">
        <v>88815.02</v>
      </c>
    </row>
    <row r="10" spans="1:27">
      <c r="A10" s="22" t="s">
        <v>4</v>
      </c>
      <c r="B10" s="13">
        <v>2210</v>
      </c>
      <c r="C10" s="13">
        <v>2633</v>
      </c>
      <c r="D10" s="13">
        <v>3055</v>
      </c>
      <c r="E10" s="13">
        <v>5131.1469999999999</v>
      </c>
      <c r="F10" s="76">
        <v>5954.7340000000004</v>
      </c>
      <c r="G10" s="13">
        <v>7530.49</v>
      </c>
      <c r="H10" s="13">
        <v>8142.991</v>
      </c>
      <c r="I10" s="14">
        <v>10098.424999999999</v>
      </c>
      <c r="J10" s="14">
        <v>14570.306</v>
      </c>
      <c r="K10" s="14">
        <v>13490.715</v>
      </c>
      <c r="L10" s="14">
        <v>18903.634999999998</v>
      </c>
      <c r="M10" s="14">
        <v>22041.567999999999</v>
      </c>
      <c r="N10" s="14">
        <v>21265.603999999999</v>
      </c>
      <c r="O10" s="14">
        <v>21819.448</v>
      </c>
      <c r="P10" s="14">
        <v>24145.48</v>
      </c>
      <c r="Q10" s="14">
        <v>24831.763999999999</v>
      </c>
      <c r="R10" s="14">
        <v>28440.190999999999</v>
      </c>
      <c r="S10" s="14">
        <v>35723.360000000001</v>
      </c>
      <c r="T10" s="2">
        <v>40687.387000000002</v>
      </c>
      <c r="U10" s="2">
        <v>42460.392999999996</v>
      </c>
      <c r="V10" s="2">
        <v>53628.637000000002</v>
      </c>
      <c r="W10" s="2">
        <v>57423.12</v>
      </c>
      <c r="X10" s="2">
        <v>58926.862000000001</v>
      </c>
      <c r="Y10" s="2">
        <v>58473.690999999999</v>
      </c>
      <c r="Z10" s="2">
        <v>57255.781000000003</v>
      </c>
      <c r="AA10" s="2">
        <v>57936.442999999999</v>
      </c>
    </row>
    <row r="11" spans="1:27" ht="12" customHeight="1">
      <c r="A11" s="22" t="s">
        <v>52</v>
      </c>
      <c r="B11" s="13"/>
      <c r="C11" s="13"/>
      <c r="D11" s="13">
        <v>1989</v>
      </c>
      <c r="E11" s="13">
        <v>3580.0630000000001</v>
      </c>
      <c r="F11" s="76">
        <v>3853.8780000000002</v>
      </c>
      <c r="G11" s="13"/>
      <c r="H11" s="13"/>
      <c r="I11" s="14">
        <v>8610.2170000000006</v>
      </c>
      <c r="J11" s="14">
        <v>5628.116</v>
      </c>
      <c r="K11" s="14">
        <v>5807.0050000000001</v>
      </c>
      <c r="L11" s="14">
        <v>5859.3410000000003</v>
      </c>
      <c r="M11" s="14">
        <v>6435.5720000000001</v>
      </c>
      <c r="N11" s="14">
        <v>6625.6559999999999</v>
      </c>
      <c r="O11" s="14">
        <v>7893.0169999999998</v>
      </c>
      <c r="P11" s="14">
        <v>6910.0360000000001</v>
      </c>
      <c r="Q11" s="14">
        <v>7643.183</v>
      </c>
      <c r="R11" s="14">
        <v>8668.3889999999992</v>
      </c>
      <c r="S11" s="14">
        <v>7894.6350000000002</v>
      </c>
      <c r="T11" s="2">
        <v>9052.6280000000006</v>
      </c>
      <c r="U11" s="2">
        <v>8738.6149999999998</v>
      </c>
      <c r="V11" s="2">
        <v>9803.1180000000004</v>
      </c>
      <c r="W11" s="2">
        <v>10027.59</v>
      </c>
      <c r="X11" s="2">
        <v>10893.504999999999</v>
      </c>
      <c r="Y11" s="2">
        <v>11369.285</v>
      </c>
      <c r="Z11" s="2">
        <v>11837.51</v>
      </c>
      <c r="AA11" s="2">
        <v>11828.736000000001</v>
      </c>
    </row>
    <row r="12" spans="1:27">
      <c r="A12" s="22" t="s">
        <v>5</v>
      </c>
      <c r="B12" s="13">
        <v>47099</v>
      </c>
      <c r="C12" s="13">
        <v>49203</v>
      </c>
      <c r="D12" s="13">
        <v>53875</v>
      </c>
      <c r="E12" s="13">
        <v>88254.462</v>
      </c>
      <c r="F12" s="76">
        <v>94695.578999999998</v>
      </c>
      <c r="G12" s="13">
        <v>104573.60400000001</v>
      </c>
      <c r="H12" s="13">
        <v>113450.663</v>
      </c>
      <c r="I12" s="14">
        <v>117129.266</v>
      </c>
      <c r="J12" s="14">
        <v>116948.43</v>
      </c>
      <c r="K12" s="14">
        <v>123887.708</v>
      </c>
      <c r="L12" s="14">
        <v>156823.92300000001</v>
      </c>
      <c r="M12" s="14">
        <v>183304.50399999999</v>
      </c>
      <c r="N12" s="14">
        <v>162638.91800000001</v>
      </c>
      <c r="O12" s="14">
        <v>142939.39300000001</v>
      </c>
      <c r="P12" s="14">
        <v>154643.179</v>
      </c>
      <c r="Q12" s="14">
        <v>162602.557</v>
      </c>
      <c r="R12" s="14">
        <v>169861.628</v>
      </c>
      <c r="S12" s="14">
        <v>196749.821</v>
      </c>
      <c r="T12" s="2">
        <v>196649.46</v>
      </c>
      <c r="U12" s="2">
        <v>311383.913</v>
      </c>
      <c r="V12" s="2">
        <v>317197.80099999998</v>
      </c>
      <c r="W12" s="2">
        <v>347857.826</v>
      </c>
      <c r="X12" s="2">
        <v>357768.54599999997</v>
      </c>
      <c r="Y12" s="2">
        <v>364586.63400000002</v>
      </c>
      <c r="Z12" s="2">
        <v>391564.179</v>
      </c>
      <c r="AA12" s="2">
        <v>381699.56</v>
      </c>
    </row>
    <row r="13" spans="1:27">
      <c r="A13" s="22" t="s">
        <v>6</v>
      </c>
      <c r="B13" s="13">
        <v>5704</v>
      </c>
      <c r="C13" s="13">
        <v>5950</v>
      </c>
      <c r="D13" s="13">
        <v>7243</v>
      </c>
      <c r="E13" s="13">
        <v>19352.126</v>
      </c>
      <c r="F13" s="76">
        <v>23412.66</v>
      </c>
      <c r="G13" s="13">
        <v>28345.544999999998</v>
      </c>
      <c r="H13" s="13">
        <v>33729.614000000001</v>
      </c>
      <c r="I13" s="14">
        <v>36479.864999999998</v>
      </c>
      <c r="J13" s="14">
        <v>29323.618999999999</v>
      </c>
      <c r="K13" s="14">
        <v>33080.897579999997</v>
      </c>
      <c r="L13" s="14">
        <v>50628.14</v>
      </c>
      <c r="M13" s="14">
        <v>56931.891000000003</v>
      </c>
      <c r="N13" s="14">
        <v>65383.491000000002</v>
      </c>
      <c r="O13" s="14">
        <v>71030.702000000005</v>
      </c>
      <c r="P13" s="14">
        <v>76104.759000000005</v>
      </c>
      <c r="Q13" s="14">
        <v>77552.578999999998</v>
      </c>
      <c r="R13" s="14">
        <v>83724.445999999996</v>
      </c>
      <c r="S13" s="14">
        <v>82831.519</v>
      </c>
      <c r="T13" s="2">
        <v>85761.066999999995</v>
      </c>
      <c r="U13" s="2">
        <v>43447.207999999999</v>
      </c>
      <c r="V13" s="2">
        <v>118458.03</v>
      </c>
      <c r="W13" s="2">
        <v>126982.916</v>
      </c>
      <c r="X13" s="2">
        <v>142102.20600000001</v>
      </c>
      <c r="Y13" s="2">
        <v>49671.881000000001</v>
      </c>
      <c r="Z13" s="2">
        <v>55703.682999999997</v>
      </c>
      <c r="AA13" s="2">
        <v>56852.11</v>
      </c>
    </row>
    <row r="14" spans="1:27">
      <c r="A14" s="22" t="s">
        <v>7</v>
      </c>
      <c r="B14" s="13">
        <v>2679</v>
      </c>
      <c r="C14" s="13">
        <v>1096</v>
      </c>
      <c r="D14" s="13">
        <v>926</v>
      </c>
      <c r="E14" s="13">
        <v>5337.8119999999999</v>
      </c>
      <c r="F14" s="76">
        <v>6815.2529999999997</v>
      </c>
      <c r="G14" s="13">
        <v>6603.7380000000003</v>
      </c>
      <c r="H14" s="13">
        <v>6757.1319999999996</v>
      </c>
      <c r="I14" s="14">
        <v>7461.8450000000003</v>
      </c>
      <c r="J14" s="14">
        <v>7944.482</v>
      </c>
      <c r="K14" s="14">
        <v>9456.2080000000005</v>
      </c>
      <c r="L14" s="14">
        <v>18793.048999999999</v>
      </c>
      <c r="M14" s="14">
        <v>27814.814999999999</v>
      </c>
      <c r="N14" s="14">
        <v>1710.0119999999999</v>
      </c>
      <c r="O14" s="14">
        <v>2080.7759999999998</v>
      </c>
      <c r="P14" s="14">
        <v>2256.9899999999998</v>
      </c>
      <c r="Q14" s="14">
        <v>34003.557000000001</v>
      </c>
      <c r="R14" s="14">
        <v>35612.332999999999</v>
      </c>
      <c r="S14" s="14">
        <v>38289.050000000003</v>
      </c>
      <c r="T14" s="2">
        <v>46901.226999999999</v>
      </c>
      <c r="U14" s="2">
        <v>44435.241000000002</v>
      </c>
      <c r="V14" s="2">
        <v>57387.040000000001</v>
      </c>
      <c r="W14" s="2">
        <v>61141.767</v>
      </c>
      <c r="X14" s="2">
        <v>62128.248</v>
      </c>
      <c r="Y14" s="2">
        <v>59741.987999999998</v>
      </c>
      <c r="Z14" s="2">
        <v>56716.951000000001</v>
      </c>
      <c r="AA14" s="2">
        <v>57649.83</v>
      </c>
    </row>
    <row r="15" spans="1:27">
      <c r="A15" s="22" t="s">
        <v>8</v>
      </c>
      <c r="B15" s="36">
        <v>2563</v>
      </c>
      <c r="C15" s="36">
        <v>2835</v>
      </c>
      <c r="D15" s="36">
        <v>2925</v>
      </c>
      <c r="E15" s="36">
        <v>3970.7719999999999</v>
      </c>
      <c r="F15" s="77">
        <v>4331.7359999999999</v>
      </c>
      <c r="G15" s="36">
        <v>5180.8999999999996</v>
      </c>
      <c r="H15" s="36">
        <v>5503.05</v>
      </c>
      <c r="I15" s="37">
        <v>5854.1409999999996</v>
      </c>
      <c r="J15" s="37">
        <v>10327.201999999999</v>
      </c>
      <c r="K15" s="37">
        <v>9713.2338699999982</v>
      </c>
      <c r="L15" s="37">
        <v>15226.955</v>
      </c>
      <c r="M15" s="37">
        <v>17608.981</v>
      </c>
      <c r="N15" s="37">
        <v>21595.123</v>
      </c>
      <c r="O15" s="37">
        <v>29314.675999999999</v>
      </c>
      <c r="P15" s="37">
        <v>32521.072</v>
      </c>
      <c r="Q15" s="37">
        <v>31924.047999999999</v>
      </c>
      <c r="R15" s="37">
        <v>32003.172999999999</v>
      </c>
      <c r="S15" s="37">
        <v>34400.978999999999</v>
      </c>
      <c r="T15" s="23">
        <v>43564.803999999996</v>
      </c>
      <c r="U15" s="23">
        <v>36132.74</v>
      </c>
      <c r="V15" s="23">
        <v>44662.694000000003</v>
      </c>
      <c r="W15" s="23">
        <v>43326.267</v>
      </c>
      <c r="X15" s="2">
        <v>43587.582000000002</v>
      </c>
      <c r="Y15" s="2">
        <v>34349.207000000002</v>
      </c>
      <c r="Z15" s="2">
        <v>33495.161</v>
      </c>
      <c r="AA15" s="2">
        <v>35955.129999999997</v>
      </c>
    </row>
    <row r="16" spans="1:27">
      <c r="A16" s="22" t="s">
        <v>9</v>
      </c>
      <c r="B16" s="36">
        <v>20853</v>
      </c>
      <c r="C16" s="36">
        <v>21363</v>
      </c>
      <c r="D16" s="36">
        <v>23440</v>
      </c>
      <c r="E16" s="36">
        <v>34991.697999999997</v>
      </c>
      <c r="F16" s="77">
        <v>28042.714</v>
      </c>
      <c r="G16" s="36">
        <v>37207.970999999998</v>
      </c>
      <c r="H16" s="36">
        <v>40089.620999999999</v>
      </c>
      <c r="I16" s="37">
        <v>33734.222000000002</v>
      </c>
      <c r="J16" s="37">
        <v>43673.156000000003</v>
      </c>
      <c r="K16" s="37">
        <v>43453.504999999997</v>
      </c>
      <c r="L16" s="37">
        <v>54767.883000000002</v>
      </c>
      <c r="M16" s="37">
        <v>59941.42</v>
      </c>
      <c r="N16" s="37">
        <v>65805.361000000004</v>
      </c>
      <c r="O16" s="37">
        <v>73014.372000000003</v>
      </c>
      <c r="P16" s="37">
        <v>75497.278999999995</v>
      </c>
      <c r="Q16" s="37">
        <v>80055.627999999997</v>
      </c>
      <c r="R16" s="37">
        <v>84563.119000000006</v>
      </c>
      <c r="S16" s="37">
        <v>92981.918000000005</v>
      </c>
      <c r="T16" s="23">
        <v>100077.761</v>
      </c>
      <c r="U16" s="23">
        <v>116051.394</v>
      </c>
      <c r="V16" s="23">
        <v>127851.265</v>
      </c>
      <c r="W16" s="23">
        <v>135083.951</v>
      </c>
      <c r="X16" s="2">
        <v>145659.87100000001</v>
      </c>
      <c r="Y16" s="2">
        <v>148519.533</v>
      </c>
      <c r="Z16" s="2">
        <v>154717.217</v>
      </c>
      <c r="AA16" s="2">
        <v>159913.22700000001</v>
      </c>
    </row>
    <row r="17" spans="1:27">
      <c r="A17" s="22" t="s">
        <v>10</v>
      </c>
      <c r="B17" s="36">
        <v>11458</v>
      </c>
      <c r="C17" s="36">
        <v>10987</v>
      </c>
      <c r="D17" s="36">
        <v>12201</v>
      </c>
      <c r="E17" s="36">
        <v>18918.142</v>
      </c>
      <c r="F17" s="77">
        <v>19019.035</v>
      </c>
      <c r="G17" s="36">
        <v>20186.917000000001</v>
      </c>
      <c r="H17" s="36">
        <v>22387.745999999999</v>
      </c>
      <c r="I17" s="37">
        <v>27811.074000000001</v>
      </c>
      <c r="J17" s="37">
        <v>30879.891</v>
      </c>
      <c r="K17" s="37">
        <v>31720.042000000001</v>
      </c>
      <c r="L17" s="37">
        <v>35118.22</v>
      </c>
      <c r="M17" s="37">
        <v>37013.256000000001</v>
      </c>
      <c r="N17" s="37">
        <v>34439.26</v>
      </c>
      <c r="O17" s="37">
        <v>36051.241999999998</v>
      </c>
      <c r="P17" s="37">
        <v>39732.735999999997</v>
      </c>
      <c r="Q17" s="37">
        <v>40445.171000000002</v>
      </c>
      <c r="R17" s="37">
        <v>40900.557999999997</v>
      </c>
      <c r="S17" s="37">
        <v>47024.838000000003</v>
      </c>
      <c r="T17" s="23">
        <v>51188.521000000001</v>
      </c>
      <c r="U17" s="23">
        <v>56554.641000000003</v>
      </c>
      <c r="V17" s="23">
        <v>65346.703000000001</v>
      </c>
      <c r="W17" s="23">
        <v>66351.600000000006</v>
      </c>
      <c r="X17" s="2">
        <v>69673.046000000002</v>
      </c>
      <c r="Y17" s="2">
        <v>72559.457999999999</v>
      </c>
      <c r="Z17" s="2">
        <v>72775.520999999993</v>
      </c>
      <c r="AA17" s="2">
        <v>78238.362999999998</v>
      </c>
    </row>
    <row r="18" spans="1:27">
      <c r="A18" s="22" t="s">
        <v>11</v>
      </c>
      <c r="B18" s="36">
        <v>19607</v>
      </c>
      <c r="C18" s="36">
        <v>21999</v>
      </c>
      <c r="D18" s="36">
        <v>24285</v>
      </c>
      <c r="E18" s="36">
        <v>36031.214</v>
      </c>
      <c r="F18" s="77">
        <v>38063.112000000001</v>
      </c>
      <c r="G18" s="36">
        <v>43462.3</v>
      </c>
      <c r="H18" s="36">
        <v>46410.493999999999</v>
      </c>
      <c r="I18" s="37">
        <v>46704.099000000002</v>
      </c>
      <c r="J18" s="37">
        <v>47805.981</v>
      </c>
      <c r="K18" s="37">
        <v>49760.348450000005</v>
      </c>
      <c r="L18" s="37">
        <v>68019.032999999996</v>
      </c>
      <c r="M18" s="37">
        <v>64641.224999999999</v>
      </c>
      <c r="N18" s="37">
        <v>60882.18</v>
      </c>
      <c r="O18" s="37">
        <v>68891.572</v>
      </c>
      <c r="P18" s="37">
        <v>72523.837</v>
      </c>
      <c r="Q18" s="37">
        <v>81209.342000000004</v>
      </c>
      <c r="R18" s="37">
        <v>89399.796000000002</v>
      </c>
      <c r="S18" s="37">
        <v>93137.339000000007</v>
      </c>
      <c r="T18" s="23">
        <v>98927.547999999995</v>
      </c>
      <c r="U18" s="23">
        <v>104127.25</v>
      </c>
      <c r="V18" s="23">
        <v>125198.798</v>
      </c>
      <c r="W18" s="23">
        <v>133252.649</v>
      </c>
      <c r="X18" s="2">
        <v>143275.128</v>
      </c>
      <c r="Y18" s="2">
        <v>154806.26199999999</v>
      </c>
      <c r="Z18" s="2">
        <v>153359.84899999999</v>
      </c>
      <c r="AA18" s="2">
        <v>153886.549</v>
      </c>
    </row>
    <row r="19" spans="1:27">
      <c r="A19" s="22" t="s">
        <v>12</v>
      </c>
      <c r="B19" s="36">
        <v>6948</v>
      </c>
      <c r="C19" s="36">
        <v>7248</v>
      </c>
      <c r="D19" s="37">
        <v>8222</v>
      </c>
      <c r="E19" s="36">
        <v>12435.403</v>
      </c>
      <c r="F19" s="77">
        <v>14723.955</v>
      </c>
      <c r="G19" s="36">
        <v>14449.800999999999</v>
      </c>
      <c r="H19" s="36">
        <v>15501.637000000001</v>
      </c>
      <c r="I19" s="37">
        <v>17076.774000000001</v>
      </c>
      <c r="J19" s="37">
        <v>17488.560000000001</v>
      </c>
      <c r="K19" s="37">
        <v>19964.940830000007</v>
      </c>
      <c r="L19" s="37">
        <v>23113.078000000001</v>
      </c>
      <c r="M19" s="37">
        <v>35870.343000000001</v>
      </c>
      <c r="N19" s="37">
        <v>29154.136999999999</v>
      </c>
      <c r="O19" s="37">
        <v>27056.01</v>
      </c>
      <c r="P19" s="37">
        <v>26468.885999999999</v>
      </c>
      <c r="Q19" s="37">
        <v>29353.427</v>
      </c>
      <c r="R19" s="37">
        <v>31509.302</v>
      </c>
      <c r="S19" s="37">
        <v>32115.325000000001</v>
      </c>
      <c r="T19" s="23">
        <v>37127.881999999998</v>
      </c>
      <c r="U19" s="23">
        <v>43152.053</v>
      </c>
      <c r="V19" s="23">
        <v>51025.218999999997</v>
      </c>
      <c r="W19" s="23">
        <v>55065.671999999999</v>
      </c>
      <c r="X19" s="2">
        <v>50959.828999999998</v>
      </c>
      <c r="Y19" s="2">
        <v>51523.74</v>
      </c>
      <c r="Z19" s="2">
        <v>55344.188000000002</v>
      </c>
      <c r="AA19" s="2">
        <v>52458.591</v>
      </c>
    </row>
    <row r="20" spans="1:27">
      <c r="A20" s="22" t="s">
        <v>13</v>
      </c>
      <c r="B20" s="36">
        <v>10110</v>
      </c>
      <c r="C20" s="36">
        <v>12184</v>
      </c>
      <c r="D20" s="36">
        <v>13460</v>
      </c>
      <c r="E20" s="36">
        <v>18864.028999999999</v>
      </c>
      <c r="F20" s="77">
        <v>21726.866000000002</v>
      </c>
      <c r="G20" s="36">
        <v>21595.312999999998</v>
      </c>
      <c r="H20" s="36">
        <v>25208.121999999999</v>
      </c>
      <c r="I20" s="37">
        <v>27897.993999999999</v>
      </c>
      <c r="J20" s="37">
        <v>31044.352999999999</v>
      </c>
      <c r="K20" s="37">
        <v>30925.513999999999</v>
      </c>
      <c r="L20" s="37">
        <v>41240.696000000004</v>
      </c>
      <c r="M20" s="37">
        <v>43607.796999999999</v>
      </c>
      <c r="N20" s="37">
        <v>46441.826999999997</v>
      </c>
      <c r="O20" s="37">
        <v>47279.671000000002</v>
      </c>
      <c r="P20" s="37">
        <v>49052.934000000001</v>
      </c>
      <c r="Q20" s="37">
        <v>53454.362999999998</v>
      </c>
      <c r="R20" s="37">
        <v>55931.400999999998</v>
      </c>
      <c r="S20" s="37">
        <v>61003.781000000003</v>
      </c>
      <c r="T20" s="23">
        <v>66349.024999999994</v>
      </c>
      <c r="U20" s="23">
        <v>82805.111000000004</v>
      </c>
      <c r="V20" s="23">
        <v>83874.820999999996</v>
      </c>
      <c r="W20" s="23">
        <v>83671.339000000007</v>
      </c>
      <c r="X20" s="2">
        <v>85950.894</v>
      </c>
      <c r="Y20" s="2">
        <v>91547.509000000005</v>
      </c>
      <c r="Z20" s="2">
        <v>92730.357000000004</v>
      </c>
      <c r="AA20" s="2">
        <v>96650.142999999996</v>
      </c>
    </row>
    <row r="21" spans="1:27" s="45" customFormat="1">
      <c r="A21" s="22" t="s">
        <v>14</v>
      </c>
      <c r="B21" s="36">
        <v>9652</v>
      </c>
      <c r="C21" s="36">
        <v>11204</v>
      </c>
      <c r="D21" s="36">
        <v>12231</v>
      </c>
      <c r="E21" s="36">
        <v>19579.682000000001</v>
      </c>
      <c r="F21" s="77">
        <v>20434.478999999999</v>
      </c>
      <c r="G21" s="36">
        <v>22425.019</v>
      </c>
      <c r="H21" s="36">
        <v>25968.633000000002</v>
      </c>
      <c r="I21" s="37">
        <v>26782.27</v>
      </c>
      <c r="J21" s="37">
        <v>29720.608</v>
      </c>
      <c r="K21" s="37">
        <v>28983.296999999999</v>
      </c>
      <c r="L21" s="37">
        <v>31892.556</v>
      </c>
      <c r="M21" s="37">
        <v>36282.086000000003</v>
      </c>
      <c r="N21" s="37">
        <v>36485.947999999997</v>
      </c>
      <c r="O21" s="37">
        <v>39010.264999999999</v>
      </c>
      <c r="P21" s="37">
        <v>39984.663</v>
      </c>
      <c r="Q21" s="37">
        <v>42694.150999999998</v>
      </c>
      <c r="R21" s="37">
        <v>45341.796000000002</v>
      </c>
      <c r="S21" s="37">
        <v>48086.896999999997</v>
      </c>
      <c r="T21" s="23">
        <v>52573.241000000002</v>
      </c>
      <c r="U21" s="23">
        <v>56548.997000000003</v>
      </c>
      <c r="V21" s="23">
        <v>62275.993000000002</v>
      </c>
      <c r="W21" s="23">
        <v>65184.49</v>
      </c>
      <c r="X21" s="23">
        <v>63789.71</v>
      </c>
      <c r="Y21" s="2">
        <v>67853.464000000007</v>
      </c>
      <c r="Z21" s="2">
        <v>68710.399000000005</v>
      </c>
      <c r="AA21" s="2">
        <v>64296.684999999998</v>
      </c>
    </row>
    <row r="22" spans="1:27">
      <c r="A22" s="22" t="s">
        <v>15</v>
      </c>
      <c r="B22" s="36">
        <v>49244</v>
      </c>
      <c r="C22" s="36">
        <v>52778</v>
      </c>
      <c r="D22" s="36">
        <v>57052</v>
      </c>
      <c r="E22" s="36">
        <v>84881.623000000007</v>
      </c>
      <c r="F22" s="77">
        <v>95880.442999999999</v>
      </c>
      <c r="G22" s="36">
        <v>107480.243</v>
      </c>
      <c r="H22" s="36">
        <v>119889.65300000001</v>
      </c>
      <c r="I22" s="37">
        <v>123730.716</v>
      </c>
      <c r="J22" s="37">
        <v>140665.97399999999</v>
      </c>
      <c r="K22" s="37">
        <v>138269.155</v>
      </c>
      <c r="L22" s="37">
        <v>164754.82800000001</v>
      </c>
      <c r="M22" s="37">
        <v>184902.459</v>
      </c>
      <c r="N22" s="37">
        <v>207210.095</v>
      </c>
      <c r="O22" s="37">
        <v>215759.36799999999</v>
      </c>
      <c r="P22" s="37">
        <v>221228.33799999999</v>
      </c>
      <c r="Q22" s="37">
        <v>240463.87400000001</v>
      </c>
      <c r="R22" s="37">
        <v>253565.875</v>
      </c>
      <c r="S22" s="37">
        <v>267408.80800000002</v>
      </c>
      <c r="T22" s="23">
        <v>296366.08399999997</v>
      </c>
      <c r="U22" s="23">
        <v>336877.21899999998</v>
      </c>
      <c r="V22" s="23">
        <v>440293.20699999999</v>
      </c>
      <c r="W22" s="23">
        <v>453621.25599999999</v>
      </c>
      <c r="X22" s="2">
        <v>451367.51699999999</v>
      </c>
      <c r="Y22" s="2">
        <v>473749.40700000001</v>
      </c>
      <c r="Z22" s="2">
        <v>498851.95899999997</v>
      </c>
      <c r="AA22" s="2">
        <v>507249.01199999999</v>
      </c>
    </row>
    <row r="23" spans="1:27">
      <c r="A23" s="22" t="s">
        <v>16</v>
      </c>
      <c r="B23" s="36">
        <v>14666</v>
      </c>
      <c r="C23" s="36">
        <v>17417</v>
      </c>
      <c r="D23" s="36">
        <v>18092</v>
      </c>
      <c r="E23" s="36">
        <v>23965.575000000001</v>
      </c>
      <c r="F23" s="77">
        <v>23830.32</v>
      </c>
      <c r="G23" s="36">
        <v>24835.916000000001</v>
      </c>
      <c r="H23" s="36">
        <v>25846.826000000001</v>
      </c>
      <c r="I23" s="37">
        <v>26712.705999999998</v>
      </c>
      <c r="J23" s="37">
        <v>27837.223000000002</v>
      </c>
      <c r="K23" s="37">
        <v>29430.567999999999</v>
      </c>
      <c r="L23" s="37">
        <v>37400.455999999998</v>
      </c>
      <c r="M23" s="37">
        <v>40695.353999999999</v>
      </c>
      <c r="N23" s="37">
        <v>38760.373</v>
      </c>
      <c r="O23" s="37">
        <v>39126.040999999997</v>
      </c>
      <c r="P23" s="37">
        <v>43768.125999999997</v>
      </c>
      <c r="Q23" s="37">
        <v>48147.466999999997</v>
      </c>
      <c r="R23" s="37">
        <v>49965.557000000001</v>
      </c>
      <c r="S23" s="37">
        <v>56186.648000000001</v>
      </c>
      <c r="T23" s="23">
        <v>69334.471000000005</v>
      </c>
      <c r="U23" s="23">
        <v>73160.635999999999</v>
      </c>
      <c r="V23" s="23">
        <v>78632.013000000006</v>
      </c>
      <c r="W23" s="23">
        <v>87142.269</v>
      </c>
      <c r="X23" s="2">
        <v>96342.354000000007</v>
      </c>
      <c r="Y23" s="2">
        <v>106001.264</v>
      </c>
      <c r="Z23" s="2">
        <v>113937.26300000001</v>
      </c>
      <c r="AA23" s="2">
        <v>120952.239</v>
      </c>
    </row>
    <row r="24" spans="1:27">
      <c r="A24" s="83" t="s">
        <v>17</v>
      </c>
      <c r="B24" s="66">
        <v>1556</v>
      </c>
      <c r="C24" s="66">
        <v>1758</v>
      </c>
      <c r="D24" s="66">
        <v>1712</v>
      </c>
      <c r="E24" s="66">
        <v>2144.6170000000002</v>
      </c>
      <c r="F24" s="82">
        <v>2478.6950000000002</v>
      </c>
      <c r="G24" s="66">
        <v>2400</v>
      </c>
      <c r="H24" s="66">
        <v>2759.9369999999999</v>
      </c>
      <c r="I24" s="63">
        <v>3143.9050000000002</v>
      </c>
      <c r="J24" s="63">
        <v>3312.3910000000001</v>
      </c>
      <c r="K24" s="63">
        <v>3459.8492800000013</v>
      </c>
      <c r="L24" s="63">
        <v>3687.4279999999999</v>
      </c>
      <c r="M24" s="63">
        <v>4185.3599999999997</v>
      </c>
      <c r="N24" s="63">
        <v>3729.72</v>
      </c>
      <c r="O24" s="63">
        <v>4374.0469999999996</v>
      </c>
      <c r="P24" s="63">
        <v>2875.922</v>
      </c>
      <c r="Q24" s="63">
        <v>5018.6279999999997</v>
      </c>
      <c r="R24" s="63">
        <v>5597.848</v>
      </c>
      <c r="S24" s="63">
        <v>7507.2960000000003</v>
      </c>
      <c r="T24" s="45">
        <v>7626.3760000000002</v>
      </c>
      <c r="U24" s="45">
        <v>8013.7259999999997</v>
      </c>
      <c r="V24" s="45">
        <v>11780.448</v>
      </c>
      <c r="W24" s="45">
        <v>14381.397999999999</v>
      </c>
      <c r="X24" s="45">
        <v>13917.665000000001</v>
      </c>
      <c r="Y24" s="45">
        <v>14000.906999999999</v>
      </c>
      <c r="Z24" s="45">
        <v>13348.813</v>
      </c>
      <c r="AA24" s="45">
        <v>13583.501</v>
      </c>
    </row>
    <row r="25" spans="1:27" s="23" customFormat="1">
      <c r="A25" s="79" t="s">
        <v>120</v>
      </c>
      <c r="B25" s="90">
        <f>SUM(B27:B39)</f>
        <v>0</v>
      </c>
      <c r="C25" s="90">
        <f t="shared" ref="C25:AA25" si="8">SUM(C27:C39)</f>
        <v>0</v>
      </c>
      <c r="D25" s="90">
        <f t="shared" si="8"/>
        <v>0</v>
      </c>
      <c r="E25" s="90">
        <f t="shared" si="8"/>
        <v>0</v>
      </c>
      <c r="F25" s="90">
        <f t="shared" si="8"/>
        <v>557227.31599999999</v>
      </c>
      <c r="G25" s="90">
        <f t="shared" si="8"/>
        <v>0</v>
      </c>
      <c r="H25" s="90">
        <f t="shared" si="8"/>
        <v>0</v>
      </c>
      <c r="I25" s="90">
        <f t="shared" si="8"/>
        <v>658658.31999999983</v>
      </c>
      <c r="J25" s="90">
        <f t="shared" si="8"/>
        <v>0</v>
      </c>
      <c r="K25" s="90">
        <f t="shared" si="8"/>
        <v>807633.8634400001</v>
      </c>
      <c r="L25" s="90">
        <f t="shared" si="8"/>
        <v>829105.39899999998</v>
      </c>
      <c r="M25" s="90">
        <f t="shared" si="8"/>
        <v>904328.28899999987</v>
      </c>
      <c r="N25" s="90">
        <f t="shared" si="8"/>
        <v>910685.65599999996</v>
      </c>
      <c r="O25" s="90">
        <f t="shared" si="8"/>
        <v>916813.84499999986</v>
      </c>
      <c r="P25" s="90">
        <f t="shared" si="8"/>
        <v>882585.34</v>
      </c>
      <c r="Q25" s="90">
        <f t="shared" si="8"/>
        <v>1173331.952</v>
      </c>
      <c r="R25" s="90">
        <f t="shared" si="8"/>
        <v>1227489.1740000001</v>
      </c>
      <c r="S25" s="90">
        <f t="shared" si="8"/>
        <v>1332732.9880000001</v>
      </c>
      <c r="T25" s="90">
        <f t="shared" si="8"/>
        <v>1465485.4709999999</v>
      </c>
      <c r="U25" s="90">
        <f t="shared" si="8"/>
        <v>1611805.9449999998</v>
      </c>
      <c r="V25" s="90">
        <f t="shared" si="8"/>
        <v>1765344.754</v>
      </c>
      <c r="W25" s="90">
        <f t="shared" si="8"/>
        <v>1806450.7800000003</v>
      </c>
      <c r="X25" s="90">
        <f t="shared" si="8"/>
        <v>1834357.0599999998</v>
      </c>
      <c r="Y25" s="90">
        <f t="shared" si="8"/>
        <v>1365128.7660000001</v>
      </c>
      <c r="Z25" s="90">
        <f t="shared" si="8"/>
        <v>1442425.841</v>
      </c>
      <c r="AA25" s="90">
        <f t="shared" si="8"/>
        <v>1546483.5819999997</v>
      </c>
    </row>
    <row r="26" spans="1:27">
      <c r="A26" s="79" t="s">
        <v>119</v>
      </c>
      <c r="B26" s="37"/>
      <c r="C26" s="37"/>
      <c r="D26" s="37"/>
      <c r="E26" s="37"/>
      <c r="F26" s="37"/>
      <c r="G26" s="37"/>
      <c r="H26" s="37"/>
      <c r="I26" s="37"/>
      <c r="J26" s="37"/>
      <c r="K26" s="37"/>
      <c r="L26" s="37"/>
      <c r="M26" s="37"/>
      <c r="N26" s="37"/>
      <c r="O26" s="37"/>
      <c r="P26" s="37"/>
      <c r="Q26" s="37"/>
      <c r="R26" s="37"/>
      <c r="S26" s="37"/>
      <c r="T26" s="23"/>
      <c r="U26" s="23"/>
      <c r="V26" s="23"/>
      <c r="W26" s="23"/>
      <c r="X26" s="2">
        <v>0</v>
      </c>
    </row>
    <row r="27" spans="1:27">
      <c r="A27" s="23" t="s">
        <v>85</v>
      </c>
      <c r="B27" s="36"/>
      <c r="C27" s="36"/>
      <c r="D27" s="37"/>
      <c r="E27" s="36"/>
      <c r="F27" s="77">
        <v>272.399</v>
      </c>
      <c r="G27" s="36"/>
      <c r="H27" s="36"/>
      <c r="I27" s="37">
        <v>222.86699999999999</v>
      </c>
      <c r="J27" s="37"/>
      <c r="K27" s="37">
        <v>141.15700000000001</v>
      </c>
      <c r="L27" s="37">
        <v>987.89300000000003</v>
      </c>
      <c r="M27" s="37">
        <v>170.608</v>
      </c>
      <c r="N27" s="37">
        <v>866.75400000000002</v>
      </c>
      <c r="O27" s="37">
        <v>813.75699999999995</v>
      </c>
      <c r="P27" s="37">
        <v>1129.758</v>
      </c>
      <c r="Q27" s="37">
        <v>275.24900000000002</v>
      </c>
      <c r="R27" s="37">
        <v>1432.2529999999999</v>
      </c>
      <c r="S27" s="37">
        <v>1317.6410000000001</v>
      </c>
      <c r="T27" s="23">
        <v>1681.346</v>
      </c>
      <c r="U27" s="23">
        <v>1654.7080000000001</v>
      </c>
      <c r="V27" s="23">
        <v>2182.837</v>
      </c>
      <c r="W27" s="23">
        <v>796.24599999999998</v>
      </c>
      <c r="X27" s="2">
        <v>2509.5459999999998</v>
      </c>
      <c r="Y27" s="2">
        <v>756.20399999999995</v>
      </c>
    </row>
    <row r="28" spans="1:27">
      <c r="A28" s="23" t="s">
        <v>86</v>
      </c>
      <c r="B28" s="36"/>
      <c r="C28" s="36"/>
      <c r="D28" s="36"/>
      <c r="E28" s="36"/>
      <c r="F28" s="77">
        <v>35619.599999999999</v>
      </c>
      <c r="G28" s="36"/>
      <c r="H28" s="36"/>
      <c r="I28" s="37">
        <v>38880.957000000002</v>
      </c>
      <c r="J28" s="37"/>
      <c r="K28" s="37">
        <v>49096.5075</v>
      </c>
      <c r="L28" s="37">
        <v>51461.767</v>
      </c>
      <c r="M28" s="37">
        <v>55965.284</v>
      </c>
      <c r="N28" s="37">
        <v>58707.544999999998</v>
      </c>
      <c r="O28" s="37">
        <v>64541.858999999997</v>
      </c>
      <c r="P28" s="37">
        <v>70130.426999999996</v>
      </c>
      <c r="Q28" s="37">
        <v>73877.054000000004</v>
      </c>
      <c r="R28" s="37">
        <v>79931.498000000007</v>
      </c>
      <c r="S28" s="37">
        <v>85102.812999999995</v>
      </c>
      <c r="T28" s="23">
        <v>99259.188999999998</v>
      </c>
      <c r="U28" s="23">
        <v>110711.955</v>
      </c>
      <c r="V28" s="23">
        <v>136676.38500000001</v>
      </c>
      <c r="W28" s="23">
        <v>140555.50200000001</v>
      </c>
      <c r="X28" s="2">
        <v>142951.24299999999</v>
      </c>
      <c r="Y28" s="2">
        <v>34401.438000000002</v>
      </c>
      <c r="Z28" s="2">
        <v>36710.383000000002</v>
      </c>
      <c r="AA28" s="2">
        <v>36313.675999999999</v>
      </c>
    </row>
    <row r="29" spans="1:27">
      <c r="A29" s="23" t="s">
        <v>87</v>
      </c>
      <c r="B29" s="36"/>
      <c r="C29" s="36"/>
      <c r="D29" s="36"/>
      <c r="E29" s="36"/>
      <c r="F29" s="77">
        <v>363657.45699999999</v>
      </c>
      <c r="G29" s="36"/>
      <c r="H29" s="36"/>
      <c r="I29" s="37">
        <v>420912.58199999999</v>
      </c>
      <c r="J29" s="37"/>
      <c r="K29" s="37">
        <v>523500.16536000004</v>
      </c>
      <c r="L29" s="37">
        <v>498253.10600000003</v>
      </c>
      <c r="M29" s="37">
        <v>552532.21600000001</v>
      </c>
      <c r="N29" s="37">
        <v>531241.49199999997</v>
      </c>
      <c r="O29" s="37">
        <v>493651.065</v>
      </c>
      <c r="P29" s="37">
        <v>462637.21600000001</v>
      </c>
      <c r="Q29" s="37">
        <v>729969.745</v>
      </c>
      <c r="R29" s="37">
        <v>758494.99899999995</v>
      </c>
      <c r="S29" s="37">
        <v>849897.41399999999</v>
      </c>
      <c r="T29" s="23">
        <v>935330.30099999998</v>
      </c>
      <c r="U29" s="23">
        <v>976218.12899999996</v>
      </c>
      <c r="V29" s="23">
        <v>1054494.6470000001</v>
      </c>
      <c r="W29" s="23">
        <v>1078807.105</v>
      </c>
      <c r="X29" s="2">
        <v>1087867.497</v>
      </c>
      <c r="Y29" s="2">
        <v>815232.52399999998</v>
      </c>
      <c r="Z29" s="2">
        <v>853719.77399999998</v>
      </c>
      <c r="AA29" s="2">
        <v>956988.38899999997</v>
      </c>
    </row>
    <row r="30" spans="1:27">
      <c r="A30" s="23" t="s">
        <v>88</v>
      </c>
      <c r="B30" s="36"/>
      <c r="C30" s="36"/>
      <c r="D30" s="36"/>
      <c r="E30" s="36"/>
      <c r="F30" s="77">
        <v>19738.387999999999</v>
      </c>
      <c r="G30" s="36"/>
      <c r="H30" s="36"/>
      <c r="I30" s="37">
        <v>24893.316999999999</v>
      </c>
      <c r="J30" s="37"/>
      <c r="K30" s="37">
        <v>27451.246999999999</v>
      </c>
      <c r="L30" s="37">
        <v>30741.062999999998</v>
      </c>
      <c r="M30" s="37">
        <v>31653.727999999999</v>
      </c>
      <c r="N30" s="37">
        <v>33845.012999999999</v>
      </c>
      <c r="O30" s="37">
        <v>38147.243999999999</v>
      </c>
      <c r="P30" s="37">
        <v>38317.792000000001</v>
      </c>
      <c r="Q30" s="37">
        <v>37913.273999999998</v>
      </c>
      <c r="R30" s="37">
        <v>39465.182000000001</v>
      </c>
      <c r="S30" s="37">
        <v>41539.233</v>
      </c>
      <c r="T30" s="23">
        <v>47992.074000000001</v>
      </c>
      <c r="U30" s="23">
        <v>55830.089</v>
      </c>
      <c r="V30" s="23">
        <v>62670.159</v>
      </c>
      <c r="W30" s="23">
        <v>68631.657000000007</v>
      </c>
      <c r="X30" s="2">
        <v>75355.652000000002</v>
      </c>
      <c r="Y30" s="2">
        <v>41137.599999999999</v>
      </c>
      <c r="Z30" s="2">
        <v>42451.014999999999</v>
      </c>
      <c r="AA30" s="2">
        <v>44114.762999999999</v>
      </c>
    </row>
    <row r="31" spans="1:27">
      <c r="A31" s="23" t="s">
        <v>91</v>
      </c>
      <c r="B31" s="36"/>
      <c r="C31" s="36"/>
      <c r="D31" s="36"/>
      <c r="E31" s="36"/>
      <c r="F31" s="77">
        <v>8370.2970000000005</v>
      </c>
      <c r="G31" s="36"/>
      <c r="H31" s="36"/>
      <c r="I31" s="37">
        <v>10252.683999999999</v>
      </c>
      <c r="J31" s="37"/>
      <c r="K31" s="37">
        <v>10977.51</v>
      </c>
      <c r="L31" s="37">
        <v>13545.425999999999</v>
      </c>
      <c r="M31" s="37">
        <v>12710.081</v>
      </c>
      <c r="N31" s="37">
        <v>14151.971</v>
      </c>
      <c r="O31" s="37">
        <v>16173.055</v>
      </c>
      <c r="P31" s="37">
        <v>14015.656999999999</v>
      </c>
      <c r="Q31" s="37">
        <v>13954.169</v>
      </c>
      <c r="R31" s="37">
        <v>14683.672</v>
      </c>
      <c r="S31" s="37">
        <v>16805.133999999998</v>
      </c>
      <c r="T31" s="23">
        <v>18488.732</v>
      </c>
      <c r="U31" s="23">
        <v>26010.996999999999</v>
      </c>
      <c r="V31" s="23">
        <v>29190.792000000001</v>
      </c>
      <c r="W31" s="23">
        <v>27774.543000000001</v>
      </c>
      <c r="X31" s="2">
        <v>27486.937999999998</v>
      </c>
      <c r="Y31" s="2">
        <v>26480.692999999999</v>
      </c>
      <c r="Z31" s="2">
        <v>28542.623</v>
      </c>
      <c r="AA31" s="2">
        <v>24172.304</v>
      </c>
    </row>
    <row r="32" spans="1:27">
      <c r="A32" s="23" t="s">
        <v>92</v>
      </c>
      <c r="B32" s="36"/>
      <c r="C32" s="36"/>
      <c r="D32" s="36"/>
      <c r="E32" s="36"/>
      <c r="F32" s="77">
        <v>3069.4349999999999</v>
      </c>
      <c r="G32" s="36"/>
      <c r="H32" s="36"/>
      <c r="I32" s="37">
        <v>3696.6210000000001</v>
      </c>
      <c r="J32" s="37"/>
      <c r="K32" s="37">
        <v>5285.6760000000004</v>
      </c>
      <c r="L32" s="37">
        <v>5736.5290000000005</v>
      </c>
      <c r="M32" s="37">
        <v>6161.7969999999996</v>
      </c>
      <c r="N32" s="37">
        <v>6430.0940000000001</v>
      </c>
      <c r="O32" s="37">
        <v>5925.6729999999998</v>
      </c>
      <c r="P32" s="37">
        <v>6770.4210000000003</v>
      </c>
      <c r="Q32" s="37">
        <v>7462.5330000000004</v>
      </c>
      <c r="R32" s="37">
        <v>7388.8919999999998</v>
      </c>
      <c r="S32" s="37">
        <v>8460.4590000000007</v>
      </c>
      <c r="T32" s="23">
        <v>12032.255999999999</v>
      </c>
      <c r="U32" s="23">
        <v>12486.103999999999</v>
      </c>
      <c r="V32" s="23">
        <v>15750.967000000001</v>
      </c>
      <c r="W32" s="23">
        <v>13252.619000000001</v>
      </c>
      <c r="X32" s="2">
        <v>18088.714</v>
      </c>
      <c r="Y32" s="2">
        <v>16090.924999999999</v>
      </c>
      <c r="Z32" s="2">
        <v>18055.397000000001</v>
      </c>
      <c r="AA32" s="2">
        <v>21110.202000000001</v>
      </c>
    </row>
    <row r="33" spans="1:42">
      <c r="A33" s="23" t="s">
        <v>100</v>
      </c>
      <c r="B33" s="37"/>
      <c r="C33" s="37"/>
      <c r="D33" s="37"/>
      <c r="E33" s="37"/>
      <c r="F33" s="77">
        <v>3824.7040000000002</v>
      </c>
      <c r="G33" s="37"/>
      <c r="H33" s="37"/>
      <c r="I33" s="37">
        <v>4229.8270000000002</v>
      </c>
      <c r="J33" s="37"/>
      <c r="K33" s="37">
        <v>4901.6092000000026</v>
      </c>
      <c r="L33" s="37">
        <v>5847.8069999999998</v>
      </c>
      <c r="M33" s="37">
        <v>6270.6289999999999</v>
      </c>
      <c r="N33" s="37">
        <v>7882.9229999999998</v>
      </c>
      <c r="O33" s="37">
        <v>6855.7889999999998</v>
      </c>
      <c r="P33" s="37">
        <v>6665.5140000000001</v>
      </c>
      <c r="Q33" s="37">
        <v>7555.2889999999998</v>
      </c>
      <c r="R33" s="37">
        <v>7348.0159999999996</v>
      </c>
      <c r="S33" s="37">
        <v>8102.8670000000002</v>
      </c>
      <c r="T33" s="23">
        <v>8520.4130000000005</v>
      </c>
      <c r="U33" s="23">
        <v>10547.793</v>
      </c>
      <c r="V33" s="23">
        <v>13135.673000000001</v>
      </c>
      <c r="W33" s="23">
        <v>13358.870999999999</v>
      </c>
      <c r="X33" s="2">
        <v>17527.580999999998</v>
      </c>
      <c r="Y33" s="2">
        <v>14395.804</v>
      </c>
      <c r="Z33" s="2">
        <v>15048.034</v>
      </c>
      <c r="AA33" s="2">
        <v>14652.344999999999</v>
      </c>
    </row>
    <row r="34" spans="1:42">
      <c r="A34" s="23" t="s">
        <v>102</v>
      </c>
      <c r="B34" s="37"/>
      <c r="C34" s="37"/>
      <c r="D34" s="37"/>
      <c r="E34" s="37"/>
      <c r="F34" s="77">
        <v>5446.7439999999997</v>
      </c>
      <c r="G34" s="37"/>
      <c r="H34" s="37"/>
      <c r="I34" s="37">
        <v>6674.6059999999998</v>
      </c>
      <c r="J34" s="37"/>
      <c r="K34" s="37">
        <v>8832</v>
      </c>
      <c r="L34" s="37">
        <v>12585.904</v>
      </c>
      <c r="M34" s="37">
        <v>12877</v>
      </c>
      <c r="N34" s="37">
        <v>15006</v>
      </c>
      <c r="O34" s="37">
        <v>17147</v>
      </c>
      <c r="P34" s="37">
        <v>7207</v>
      </c>
      <c r="Q34" s="37">
        <v>8038</v>
      </c>
      <c r="R34" s="37">
        <v>9243.9</v>
      </c>
      <c r="S34" s="37">
        <v>6790</v>
      </c>
      <c r="T34" s="23">
        <v>7388</v>
      </c>
      <c r="U34" s="23">
        <v>30223.190999999999</v>
      </c>
      <c r="V34" s="23">
        <v>29970.942999999999</v>
      </c>
      <c r="W34" s="23">
        <v>31836.603999999999</v>
      </c>
      <c r="X34" s="2">
        <v>29831.29</v>
      </c>
      <c r="Y34" s="2">
        <v>30982.323</v>
      </c>
      <c r="Z34" s="2">
        <v>36461.794000000002</v>
      </c>
      <c r="AA34" s="2">
        <v>34621.949999999997</v>
      </c>
    </row>
    <row r="35" spans="1:42">
      <c r="A35" s="23" t="s">
        <v>105</v>
      </c>
      <c r="B35" s="37"/>
      <c r="C35" s="37"/>
      <c r="D35" s="37"/>
      <c r="E35" s="37"/>
      <c r="F35" s="77">
        <v>15813.121999999999</v>
      </c>
      <c r="G35" s="37"/>
      <c r="H35" s="37"/>
      <c r="I35" s="37">
        <v>21538.769</v>
      </c>
      <c r="J35" s="37"/>
      <c r="K35" s="37">
        <v>27850.793189999997</v>
      </c>
      <c r="L35" s="37">
        <v>33651.506999999998</v>
      </c>
      <c r="M35" s="37">
        <v>30320.791000000001</v>
      </c>
      <c r="N35" s="37">
        <v>31529.346000000001</v>
      </c>
      <c r="O35" s="37">
        <v>33305.713000000003</v>
      </c>
      <c r="P35" s="37">
        <v>32814.464</v>
      </c>
      <c r="Q35" s="37">
        <v>34386.313999999998</v>
      </c>
      <c r="R35" s="37">
        <v>36555.894</v>
      </c>
      <c r="S35" s="37">
        <v>40345.245999999999</v>
      </c>
      <c r="T35" s="23">
        <v>41684.813999999998</v>
      </c>
      <c r="U35" s="23">
        <v>49248.186000000002</v>
      </c>
      <c r="V35" s="23">
        <v>54863.728999999999</v>
      </c>
      <c r="W35" s="23">
        <v>57218.309000000001</v>
      </c>
      <c r="X35" s="2">
        <v>61789.267999999996</v>
      </c>
      <c r="Y35" s="2">
        <v>37409.451000000001</v>
      </c>
      <c r="Z35" s="2">
        <v>41060.284</v>
      </c>
      <c r="AA35" s="2">
        <v>40358.311999999998</v>
      </c>
    </row>
    <row r="36" spans="1:42">
      <c r="A36" s="23" t="s">
        <v>109</v>
      </c>
      <c r="B36" s="37"/>
      <c r="C36" s="37"/>
      <c r="D36" s="37"/>
      <c r="E36" s="37"/>
      <c r="F36" s="77">
        <v>25206.048999999999</v>
      </c>
      <c r="G36" s="37"/>
      <c r="H36" s="37"/>
      <c r="I36" s="37">
        <v>36131.296000000002</v>
      </c>
      <c r="J36" s="37"/>
      <c r="K36" s="37">
        <v>41055.811040000008</v>
      </c>
      <c r="L36" s="37">
        <v>50497.328000000001</v>
      </c>
      <c r="M36" s="37">
        <v>57298.169000000002</v>
      </c>
      <c r="N36" s="37">
        <v>66019.12</v>
      </c>
      <c r="O36" s="37">
        <v>85669.388999999996</v>
      </c>
      <c r="P36" s="37">
        <v>82739.663</v>
      </c>
      <c r="Q36" s="37">
        <v>91010.001000000004</v>
      </c>
      <c r="R36" s="37">
        <v>97934.476999999999</v>
      </c>
      <c r="S36" s="37">
        <v>103587.80100000001</v>
      </c>
      <c r="T36" s="23">
        <v>101806.67200000001</v>
      </c>
      <c r="U36" s="23">
        <v>111574.461</v>
      </c>
      <c r="V36" s="23">
        <v>104533.47</v>
      </c>
      <c r="W36" s="23">
        <v>102892.61500000001</v>
      </c>
      <c r="X36" s="2">
        <v>112252.95299999999</v>
      </c>
      <c r="Y36" s="2">
        <v>114031.658</v>
      </c>
      <c r="Z36" s="2">
        <v>111760.148</v>
      </c>
      <c r="AA36" s="2">
        <v>102277.44500000001</v>
      </c>
    </row>
    <row r="37" spans="1:42">
      <c r="A37" s="23" t="s">
        <v>113</v>
      </c>
      <c r="B37" s="37"/>
      <c r="C37" s="37"/>
      <c r="D37" s="37"/>
      <c r="E37" s="37"/>
      <c r="F37" s="77">
        <v>13875.374</v>
      </c>
      <c r="G37" s="37"/>
      <c r="H37" s="37"/>
      <c r="I37" s="37">
        <v>14357.521000000001</v>
      </c>
      <c r="J37" s="37"/>
      <c r="K37" s="37">
        <v>16388.762999999999</v>
      </c>
      <c r="L37" s="37">
        <v>15433.373</v>
      </c>
      <c r="M37" s="37">
        <v>18316.184000000001</v>
      </c>
      <c r="N37" s="37">
        <v>17671.280999999999</v>
      </c>
      <c r="O37" s="37">
        <v>18968.391</v>
      </c>
      <c r="P37" s="37">
        <v>22331.036</v>
      </c>
      <c r="Q37" s="37">
        <v>24355.828000000001</v>
      </c>
      <c r="R37" s="37">
        <v>23075.472000000002</v>
      </c>
      <c r="S37" s="37">
        <v>27390.92</v>
      </c>
      <c r="T37" s="23">
        <v>27157.491000000002</v>
      </c>
      <c r="U37" s="23">
        <v>30293.212</v>
      </c>
      <c r="V37" s="23">
        <v>31953.811000000002</v>
      </c>
      <c r="W37" s="23">
        <v>33117.868000000002</v>
      </c>
      <c r="X37" s="2">
        <v>27904.101999999999</v>
      </c>
      <c r="Y37" s="2">
        <v>41317.273000000001</v>
      </c>
      <c r="Z37" s="2">
        <v>43094.02</v>
      </c>
      <c r="AA37" s="2">
        <v>44771.453999999998</v>
      </c>
    </row>
    <row r="38" spans="1:42">
      <c r="A38" s="23" t="s">
        <v>115</v>
      </c>
      <c r="B38" s="37"/>
      <c r="C38" s="37"/>
      <c r="D38" s="37"/>
      <c r="E38" s="37"/>
      <c r="F38" s="77">
        <v>53784.457999999999</v>
      </c>
      <c r="G38" s="37"/>
      <c r="H38" s="37"/>
      <c r="I38" s="37">
        <v>69211.657999999996</v>
      </c>
      <c r="J38" s="37"/>
      <c r="K38" s="37">
        <v>84399.775150000001</v>
      </c>
      <c r="L38" s="37">
        <v>101419.399</v>
      </c>
      <c r="M38" s="37">
        <v>110386.374</v>
      </c>
      <c r="N38" s="37">
        <v>116021.836</v>
      </c>
      <c r="O38" s="37">
        <v>122536.383</v>
      </c>
      <c r="P38" s="37">
        <v>123421.30100000001</v>
      </c>
      <c r="Q38" s="37">
        <v>130548.201</v>
      </c>
      <c r="R38" s="37">
        <v>136507.79500000001</v>
      </c>
      <c r="S38" s="37">
        <v>126060.039</v>
      </c>
      <c r="T38" s="23">
        <v>143823.00899999999</v>
      </c>
      <c r="U38" s="23">
        <v>175841.62299999999</v>
      </c>
      <c r="V38" s="23">
        <v>205385.867</v>
      </c>
      <c r="W38" s="23">
        <v>214312.17199999999</v>
      </c>
      <c r="X38" s="2">
        <v>204086.32</v>
      </c>
      <c r="Y38" s="2">
        <v>165575.45800000001</v>
      </c>
      <c r="Z38" s="2">
        <v>186834.58199999999</v>
      </c>
      <c r="AA38" s="2">
        <v>195821.758</v>
      </c>
    </row>
    <row r="39" spans="1:42">
      <c r="A39" s="45" t="s">
        <v>117</v>
      </c>
      <c r="B39" s="63"/>
      <c r="C39" s="63"/>
      <c r="D39" s="63"/>
      <c r="E39" s="63"/>
      <c r="F39" s="82">
        <v>8549.2890000000007</v>
      </c>
      <c r="G39" s="63"/>
      <c r="H39" s="63"/>
      <c r="I39" s="63">
        <v>7655.6149999999998</v>
      </c>
      <c r="J39" s="63"/>
      <c r="K39" s="63">
        <v>7752.8490000000002</v>
      </c>
      <c r="L39" s="63">
        <v>8944.2970000000005</v>
      </c>
      <c r="M39" s="63">
        <v>9665.4279999999999</v>
      </c>
      <c r="N39" s="63">
        <v>11312.281000000001</v>
      </c>
      <c r="O39" s="63">
        <v>13078.527</v>
      </c>
      <c r="P39" s="63">
        <v>14405.091</v>
      </c>
      <c r="Q39" s="63">
        <v>13986.295</v>
      </c>
      <c r="R39" s="63">
        <v>15427.124</v>
      </c>
      <c r="S39" s="63">
        <v>17333.420999999998</v>
      </c>
      <c r="T39" s="45">
        <v>20321.173999999999</v>
      </c>
      <c r="U39" s="45">
        <v>21165.496999999999</v>
      </c>
      <c r="V39" s="45">
        <v>24535.473999999998</v>
      </c>
      <c r="W39" s="45">
        <v>23896.669000000002</v>
      </c>
      <c r="X39" s="45">
        <v>26705.955999999998</v>
      </c>
      <c r="Y39" s="45">
        <v>27317.415000000001</v>
      </c>
      <c r="Z39" s="45">
        <v>28687.787</v>
      </c>
      <c r="AA39" s="45">
        <v>31280.984</v>
      </c>
      <c r="AB39" s="23"/>
      <c r="AC39" s="23"/>
      <c r="AD39" s="23"/>
      <c r="AE39" s="23"/>
      <c r="AF39" s="23"/>
      <c r="AG39" s="23"/>
      <c r="AH39" s="23"/>
      <c r="AI39" s="23"/>
      <c r="AJ39" s="23"/>
      <c r="AK39" s="23"/>
      <c r="AL39" s="23"/>
      <c r="AM39" s="23"/>
      <c r="AN39" s="23"/>
      <c r="AO39" s="23"/>
      <c r="AP39" s="23"/>
    </row>
    <row r="40" spans="1:42" s="23" customFormat="1">
      <c r="A40" s="79" t="s">
        <v>121</v>
      </c>
      <c r="B40" s="90">
        <f>SUM(B42:B53)</f>
        <v>0</v>
      </c>
      <c r="C40" s="90">
        <f t="shared" ref="C40:AA40" si="9">SUM(C42:C53)</f>
        <v>0</v>
      </c>
      <c r="D40" s="90">
        <f t="shared" si="9"/>
        <v>0</v>
      </c>
      <c r="E40" s="90">
        <f t="shared" si="9"/>
        <v>0</v>
      </c>
      <c r="F40" s="90">
        <f t="shared" si="9"/>
        <v>391128.60399999993</v>
      </c>
      <c r="G40" s="90">
        <f t="shared" si="9"/>
        <v>0</v>
      </c>
      <c r="H40" s="90">
        <f t="shared" si="9"/>
        <v>0</v>
      </c>
      <c r="I40" s="90">
        <f t="shared" si="9"/>
        <v>443946.24199999997</v>
      </c>
      <c r="J40" s="90">
        <f t="shared" si="9"/>
        <v>0</v>
      </c>
      <c r="K40" s="90">
        <f t="shared" si="9"/>
        <v>520129.76316000003</v>
      </c>
      <c r="L40" s="90">
        <f t="shared" si="9"/>
        <v>619480.10099999991</v>
      </c>
      <c r="M40" s="90">
        <f t="shared" si="9"/>
        <v>640062.201</v>
      </c>
      <c r="N40" s="90">
        <f t="shared" si="9"/>
        <v>679195.21499999997</v>
      </c>
      <c r="O40" s="90">
        <f t="shared" si="9"/>
        <v>729723.19799999997</v>
      </c>
      <c r="P40" s="90">
        <f t="shared" si="9"/>
        <v>774823.20000000007</v>
      </c>
      <c r="Q40" s="90">
        <f t="shared" si="9"/>
        <v>783952.3069999998</v>
      </c>
      <c r="R40" s="90">
        <f t="shared" si="9"/>
        <v>830868.97599999991</v>
      </c>
      <c r="S40" s="90">
        <f t="shared" si="9"/>
        <v>865777.63899999997</v>
      </c>
      <c r="T40" s="90">
        <f t="shared" si="9"/>
        <v>880633.63100000005</v>
      </c>
      <c r="U40" s="90">
        <f t="shared" si="9"/>
        <v>997800.49500000011</v>
      </c>
      <c r="V40" s="90">
        <f t="shared" si="9"/>
        <v>1278185.4220000003</v>
      </c>
      <c r="W40" s="90">
        <f t="shared" si="9"/>
        <v>1309917.2870000002</v>
      </c>
      <c r="X40" s="90">
        <f t="shared" si="9"/>
        <v>1319296.54</v>
      </c>
      <c r="Y40" s="90">
        <f t="shared" si="9"/>
        <v>1027418.2660000001</v>
      </c>
      <c r="Z40" s="90">
        <f t="shared" si="9"/>
        <v>1060186.7589999998</v>
      </c>
      <c r="AA40" s="90">
        <f t="shared" si="9"/>
        <v>1079830.1300000001</v>
      </c>
    </row>
    <row r="41" spans="1:42">
      <c r="A41" s="79" t="s">
        <v>119</v>
      </c>
      <c r="B41" s="37"/>
      <c r="C41" s="37"/>
      <c r="D41" s="37"/>
      <c r="E41" s="37"/>
      <c r="F41" s="37"/>
      <c r="G41" s="37"/>
      <c r="H41" s="37"/>
      <c r="I41" s="37"/>
      <c r="J41" s="37"/>
      <c r="K41" s="37"/>
      <c r="L41" s="37"/>
      <c r="M41" s="37"/>
      <c r="N41" s="37"/>
      <c r="O41" s="37"/>
      <c r="P41" s="37"/>
      <c r="Q41" s="37"/>
      <c r="R41" s="37"/>
      <c r="S41" s="37"/>
      <c r="T41" s="23"/>
      <c r="U41" s="23"/>
      <c r="V41" s="23"/>
      <c r="W41" s="23"/>
      <c r="X41" s="2">
        <v>0</v>
      </c>
    </row>
    <row r="42" spans="1:42">
      <c r="A42" s="23" t="s">
        <v>93</v>
      </c>
      <c r="B42" s="36"/>
      <c r="C42" s="36"/>
      <c r="D42" s="36"/>
      <c r="E42" s="36"/>
      <c r="F42" s="77">
        <v>79551.494999999995</v>
      </c>
      <c r="G42" s="36"/>
      <c r="H42" s="36"/>
      <c r="I42" s="37">
        <v>101264.914</v>
      </c>
      <c r="J42" s="37"/>
      <c r="K42" s="37">
        <v>107553.40647999999</v>
      </c>
      <c r="L42" s="37">
        <v>124071.601</v>
      </c>
      <c r="M42" s="37">
        <v>124513.24400000001</v>
      </c>
      <c r="N42" s="37">
        <v>132141.932</v>
      </c>
      <c r="O42" s="37">
        <v>142579.38</v>
      </c>
      <c r="P42" s="37">
        <v>162056.557</v>
      </c>
      <c r="Q42" s="37">
        <v>153461.655</v>
      </c>
      <c r="R42" s="37">
        <v>164210.951</v>
      </c>
      <c r="S42" s="37">
        <v>171110.87</v>
      </c>
      <c r="T42" s="23">
        <v>189767.92499999999</v>
      </c>
      <c r="U42" s="23">
        <v>214004.133</v>
      </c>
      <c r="V42" s="23">
        <v>275013.92200000002</v>
      </c>
      <c r="W42" s="23">
        <v>273207.679</v>
      </c>
      <c r="X42" s="2">
        <v>277610.04800000001</v>
      </c>
      <c r="Y42" s="2">
        <v>172635.10800000001</v>
      </c>
      <c r="Z42" s="2">
        <v>182901.02</v>
      </c>
      <c r="AA42" s="2">
        <v>190729.76</v>
      </c>
    </row>
    <row r="43" spans="1:42">
      <c r="A43" s="23" t="s">
        <v>58</v>
      </c>
      <c r="B43" s="36"/>
      <c r="C43" s="36"/>
      <c r="D43" s="36"/>
      <c r="E43" s="36"/>
      <c r="F43" s="77">
        <v>9321.8739999999998</v>
      </c>
      <c r="G43" s="36"/>
      <c r="H43" s="36"/>
      <c r="I43" s="37">
        <v>10290.313</v>
      </c>
      <c r="J43" s="37"/>
      <c r="K43" s="37">
        <v>11981.236999999999</v>
      </c>
      <c r="L43" s="37">
        <v>14931.348</v>
      </c>
      <c r="M43" s="37">
        <v>15259.652</v>
      </c>
      <c r="N43" s="37">
        <v>16231.367</v>
      </c>
      <c r="O43" s="37">
        <v>16936.763999999999</v>
      </c>
      <c r="P43" s="37">
        <v>15060.592000000001</v>
      </c>
      <c r="Q43" s="37">
        <v>16692.557000000001</v>
      </c>
      <c r="R43" s="37">
        <v>17831.616000000002</v>
      </c>
      <c r="S43" s="37">
        <v>20534.816999999999</v>
      </c>
      <c r="T43" s="23">
        <v>21850.940999999999</v>
      </c>
      <c r="U43" s="23">
        <v>26589.766</v>
      </c>
      <c r="V43" s="23">
        <v>37454.097999999998</v>
      </c>
      <c r="W43" s="23">
        <v>41832.031000000003</v>
      </c>
      <c r="X43" s="2">
        <v>47149.159</v>
      </c>
      <c r="Y43" s="2">
        <v>62673.62</v>
      </c>
      <c r="Z43" s="2">
        <v>63597.186000000002</v>
      </c>
      <c r="AA43" s="2">
        <v>62334.531999999999</v>
      </c>
    </row>
    <row r="44" spans="1:42">
      <c r="A44" s="23" t="s">
        <v>94</v>
      </c>
      <c r="B44" s="36"/>
      <c r="C44" s="36"/>
      <c r="D44" s="36"/>
      <c r="E44" s="36"/>
      <c r="F44" s="77">
        <v>18089.184000000001</v>
      </c>
      <c r="G44" s="36"/>
      <c r="H44" s="36"/>
      <c r="I44" s="37">
        <v>21403.981</v>
      </c>
      <c r="J44" s="37"/>
      <c r="K44" s="37">
        <v>23702.131000000001</v>
      </c>
      <c r="L44" s="37">
        <v>33328.720000000001</v>
      </c>
      <c r="M44" s="37">
        <v>34039.127999999997</v>
      </c>
      <c r="N44" s="37">
        <v>35385.008999999998</v>
      </c>
      <c r="O44" s="37">
        <v>34030.767</v>
      </c>
      <c r="P44" s="37">
        <v>35717.423999999999</v>
      </c>
      <c r="Q44" s="37">
        <v>37944.875999999997</v>
      </c>
      <c r="R44" s="37">
        <v>41807.160000000003</v>
      </c>
      <c r="S44" s="37">
        <v>43542.661999999997</v>
      </c>
      <c r="T44" s="23">
        <v>47533.118999999999</v>
      </c>
      <c r="U44" s="23">
        <v>50582.436000000002</v>
      </c>
      <c r="V44" s="23">
        <v>56459.535000000003</v>
      </c>
      <c r="W44" s="23">
        <v>60117.413999999997</v>
      </c>
      <c r="X44" s="2">
        <v>60516.692000000003</v>
      </c>
      <c r="Y44" s="2">
        <v>62346.841999999997</v>
      </c>
      <c r="Z44" s="2">
        <v>64987.218000000001</v>
      </c>
      <c r="AA44" s="2">
        <v>64347.972999999998</v>
      </c>
    </row>
    <row r="45" spans="1:42">
      <c r="A45" s="23" t="s">
        <v>95</v>
      </c>
      <c r="B45" s="36"/>
      <c r="C45" s="36"/>
      <c r="D45" s="36"/>
      <c r="E45" s="36"/>
      <c r="F45" s="77">
        <v>22567.973999999998</v>
      </c>
      <c r="G45" s="36"/>
      <c r="H45" s="36"/>
      <c r="I45" s="37">
        <v>24526.026999999998</v>
      </c>
      <c r="J45" s="37"/>
      <c r="K45" s="37">
        <v>28516.978190000005</v>
      </c>
      <c r="L45" s="37">
        <v>36922.398999999998</v>
      </c>
      <c r="M45" s="37">
        <v>40701.417999999998</v>
      </c>
      <c r="N45" s="37">
        <v>43924.436000000002</v>
      </c>
      <c r="O45" s="37">
        <v>43168.201000000001</v>
      </c>
      <c r="P45" s="37">
        <v>42937.894</v>
      </c>
      <c r="Q45" s="37">
        <v>47333.942999999999</v>
      </c>
      <c r="R45" s="37">
        <v>51304.978000000003</v>
      </c>
      <c r="S45" s="37">
        <v>54890.813000000002</v>
      </c>
      <c r="T45" s="23">
        <v>58739.781999999999</v>
      </c>
      <c r="U45" s="23">
        <v>65849.796000000002</v>
      </c>
      <c r="V45" s="23">
        <v>76867.066000000006</v>
      </c>
      <c r="W45" s="23">
        <v>80382.861999999994</v>
      </c>
      <c r="X45" s="2">
        <v>80599.202000000005</v>
      </c>
      <c r="Y45" s="2">
        <v>69766.777000000002</v>
      </c>
      <c r="Z45" s="2">
        <v>70206.351999999999</v>
      </c>
      <c r="AA45" s="2">
        <v>74772.906000000003</v>
      </c>
    </row>
    <row r="46" spans="1:42">
      <c r="A46" s="23" t="s">
        <v>98</v>
      </c>
      <c r="B46" s="36"/>
      <c r="C46" s="36"/>
      <c r="D46" s="36"/>
      <c r="E46" s="37"/>
      <c r="F46" s="77">
        <v>100045.36199999999</v>
      </c>
      <c r="G46" s="36"/>
      <c r="H46" s="36"/>
      <c r="I46" s="37">
        <v>100557.454</v>
      </c>
      <c r="J46" s="37"/>
      <c r="K46" s="37">
        <v>107187.37669999999</v>
      </c>
      <c r="L46" s="37">
        <v>140465.04699999999</v>
      </c>
      <c r="M46" s="37">
        <v>135361.49900000001</v>
      </c>
      <c r="N46" s="37">
        <v>155581.704</v>
      </c>
      <c r="O46" s="37">
        <v>187480.95499999999</v>
      </c>
      <c r="P46" s="37">
        <v>201092.95800000001</v>
      </c>
      <c r="Q46" s="37">
        <v>195100.008</v>
      </c>
      <c r="R46" s="37">
        <v>207221.99799999999</v>
      </c>
      <c r="S46" s="37">
        <v>224817.72700000001</v>
      </c>
      <c r="T46" s="23">
        <v>188479.72399999999</v>
      </c>
      <c r="U46" s="23">
        <v>206801.55300000001</v>
      </c>
      <c r="V46" s="23">
        <v>308333.283</v>
      </c>
      <c r="W46" s="23">
        <v>288465.61499999999</v>
      </c>
      <c r="X46" s="2">
        <v>286700.12699999998</v>
      </c>
      <c r="Y46" s="2">
        <v>239923.73699999999</v>
      </c>
      <c r="Z46" s="2">
        <v>231172.951</v>
      </c>
      <c r="AA46" s="2">
        <v>240322.13200000001</v>
      </c>
    </row>
    <row r="47" spans="1:42">
      <c r="A47" s="23" t="s">
        <v>99</v>
      </c>
      <c r="B47" s="37"/>
      <c r="C47" s="37"/>
      <c r="D47" s="37"/>
      <c r="E47" s="37"/>
      <c r="F47" s="77">
        <v>39388.790999999997</v>
      </c>
      <c r="G47" s="37"/>
      <c r="H47" s="37"/>
      <c r="I47" s="37">
        <v>51365.764000000003</v>
      </c>
      <c r="J47" s="37"/>
      <c r="K47" s="37">
        <v>72941.988039999997</v>
      </c>
      <c r="L47" s="37">
        <v>80430.887000000002</v>
      </c>
      <c r="M47" s="37">
        <v>88150.548999999999</v>
      </c>
      <c r="N47" s="37">
        <v>88903.259000000005</v>
      </c>
      <c r="O47" s="37">
        <v>83116.406000000003</v>
      </c>
      <c r="P47" s="37">
        <v>89802.205000000002</v>
      </c>
      <c r="Q47" s="37">
        <v>96961.335000000006</v>
      </c>
      <c r="R47" s="37">
        <v>101646.777</v>
      </c>
      <c r="S47" s="37">
        <v>108818.037</v>
      </c>
      <c r="T47" s="23">
        <v>116389.126</v>
      </c>
      <c r="U47" s="23">
        <v>119816.68399999999</v>
      </c>
      <c r="V47" s="23">
        <v>145603.63699999999</v>
      </c>
      <c r="W47" s="23">
        <v>150589</v>
      </c>
      <c r="X47" s="2">
        <v>148558.42000000001</v>
      </c>
      <c r="Y47" s="2">
        <v>116305.853</v>
      </c>
      <c r="Z47" s="2">
        <v>120674.946</v>
      </c>
      <c r="AA47" s="2">
        <v>117854.69500000001</v>
      </c>
    </row>
    <row r="48" spans="1:42">
      <c r="A48" s="23" t="s">
        <v>59</v>
      </c>
      <c r="B48" s="37"/>
      <c r="C48" s="37"/>
      <c r="D48" s="37"/>
      <c r="E48" s="37"/>
      <c r="F48" s="77">
        <v>18670.748</v>
      </c>
      <c r="G48" s="37"/>
      <c r="H48" s="37"/>
      <c r="I48" s="37">
        <v>7602.6970000000001</v>
      </c>
      <c r="J48" s="37"/>
      <c r="K48" s="37">
        <v>25611.71</v>
      </c>
      <c r="L48" s="37">
        <v>13860.915000000001</v>
      </c>
      <c r="M48" s="37">
        <v>17952.45</v>
      </c>
      <c r="N48" s="37">
        <v>14727.906999999999</v>
      </c>
      <c r="O48" s="37">
        <v>15411.726000000001</v>
      </c>
      <c r="P48" s="37">
        <v>17605.671999999999</v>
      </c>
      <c r="Q48" s="37">
        <v>18648.897000000001</v>
      </c>
      <c r="R48" s="37">
        <v>20510.939999999999</v>
      </c>
      <c r="S48" s="37">
        <v>21655.758000000002</v>
      </c>
      <c r="T48" s="23">
        <v>22958.901999999998</v>
      </c>
      <c r="U48" s="23">
        <v>25905.465</v>
      </c>
      <c r="V48" s="23">
        <v>29364.867999999999</v>
      </c>
      <c r="W48" s="23">
        <v>53583.934000000001</v>
      </c>
      <c r="X48" s="2">
        <v>53547.247000000003</v>
      </c>
      <c r="Y48" s="2">
        <v>52440.642</v>
      </c>
      <c r="Z48" s="2">
        <v>71732.081999999995</v>
      </c>
      <c r="AA48" s="2">
        <v>74979.131999999998</v>
      </c>
    </row>
    <row r="49" spans="1:42">
      <c r="A49" s="23" t="s">
        <v>101</v>
      </c>
      <c r="B49" s="37"/>
      <c r="C49" s="37"/>
      <c r="D49" s="37"/>
      <c r="E49" s="37"/>
      <c r="F49" s="77">
        <v>6694.46</v>
      </c>
      <c r="G49" s="37"/>
      <c r="H49" s="37"/>
      <c r="I49" s="37">
        <v>7397.5010000000002</v>
      </c>
      <c r="J49" s="37"/>
      <c r="K49" s="37">
        <v>10213.269</v>
      </c>
      <c r="L49" s="37">
        <v>12357.27</v>
      </c>
      <c r="M49" s="37">
        <v>13464.804</v>
      </c>
      <c r="N49" s="37">
        <v>14026.743</v>
      </c>
      <c r="O49" s="37">
        <v>14714.513999999999</v>
      </c>
      <c r="P49" s="37">
        <v>15933.822</v>
      </c>
      <c r="Q49" s="37">
        <v>15455.315000000001</v>
      </c>
      <c r="R49" s="37">
        <v>15946.212</v>
      </c>
      <c r="S49" s="37">
        <v>17481.875</v>
      </c>
      <c r="T49" s="23">
        <v>18540.753000000001</v>
      </c>
      <c r="U49" s="23">
        <v>20106.596000000001</v>
      </c>
      <c r="V49" s="23">
        <v>24741.973000000002</v>
      </c>
      <c r="W49" s="23">
        <v>24116.495999999999</v>
      </c>
      <c r="X49" s="2">
        <v>27611.135999999999</v>
      </c>
      <c r="Y49" s="2">
        <v>22710.768</v>
      </c>
      <c r="Z49" s="2">
        <v>24669.588</v>
      </c>
      <c r="AA49" s="2">
        <v>26201.31</v>
      </c>
    </row>
    <row r="50" spans="1:42">
      <c r="A50" s="23" t="s">
        <v>107</v>
      </c>
      <c r="B50" s="37"/>
      <c r="C50" s="37"/>
      <c r="D50" s="37"/>
      <c r="E50" s="37"/>
      <c r="F50" s="77">
        <v>3172.2240000000002</v>
      </c>
      <c r="G50" s="37"/>
      <c r="H50" s="37"/>
      <c r="I50" s="37">
        <v>3035.2240000000002</v>
      </c>
      <c r="J50" s="37"/>
      <c r="K50" s="37">
        <v>2896.3167600000015</v>
      </c>
      <c r="L50" s="37">
        <v>4545.6959999999999</v>
      </c>
      <c r="M50" s="37">
        <v>3639.826</v>
      </c>
      <c r="N50" s="37">
        <v>4123.4570000000003</v>
      </c>
      <c r="O50" s="37">
        <v>4562.6289999999999</v>
      </c>
      <c r="P50" s="37">
        <v>4488.1239999999998</v>
      </c>
      <c r="Q50" s="37">
        <v>4445.2569999999996</v>
      </c>
      <c r="R50" s="37">
        <v>4779.8360000000002</v>
      </c>
      <c r="S50" s="37">
        <v>5072.4530000000004</v>
      </c>
      <c r="T50" s="23">
        <v>4358.8490000000002</v>
      </c>
      <c r="U50" s="23">
        <v>6975.259</v>
      </c>
      <c r="V50" s="23">
        <v>7968.4489999999996</v>
      </c>
      <c r="W50" s="23">
        <v>8546.7469999999994</v>
      </c>
      <c r="X50" s="2">
        <v>9105.8880000000008</v>
      </c>
      <c r="Y50" s="2">
        <v>9786.125</v>
      </c>
      <c r="Z50" s="2">
        <v>13611.46</v>
      </c>
      <c r="AA50" s="2">
        <v>14349.262000000001</v>
      </c>
    </row>
    <row r="51" spans="1:42">
      <c r="A51" s="23" t="s">
        <v>108</v>
      </c>
      <c r="B51" s="37"/>
      <c r="C51" s="37"/>
      <c r="D51" s="37"/>
      <c r="E51" s="37"/>
      <c r="F51" s="77">
        <v>48371.284</v>
      </c>
      <c r="G51" s="37"/>
      <c r="H51" s="37"/>
      <c r="I51" s="37">
        <v>58762.45</v>
      </c>
      <c r="J51" s="37"/>
      <c r="K51" s="37">
        <v>64667.135000000002</v>
      </c>
      <c r="L51" s="37">
        <v>81688.099000000002</v>
      </c>
      <c r="M51" s="37">
        <v>87431.191999999995</v>
      </c>
      <c r="N51" s="37">
        <v>85830.216</v>
      </c>
      <c r="O51" s="37">
        <v>88942.482999999993</v>
      </c>
      <c r="P51" s="37">
        <v>92171.413</v>
      </c>
      <c r="Q51" s="37">
        <v>95553.862999999998</v>
      </c>
      <c r="R51" s="37">
        <v>99573.781000000003</v>
      </c>
      <c r="S51" s="37">
        <v>97781.54</v>
      </c>
      <c r="T51" s="23">
        <v>103840.389</v>
      </c>
      <c r="U51" s="23">
        <v>140347.21599999999</v>
      </c>
      <c r="V51" s="23">
        <v>166958.63800000001</v>
      </c>
      <c r="W51" s="23">
        <v>166376.63500000001</v>
      </c>
      <c r="X51" s="2">
        <v>171722.897</v>
      </c>
      <c r="Y51" s="2">
        <v>169924.09899999999</v>
      </c>
      <c r="Z51" s="2">
        <v>165815.82699999999</v>
      </c>
      <c r="AA51" s="2">
        <v>164822.64600000001</v>
      </c>
    </row>
    <row r="52" spans="1:42">
      <c r="A52" s="23" t="s">
        <v>112</v>
      </c>
      <c r="B52" s="37"/>
      <c r="C52" s="37"/>
      <c r="D52" s="37"/>
      <c r="E52" s="37"/>
      <c r="F52" s="77">
        <v>25.692</v>
      </c>
      <c r="G52" s="37"/>
      <c r="H52" s="37"/>
      <c r="I52" s="37">
        <v>79.364999999999995</v>
      </c>
      <c r="J52" s="37"/>
      <c r="K52" s="37">
        <v>1947.3879899999984</v>
      </c>
      <c r="L52" s="37">
        <v>2451.7640000000001</v>
      </c>
      <c r="M52" s="37">
        <v>2028.769</v>
      </c>
      <c r="N52" s="37">
        <v>3720.4209999999998</v>
      </c>
      <c r="O52" s="37">
        <v>3822.3850000000002</v>
      </c>
      <c r="P52" s="37">
        <v>1697.6790000000001</v>
      </c>
      <c r="Q52" s="37">
        <v>1618.6289999999999</v>
      </c>
      <c r="R52" s="37">
        <v>1999.9280000000001</v>
      </c>
      <c r="S52" s="37">
        <v>5345.6959999999999</v>
      </c>
      <c r="T52" s="23">
        <v>5254.3280000000004</v>
      </c>
      <c r="U52" s="23">
        <v>6548.9480000000003</v>
      </c>
      <c r="V52" s="23">
        <v>6677.6909999999998</v>
      </c>
      <c r="W52" s="23">
        <v>6347.8339999999998</v>
      </c>
      <c r="X52" s="2">
        <v>6617.4350000000004</v>
      </c>
      <c r="Y52" s="2">
        <v>8154.8320000000003</v>
      </c>
      <c r="Z52" s="2">
        <v>8851.65</v>
      </c>
      <c r="AA52" s="2">
        <v>8357.2720000000008</v>
      </c>
    </row>
    <row r="53" spans="1:42">
      <c r="A53" s="45" t="s">
        <v>116</v>
      </c>
      <c r="B53" s="63"/>
      <c r="C53" s="63"/>
      <c r="D53" s="63"/>
      <c r="E53" s="63"/>
      <c r="F53" s="82">
        <v>45229.516000000003</v>
      </c>
      <c r="G53" s="63"/>
      <c r="H53" s="63"/>
      <c r="I53" s="63">
        <v>57660.552000000003</v>
      </c>
      <c r="J53" s="63"/>
      <c r="K53" s="63">
        <v>62910.826999999997</v>
      </c>
      <c r="L53" s="63">
        <v>74426.354999999996</v>
      </c>
      <c r="M53" s="63">
        <v>77519.67</v>
      </c>
      <c r="N53" s="63">
        <v>84598.763999999996</v>
      </c>
      <c r="O53" s="63">
        <v>94956.987999999998</v>
      </c>
      <c r="P53" s="63">
        <v>96258.86</v>
      </c>
      <c r="Q53" s="63">
        <v>100735.97199999999</v>
      </c>
      <c r="R53" s="63">
        <v>104034.799</v>
      </c>
      <c r="S53" s="63">
        <v>94725.391000000003</v>
      </c>
      <c r="T53" s="45">
        <v>102919.79300000001</v>
      </c>
      <c r="U53" s="45">
        <v>114272.643</v>
      </c>
      <c r="V53" s="45">
        <v>142742.26199999999</v>
      </c>
      <c r="W53" s="45">
        <v>156351.04000000001</v>
      </c>
      <c r="X53" s="45">
        <v>149558.28899999999</v>
      </c>
      <c r="Y53" s="45">
        <v>40749.862999999998</v>
      </c>
      <c r="Z53" s="45">
        <v>41966.478999999999</v>
      </c>
      <c r="AA53" s="45">
        <v>40758.51</v>
      </c>
    </row>
    <row r="54" spans="1:42" s="23" customFormat="1">
      <c r="A54" s="79" t="s">
        <v>122</v>
      </c>
      <c r="B54" s="90">
        <f t="shared" ref="B54:J54" si="10">SUM(B57:B65)</f>
        <v>0</v>
      </c>
      <c r="C54" s="90">
        <f t="shared" si="10"/>
        <v>0</v>
      </c>
      <c r="D54" s="90">
        <f t="shared" si="10"/>
        <v>0</v>
      </c>
      <c r="E54" s="90">
        <f t="shared" si="10"/>
        <v>0</v>
      </c>
      <c r="F54" s="90">
        <f>SUM(F56:F64)</f>
        <v>209790.41799999998</v>
      </c>
      <c r="G54" s="90">
        <f t="shared" si="10"/>
        <v>0</v>
      </c>
      <c r="H54" s="90">
        <f t="shared" si="10"/>
        <v>0</v>
      </c>
      <c r="I54" s="90">
        <f>SUM(I56:I64)</f>
        <v>269385.27400000003</v>
      </c>
      <c r="J54" s="90">
        <f t="shared" si="10"/>
        <v>0</v>
      </c>
      <c r="K54" s="90">
        <f t="shared" ref="K54:AA54" si="11">SUM(K56:K64)</f>
        <v>308957.10901000007</v>
      </c>
      <c r="L54" s="90">
        <f t="shared" si="11"/>
        <v>334729.02999999997</v>
      </c>
      <c r="M54" s="90">
        <f t="shared" si="11"/>
        <v>373230.58600000001</v>
      </c>
      <c r="N54" s="90">
        <f t="shared" si="11"/>
        <v>402052.50400000002</v>
      </c>
      <c r="O54" s="90">
        <f t="shared" si="11"/>
        <v>426824.78099999996</v>
      </c>
      <c r="P54" s="90">
        <f t="shared" si="11"/>
        <v>463241.57900000003</v>
      </c>
      <c r="Q54" s="90">
        <f t="shared" si="11"/>
        <v>493704.348</v>
      </c>
      <c r="R54" s="90">
        <f t="shared" si="11"/>
        <v>510351.951</v>
      </c>
      <c r="S54" s="90">
        <f t="shared" si="11"/>
        <v>538962.43999999994</v>
      </c>
      <c r="T54" s="90">
        <f t="shared" si="11"/>
        <v>586702.946</v>
      </c>
      <c r="U54" s="90">
        <f t="shared" si="11"/>
        <v>628641.36199999996</v>
      </c>
      <c r="V54" s="90">
        <f t="shared" si="11"/>
        <v>732367.88400000008</v>
      </c>
      <c r="W54" s="90">
        <f t="shared" si="11"/>
        <v>750462.55199999991</v>
      </c>
      <c r="X54" s="90">
        <f t="shared" si="11"/>
        <v>779089.58699999994</v>
      </c>
      <c r="Y54" s="90">
        <f t="shared" si="11"/>
        <v>800678.69000000006</v>
      </c>
      <c r="Z54" s="90">
        <f t="shared" si="11"/>
        <v>823587.02299999993</v>
      </c>
      <c r="AA54" s="90">
        <f t="shared" si="11"/>
        <v>857993.23199999984</v>
      </c>
    </row>
    <row r="55" spans="1:42">
      <c r="A55" s="79" t="s">
        <v>119</v>
      </c>
      <c r="B55" s="37"/>
      <c r="C55" s="37"/>
      <c r="D55" s="37"/>
      <c r="E55" s="37"/>
      <c r="F55" s="37"/>
      <c r="G55" s="37"/>
      <c r="H55" s="37"/>
      <c r="I55" s="37"/>
      <c r="J55" s="37"/>
      <c r="K55" s="37"/>
      <c r="L55" s="37"/>
      <c r="M55" s="37"/>
      <c r="N55" s="37"/>
      <c r="O55" s="37"/>
      <c r="P55" s="37"/>
      <c r="Q55" s="37"/>
      <c r="R55" s="37"/>
      <c r="S55" s="37"/>
      <c r="T55" s="23"/>
      <c r="U55" s="23">
        <v>0</v>
      </c>
      <c r="V55" s="23"/>
      <c r="W55" s="23"/>
      <c r="X55" s="2">
        <v>0</v>
      </c>
    </row>
    <row r="56" spans="1:42" s="23" customFormat="1">
      <c r="A56" s="23" t="s">
        <v>89</v>
      </c>
      <c r="B56" s="36"/>
      <c r="C56" s="36"/>
      <c r="D56" s="36"/>
      <c r="E56" s="36"/>
      <c r="F56" s="77">
        <v>21662.799999999999</v>
      </c>
      <c r="G56" s="36"/>
      <c r="H56" s="36"/>
      <c r="I56" s="37">
        <v>20232.473999999998</v>
      </c>
      <c r="J56" s="37"/>
      <c r="K56" s="37">
        <v>27649.671679999999</v>
      </c>
      <c r="L56" s="37">
        <v>32739.062999999998</v>
      </c>
      <c r="M56" s="37">
        <v>33267.436000000002</v>
      </c>
      <c r="N56" s="37">
        <v>36070.074999999997</v>
      </c>
      <c r="O56" s="37">
        <v>35378.845000000001</v>
      </c>
      <c r="P56" s="37">
        <v>42275</v>
      </c>
      <c r="Q56" s="37">
        <v>46089.894999999997</v>
      </c>
      <c r="R56" s="37">
        <v>48025.773000000001</v>
      </c>
      <c r="S56" s="37">
        <v>49790.896999999997</v>
      </c>
      <c r="T56" s="23">
        <v>53581.512999999999</v>
      </c>
      <c r="U56" s="23">
        <v>47745.781999999999</v>
      </c>
      <c r="V56" s="23">
        <v>52395.101000000002</v>
      </c>
      <c r="W56" s="23">
        <v>48456.209000000003</v>
      </c>
      <c r="X56" s="2">
        <v>46567.544999999998</v>
      </c>
      <c r="Y56" s="2">
        <v>48655.065999999999</v>
      </c>
      <c r="Z56" s="2">
        <v>50587.332000000002</v>
      </c>
      <c r="AA56" s="2">
        <v>53598.042000000001</v>
      </c>
      <c r="AB56" s="2"/>
      <c r="AC56" s="2"/>
      <c r="AD56" s="2"/>
      <c r="AE56" s="2"/>
      <c r="AF56" s="2"/>
      <c r="AG56" s="2"/>
      <c r="AH56" s="2"/>
      <c r="AI56" s="2"/>
      <c r="AJ56" s="2"/>
      <c r="AK56" s="2"/>
      <c r="AL56" s="2"/>
      <c r="AM56" s="2"/>
      <c r="AN56" s="2"/>
      <c r="AO56" s="2"/>
      <c r="AP56" s="2"/>
    </row>
    <row r="57" spans="1:42" s="23" customFormat="1">
      <c r="A57" s="23" t="s">
        <v>96</v>
      </c>
      <c r="B57" s="36"/>
      <c r="C57" s="36"/>
      <c r="D57" s="36"/>
      <c r="E57" s="36"/>
      <c r="F57" s="77">
        <v>2861.1419999999998</v>
      </c>
      <c r="G57" s="36"/>
      <c r="H57" s="36"/>
      <c r="I57" s="37">
        <v>3841.433</v>
      </c>
      <c r="J57" s="37"/>
      <c r="K57" s="37">
        <v>4403.5060000000003</v>
      </c>
      <c r="L57" s="37">
        <v>6061.0540000000001</v>
      </c>
      <c r="M57" s="37">
        <v>6566.9849999999997</v>
      </c>
      <c r="N57" s="37">
        <v>7347.3959999999997</v>
      </c>
      <c r="O57" s="37">
        <v>7906.5749999999998</v>
      </c>
      <c r="P57" s="37">
        <v>8228.8430000000008</v>
      </c>
      <c r="Q57" s="37">
        <v>8567.7639999999992</v>
      </c>
      <c r="R57" s="37">
        <v>9478.9959999999992</v>
      </c>
      <c r="S57" s="37">
        <v>9801.6020000000008</v>
      </c>
      <c r="T57" s="23">
        <v>10727.094999999999</v>
      </c>
      <c r="U57" s="23">
        <v>13539.382</v>
      </c>
      <c r="V57" s="23">
        <v>13640.875</v>
      </c>
      <c r="W57" s="23">
        <v>13896.187</v>
      </c>
      <c r="X57" s="2">
        <v>14655.362999999999</v>
      </c>
      <c r="Y57" s="2">
        <v>15872.736999999999</v>
      </c>
      <c r="Z57" s="2">
        <v>15785.491</v>
      </c>
      <c r="AA57" s="2">
        <v>16909.057000000001</v>
      </c>
      <c r="AB57" s="2"/>
      <c r="AC57" s="2"/>
      <c r="AD57" s="2"/>
      <c r="AE57" s="2"/>
      <c r="AF57" s="2"/>
      <c r="AG57" s="2"/>
      <c r="AH57" s="2"/>
      <c r="AI57" s="2"/>
      <c r="AJ57" s="2"/>
      <c r="AK57" s="2"/>
      <c r="AL57" s="2"/>
      <c r="AM57" s="2"/>
      <c r="AN57" s="2"/>
      <c r="AO57" s="2"/>
      <c r="AP57" s="2"/>
    </row>
    <row r="58" spans="1:42" s="45" customFormat="1">
      <c r="A58" s="23" t="s">
        <v>97</v>
      </c>
      <c r="B58" s="36"/>
      <c r="C58" s="36"/>
      <c r="D58" s="36"/>
      <c r="E58" s="37"/>
      <c r="F58" s="77">
        <v>22315.573</v>
      </c>
      <c r="G58" s="36"/>
      <c r="H58" s="36"/>
      <c r="I58" s="37">
        <v>33338.159</v>
      </c>
      <c r="J58" s="37"/>
      <c r="K58" s="37">
        <v>47996.898000000001</v>
      </c>
      <c r="L58" s="37">
        <v>60047.303999999996</v>
      </c>
      <c r="M58" s="37">
        <v>66730.379000000001</v>
      </c>
      <c r="N58" s="37">
        <v>70029.365000000005</v>
      </c>
      <c r="O58" s="37">
        <v>70352.509999999995</v>
      </c>
      <c r="P58" s="37">
        <v>72614.532999999996</v>
      </c>
      <c r="Q58" s="37">
        <v>77528.058999999994</v>
      </c>
      <c r="R58" s="37">
        <v>83221.342999999993</v>
      </c>
      <c r="S58" s="37">
        <v>88489.134000000005</v>
      </c>
      <c r="T58" s="23">
        <v>95508.077999999994</v>
      </c>
      <c r="U58" s="23">
        <v>92539.774999999994</v>
      </c>
      <c r="V58" s="23">
        <v>106083.22900000001</v>
      </c>
      <c r="W58" s="23">
        <v>114029.545</v>
      </c>
      <c r="X58" s="23">
        <v>120817.698</v>
      </c>
      <c r="Y58" s="2">
        <v>127273.336</v>
      </c>
      <c r="Z58" s="2">
        <v>129417.067</v>
      </c>
      <c r="AA58" s="2">
        <v>139169.353</v>
      </c>
    </row>
    <row r="59" spans="1:42">
      <c r="A59" s="23" t="s">
        <v>103</v>
      </c>
      <c r="B59" s="37"/>
      <c r="C59" s="37"/>
      <c r="D59" s="37"/>
      <c r="E59" s="37"/>
      <c r="F59" s="77">
        <v>2515.1179999999999</v>
      </c>
      <c r="G59" s="37"/>
      <c r="H59" s="37"/>
      <c r="I59" s="37">
        <v>2339.2310000000002</v>
      </c>
      <c r="J59" s="37"/>
      <c r="K59" s="37">
        <v>2357.7835</v>
      </c>
      <c r="L59" s="37">
        <v>2846.3980000000001</v>
      </c>
      <c r="M59" s="37">
        <v>2115.4229999999998</v>
      </c>
      <c r="N59" s="37">
        <v>2039.183</v>
      </c>
      <c r="O59" s="37">
        <v>2599.6970000000001</v>
      </c>
      <c r="P59" s="37">
        <v>3398.125</v>
      </c>
      <c r="Q59" s="37">
        <v>3769.569</v>
      </c>
      <c r="R59" s="37">
        <v>3165.5549999999998</v>
      </c>
      <c r="S59" s="37">
        <v>5071.6530000000002</v>
      </c>
      <c r="T59" s="23">
        <v>4312.4949999999999</v>
      </c>
      <c r="U59" s="23">
        <v>4739.8159999999998</v>
      </c>
      <c r="V59" s="23">
        <v>4765.0709999999999</v>
      </c>
      <c r="W59" s="23">
        <v>5307.0640000000003</v>
      </c>
      <c r="X59" s="2">
        <v>6868.7160000000003</v>
      </c>
      <c r="Y59" s="2">
        <v>5576.0129999999999</v>
      </c>
      <c r="Z59" s="2">
        <v>5539.1289999999999</v>
      </c>
      <c r="AA59" s="2">
        <v>8273.2029999999995</v>
      </c>
    </row>
    <row r="60" spans="1:42">
      <c r="A60" s="23" t="s">
        <v>104</v>
      </c>
      <c r="B60" s="37"/>
      <c r="C60" s="37"/>
      <c r="D60" s="37"/>
      <c r="E60" s="37"/>
      <c r="F60" s="77">
        <v>41327.982000000004</v>
      </c>
      <c r="G60" s="37"/>
      <c r="H60" s="37"/>
      <c r="I60" s="37">
        <v>49400.953999999998</v>
      </c>
      <c r="J60" s="37"/>
      <c r="K60" s="37">
        <v>54114.798999999999</v>
      </c>
      <c r="L60" s="37">
        <v>57298.54</v>
      </c>
      <c r="M60" s="37">
        <v>60474.618000000002</v>
      </c>
      <c r="N60" s="37">
        <v>66297.361999999994</v>
      </c>
      <c r="O60" s="37">
        <v>72520.547999999995</v>
      </c>
      <c r="P60" s="37">
        <v>76992.418000000005</v>
      </c>
      <c r="Q60" s="37">
        <v>82037.410999999993</v>
      </c>
      <c r="R60" s="37">
        <v>82521.989000000001</v>
      </c>
      <c r="S60" s="37">
        <v>83687.653000000006</v>
      </c>
      <c r="T60" s="23">
        <v>90908.432000000001</v>
      </c>
      <c r="U60" s="23">
        <v>97818.649000000005</v>
      </c>
      <c r="V60" s="23">
        <v>120248.618</v>
      </c>
      <c r="W60" s="23">
        <v>125387.15399999999</v>
      </c>
      <c r="X60" s="2">
        <v>129254.037</v>
      </c>
      <c r="Y60" s="2">
        <v>131145.204</v>
      </c>
      <c r="Z60" s="2">
        <v>133150.59599999999</v>
      </c>
      <c r="AA60" s="2">
        <v>130362.535</v>
      </c>
    </row>
    <row r="61" spans="1:42">
      <c r="A61" s="23" t="s">
        <v>106</v>
      </c>
      <c r="B61" s="37"/>
      <c r="C61" s="37"/>
      <c r="D61" s="37"/>
      <c r="E61" s="37"/>
      <c r="F61" s="77">
        <v>79374.805999999997</v>
      </c>
      <c r="G61" s="37"/>
      <c r="H61" s="37"/>
      <c r="I61" s="37">
        <v>111534.24400000001</v>
      </c>
      <c r="J61" s="37"/>
      <c r="K61" s="37">
        <v>119540.156</v>
      </c>
      <c r="L61" s="37">
        <v>119335.302</v>
      </c>
      <c r="M61" s="37">
        <v>143048.17499999999</v>
      </c>
      <c r="N61" s="37">
        <v>153100.62899999999</v>
      </c>
      <c r="O61" s="37">
        <v>166934.28200000001</v>
      </c>
      <c r="P61" s="37">
        <v>184240.94200000001</v>
      </c>
      <c r="Q61" s="37">
        <v>195300.23800000001</v>
      </c>
      <c r="R61" s="37">
        <v>198264.022</v>
      </c>
      <c r="S61" s="37">
        <v>213292.59899999999</v>
      </c>
      <c r="T61" s="23">
        <v>229806.74299999999</v>
      </c>
      <c r="U61" s="23">
        <v>258118.36600000001</v>
      </c>
      <c r="V61" s="23">
        <v>308848.16700000002</v>
      </c>
      <c r="W61" s="23">
        <v>309613.87</v>
      </c>
      <c r="X61" s="2">
        <v>322778.91600000003</v>
      </c>
      <c r="Y61" s="2">
        <v>331666.51400000002</v>
      </c>
      <c r="Z61" s="2">
        <v>343371.18599999999</v>
      </c>
      <c r="AA61" s="2">
        <v>362174.70899999997</v>
      </c>
    </row>
    <row r="62" spans="1:42">
      <c r="A62" s="23" t="s">
        <v>110</v>
      </c>
      <c r="B62" s="37"/>
      <c r="C62" s="37"/>
      <c r="D62" s="37"/>
      <c r="E62" s="37"/>
      <c r="F62" s="77">
        <v>34645.392</v>
      </c>
      <c r="G62" s="37"/>
      <c r="H62" s="37"/>
      <c r="I62" s="37">
        <v>43915.74</v>
      </c>
      <c r="J62" s="37"/>
      <c r="K62" s="37">
        <v>47668.126830000016</v>
      </c>
      <c r="L62" s="37">
        <v>50337.504999999997</v>
      </c>
      <c r="M62" s="37">
        <v>54298.749000000003</v>
      </c>
      <c r="N62" s="37">
        <v>59946.923000000003</v>
      </c>
      <c r="O62" s="37">
        <v>63162.25</v>
      </c>
      <c r="P62" s="37">
        <v>67450.039000000004</v>
      </c>
      <c r="Q62" s="37">
        <v>71831.887000000002</v>
      </c>
      <c r="R62" s="37">
        <v>76037.95</v>
      </c>
      <c r="S62" s="37">
        <v>78910.418999999994</v>
      </c>
      <c r="T62" s="23">
        <v>91058.513000000006</v>
      </c>
      <c r="U62" s="23">
        <v>101165.443</v>
      </c>
      <c r="V62" s="23">
        <v>115022.09299999999</v>
      </c>
      <c r="W62" s="23">
        <v>120865.73299999999</v>
      </c>
      <c r="X62" s="2">
        <v>124754.704</v>
      </c>
      <c r="Y62" s="2">
        <v>125375.36500000001</v>
      </c>
      <c r="Z62" s="2">
        <v>130225.36900000001</v>
      </c>
      <c r="AA62" s="2">
        <v>131503.842</v>
      </c>
    </row>
    <row r="63" spans="1:42">
      <c r="A63" s="23" t="s">
        <v>111</v>
      </c>
      <c r="B63" s="37"/>
      <c r="C63" s="37"/>
      <c r="D63" s="37"/>
      <c r="E63" s="37"/>
      <c r="F63" s="77">
        <v>3751.0929999999998</v>
      </c>
      <c r="G63" s="37"/>
      <c r="H63" s="37"/>
      <c r="I63" s="37">
        <v>4367.1390000000001</v>
      </c>
      <c r="J63" s="37"/>
      <c r="K63" s="37">
        <v>4811.433</v>
      </c>
      <c r="L63" s="37">
        <v>5516.1540000000005</v>
      </c>
      <c r="M63" s="37">
        <v>6132.5439999999999</v>
      </c>
      <c r="N63" s="37">
        <v>6390.201</v>
      </c>
      <c r="O63" s="37">
        <v>7021.3440000000001</v>
      </c>
      <c r="P63" s="37">
        <v>7074.1139999999996</v>
      </c>
      <c r="Q63" s="37">
        <v>7629.52</v>
      </c>
      <c r="R63" s="37">
        <v>8603.9339999999993</v>
      </c>
      <c r="S63" s="37">
        <v>8949.17</v>
      </c>
      <c r="T63" s="23">
        <v>9644.6299999999992</v>
      </c>
      <c r="U63" s="23">
        <v>10950.763999999999</v>
      </c>
      <c r="V63" s="23">
        <v>10283.501</v>
      </c>
      <c r="W63" s="23">
        <v>11717.254000000001</v>
      </c>
      <c r="X63" s="2">
        <v>12209.19</v>
      </c>
      <c r="Y63" s="2">
        <v>12559.239</v>
      </c>
      <c r="Z63" s="2">
        <v>13205.902</v>
      </c>
      <c r="AA63" s="2">
        <v>13326.852000000001</v>
      </c>
    </row>
    <row r="64" spans="1:42">
      <c r="A64" s="45" t="s">
        <v>114</v>
      </c>
      <c r="B64" s="63"/>
      <c r="C64" s="63"/>
      <c r="D64" s="63"/>
      <c r="E64" s="63"/>
      <c r="F64" s="82">
        <v>1336.5119999999999</v>
      </c>
      <c r="G64" s="63"/>
      <c r="H64" s="63"/>
      <c r="I64" s="63">
        <v>415.9</v>
      </c>
      <c r="J64" s="63"/>
      <c r="K64" s="63">
        <v>414.73500000000001</v>
      </c>
      <c r="L64" s="63">
        <v>547.71</v>
      </c>
      <c r="M64" s="63">
        <v>596.27700000000004</v>
      </c>
      <c r="N64" s="63">
        <v>831.37</v>
      </c>
      <c r="O64" s="63">
        <v>948.73</v>
      </c>
      <c r="P64" s="63">
        <v>967.56500000000005</v>
      </c>
      <c r="Q64" s="63">
        <v>950.005</v>
      </c>
      <c r="R64" s="63">
        <v>1032.3889999999999</v>
      </c>
      <c r="S64" s="63">
        <v>969.31299999999999</v>
      </c>
      <c r="T64" s="45">
        <v>1155.4469999999999</v>
      </c>
      <c r="U64" s="45">
        <v>2023.385</v>
      </c>
      <c r="V64" s="45">
        <v>1081.229</v>
      </c>
      <c r="W64" s="45">
        <v>1189.5360000000001</v>
      </c>
      <c r="X64" s="45">
        <v>1183.4179999999999</v>
      </c>
      <c r="Y64" s="45">
        <v>2555.2159999999999</v>
      </c>
      <c r="Z64" s="45">
        <v>2304.951</v>
      </c>
      <c r="AA64" s="45">
        <v>2675.6390000000001</v>
      </c>
    </row>
    <row r="65" spans="1:42">
      <c r="A65" s="88" t="s">
        <v>90</v>
      </c>
      <c r="B65" s="84"/>
      <c r="C65" s="84"/>
      <c r="D65" s="84"/>
      <c r="E65" s="84"/>
      <c r="F65" s="85">
        <v>0</v>
      </c>
      <c r="G65" s="84"/>
      <c r="H65" s="84"/>
      <c r="I65" s="86">
        <v>0</v>
      </c>
      <c r="J65" s="86"/>
      <c r="K65" s="86">
        <v>0</v>
      </c>
      <c r="L65" s="86">
        <v>0</v>
      </c>
      <c r="M65" s="86">
        <v>0</v>
      </c>
      <c r="N65" s="86">
        <v>0</v>
      </c>
      <c r="O65" s="86">
        <v>0</v>
      </c>
      <c r="P65" s="86">
        <v>0</v>
      </c>
      <c r="Q65" s="86">
        <v>0</v>
      </c>
      <c r="R65" s="86">
        <v>0</v>
      </c>
      <c r="S65" s="86">
        <v>0</v>
      </c>
      <c r="T65" s="87">
        <v>0</v>
      </c>
      <c r="U65" s="87"/>
      <c r="V65" s="87">
        <v>0</v>
      </c>
      <c r="W65" s="87">
        <v>0</v>
      </c>
      <c r="X65" s="45"/>
      <c r="Y65" s="45"/>
      <c r="Z65" s="45"/>
      <c r="AA65" s="45"/>
      <c r="AB65" s="23"/>
      <c r="AC65" s="23"/>
      <c r="AD65" s="23"/>
      <c r="AE65" s="23"/>
      <c r="AF65" s="23"/>
      <c r="AG65" s="23"/>
      <c r="AH65" s="23"/>
      <c r="AI65" s="23"/>
      <c r="AJ65" s="23"/>
      <c r="AK65" s="23"/>
      <c r="AL65" s="23"/>
      <c r="AM65" s="23"/>
      <c r="AN65" s="23"/>
      <c r="AO65" s="23"/>
      <c r="AP65" s="23"/>
    </row>
    <row r="67" spans="1:42">
      <c r="I67" s="34" t="s">
        <v>78</v>
      </c>
      <c r="J67" s="34" t="s">
        <v>76</v>
      </c>
      <c r="K67" s="34"/>
      <c r="L67" s="34" t="s">
        <v>69</v>
      </c>
      <c r="M67" s="34"/>
      <c r="N67" s="34"/>
      <c r="O67" s="34" t="s">
        <v>78</v>
      </c>
      <c r="P67" s="34" t="s">
        <v>78</v>
      </c>
      <c r="Q67" s="34" t="s">
        <v>78</v>
      </c>
      <c r="R67" s="34" t="s">
        <v>78</v>
      </c>
      <c r="S67" s="34"/>
      <c r="T67" s="34"/>
      <c r="U67" s="34"/>
      <c r="V67" s="34"/>
      <c r="W67" s="34"/>
    </row>
    <row r="68" spans="1:42">
      <c r="I68" s="14" t="s">
        <v>79</v>
      </c>
      <c r="J68" s="14" t="s">
        <v>72</v>
      </c>
      <c r="L68" s="14" t="s">
        <v>70</v>
      </c>
      <c r="O68" s="14" t="s">
        <v>79</v>
      </c>
      <c r="P68" s="14" t="s">
        <v>79</v>
      </c>
      <c r="Q68" s="14" t="s">
        <v>79</v>
      </c>
      <c r="R68" s="14" t="s">
        <v>79</v>
      </c>
    </row>
    <row r="69" spans="1:42">
      <c r="I69" s="14" t="s">
        <v>80</v>
      </c>
      <c r="J69" s="14" t="s">
        <v>73</v>
      </c>
      <c r="O69" s="14" t="s">
        <v>80</v>
      </c>
      <c r="P69" s="14" t="s">
        <v>80</v>
      </c>
      <c r="Q69" s="14" t="s">
        <v>80</v>
      </c>
      <c r="R69" s="14" t="s">
        <v>80</v>
      </c>
    </row>
    <row r="70" spans="1:42">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tabColor theme="4" tint="0.39997558519241921"/>
  </sheetPr>
  <dimension ref="A1:AQ70"/>
  <sheetViews>
    <sheetView showZeros="0" zoomScale="80" zoomScaleNormal="80" workbookViewId="0">
      <pane xSplit="1" ySplit="5" topLeftCell="R6" activePane="bottomRight" state="frozen"/>
      <selection activeCell="AC65" sqref="AC65"/>
      <selection pane="topRight" activeCell="AC65" sqref="AC65"/>
      <selection pane="bottomLeft" activeCell="AC65" sqref="AC65"/>
      <selection pane="bottomRight" activeCell="AA6" sqref="AA6"/>
    </sheetView>
  </sheetViews>
  <sheetFormatPr defaultColWidth="9.7109375" defaultRowHeight="12.75"/>
  <cols>
    <col min="1" max="1" width="23.42578125" style="80" customWidth="1"/>
    <col min="2" max="19" width="12.42578125" style="14" customWidth="1"/>
    <col min="20" max="23" width="12.42578125" style="2" customWidth="1"/>
    <col min="24" max="43" width="10.7109375" style="2" customWidth="1"/>
    <col min="44" max="16384" width="9.7109375" style="2"/>
  </cols>
  <sheetData>
    <row r="1" spans="1:27">
      <c r="A1" s="21" t="s">
        <v>39</v>
      </c>
      <c r="B1"/>
      <c r="C1"/>
      <c r="D1"/>
      <c r="E1"/>
      <c r="F1"/>
      <c r="G1"/>
      <c r="H1"/>
      <c r="I1"/>
      <c r="J1"/>
      <c r="K1"/>
      <c r="L1"/>
      <c r="M1"/>
      <c r="N1"/>
      <c r="O1" s="46"/>
      <c r="P1" s="46"/>
      <c r="Q1" s="46"/>
      <c r="R1" s="46"/>
      <c r="S1" s="46"/>
    </row>
    <row r="2" spans="1:27">
      <c r="A2" s="12"/>
      <c r="B2"/>
      <c r="C2"/>
      <c r="D2"/>
      <c r="E2"/>
      <c r="F2"/>
      <c r="G2"/>
      <c r="H2"/>
      <c r="I2"/>
      <c r="J2"/>
      <c r="K2"/>
      <c r="L2"/>
      <c r="M2"/>
      <c r="N2"/>
      <c r="O2" s="46"/>
      <c r="P2" s="46"/>
      <c r="Q2" s="46"/>
      <c r="R2" s="46"/>
      <c r="S2" s="46"/>
    </row>
    <row r="3" spans="1:27">
      <c r="A3" s="13" t="s">
        <v>23</v>
      </c>
      <c r="B3"/>
      <c r="C3"/>
      <c r="D3"/>
      <c r="E3"/>
      <c r="F3"/>
      <c r="G3"/>
      <c r="H3"/>
      <c r="I3"/>
      <c r="J3"/>
      <c r="K3"/>
      <c r="L3"/>
      <c r="M3"/>
      <c r="N3"/>
      <c r="O3" s="46"/>
      <c r="P3" s="46"/>
      <c r="Q3" s="46"/>
      <c r="R3" s="46"/>
      <c r="S3" s="46"/>
    </row>
    <row r="4" spans="1:27" s="65"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60">
        <v>2005</v>
      </c>
      <c r="R4" s="60">
        <v>2006</v>
      </c>
      <c r="S4" s="74">
        <v>2007</v>
      </c>
      <c r="T4" s="74">
        <v>2008</v>
      </c>
      <c r="U4" s="74">
        <v>2009</v>
      </c>
      <c r="V4" s="74">
        <v>2010</v>
      </c>
      <c r="W4" s="74">
        <v>2011</v>
      </c>
      <c r="X4" s="173" t="s">
        <v>142</v>
      </c>
      <c r="Y4" s="173" t="s">
        <v>144</v>
      </c>
      <c r="Z4" s="173" t="s">
        <v>145</v>
      </c>
      <c r="AA4" s="173" t="s">
        <v>146</v>
      </c>
    </row>
    <row r="5" spans="1:27" s="19" customFormat="1">
      <c r="B5" s="15" t="s">
        <v>1</v>
      </c>
      <c r="C5" s="15" t="s">
        <v>1</v>
      </c>
      <c r="D5" s="15" t="s">
        <v>1</v>
      </c>
      <c r="E5" s="15" t="s">
        <v>1</v>
      </c>
      <c r="F5" s="15" t="s">
        <v>1</v>
      </c>
      <c r="G5" s="15" t="s">
        <v>1</v>
      </c>
      <c r="H5" s="15" t="s">
        <v>1</v>
      </c>
      <c r="I5" s="15" t="s">
        <v>1</v>
      </c>
      <c r="J5" s="15" t="s">
        <v>1</v>
      </c>
      <c r="K5" s="15" t="s">
        <v>1</v>
      </c>
      <c r="L5" s="15" t="s">
        <v>1</v>
      </c>
      <c r="M5" s="15" t="s">
        <v>1</v>
      </c>
      <c r="N5" s="15" t="s">
        <v>1</v>
      </c>
      <c r="O5" s="15" t="s">
        <v>1</v>
      </c>
      <c r="P5" s="15" t="s">
        <v>1</v>
      </c>
      <c r="Q5" s="15" t="s">
        <v>1</v>
      </c>
      <c r="R5" s="15" t="s">
        <v>1</v>
      </c>
      <c r="S5" s="15" t="s">
        <v>1</v>
      </c>
      <c r="T5" s="15" t="s">
        <v>1</v>
      </c>
      <c r="U5" s="15" t="s">
        <v>1</v>
      </c>
      <c r="V5" s="15" t="s">
        <v>1</v>
      </c>
      <c r="W5" s="15" t="s">
        <v>1</v>
      </c>
      <c r="X5" s="19" t="s">
        <v>1</v>
      </c>
      <c r="Y5" s="19" t="s">
        <v>1</v>
      </c>
      <c r="Z5" s="19" t="s">
        <v>1</v>
      </c>
      <c r="AA5" s="19" t="s">
        <v>1</v>
      </c>
    </row>
    <row r="6" spans="1:27" s="23" customFormat="1">
      <c r="A6" s="63" t="s">
        <v>118</v>
      </c>
      <c r="B6" s="13">
        <f>1055226+2335917</f>
        <v>3391143</v>
      </c>
      <c r="C6" s="13">
        <f>1187413+2601142</f>
        <v>3788555</v>
      </c>
      <c r="D6" s="13">
        <f>1326109+2800086</f>
        <v>4126195</v>
      </c>
      <c r="E6" s="13">
        <v>5504007.966</v>
      </c>
      <c r="F6" s="91">
        <f>+F7+F25+F40+F54+F65</f>
        <v>5368806.6920000007</v>
      </c>
      <c r="G6" s="13">
        <v>6273329.3030000003</v>
      </c>
      <c r="H6" s="13">
        <v>6368953.2889999999</v>
      </c>
      <c r="I6" s="91">
        <f>+I7+I25+I40+I54+I65</f>
        <v>6277513.0700000003</v>
      </c>
      <c r="J6" s="14">
        <v>7381535.9850000003</v>
      </c>
      <c r="K6" s="91">
        <f t="shared" ref="K6:U6" si="0">+K7+K25+K40+K54+K65</f>
        <v>7690411.7177300015</v>
      </c>
      <c r="L6" s="91">
        <f t="shared" si="0"/>
        <v>8558993.716</v>
      </c>
      <c r="M6" s="91">
        <f t="shared" si="0"/>
        <v>9189970.3809999991</v>
      </c>
      <c r="N6" s="91">
        <f t="shared" si="0"/>
        <v>9384476.7650000006</v>
      </c>
      <c r="O6" s="91">
        <f t="shared" si="0"/>
        <v>9669276.0330000017</v>
      </c>
      <c r="P6" s="91">
        <f t="shared" si="0"/>
        <v>10074840.783</v>
      </c>
      <c r="Q6" s="91">
        <f t="shared" si="0"/>
        <v>10774727.204</v>
      </c>
      <c r="R6" s="91">
        <f t="shared" si="0"/>
        <v>11032494.245999999</v>
      </c>
      <c r="S6" s="91">
        <f t="shared" si="0"/>
        <v>11995112.602</v>
      </c>
      <c r="T6" s="91">
        <f t="shared" si="0"/>
        <v>13763290.6395</v>
      </c>
      <c r="U6" s="91">
        <f t="shared" si="0"/>
        <v>12954947.931</v>
      </c>
      <c r="V6" s="91">
        <f t="shared" ref="V6:W6" si="1">+V7+V25+V40+V54+V65</f>
        <v>15684467.185000002</v>
      </c>
      <c r="W6" s="91">
        <f t="shared" si="1"/>
        <v>16531298.530000001</v>
      </c>
      <c r="X6" s="91">
        <f t="shared" ref="X6:Y6" si="2">+X7+X25+X40+X54+X65</f>
        <v>16828207.550000001</v>
      </c>
      <c r="Y6" s="91">
        <f t="shared" si="2"/>
        <v>16989343.049999997</v>
      </c>
      <c r="Z6" s="91">
        <f t="shared" ref="Z6:AA6" si="3">+Z7+Z25+Z40+Z54+Z65</f>
        <v>18135608.756999996</v>
      </c>
      <c r="AA6" s="91">
        <f t="shared" si="3"/>
        <v>18733975.444000002</v>
      </c>
    </row>
    <row r="7" spans="1:27" s="23" customFormat="1">
      <c r="A7" s="22" t="s">
        <v>56</v>
      </c>
      <c r="B7" s="89">
        <f>SUM(B8:B24)</f>
        <v>1078160</v>
      </c>
      <c r="C7" s="89">
        <f t="shared" ref="C7:U7" si="4">SUM(C8:C24)</f>
        <v>1192716</v>
      </c>
      <c r="D7" s="89">
        <f t="shared" si="4"/>
        <v>1270697</v>
      </c>
      <c r="E7" s="89">
        <f t="shared" si="4"/>
        <v>1850694.6500000004</v>
      </c>
      <c r="F7" s="89">
        <f t="shared" si="4"/>
        <v>1778057.0549999997</v>
      </c>
      <c r="G7" s="89">
        <f t="shared" si="4"/>
        <v>1914952.7700000003</v>
      </c>
      <c r="H7" s="89">
        <f t="shared" si="4"/>
        <v>2072957.2949999999</v>
      </c>
      <c r="I7" s="89">
        <f t="shared" si="4"/>
        <v>2156035.3470000005</v>
      </c>
      <c r="J7" s="89">
        <f t="shared" si="4"/>
        <v>2423281.6910000006</v>
      </c>
      <c r="K7" s="89">
        <f t="shared" si="4"/>
        <v>2587288.0262000002</v>
      </c>
      <c r="L7" s="89">
        <f t="shared" si="4"/>
        <v>3074100.0960000004</v>
      </c>
      <c r="M7" s="89">
        <f t="shared" si="4"/>
        <v>3338736.054</v>
      </c>
      <c r="N7" s="89">
        <f t="shared" si="4"/>
        <v>3521504.7110000006</v>
      </c>
      <c r="O7" s="89">
        <f t="shared" si="4"/>
        <v>3856962.2990000001</v>
      </c>
      <c r="P7" s="89">
        <f t="shared" si="4"/>
        <v>3999130.0830000006</v>
      </c>
      <c r="Q7" s="89">
        <f t="shared" si="4"/>
        <v>4243248.085</v>
      </c>
      <c r="R7" s="89">
        <f t="shared" si="4"/>
        <v>4378229.0859999992</v>
      </c>
      <c r="S7" s="89">
        <f t="shared" si="4"/>
        <v>4657800.483</v>
      </c>
      <c r="T7" s="89">
        <f t="shared" si="4"/>
        <v>5179077.0039999997</v>
      </c>
      <c r="U7" s="89">
        <f t="shared" si="4"/>
        <v>4671628.2290000003</v>
      </c>
      <c r="V7" s="89">
        <f t="shared" ref="V7:W7" si="5">SUM(V8:V24)</f>
        <v>6077733.1580000008</v>
      </c>
      <c r="W7" s="89">
        <f t="shared" si="5"/>
        <v>6492697.9410000006</v>
      </c>
      <c r="X7" s="89">
        <f t="shared" ref="X7:Y7" si="6">SUM(X8:X24)</f>
        <v>6306887.6149999993</v>
      </c>
      <c r="Y7" s="89">
        <f t="shared" si="6"/>
        <v>6202515.7220000001</v>
      </c>
      <c r="Z7" s="89">
        <f t="shared" ref="Z7:AA7" si="7">SUM(Z8:Z24)</f>
        <v>6616237.4460000005</v>
      </c>
      <c r="AA7" s="89">
        <f t="shared" si="7"/>
        <v>6990617.4409999996</v>
      </c>
    </row>
    <row r="8" spans="1:27">
      <c r="A8" s="79" t="s">
        <v>119</v>
      </c>
    </row>
    <row r="9" spans="1:27">
      <c r="A9" s="22" t="s">
        <v>3</v>
      </c>
      <c r="B9" s="13">
        <f>16177+42175</f>
        <v>58352</v>
      </c>
      <c r="C9" s="13">
        <f>17141+47472</f>
        <v>64613</v>
      </c>
      <c r="D9" s="13">
        <f>18818+50530</f>
        <v>69348</v>
      </c>
      <c r="E9" s="13">
        <v>105839.224</v>
      </c>
      <c r="F9" s="76">
        <v>106416.753</v>
      </c>
      <c r="G9" s="13">
        <v>112638.735</v>
      </c>
      <c r="H9" s="13">
        <v>131048.189</v>
      </c>
      <c r="I9" s="13">
        <v>135989.50099999999</v>
      </c>
      <c r="J9" s="13">
        <v>151861.04199999999</v>
      </c>
      <c r="K9" s="13">
        <v>148042.80900000001</v>
      </c>
      <c r="L9" s="14">
        <v>184269.64799999999</v>
      </c>
      <c r="M9" s="14">
        <v>175727.90100000001</v>
      </c>
      <c r="N9" s="14">
        <v>194326.17800000001</v>
      </c>
      <c r="O9" s="14">
        <v>214676.72099999999</v>
      </c>
      <c r="P9" s="14">
        <v>242370.723</v>
      </c>
      <c r="Q9" s="14">
        <v>271576.42200000002</v>
      </c>
      <c r="R9" s="14">
        <v>300787.29399999999</v>
      </c>
      <c r="S9" s="14">
        <v>366885.859</v>
      </c>
      <c r="T9" s="2">
        <v>394020.61</v>
      </c>
      <c r="U9" s="2">
        <v>421801.88900000002</v>
      </c>
      <c r="V9" s="2">
        <v>467028.51699999999</v>
      </c>
      <c r="W9" s="2">
        <v>470404.29499999998</v>
      </c>
      <c r="X9" s="2">
        <v>470645.94</v>
      </c>
      <c r="Y9" s="2">
        <v>510165.03</v>
      </c>
      <c r="Z9" s="2">
        <v>539730.43799999997</v>
      </c>
      <c r="AA9" s="2">
        <v>568248.97499999998</v>
      </c>
    </row>
    <row r="10" spans="1:27">
      <c r="A10" s="22" t="s">
        <v>4</v>
      </c>
      <c r="B10" s="13">
        <f>12127+26967</f>
        <v>39094</v>
      </c>
      <c r="C10" s="13">
        <f>7578+29356</f>
        <v>36934</v>
      </c>
      <c r="D10" s="13">
        <f>8252+32807</f>
        <v>41059</v>
      </c>
      <c r="E10" s="13">
        <v>61166.894</v>
      </c>
      <c r="F10" s="76">
        <v>63170.288</v>
      </c>
      <c r="G10" s="13">
        <v>65708.453999999998</v>
      </c>
      <c r="H10" s="13">
        <v>72250.673999999999</v>
      </c>
      <c r="I10" s="14">
        <v>70663.222999999998</v>
      </c>
      <c r="J10" s="14">
        <v>75238.937999999995</v>
      </c>
      <c r="K10" s="14">
        <v>86081.116999999998</v>
      </c>
      <c r="L10" s="14">
        <v>94994.539000000004</v>
      </c>
      <c r="M10" s="14">
        <v>112395.101</v>
      </c>
      <c r="N10" s="14">
        <v>119207.63499999999</v>
      </c>
      <c r="O10" s="14">
        <v>126371.40399999999</v>
      </c>
      <c r="P10" s="14">
        <v>131553.49100000001</v>
      </c>
      <c r="Q10" s="14">
        <v>136513.084</v>
      </c>
      <c r="R10" s="14">
        <v>149120.36600000001</v>
      </c>
      <c r="S10" s="14">
        <v>154908.30799999999</v>
      </c>
      <c r="T10" s="2">
        <v>206761.321</v>
      </c>
      <c r="U10" s="2">
        <v>112509.361</v>
      </c>
      <c r="V10" s="2">
        <v>264908.41600000003</v>
      </c>
      <c r="W10" s="2">
        <v>278399.16100000002</v>
      </c>
      <c r="X10" s="2">
        <v>284210.01500000001</v>
      </c>
      <c r="Y10" s="2">
        <v>271327.00900000002</v>
      </c>
      <c r="Z10" s="2">
        <v>284951.57900000003</v>
      </c>
      <c r="AA10" s="2">
        <v>313399.48</v>
      </c>
    </row>
    <row r="11" spans="1:27">
      <c r="A11" s="22" t="s">
        <v>52</v>
      </c>
      <c r="B11" s="13"/>
      <c r="C11" s="13"/>
      <c r="D11" s="13">
        <f>14326+3685</f>
        <v>18011</v>
      </c>
      <c r="E11" s="13">
        <v>32558.920999999998</v>
      </c>
      <c r="F11" s="76">
        <v>32014.235000000001</v>
      </c>
      <c r="G11" s="13"/>
      <c r="H11" s="13"/>
      <c r="I11" s="14">
        <v>34135.535000000003</v>
      </c>
      <c r="J11" s="14">
        <v>36498.769</v>
      </c>
      <c r="K11" s="14">
        <v>38400.917999999998</v>
      </c>
      <c r="L11" s="14">
        <v>47011.919000000002</v>
      </c>
      <c r="M11" s="14">
        <v>49827.101999999999</v>
      </c>
      <c r="N11" s="14">
        <v>49903.553999999996</v>
      </c>
      <c r="O11" s="14">
        <v>54856.847000000002</v>
      </c>
      <c r="P11" s="14">
        <v>56567.218999999997</v>
      </c>
      <c r="Q11" s="14">
        <f>7926.239+57926.733</f>
        <v>65852.971999999994</v>
      </c>
      <c r="R11" s="14">
        <v>61754.654000000002</v>
      </c>
      <c r="S11" s="14">
        <v>68576.622000000003</v>
      </c>
      <c r="T11" s="2">
        <v>72824.740000000005</v>
      </c>
      <c r="U11" s="2">
        <v>76180.357000000004</v>
      </c>
      <c r="V11" s="2">
        <v>83083.320000000007</v>
      </c>
      <c r="W11" s="2">
        <v>89050.48</v>
      </c>
      <c r="X11" s="2">
        <v>102350.705</v>
      </c>
      <c r="Y11" s="2">
        <v>20690.146000000001</v>
      </c>
      <c r="Z11" s="2">
        <v>111840.781</v>
      </c>
      <c r="AA11" s="2">
        <v>116646.439</v>
      </c>
    </row>
    <row r="12" spans="1:27">
      <c r="A12" s="22" t="s">
        <v>5</v>
      </c>
      <c r="B12" s="13">
        <f>55491+57742</f>
        <v>113233</v>
      </c>
      <c r="C12" s="13">
        <f>65042+62889</f>
        <v>127931</v>
      </c>
      <c r="D12" s="13">
        <f>71460+64495</f>
        <v>135955</v>
      </c>
      <c r="E12" s="13">
        <v>169524.47099999999</v>
      </c>
      <c r="F12" s="76">
        <v>166484.59099999999</v>
      </c>
      <c r="G12" s="13">
        <v>176003.67300000001</v>
      </c>
      <c r="H12" s="13">
        <v>190286.11600000001</v>
      </c>
      <c r="I12" s="14">
        <v>189995.38500000001</v>
      </c>
      <c r="J12" s="14">
        <v>214721.46100000001</v>
      </c>
      <c r="K12" s="14">
        <v>225066.43900000001</v>
      </c>
      <c r="L12" s="14">
        <v>305956.234</v>
      </c>
      <c r="M12" s="14">
        <v>324437.39500000002</v>
      </c>
      <c r="N12" s="14">
        <v>301109.53399999999</v>
      </c>
      <c r="O12" s="14">
        <v>419777.31900000002</v>
      </c>
      <c r="P12" s="14">
        <v>454216.36700000003</v>
      </c>
      <c r="Q12" s="14">
        <v>524529.91899999999</v>
      </c>
      <c r="R12" s="14">
        <v>533657.63199999998</v>
      </c>
      <c r="S12" s="14">
        <v>534206.64800000004</v>
      </c>
      <c r="T12" s="2">
        <v>555260.22199999995</v>
      </c>
      <c r="U12" s="2">
        <v>532883.31499999994</v>
      </c>
      <c r="V12" s="2">
        <v>577836.01500000001</v>
      </c>
      <c r="W12" s="2">
        <v>625502.58299999998</v>
      </c>
      <c r="X12" s="2">
        <v>581845.45499999996</v>
      </c>
      <c r="Y12" s="2">
        <v>618801.78500000003</v>
      </c>
      <c r="Z12" s="2">
        <v>704879.8</v>
      </c>
      <c r="AA12" s="2">
        <v>736070.56</v>
      </c>
    </row>
    <row r="13" spans="1:27">
      <c r="A13" s="22" t="s">
        <v>6</v>
      </c>
      <c r="B13" s="13">
        <f>13449+104815</f>
        <v>118264</v>
      </c>
      <c r="C13" s="13">
        <f>16685+112297</f>
        <v>128982</v>
      </c>
      <c r="D13" s="13">
        <f>20736+68014</f>
        <v>88750</v>
      </c>
      <c r="E13" s="13">
        <v>139259.875</v>
      </c>
      <c r="F13" s="76">
        <v>139206.14000000001</v>
      </c>
      <c r="G13" s="13">
        <v>154078.08600000001</v>
      </c>
      <c r="H13" s="13">
        <v>169550.39300000001</v>
      </c>
      <c r="I13" s="14">
        <v>191639.37299999999</v>
      </c>
      <c r="J13" s="14">
        <v>210887.818</v>
      </c>
      <c r="K13" s="14">
        <v>227789.29500000001</v>
      </c>
      <c r="L13" s="14">
        <v>278820.87800000003</v>
      </c>
      <c r="M13" s="14">
        <v>272592.59299999999</v>
      </c>
      <c r="N13" s="14">
        <v>292429.00900000002</v>
      </c>
      <c r="O13" s="14">
        <v>334764.125</v>
      </c>
      <c r="P13" s="14">
        <v>309177.04300000001</v>
      </c>
      <c r="Q13" s="14">
        <v>295834.53200000001</v>
      </c>
      <c r="R13" s="14">
        <v>346737.19099999999</v>
      </c>
      <c r="S13" s="14">
        <v>372569.31900000002</v>
      </c>
      <c r="T13" s="2">
        <v>388569.41100000002</v>
      </c>
      <c r="U13" s="2">
        <v>344332.08500000002</v>
      </c>
      <c r="V13" s="2">
        <v>432485.62300000002</v>
      </c>
      <c r="W13" s="2">
        <v>457877.07</v>
      </c>
      <c r="X13" s="2">
        <v>492101.81</v>
      </c>
      <c r="Y13" s="2">
        <v>528076.49300000002</v>
      </c>
      <c r="Z13" s="2">
        <v>554070.06700000004</v>
      </c>
      <c r="AA13" s="2">
        <v>585781.28099999996</v>
      </c>
    </row>
    <row r="14" spans="1:27">
      <c r="A14" s="22" t="s">
        <v>7</v>
      </c>
      <c r="B14" s="13">
        <f>23033+30035</f>
        <v>53068</v>
      </c>
      <c r="C14" s="13">
        <f>27302+30944</f>
        <v>58246</v>
      </c>
      <c r="D14" s="13">
        <f>30396+32803</f>
        <v>63199</v>
      </c>
      <c r="E14" s="13">
        <v>90972.850999999995</v>
      </c>
      <c r="F14" s="76">
        <v>90404.212</v>
      </c>
      <c r="G14" s="13">
        <v>88181.467999999993</v>
      </c>
      <c r="H14" s="13">
        <v>90759.994999999995</v>
      </c>
      <c r="I14" s="14">
        <v>98549.364000000001</v>
      </c>
      <c r="J14" s="14">
        <v>103582.552</v>
      </c>
      <c r="K14" s="14">
        <v>110951.44500000001</v>
      </c>
      <c r="L14" s="14">
        <v>139663.693</v>
      </c>
      <c r="M14" s="14">
        <v>149491.37899999999</v>
      </c>
      <c r="N14" s="14">
        <v>155462.16800000001</v>
      </c>
      <c r="O14" s="14">
        <v>164985.52600000001</v>
      </c>
      <c r="P14" s="14">
        <v>167709.31099999999</v>
      </c>
      <c r="Q14" s="14">
        <v>177780.391</v>
      </c>
      <c r="R14" s="14">
        <v>183207.43900000001</v>
      </c>
      <c r="S14" s="14">
        <v>198921.88200000001</v>
      </c>
      <c r="T14" s="2">
        <v>221477.28099999999</v>
      </c>
      <c r="U14" s="2">
        <v>241127.96299999999</v>
      </c>
      <c r="V14" s="2">
        <v>307146.62599999999</v>
      </c>
      <c r="W14" s="2">
        <v>283633.38799999998</v>
      </c>
      <c r="X14" s="2">
        <v>306257.45199999999</v>
      </c>
      <c r="Y14" s="2">
        <v>292868.85100000002</v>
      </c>
      <c r="Z14" s="2">
        <v>295572.45699999999</v>
      </c>
      <c r="AA14" s="2">
        <v>329279.34999999998</v>
      </c>
    </row>
    <row r="15" spans="1:27">
      <c r="A15" s="22" t="s">
        <v>8</v>
      </c>
      <c r="B15" s="36">
        <f>15396+49302</f>
        <v>64698</v>
      </c>
      <c r="C15" s="36">
        <f>16006+52175</f>
        <v>68181</v>
      </c>
      <c r="D15" s="36">
        <f>19002+52097</f>
        <v>71099</v>
      </c>
      <c r="E15" s="36">
        <v>116043.485</v>
      </c>
      <c r="F15" s="77">
        <v>106952.692</v>
      </c>
      <c r="G15" s="36">
        <v>112955.781</v>
      </c>
      <c r="H15" s="36">
        <v>124676.355</v>
      </c>
      <c r="I15" s="37">
        <v>133040.41699999999</v>
      </c>
      <c r="J15" s="37">
        <v>152435.13699999999</v>
      </c>
      <c r="K15" s="37">
        <v>155785.476</v>
      </c>
      <c r="L15" s="37">
        <v>166123.86199999999</v>
      </c>
      <c r="M15" s="37">
        <v>165922.51999999999</v>
      </c>
      <c r="N15" s="37">
        <v>184021.1</v>
      </c>
      <c r="O15" s="37">
        <v>199333.519</v>
      </c>
      <c r="P15" s="37">
        <v>221918.32699999999</v>
      </c>
      <c r="Q15" s="37">
        <v>228400.516</v>
      </c>
      <c r="R15" s="37">
        <v>231276.323</v>
      </c>
      <c r="S15" s="37">
        <v>235672.946</v>
      </c>
      <c r="T15" s="23">
        <v>294750.57900000003</v>
      </c>
      <c r="U15" s="23">
        <v>258175.505</v>
      </c>
      <c r="V15" s="23">
        <v>286863.88</v>
      </c>
      <c r="W15" s="23">
        <v>293473.85800000001</v>
      </c>
      <c r="X15" s="2">
        <v>298305.12099999998</v>
      </c>
      <c r="Y15" s="2">
        <v>291353.62099999998</v>
      </c>
      <c r="Z15" s="2">
        <v>301766.49800000002</v>
      </c>
      <c r="AA15" s="2">
        <v>306115.05200000003</v>
      </c>
    </row>
    <row r="16" spans="1:27">
      <c r="A16" s="22" t="s">
        <v>9</v>
      </c>
      <c r="B16" s="36">
        <v>67345</v>
      </c>
      <c r="C16" s="36">
        <f>0+76020</f>
        <v>76020</v>
      </c>
      <c r="D16" s="36">
        <f>0+73993</f>
        <v>73993</v>
      </c>
      <c r="E16" s="36">
        <v>113962.914</v>
      </c>
      <c r="F16" s="77">
        <v>108831.735</v>
      </c>
      <c r="G16" s="36">
        <v>122001.535</v>
      </c>
      <c r="H16" s="36">
        <v>125317.353</v>
      </c>
      <c r="I16" s="37">
        <v>130326.145</v>
      </c>
      <c r="J16" s="37">
        <v>148056.69</v>
      </c>
      <c r="K16" s="37">
        <v>165759.21877000001</v>
      </c>
      <c r="L16" s="37">
        <v>197291.29800000001</v>
      </c>
      <c r="M16" s="37">
        <v>244953.93599999999</v>
      </c>
      <c r="N16" s="37">
        <v>272141.24800000002</v>
      </c>
      <c r="O16" s="37">
        <v>277132.94400000002</v>
      </c>
      <c r="P16" s="37">
        <v>296717.7</v>
      </c>
      <c r="Q16" s="37">
        <v>313417.96500000003</v>
      </c>
      <c r="R16" s="37">
        <v>325098.69099999999</v>
      </c>
      <c r="S16" s="37">
        <v>339911.152</v>
      </c>
      <c r="T16" s="23">
        <v>363086.09100000001</v>
      </c>
      <c r="U16" s="23">
        <v>314101.22200000001</v>
      </c>
      <c r="V16" s="23">
        <v>410017.24699999997</v>
      </c>
      <c r="W16" s="23">
        <v>421699.32500000001</v>
      </c>
      <c r="X16" s="2">
        <v>427935.12199999997</v>
      </c>
      <c r="Y16" s="2">
        <v>453320.49099999998</v>
      </c>
      <c r="Z16" s="2">
        <v>486853.83899999998</v>
      </c>
      <c r="AA16" s="2">
        <v>520192.06099999999</v>
      </c>
    </row>
    <row r="17" spans="1:27">
      <c r="A17" s="22" t="s">
        <v>10</v>
      </c>
      <c r="B17" s="36">
        <f>5234+22107</f>
        <v>27341</v>
      </c>
      <c r="C17" s="36">
        <f>5460+25000</f>
        <v>30460</v>
      </c>
      <c r="D17" s="36">
        <f>5740+27233</f>
        <v>32973</v>
      </c>
      <c r="E17" s="36">
        <v>55987.637000000002</v>
      </c>
      <c r="F17" s="77">
        <v>56769.635000000002</v>
      </c>
      <c r="G17" s="36">
        <v>64886.044999999998</v>
      </c>
      <c r="H17" s="36">
        <v>71773.472999999998</v>
      </c>
      <c r="I17" s="37">
        <v>79401.415999999997</v>
      </c>
      <c r="J17" s="37">
        <v>92004.460999999996</v>
      </c>
      <c r="K17" s="37">
        <v>98269.452000000005</v>
      </c>
      <c r="L17" s="37">
        <v>126323.15300000001</v>
      </c>
      <c r="M17" s="37">
        <v>104034.88099999999</v>
      </c>
      <c r="N17" s="37">
        <v>126750.30100000001</v>
      </c>
      <c r="O17" s="37">
        <v>143342.20499999999</v>
      </c>
      <c r="P17" s="37">
        <v>160754.57800000001</v>
      </c>
      <c r="Q17" s="37">
        <v>175378.59099999999</v>
      </c>
      <c r="R17" s="37">
        <v>195293.266</v>
      </c>
      <c r="S17" s="37">
        <v>207304.41200000001</v>
      </c>
      <c r="T17" s="23">
        <v>205174.33600000001</v>
      </c>
      <c r="U17" s="23">
        <v>145095.16399999999</v>
      </c>
      <c r="V17" s="23">
        <v>232831.14600000001</v>
      </c>
      <c r="W17" s="23">
        <v>241446.72399999999</v>
      </c>
      <c r="X17" s="2">
        <v>281729.86099999998</v>
      </c>
      <c r="Y17" s="2">
        <v>274540.73</v>
      </c>
      <c r="Z17" s="2">
        <v>306166.908</v>
      </c>
      <c r="AA17" s="2">
        <v>312415.46100000001</v>
      </c>
    </row>
    <row r="18" spans="1:27">
      <c r="A18" s="22" t="s">
        <v>11</v>
      </c>
      <c r="B18" s="36">
        <f>15053+50711</f>
        <v>65764</v>
      </c>
      <c r="C18" s="36">
        <f>17441+60188</f>
        <v>77629</v>
      </c>
      <c r="D18" s="36">
        <f>20184+68047</f>
        <v>88231</v>
      </c>
      <c r="E18" s="36">
        <v>128482.97100000001</v>
      </c>
      <c r="F18" s="77">
        <v>138945.30300000001</v>
      </c>
      <c r="G18" s="36">
        <v>163099.08300000001</v>
      </c>
      <c r="H18" s="36">
        <v>178193.43100000001</v>
      </c>
      <c r="I18" s="37">
        <v>175851.84599999999</v>
      </c>
      <c r="J18" s="37">
        <v>201870.65100000001</v>
      </c>
      <c r="K18" s="37">
        <v>219610.041</v>
      </c>
      <c r="L18" s="37">
        <v>227568.61900000001</v>
      </c>
      <c r="M18" s="37">
        <v>248679.802</v>
      </c>
      <c r="N18" s="37">
        <v>248038.91399999999</v>
      </c>
      <c r="O18" s="37">
        <v>275284.57</v>
      </c>
      <c r="P18" s="37">
        <v>300345.58600000001</v>
      </c>
      <c r="Q18" s="37">
        <v>321648.30300000001</v>
      </c>
      <c r="R18" s="37">
        <v>338693.71500000003</v>
      </c>
      <c r="S18" s="37">
        <v>377353.147</v>
      </c>
      <c r="T18" s="23">
        <v>409036.43199999997</v>
      </c>
      <c r="U18" s="23">
        <v>409423.37599999999</v>
      </c>
      <c r="V18" s="23">
        <v>466044.56099999999</v>
      </c>
      <c r="W18" s="23">
        <v>503878.44900000002</v>
      </c>
      <c r="X18" s="2">
        <v>497130.21299999999</v>
      </c>
      <c r="Y18" s="2">
        <v>537077.39300000004</v>
      </c>
      <c r="Z18" s="2">
        <v>548500.83400000003</v>
      </c>
      <c r="AA18" s="2">
        <v>576961.48199999996</v>
      </c>
    </row>
    <row r="19" spans="1:27">
      <c r="A19" s="22" t="s">
        <v>12</v>
      </c>
      <c r="B19" s="36">
        <v>26553</v>
      </c>
      <c r="C19" s="36">
        <f>0+27445</f>
        <v>27445</v>
      </c>
      <c r="D19" s="37">
        <f>0+35249</f>
        <v>35249</v>
      </c>
      <c r="E19" s="36">
        <v>53655.665000000001</v>
      </c>
      <c r="F19" s="77">
        <v>61821.163</v>
      </c>
      <c r="G19" s="36">
        <v>60734.328000000001</v>
      </c>
      <c r="H19" s="36">
        <v>52824.32</v>
      </c>
      <c r="I19" s="37">
        <v>52111.146999999997</v>
      </c>
      <c r="J19" s="37">
        <v>52513.252</v>
      </c>
      <c r="K19" s="37">
        <v>54748.401420000002</v>
      </c>
      <c r="L19" s="37">
        <v>86198.748999999996</v>
      </c>
      <c r="M19" s="37">
        <v>91358.822</v>
      </c>
      <c r="N19" s="37">
        <v>95557.841</v>
      </c>
      <c r="O19" s="37">
        <v>94719.010999999999</v>
      </c>
      <c r="P19" s="37">
        <v>100958.848</v>
      </c>
      <c r="Q19" s="37">
        <v>96635.341</v>
      </c>
      <c r="R19" s="37">
        <v>105943.34600000001</v>
      </c>
      <c r="S19" s="37">
        <v>119682.59</v>
      </c>
      <c r="T19" s="23">
        <v>176066.94500000001</v>
      </c>
      <c r="U19" s="23">
        <v>135462.88099999999</v>
      </c>
      <c r="V19" s="23">
        <v>206141.03</v>
      </c>
      <c r="W19" s="23">
        <v>183282.739</v>
      </c>
      <c r="X19" s="2">
        <v>191257.397</v>
      </c>
      <c r="Y19" s="2">
        <v>187925.57</v>
      </c>
      <c r="Z19" s="2">
        <v>201345.28700000001</v>
      </c>
      <c r="AA19" s="2">
        <v>198149.03200000001</v>
      </c>
    </row>
    <row r="20" spans="1:27">
      <c r="A20" s="22" t="s">
        <v>13</v>
      </c>
      <c r="B20" s="36">
        <f>22677+27968</f>
        <v>50645</v>
      </c>
      <c r="C20" s="36">
        <f>27197+31428</f>
        <v>58625</v>
      </c>
      <c r="D20" s="36">
        <f>30471+35297</f>
        <v>65768</v>
      </c>
      <c r="E20" s="36">
        <v>80272.808000000005</v>
      </c>
      <c r="F20" s="77">
        <v>75967.885999999999</v>
      </c>
      <c r="G20" s="36">
        <v>82416.588000000003</v>
      </c>
      <c r="H20" s="36">
        <v>89895.292000000001</v>
      </c>
      <c r="I20" s="37">
        <v>89379.650999999998</v>
      </c>
      <c r="J20" s="37">
        <v>101714.61</v>
      </c>
      <c r="K20" s="37">
        <v>96085.812999999995</v>
      </c>
      <c r="L20" s="37">
        <v>111780.204</v>
      </c>
      <c r="M20" s="37">
        <v>115191.90399999999</v>
      </c>
      <c r="N20" s="37">
        <v>114769.08500000001</v>
      </c>
      <c r="O20" s="37">
        <v>120626.341</v>
      </c>
      <c r="P20" s="37">
        <v>122884.804</v>
      </c>
      <c r="Q20" s="37">
        <v>141767.73300000001</v>
      </c>
      <c r="R20" s="37">
        <v>157955.394</v>
      </c>
      <c r="S20" s="37">
        <v>166655.03099999999</v>
      </c>
      <c r="T20" s="23">
        <v>194221.399</v>
      </c>
      <c r="U20" s="23">
        <v>148226.791</v>
      </c>
      <c r="V20" s="23">
        <v>211807.641</v>
      </c>
      <c r="W20" s="23">
        <v>228823.94699999999</v>
      </c>
      <c r="X20" s="2">
        <v>256361.111</v>
      </c>
      <c r="Y20" s="2">
        <v>267794.84899999999</v>
      </c>
      <c r="Z20" s="2">
        <v>270628.70299999998</v>
      </c>
      <c r="AA20" s="2">
        <v>300205.01</v>
      </c>
    </row>
    <row r="21" spans="1:27" s="17" customFormat="1">
      <c r="A21" s="22" t="s">
        <v>14</v>
      </c>
      <c r="B21" s="36">
        <f>8134+33670</f>
        <v>41804</v>
      </c>
      <c r="C21" s="36">
        <f>10084+37996</f>
        <v>48080</v>
      </c>
      <c r="D21" s="36">
        <f>14182+42869</f>
        <v>57051</v>
      </c>
      <c r="E21" s="36">
        <v>89051.832999999999</v>
      </c>
      <c r="F21" s="77">
        <v>68443.402000000002</v>
      </c>
      <c r="G21" s="36">
        <v>88367.207999999999</v>
      </c>
      <c r="H21" s="36">
        <v>100297.58</v>
      </c>
      <c r="I21" s="37">
        <v>88271.164000000004</v>
      </c>
      <c r="J21" s="37">
        <v>120464.531</v>
      </c>
      <c r="K21" s="37">
        <v>121487.71034000001</v>
      </c>
      <c r="L21" s="37">
        <v>104216.181</v>
      </c>
      <c r="M21" s="37">
        <v>130686.77800000001</v>
      </c>
      <c r="N21" s="37">
        <v>135146.50700000001</v>
      </c>
      <c r="O21" s="37">
        <v>152000.29199999999</v>
      </c>
      <c r="P21" s="37">
        <v>149812.07800000001</v>
      </c>
      <c r="Q21" s="37">
        <v>157953.10200000001</v>
      </c>
      <c r="R21" s="37">
        <v>166522.215</v>
      </c>
      <c r="S21" s="37">
        <v>180386.42800000001</v>
      </c>
      <c r="T21" s="23">
        <v>203474.8</v>
      </c>
      <c r="U21" s="23">
        <v>207036.304</v>
      </c>
      <c r="V21" s="23">
        <v>233510.35699999999</v>
      </c>
      <c r="W21" s="23">
        <v>241554.07399999999</v>
      </c>
      <c r="X21" s="23">
        <v>279101.27</v>
      </c>
      <c r="Y21" s="2">
        <v>275792.272</v>
      </c>
      <c r="Z21" s="2">
        <v>295653.04700000002</v>
      </c>
      <c r="AA21" s="2">
        <v>282530.46100000001</v>
      </c>
    </row>
    <row r="22" spans="1:27">
      <c r="A22" s="22" t="s">
        <v>15</v>
      </c>
      <c r="B22" s="36">
        <f>75027+169449</f>
        <v>244476</v>
      </c>
      <c r="C22" s="36">
        <f>80316+177333</f>
        <v>257649</v>
      </c>
      <c r="D22" s="36">
        <f>97621+194460</f>
        <v>292081</v>
      </c>
      <c r="E22" s="36">
        <v>424172.65100000001</v>
      </c>
      <c r="F22" s="77">
        <v>375165.94099999999</v>
      </c>
      <c r="G22" s="36">
        <v>428691.201</v>
      </c>
      <c r="H22" s="36">
        <v>456602.20400000003</v>
      </c>
      <c r="I22" s="37">
        <v>462746.29700000002</v>
      </c>
      <c r="J22" s="37">
        <v>529101.10100000002</v>
      </c>
      <c r="K22" s="37">
        <v>582833.74600000004</v>
      </c>
      <c r="L22" s="37">
        <v>687913.23400000005</v>
      </c>
      <c r="M22" s="37">
        <v>824341.42299999995</v>
      </c>
      <c r="N22" s="37">
        <v>890965.27899999998</v>
      </c>
      <c r="O22" s="37">
        <v>943141.09299999999</v>
      </c>
      <c r="P22" s="37">
        <v>942469.14899999998</v>
      </c>
      <c r="Q22" s="37">
        <v>957269.31900000002</v>
      </c>
      <c r="R22" s="37">
        <v>856648.53599999996</v>
      </c>
      <c r="S22" s="37">
        <v>875765.9</v>
      </c>
      <c r="T22" s="23">
        <v>987176.76399999997</v>
      </c>
      <c r="U22" s="23">
        <v>792058.56299999997</v>
      </c>
      <c r="V22" s="23">
        <v>1283700.9580000001</v>
      </c>
      <c r="W22" s="23">
        <v>1545585.352</v>
      </c>
      <c r="X22" s="2">
        <v>1194286.6259999999</v>
      </c>
      <c r="Y22" s="2">
        <v>1026512.874</v>
      </c>
      <c r="Z22" s="2">
        <v>1041994.348</v>
      </c>
      <c r="AA22" s="2">
        <v>1102301.6839999999</v>
      </c>
    </row>
    <row r="23" spans="1:27">
      <c r="A23" s="22" t="s">
        <v>16</v>
      </c>
      <c r="B23" s="36">
        <f>25492+55966</f>
        <v>81458</v>
      </c>
      <c r="C23" s="36">
        <f>33867+69277</f>
        <v>103144</v>
      </c>
      <c r="D23" s="36">
        <f>34671+71639</f>
        <v>106310</v>
      </c>
      <c r="E23" s="36">
        <v>141770.12</v>
      </c>
      <c r="F23" s="77">
        <v>144325.4</v>
      </c>
      <c r="G23" s="36">
        <v>147108.34</v>
      </c>
      <c r="H23" s="36">
        <v>163831.98699999999</v>
      </c>
      <c r="I23" s="37">
        <v>171832.96400000001</v>
      </c>
      <c r="J23" s="37">
        <v>172275.524</v>
      </c>
      <c r="K23" s="37">
        <v>193235.39300000001</v>
      </c>
      <c r="L23" s="37">
        <v>236812.38699999999</v>
      </c>
      <c r="M23" s="37">
        <v>246122.97399999999</v>
      </c>
      <c r="N23" s="37">
        <v>250081.565</v>
      </c>
      <c r="O23" s="37">
        <v>233409.788</v>
      </c>
      <c r="P23" s="37">
        <v>243785.25</v>
      </c>
      <c r="Q23" s="37">
        <v>276407.91800000001</v>
      </c>
      <c r="R23" s="37">
        <v>305131.27399999998</v>
      </c>
      <c r="S23" s="37">
        <v>335300.04700000002</v>
      </c>
      <c r="T23" s="23">
        <v>372439.68900000001</v>
      </c>
      <c r="U23" s="23">
        <v>389152.03700000001</v>
      </c>
      <c r="V23" s="23">
        <v>443267.16</v>
      </c>
      <c r="W23" s="23">
        <v>439385.79700000002</v>
      </c>
      <c r="X23" s="2">
        <v>443832.88400000002</v>
      </c>
      <c r="Y23" s="2">
        <v>458683.283</v>
      </c>
      <c r="Z23" s="2">
        <v>485257.40500000003</v>
      </c>
      <c r="AA23" s="2">
        <v>529412.50100000005</v>
      </c>
    </row>
    <row r="24" spans="1:27">
      <c r="A24" s="83" t="s">
        <v>17</v>
      </c>
      <c r="B24" s="66">
        <f>14301+11764</f>
        <v>26065</v>
      </c>
      <c r="C24" s="66">
        <f>14891+13886</f>
        <v>28777</v>
      </c>
      <c r="D24" s="66">
        <f>16522+15098</f>
        <v>31620</v>
      </c>
      <c r="E24" s="66">
        <v>47972.33</v>
      </c>
      <c r="F24" s="82">
        <v>43137.678999999996</v>
      </c>
      <c r="G24" s="66">
        <v>48082.245000000003</v>
      </c>
      <c r="H24" s="66">
        <v>55649.932999999997</v>
      </c>
      <c r="I24" s="63">
        <v>52101.919000000002</v>
      </c>
      <c r="J24" s="63">
        <v>60055.154000000002</v>
      </c>
      <c r="K24" s="63">
        <v>63140.751670000005</v>
      </c>
      <c r="L24" s="63">
        <v>79155.498000000007</v>
      </c>
      <c r="M24" s="63">
        <v>82971.543000000005</v>
      </c>
      <c r="N24" s="63">
        <v>91594.793000000005</v>
      </c>
      <c r="O24" s="63">
        <v>102540.594</v>
      </c>
      <c r="P24" s="63">
        <v>97889.608999999997</v>
      </c>
      <c r="Q24" s="63">
        <v>102281.977</v>
      </c>
      <c r="R24" s="63">
        <v>120401.75</v>
      </c>
      <c r="S24" s="63">
        <v>123700.192</v>
      </c>
      <c r="T24" s="45">
        <v>134736.38399999999</v>
      </c>
      <c r="U24" s="45">
        <v>144061.416</v>
      </c>
      <c r="V24" s="45">
        <v>171060.66099999999</v>
      </c>
      <c r="W24" s="45">
        <v>188700.69899999999</v>
      </c>
      <c r="X24" s="45">
        <v>199536.633</v>
      </c>
      <c r="Y24" s="45">
        <v>187585.32500000001</v>
      </c>
      <c r="Z24" s="45">
        <v>187025.45499999999</v>
      </c>
      <c r="AA24" s="45">
        <v>212908.61199999999</v>
      </c>
    </row>
    <row r="25" spans="1:27" s="23" customFormat="1">
      <c r="A25" s="79" t="s">
        <v>120</v>
      </c>
      <c r="B25" s="90">
        <f>SUM(B27:B39)</f>
        <v>0</v>
      </c>
      <c r="C25" s="90">
        <f t="shared" ref="C25:AA25" si="8">SUM(C27:C39)</f>
        <v>0</v>
      </c>
      <c r="D25" s="90">
        <f t="shared" si="8"/>
        <v>0</v>
      </c>
      <c r="E25" s="90">
        <f t="shared" si="8"/>
        <v>0</v>
      </c>
      <c r="F25" s="90">
        <f t="shared" si="8"/>
        <v>1177103.8929999999</v>
      </c>
      <c r="G25" s="90">
        <f t="shared" si="8"/>
        <v>0</v>
      </c>
      <c r="H25" s="90">
        <f t="shared" si="8"/>
        <v>0</v>
      </c>
      <c r="I25" s="90">
        <f t="shared" si="8"/>
        <v>1382224.1259999999</v>
      </c>
      <c r="J25" s="90">
        <f t="shared" si="8"/>
        <v>0</v>
      </c>
      <c r="K25" s="90">
        <f t="shared" si="8"/>
        <v>1800117.4312600004</v>
      </c>
      <c r="L25" s="90">
        <f t="shared" si="8"/>
        <v>1836469.7189999998</v>
      </c>
      <c r="M25" s="90">
        <f t="shared" si="8"/>
        <v>2006372.0859999997</v>
      </c>
      <c r="N25" s="90">
        <f t="shared" si="8"/>
        <v>2058778.3099999998</v>
      </c>
      <c r="O25" s="90">
        <f t="shared" si="8"/>
        <v>2074614.8379999998</v>
      </c>
      <c r="P25" s="90">
        <f t="shared" si="8"/>
        <v>2105225.622</v>
      </c>
      <c r="Q25" s="90">
        <f t="shared" si="8"/>
        <v>2164316.87</v>
      </c>
      <c r="R25" s="90">
        <f t="shared" si="8"/>
        <v>2318052.7599999998</v>
      </c>
      <c r="S25" s="90">
        <f t="shared" si="8"/>
        <v>2568989.6239999998</v>
      </c>
      <c r="T25" s="90">
        <f t="shared" si="8"/>
        <v>3033957.2140000006</v>
      </c>
      <c r="U25" s="90">
        <f t="shared" si="8"/>
        <v>2781640.6179999998</v>
      </c>
      <c r="V25" s="90">
        <f t="shared" si="8"/>
        <v>3229009.969</v>
      </c>
      <c r="W25" s="90">
        <f t="shared" si="8"/>
        <v>3379568.3000000003</v>
      </c>
      <c r="X25" s="90">
        <f t="shared" si="8"/>
        <v>3679573.6310000001</v>
      </c>
      <c r="Y25" s="90">
        <f t="shared" si="8"/>
        <v>3906490.4109999994</v>
      </c>
      <c r="Z25" s="90">
        <f t="shared" si="8"/>
        <v>4247028.9909999985</v>
      </c>
      <c r="AA25" s="90">
        <f t="shared" si="8"/>
        <v>4552914.7260000007</v>
      </c>
    </row>
    <row r="26" spans="1:27">
      <c r="A26" s="79" t="s">
        <v>119</v>
      </c>
      <c r="B26" s="37"/>
      <c r="C26" s="37"/>
      <c r="D26" s="37"/>
      <c r="E26" s="37"/>
      <c r="F26" s="37"/>
      <c r="G26" s="37"/>
      <c r="H26" s="37"/>
      <c r="I26" s="37"/>
      <c r="J26" s="37"/>
      <c r="K26" s="37"/>
      <c r="L26" s="37"/>
      <c r="M26" s="37"/>
      <c r="N26" s="37"/>
      <c r="O26" s="37"/>
      <c r="P26" s="37"/>
      <c r="Q26" s="37"/>
      <c r="R26" s="37"/>
      <c r="S26" s="37"/>
      <c r="T26" s="23"/>
      <c r="U26" s="23"/>
      <c r="V26" s="23"/>
      <c r="W26" s="23"/>
      <c r="X26" s="2">
        <v>0</v>
      </c>
      <c r="Y26" s="2" t="e">
        <f>#REF!/1000</f>
        <v>#REF!</v>
      </c>
    </row>
    <row r="27" spans="1:27">
      <c r="A27" s="23" t="s">
        <v>85</v>
      </c>
      <c r="B27" s="36"/>
      <c r="C27" s="36"/>
      <c r="D27" s="37"/>
      <c r="E27" s="36"/>
      <c r="F27" s="77">
        <v>21184.012999999999</v>
      </c>
      <c r="G27" s="36"/>
      <c r="H27" s="36"/>
      <c r="I27" s="37">
        <v>24999.924999999999</v>
      </c>
      <c r="J27" s="37"/>
      <c r="K27" s="37">
        <v>46367.457000000002</v>
      </c>
      <c r="L27" s="37">
        <v>26420.436000000002</v>
      </c>
      <c r="M27" s="37">
        <v>28116.322</v>
      </c>
      <c r="N27" s="37">
        <v>28917.031999999999</v>
      </c>
      <c r="O27" s="37">
        <v>29825.54</v>
      </c>
      <c r="P27" s="37">
        <v>31948.316999999999</v>
      </c>
      <c r="Q27" s="37">
        <v>34735.072</v>
      </c>
      <c r="R27" s="37">
        <v>37984.385000000002</v>
      </c>
      <c r="S27" s="37">
        <v>43637.982000000004</v>
      </c>
      <c r="T27" s="23">
        <v>46683.527000000002</v>
      </c>
      <c r="U27" s="23">
        <v>63905.370999999999</v>
      </c>
      <c r="V27" s="23">
        <v>62377.675999999999</v>
      </c>
      <c r="W27" s="23">
        <v>61267.63</v>
      </c>
      <c r="X27" s="2">
        <v>67064.434999999998</v>
      </c>
      <c r="Y27" s="2">
        <v>70832.012000000002</v>
      </c>
      <c r="Z27" s="2">
        <v>74079.691000000006</v>
      </c>
      <c r="AA27" s="2">
        <v>76078.44</v>
      </c>
    </row>
    <row r="28" spans="1:27">
      <c r="A28" s="23" t="s">
        <v>86</v>
      </c>
      <c r="B28" s="36"/>
      <c r="C28" s="36"/>
      <c r="D28" s="36"/>
      <c r="E28" s="36"/>
      <c r="F28" s="77">
        <v>89243.255000000005</v>
      </c>
      <c r="G28" s="36"/>
      <c r="H28" s="36"/>
      <c r="I28" s="37">
        <v>107028.689</v>
      </c>
      <c r="J28" s="37"/>
      <c r="K28" s="37">
        <v>119143.05</v>
      </c>
      <c r="L28" s="37">
        <v>136656.92000000001</v>
      </c>
      <c r="M28" s="37">
        <v>140264.86499999999</v>
      </c>
      <c r="N28" s="37">
        <v>151338.32</v>
      </c>
      <c r="O28" s="37">
        <v>151516.30499999999</v>
      </c>
      <c r="P28" s="37">
        <v>161034.42300000001</v>
      </c>
      <c r="Q28" s="37">
        <v>181100.682</v>
      </c>
      <c r="R28" s="37">
        <v>210406.239</v>
      </c>
      <c r="S28" s="37">
        <v>223749.76000000001</v>
      </c>
      <c r="T28" s="23">
        <v>251436.79999999999</v>
      </c>
      <c r="U28" s="23">
        <v>247973.01699999999</v>
      </c>
      <c r="V28" s="23">
        <v>281105.22499999998</v>
      </c>
      <c r="W28" s="23">
        <v>296038.93199999997</v>
      </c>
      <c r="X28" s="2">
        <v>305383.24900000001</v>
      </c>
      <c r="Y28" s="2">
        <v>309325.462</v>
      </c>
      <c r="Z28" s="2">
        <v>347508.33600000001</v>
      </c>
      <c r="AA28" s="2">
        <v>389112.038</v>
      </c>
    </row>
    <row r="29" spans="1:27">
      <c r="A29" s="23" t="s">
        <v>87</v>
      </c>
      <c r="B29" s="36"/>
      <c r="C29" s="36"/>
      <c r="D29" s="36"/>
      <c r="E29" s="36"/>
      <c r="F29" s="77">
        <v>619485.11699999997</v>
      </c>
      <c r="G29" s="36"/>
      <c r="H29" s="36"/>
      <c r="I29" s="37">
        <v>737394.41299999994</v>
      </c>
      <c r="J29" s="37"/>
      <c r="K29" s="37">
        <v>969125.00800000003</v>
      </c>
      <c r="L29" s="37">
        <v>972659.63199999998</v>
      </c>
      <c r="M29" s="37">
        <v>1087833.1499999999</v>
      </c>
      <c r="N29" s="37">
        <v>1056051.6229999999</v>
      </c>
      <c r="O29" s="37">
        <v>1112657.0009999999</v>
      </c>
      <c r="P29" s="37">
        <v>1113166.7220000001</v>
      </c>
      <c r="Q29" s="37">
        <v>1014513.4790000001</v>
      </c>
      <c r="R29" s="37">
        <v>1108538.727</v>
      </c>
      <c r="S29" s="37">
        <v>1214508.8929999999</v>
      </c>
      <c r="T29" s="23">
        <v>1457506.9750000001</v>
      </c>
      <c r="U29" s="23">
        <v>1377310.5360000001</v>
      </c>
      <c r="V29" s="23">
        <v>1491846.6850000001</v>
      </c>
      <c r="W29" s="23">
        <v>1592308.192</v>
      </c>
      <c r="X29" s="2">
        <v>1806338.1769999999</v>
      </c>
      <c r="Y29" s="2">
        <v>1861687.004</v>
      </c>
      <c r="Z29" s="2">
        <v>2056957.4029999999</v>
      </c>
      <c r="AA29" s="2">
        <v>2160610.199</v>
      </c>
    </row>
    <row r="30" spans="1:27">
      <c r="A30" s="23" t="s">
        <v>88</v>
      </c>
      <c r="B30" s="36"/>
      <c r="C30" s="36"/>
      <c r="D30" s="36"/>
      <c r="E30" s="36"/>
      <c r="F30" s="77">
        <v>97766.271999999997</v>
      </c>
      <c r="G30" s="36"/>
      <c r="H30" s="36"/>
      <c r="I30" s="37">
        <v>113842.72199999999</v>
      </c>
      <c r="J30" s="37"/>
      <c r="K30" s="37">
        <v>127402.30018000001</v>
      </c>
      <c r="L30" s="37">
        <v>115902.33199999999</v>
      </c>
      <c r="M30" s="37">
        <v>126189.30499999999</v>
      </c>
      <c r="N30" s="37">
        <v>119815.499</v>
      </c>
      <c r="O30" s="37">
        <v>111970.21400000001</v>
      </c>
      <c r="P30" s="37">
        <v>84669.774000000005</v>
      </c>
      <c r="Q30" s="37">
        <v>164069.027</v>
      </c>
      <c r="R30" s="37">
        <v>131769.21900000001</v>
      </c>
      <c r="S30" s="37">
        <v>142710.86199999999</v>
      </c>
      <c r="T30" s="23">
        <v>162772.16099999999</v>
      </c>
      <c r="U30" s="23">
        <v>168016.83100000001</v>
      </c>
      <c r="V30" s="23">
        <v>192445.1</v>
      </c>
      <c r="W30" s="23">
        <v>192090.34400000001</v>
      </c>
      <c r="X30" s="2">
        <v>220260.533</v>
      </c>
      <c r="Y30" s="2">
        <v>234637.894</v>
      </c>
      <c r="Z30" s="2">
        <v>275453.64399999997</v>
      </c>
      <c r="AA30" s="2">
        <v>315572.84100000001</v>
      </c>
    </row>
    <row r="31" spans="1:27">
      <c r="A31" s="23" t="s">
        <v>91</v>
      </c>
      <c r="B31" s="36"/>
      <c r="C31" s="36"/>
      <c r="D31" s="36"/>
      <c r="E31" s="36"/>
      <c r="F31" s="77">
        <v>10036.58</v>
      </c>
      <c r="G31" s="36"/>
      <c r="H31" s="36"/>
      <c r="I31" s="37">
        <v>9884.34</v>
      </c>
      <c r="J31" s="37"/>
      <c r="K31" s="37">
        <v>46378.853999999999</v>
      </c>
      <c r="L31" s="37">
        <v>11236.846</v>
      </c>
      <c r="M31" s="37">
        <v>14520.579</v>
      </c>
      <c r="N31" s="37">
        <v>13583.927</v>
      </c>
      <c r="O31" s="37">
        <v>12858.205</v>
      </c>
      <c r="P31" s="37">
        <v>16844.882000000001</v>
      </c>
      <c r="Q31" s="37">
        <v>19182.044999999998</v>
      </c>
      <c r="R31" s="37">
        <v>19661.452000000001</v>
      </c>
      <c r="S31" s="37">
        <v>22357.263999999999</v>
      </c>
      <c r="T31" s="23">
        <v>28439.9</v>
      </c>
      <c r="U31" s="23">
        <v>27897.812000000002</v>
      </c>
      <c r="V31" s="23">
        <v>24617.558000000001</v>
      </c>
      <c r="W31" s="23">
        <v>30102.136999999999</v>
      </c>
      <c r="X31" s="2">
        <v>33413.974999999999</v>
      </c>
      <c r="Y31" s="2">
        <v>54299.695</v>
      </c>
      <c r="Z31" s="2">
        <v>40691.792000000001</v>
      </c>
      <c r="AA31" s="2">
        <v>40018.118999999999</v>
      </c>
    </row>
    <row r="32" spans="1:27">
      <c r="A32" s="23" t="s">
        <v>92</v>
      </c>
      <c r="B32" s="36"/>
      <c r="C32" s="36"/>
      <c r="D32" s="36"/>
      <c r="E32" s="36"/>
      <c r="F32" s="77">
        <v>28653.394</v>
      </c>
      <c r="G32" s="36"/>
      <c r="H32" s="36"/>
      <c r="I32" s="37">
        <v>29604.134999999998</v>
      </c>
      <c r="J32" s="37"/>
      <c r="K32" s="37">
        <v>31786.98</v>
      </c>
      <c r="L32" s="37">
        <v>41767.275999999998</v>
      </c>
      <c r="M32" s="37">
        <v>47443.445</v>
      </c>
      <c r="N32" s="37">
        <v>58309.182000000001</v>
      </c>
      <c r="O32" s="37">
        <v>60072.002</v>
      </c>
      <c r="P32" s="37">
        <v>48601.595999999998</v>
      </c>
      <c r="Q32" s="37">
        <v>54058.99</v>
      </c>
      <c r="R32" s="37">
        <v>51147.224000000002</v>
      </c>
      <c r="S32" s="37">
        <v>55406.588000000003</v>
      </c>
      <c r="T32" s="23">
        <v>70066.771999999997</v>
      </c>
      <c r="U32" s="23">
        <v>74279.422000000006</v>
      </c>
      <c r="V32" s="23">
        <v>78218.180999999997</v>
      </c>
      <c r="W32" s="23">
        <v>75434.592999999993</v>
      </c>
      <c r="X32" s="2">
        <v>77455.945999999996</v>
      </c>
      <c r="Y32" s="2">
        <v>80311.675000000003</v>
      </c>
      <c r="Z32" s="2">
        <v>88579.404999999999</v>
      </c>
      <c r="AA32" s="2">
        <v>96461.274000000005</v>
      </c>
    </row>
    <row r="33" spans="1:43">
      <c r="A33" s="23" t="s">
        <v>100</v>
      </c>
      <c r="B33" s="37"/>
      <c r="C33" s="37"/>
      <c r="D33" s="37"/>
      <c r="E33" s="37"/>
      <c r="F33" s="77">
        <v>16525.89</v>
      </c>
      <c r="G33" s="37"/>
      <c r="H33" s="37"/>
      <c r="I33" s="37">
        <v>18228.496999999999</v>
      </c>
      <c r="J33" s="37"/>
      <c r="K33" s="37">
        <v>26667.207999999999</v>
      </c>
      <c r="L33" s="37">
        <v>26668.683000000001</v>
      </c>
      <c r="M33" s="37">
        <v>28493.735000000001</v>
      </c>
      <c r="N33" s="37">
        <v>23344.511999999999</v>
      </c>
      <c r="O33" s="37">
        <v>32280.9</v>
      </c>
      <c r="P33" s="37">
        <v>32322.718000000001</v>
      </c>
      <c r="Q33" s="37">
        <v>38352.165999999997</v>
      </c>
      <c r="R33" s="37">
        <v>40453.896999999997</v>
      </c>
      <c r="S33" s="37">
        <v>43827.591</v>
      </c>
      <c r="T33" s="23">
        <v>47433.27</v>
      </c>
      <c r="U33" s="23">
        <v>52085.656000000003</v>
      </c>
      <c r="V33" s="23">
        <v>57804.561999999998</v>
      </c>
      <c r="W33" s="23">
        <v>58563.292999999998</v>
      </c>
      <c r="X33" s="2">
        <v>59911.792999999998</v>
      </c>
      <c r="Y33" s="2">
        <v>60085.139000000003</v>
      </c>
      <c r="Z33" s="2">
        <v>62681.196000000004</v>
      </c>
      <c r="AA33" s="2">
        <v>64750.724999999999</v>
      </c>
    </row>
    <row r="34" spans="1:43">
      <c r="A34" s="23" t="s">
        <v>102</v>
      </c>
      <c r="B34" s="37"/>
      <c r="C34" s="37"/>
      <c r="D34" s="37"/>
      <c r="E34" s="37"/>
      <c r="F34" s="77">
        <v>25968.707999999999</v>
      </c>
      <c r="G34" s="37"/>
      <c r="H34" s="37"/>
      <c r="I34" s="37">
        <v>30009.348000000002</v>
      </c>
      <c r="J34" s="37"/>
      <c r="K34" s="37">
        <v>37393.512000000002</v>
      </c>
      <c r="L34" s="37">
        <v>43070.171999999999</v>
      </c>
      <c r="M34" s="37">
        <v>46199.095000000001</v>
      </c>
      <c r="N34" s="37">
        <v>47937.750999999997</v>
      </c>
      <c r="O34" s="37">
        <v>49668.913</v>
      </c>
      <c r="P34" s="37">
        <v>67673.001000000004</v>
      </c>
      <c r="Q34" s="37">
        <v>73011.498999999996</v>
      </c>
      <c r="R34" s="37">
        <v>80678.748000000007</v>
      </c>
      <c r="S34" s="37">
        <v>86514.591</v>
      </c>
      <c r="T34" s="23">
        <v>92330.505999999994</v>
      </c>
      <c r="U34" s="23">
        <v>64970.506000000001</v>
      </c>
      <c r="V34" s="23">
        <v>79325.072</v>
      </c>
      <c r="W34" s="23">
        <v>75991.076000000001</v>
      </c>
      <c r="X34" s="2">
        <v>77862.997000000003</v>
      </c>
      <c r="Y34" s="2">
        <v>79211.879000000001</v>
      </c>
      <c r="Z34" s="2">
        <v>78156.558999999994</v>
      </c>
      <c r="AA34" s="2">
        <v>94717.224000000002</v>
      </c>
    </row>
    <row r="35" spans="1:43">
      <c r="A35" s="23" t="s">
        <v>105</v>
      </c>
      <c r="B35" s="37"/>
      <c r="C35" s="37"/>
      <c r="D35" s="37"/>
      <c r="E35" s="37"/>
      <c r="F35" s="77">
        <v>34581.24</v>
      </c>
      <c r="G35" s="37"/>
      <c r="H35" s="37"/>
      <c r="I35" s="37">
        <v>45678.733999999997</v>
      </c>
      <c r="J35" s="37"/>
      <c r="K35" s="37">
        <v>50645.013079999997</v>
      </c>
      <c r="L35" s="37">
        <v>49375.057000000001</v>
      </c>
      <c r="M35" s="37">
        <v>57663.692000000003</v>
      </c>
      <c r="N35" s="37">
        <v>60616.807000000001</v>
      </c>
      <c r="O35" s="37">
        <v>65850.767999999996</v>
      </c>
      <c r="P35" s="37">
        <v>64350.726000000002</v>
      </c>
      <c r="Q35" s="37">
        <v>81838.308000000005</v>
      </c>
      <c r="R35" s="37">
        <v>86764.994999999995</v>
      </c>
      <c r="S35" s="37">
        <v>92892.346000000005</v>
      </c>
      <c r="T35" s="23">
        <v>102555.32799999999</v>
      </c>
      <c r="U35" s="23">
        <v>104478.79</v>
      </c>
      <c r="V35" s="23">
        <v>108053.738</v>
      </c>
      <c r="W35" s="23">
        <v>109958.694</v>
      </c>
      <c r="X35" s="2">
        <v>112664.90399999999</v>
      </c>
      <c r="Y35" s="2">
        <v>110612.495</v>
      </c>
      <c r="Z35" s="2">
        <v>116549.447</v>
      </c>
      <c r="AA35" s="2">
        <v>128543.504</v>
      </c>
    </row>
    <row r="36" spans="1:43">
      <c r="A36" s="23" t="s">
        <v>109</v>
      </c>
      <c r="B36" s="37"/>
      <c r="C36" s="37"/>
      <c r="D36" s="37"/>
      <c r="E36" s="37"/>
      <c r="F36" s="77">
        <v>60869.080999999998</v>
      </c>
      <c r="G36" s="37"/>
      <c r="H36" s="37"/>
      <c r="I36" s="37">
        <v>65758.278999999995</v>
      </c>
      <c r="J36" s="37"/>
      <c r="K36" s="37">
        <v>110040.745</v>
      </c>
      <c r="L36" s="37">
        <v>114549.197</v>
      </c>
      <c r="M36" s="37">
        <v>115936.292</v>
      </c>
      <c r="N36" s="37">
        <v>140017.51699999999</v>
      </c>
      <c r="O36" s="37">
        <v>136483.83799999999</v>
      </c>
      <c r="P36" s="37">
        <v>143057.323</v>
      </c>
      <c r="Q36" s="37">
        <v>151502.19500000001</v>
      </c>
      <c r="R36" s="37">
        <v>169608.73499999999</v>
      </c>
      <c r="S36" s="37">
        <v>197754.552</v>
      </c>
      <c r="T36" s="23">
        <v>273403.783</v>
      </c>
      <c r="U36" s="23">
        <v>149405.47899999999</v>
      </c>
      <c r="V36" s="23">
        <v>285122.13099999999</v>
      </c>
      <c r="W36" s="23">
        <v>305189.00699999998</v>
      </c>
      <c r="X36" s="2">
        <v>324652.495</v>
      </c>
      <c r="Y36" s="2">
        <v>341305.98800000001</v>
      </c>
      <c r="Z36" s="2">
        <v>388478.26299999998</v>
      </c>
      <c r="AA36" s="2">
        <v>406980.04200000002</v>
      </c>
    </row>
    <row r="37" spans="1:43">
      <c r="A37" s="23" t="s">
        <v>113</v>
      </c>
      <c r="B37" s="37"/>
      <c r="C37" s="37"/>
      <c r="D37" s="37"/>
      <c r="E37" s="37"/>
      <c r="F37" s="77">
        <v>48882.218999999997</v>
      </c>
      <c r="G37" s="37"/>
      <c r="H37" s="37"/>
      <c r="I37" s="37">
        <v>60943.17</v>
      </c>
      <c r="J37" s="37"/>
      <c r="K37" s="37">
        <v>84180.159</v>
      </c>
      <c r="L37" s="37">
        <v>124054.63800000001</v>
      </c>
      <c r="M37" s="37">
        <v>113985.27800000001</v>
      </c>
      <c r="N37" s="37">
        <v>115330.95600000001</v>
      </c>
      <c r="O37" s="37">
        <v>111058.08</v>
      </c>
      <c r="P37" s="37">
        <v>129977.999</v>
      </c>
      <c r="Q37" s="37">
        <v>125985.239</v>
      </c>
      <c r="R37" s="37">
        <v>151017.761</v>
      </c>
      <c r="S37" s="37">
        <v>159607.834</v>
      </c>
      <c r="T37" s="23">
        <v>166849.111</v>
      </c>
      <c r="U37" s="23">
        <v>164169.59</v>
      </c>
      <c r="V37" s="23">
        <v>221918.14199999999</v>
      </c>
      <c r="W37" s="23">
        <v>238728.88500000001</v>
      </c>
      <c r="X37" s="2">
        <v>232475.37700000001</v>
      </c>
      <c r="Y37" s="2">
        <v>265404.022</v>
      </c>
      <c r="Z37" s="2">
        <v>234522.209</v>
      </c>
      <c r="AA37" s="2">
        <v>278814</v>
      </c>
    </row>
    <row r="38" spans="1:43">
      <c r="A38" s="23" t="s">
        <v>115</v>
      </c>
      <c r="B38" s="37"/>
      <c r="C38" s="37"/>
      <c r="D38" s="37"/>
      <c r="E38" s="37"/>
      <c r="F38" s="77">
        <v>111209.514</v>
      </c>
      <c r="G38" s="37"/>
      <c r="H38" s="37"/>
      <c r="I38" s="37">
        <v>123574.162</v>
      </c>
      <c r="J38" s="37"/>
      <c r="K38" s="37">
        <v>137538.47200000001</v>
      </c>
      <c r="L38" s="37">
        <v>156358.285</v>
      </c>
      <c r="M38" s="37">
        <v>178367.51800000001</v>
      </c>
      <c r="N38" s="37">
        <v>223192.04199999999</v>
      </c>
      <c r="O38" s="37">
        <v>177894.79</v>
      </c>
      <c r="P38" s="37">
        <v>187101.76699999999</v>
      </c>
      <c r="Q38" s="37">
        <v>198099.93400000001</v>
      </c>
      <c r="R38" s="37">
        <v>200663.663</v>
      </c>
      <c r="S38" s="37">
        <v>257769.315</v>
      </c>
      <c r="T38" s="23">
        <v>300609.36200000002</v>
      </c>
      <c r="U38" s="23">
        <v>257142.58499999999</v>
      </c>
      <c r="V38" s="23">
        <v>302716.30900000001</v>
      </c>
      <c r="W38" s="23">
        <v>302455.28000000003</v>
      </c>
      <c r="X38" s="2">
        <v>318626.84600000002</v>
      </c>
      <c r="Y38" s="2">
        <v>391701.76000000001</v>
      </c>
      <c r="Z38" s="2">
        <v>432278.80699999997</v>
      </c>
      <c r="AA38" s="2">
        <v>446684.62199999997</v>
      </c>
    </row>
    <row r="39" spans="1:43">
      <c r="A39" s="45" t="s">
        <v>117</v>
      </c>
      <c r="B39" s="63"/>
      <c r="C39" s="63"/>
      <c r="D39" s="63"/>
      <c r="E39" s="63"/>
      <c r="F39" s="82">
        <v>12698.61</v>
      </c>
      <c r="G39" s="63"/>
      <c r="H39" s="63"/>
      <c r="I39" s="63">
        <v>15277.712</v>
      </c>
      <c r="J39" s="63"/>
      <c r="K39" s="63">
        <v>13448.673000000001</v>
      </c>
      <c r="L39" s="63">
        <v>17750.244999999999</v>
      </c>
      <c r="M39" s="63">
        <v>21358.81</v>
      </c>
      <c r="N39" s="63">
        <v>20323.142</v>
      </c>
      <c r="O39" s="63">
        <v>22478.281999999999</v>
      </c>
      <c r="P39" s="63">
        <v>24476.374</v>
      </c>
      <c r="Q39" s="63">
        <v>27868.234</v>
      </c>
      <c r="R39" s="63">
        <v>29357.715</v>
      </c>
      <c r="S39" s="63">
        <v>28252.045999999998</v>
      </c>
      <c r="T39" s="45">
        <v>33869.718999999997</v>
      </c>
      <c r="U39" s="45">
        <v>30005.023000000001</v>
      </c>
      <c r="V39" s="45">
        <v>43459.59</v>
      </c>
      <c r="W39" s="45">
        <v>41440.237000000001</v>
      </c>
      <c r="X39" s="45">
        <v>43462.904000000002</v>
      </c>
      <c r="Y39" s="45">
        <v>47075.385999999999</v>
      </c>
      <c r="Z39" s="45">
        <v>51092.239000000001</v>
      </c>
      <c r="AA39" s="45">
        <v>54571.697999999997</v>
      </c>
      <c r="AB39" s="23"/>
      <c r="AC39" s="23"/>
      <c r="AD39" s="23"/>
      <c r="AE39" s="23"/>
      <c r="AF39" s="23"/>
      <c r="AG39" s="23"/>
      <c r="AH39" s="23"/>
      <c r="AI39" s="23"/>
      <c r="AJ39" s="23"/>
      <c r="AK39" s="23"/>
      <c r="AL39" s="23"/>
      <c r="AM39" s="23"/>
      <c r="AN39" s="23"/>
      <c r="AO39" s="23"/>
      <c r="AP39" s="23"/>
      <c r="AQ39" s="23"/>
    </row>
    <row r="40" spans="1:43" s="23" customFormat="1">
      <c r="A40" s="79" t="s">
        <v>121</v>
      </c>
      <c r="B40" s="90">
        <f>SUM(B42:B53)</f>
        <v>0</v>
      </c>
      <c r="C40" s="90">
        <f t="shared" ref="C40:AA40" si="9">SUM(C42:C53)</f>
        <v>0</v>
      </c>
      <c r="D40" s="90">
        <f t="shared" si="9"/>
        <v>0</v>
      </c>
      <c r="E40" s="90">
        <f t="shared" si="9"/>
        <v>0</v>
      </c>
      <c r="F40" s="90">
        <f t="shared" si="9"/>
        <v>1293265.986</v>
      </c>
      <c r="G40" s="90">
        <f t="shared" si="9"/>
        <v>0</v>
      </c>
      <c r="H40" s="90">
        <f t="shared" si="9"/>
        <v>0</v>
      </c>
      <c r="I40" s="90">
        <f t="shared" si="9"/>
        <v>1433162.65</v>
      </c>
      <c r="J40" s="90">
        <f t="shared" si="9"/>
        <v>0</v>
      </c>
      <c r="K40" s="90">
        <f t="shared" si="9"/>
        <v>1706058.86622</v>
      </c>
      <c r="L40" s="90">
        <f t="shared" si="9"/>
        <v>1975026.352</v>
      </c>
      <c r="M40" s="90">
        <f t="shared" si="9"/>
        <v>2204165.0269999998</v>
      </c>
      <c r="N40" s="90">
        <f t="shared" si="9"/>
        <v>2187156.855</v>
      </c>
      <c r="O40" s="90">
        <f t="shared" si="9"/>
        <v>2226656.227</v>
      </c>
      <c r="P40" s="90">
        <f t="shared" si="9"/>
        <v>2370004.6680000001</v>
      </c>
      <c r="Q40" s="90">
        <f t="shared" si="9"/>
        <v>2347347.7309999997</v>
      </c>
      <c r="R40" s="90">
        <f t="shared" si="9"/>
        <v>2393164.6990000005</v>
      </c>
      <c r="S40" s="90">
        <f t="shared" si="9"/>
        <v>2613305.31</v>
      </c>
      <c r="T40" s="90">
        <f t="shared" si="9"/>
        <v>3010458.6680000005</v>
      </c>
      <c r="U40" s="90">
        <f t="shared" si="9"/>
        <v>3132593.5720000002</v>
      </c>
      <c r="V40" s="90">
        <f t="shared" si="9"/>
        <v>3385869.7470000004</v>
      </c>
      <c r="W40" s="90">
        <f t="shared" si="9"/>
        <v>3553641.0019999999</v>
      </c>
      <c r="X40" s="90">
        <f t="shared" si="9"/>
        <v>3629719.585</v>
      </c>
      <c r="Y40" s="90">
        <f t="shared" si="9"/>
        <v>3752676.8420000006</v>
      </c>
      <c r="Z40" s="90">
        <f t="shared" si="9"/>
        <v>3934581.2749999994</v>
      </c>
      <c r="AA40" s="90">
        <f t="shared" si="9"/>
        <v>3967875.463</v>
      </c>
    </row>
    <row r="41" spans="1:43">
      <c r="A41" s="79" t="s">
        <v>119</v>
      </c>
      <c r="B41" s="37"/>
      <c r="C41" s="37"/>
      <c r="D41" s="37"/>
      <c r="E41" s="37"/>
      <c r="F41" s="37"/>
      <c r="G41" s="37"/>
      <c r="H41" s="37"/>
      <c r="I41" s="37"/>
      <c r="J41" s="37"/>
      <c r="K41" s="37"/>
      <c r="L41" s="37"/>
      <c r="M41" s="37"/>
      <c r="N41" s="37"/>
      <c r="O41" s="37"/>
      <c r="P41" s="37"/>
      <c r="Q41" s="37"/>
      <c r="R41" s="37"/>
      <c r="S41" s="37"/>
      <c r="T41" s="23"/>
      <c r="U41" s="23"/>
      <c r="V41" s="23"/>
      <c r="W41" s="23"/>
      <c r="X41" s="2">
        <v>0</v>
      </c>
      <c r="Y41" s="2" t="e">
        <f>#REF!/1000</f>
        <v>#REF!</v>
      </c>
    </row>
    <row r="42" spans="1:43">
      <c r="A42" s="23" t="s">
        <v>93</v>
      </c>
      <c r="B42" s="36"/>
      <c r="C42" s="36"/>
      <c r="D42" s="36"/>
      <c r="E42" s="36"/>
      <c r="F42" s="77">
        <v>168430.386</v>
      </c>
      <c r="G42" s="36"/>
      <c r="H42" s="36"/>
      <c r="I42" s="37">
        <v>195191.49400000001</v>
      </c>
      <c r="J42" s="37"/>
      <c r="K42" s="37">
        <v>331093.973</v>
      </c>
      <c r="L42" s="37">
        <v>303114.36599999998</v>
      </c>
      <c r="M42" s="37">
        <v>313238.95699999999</v>
      </c>
      <c r="N42" s="37">
        <v>279475.67200000002</v>
      </c>
      <c r="O42" s="37">
        <v>268473.94500000001</v>
      </c>
      <c r="P42" s="37">
        <v>390929.84399999998</v>
      </c>
      <c r="Q42" s="37">
        <v>312781.19</v>
      </c>
      <c r="R42" s="37">
        <v>237766.18799999999</v>
      </c>
      <c r="S42" s="37">
        <v>266252.86099999998</v>
      </c>
      <c r="T42" s="23">
        <v>304098.48</v>
      </c>
      <c r="U42" s="23">
        <v>329381.58</v>
      </c>
      <c r="V42" s="23">
        <v>375926.80099999998</v>
      </c>
      <c r="W42" s="23">
        <v>364109.19300000003</v>
      </c>
      <c r="X42" s="2">
        <v>384242.36200000002</v>
      </c>
      <c r="Y42" s="2">
        <v>449877.10600000003</v>
      </c>
      <c r="Z42" s="2">
        <v>480676.41499999998</v>
      </c>
      <c r="AA42" s="2">
        <v>462463.478</v>
      </c>
    </row>
    <row r="43" spans="1:43">
      <c r="A43" s="23" t="s">
        <v>58</v>
      </c>
      <c r="B43" s="36"/>
      <c r="C43" s="36"/>
      <c r="D43" s="36"/>
      <c r="E43" s="36"/>
      <c r="F43" s="77">
        <v>153920.41899999999</v>
      </c>
      <c r="G43" s="36"/>
      <c r="H43" s="36"/>
      <c r="I43" s="37">
        <v>155895.272</v>
      </c>
      <c r="J43" s="37"/>
      <c r="K43" s="37">
        <v>188410.67600000001</v>
      </c>
      <c r="L43" s="37">
        <v>218040.51699999999</v>
      </c>
      <c r="M43" s="37">
        <v>233802.905</v>
      </c>
      <c r="N43" s="37">
        <v>346161.37800000003</v>
      </c>
      <c r="O43" s="37">
        <v>303845.36800000002</v>
      </c>
      <c r="P43" s="37">
        <v>307481.56099999999</v>
      </c>
      <c r="Q43" s="37">
        <v>334229.80599999998</v>
      </c>
      <c r="R43" s="37">
        <v>346246.60600000003</v>
      </c>
      <c r="S43" s="37">
        <v>410441.90100000001</v>
      </c>
      <c r="T43" s="23">
        <v>446986.08</v>
      </c>
      <c r="U43" s="23">
        <v>408484.50900000002</v>
      </c>
      <c r="V43" s="23">
        <v>427473.76899999997</v>
      </c>
      <c r="W43" s="23">
        <v>450521.30800000002</v>
      </c>
      <c r="X43" s="2">
        <v>500888.609</v>
      </c>
      <c r="Y43" s="2">
        <v>432908.57400000002</v>
      </c>
      <c r="Z43" s="2">
        <v>460129.81699999998</v>
      </c>
      <c r="AA43" s="2">
        <v>459393.04100000003</v>
      </c>
    </row>
    <row r="44" spans="1:43">
      <c r="A44" s="23" t="s">
        <v>94</v>
      </c>
      <c r="B44" s="36"/>
      <c r="C44" s="36"/>
      <c r="D44" s="36"/>
      <c r="E44" s="36"/>
      <c r="F44" s="77">
        <v>52173.438999999998</v>
      </c>
      <c r="G44" s="36"/>
      <c r="H44" s="36"/>
      <c r="I44" s="37">
        <v>72975.168999999994</v>
      </c>
      <c r="J44" s="37"/>
      <c r="K44" s="37">
        <v>71055.09</v>
      </c>
      <c r="L44" s="37">
        <v>83444.138000000006</v>
      </c>
      <c r="M44" s="37">
        <v>108760.44100000001</v>
      </c>
      <c r="N44" s="37">
        <v>99831.213000000003</v>
      </c>
      <c r="O44" s="37">
        <v>123724.558</v>
      </c>
      <c r="P44" s="37">
        <v>110700.367</v>
      </c>
      <c r="Q44" s="37">
        <v>111410.522</v>
      </c>
      <c r="R44" s="37">
        <v>109681.17</v>
      </c>
      <c r="S44" s="37">
        <v>108574.399</v>
      </c>
      <c r="T44" s="23">
        <v>122585.781</v>
      </c>
      <c r="U44" s="23">
        <v>148341.04</v>
      </c>
      <c r="V44" s="23">
        <v>171326.07399999999</v>
      </c>
      <c r="W44" s="23">
        <v>167387.815</v>
      </c>
      <c r="X44" s="2">
        <v>151711.894</v>
      </c>
      <c r="Y44" s="2">
        <v>166025.13200000001</v>
      </c>
      <c r="Z44" s="2">
        <v>151874.26699999999</v>
      </c>
      <c r="AA44" s="2">
        <v>174417.88099999999</v>
      </c>
    </row>
    <row r="45" spans="1:43">
      <c r="A45" s="23" t="s">
        <v>95</v>
      </c>
      <c r="B45" s="36"/>
      <c r="C45" s="36"/>
      <c r="D45" s="36"/>
      <c r="E45" s="36"/>
      <c r="F45" s="77">
        <v>59369.548000000003</v>
      </c>
      <c r="G45" s="36"/>
      <c r="H45" s="36"/>
      <c r="I45" s="37">
        <v>71673.273000000001</v>
      </c>
      <c r="J45" s="37"/>
      <c r="K45" s="37">
        <v>77351.970799999996</v>
      </c>
      <c r="L45" s="37">
        <v>101257.156</v>
      </c>
      <c r="M45" s="37">
        <v>86529.766000000003</v>
      </c>
      <c r="N45" s="37">
        <v>95146.123999999996</v>
      </c>
      <c r="O45" s="37">
        <v>91478.373000000007</v>
      </c>
      <c r="P45" s="37">
        <v>91179.267000000007</v>
      </c>
      <c r="Q45" s="37">
        <v>98906.123000000007</v>
      </c>
      <c r="R45" s="37">
        <v>103919.38499999999</v>
      </c>
      <c r="S45" s="37">
        <v>109479.72199999999</v>
      </c>
      <c r="T45" s="23">
        <v>120840.626</v>
      </c>
      <c r="U45" s="23">
        <v>121579.29300000001</v>
      </c>
      <c r="V45" s="23">
        <v>140498.85500000001</v>
      </c>
      <c r="W45" s="23">
        <v>152933.73800000001</v>
      </c>
      <c r="X45" s="2">
        <v>160596.36300000001</v>
      </c>
      <c r="Y45" s="2">
        <v>167059.73800000001</v>
      </c>
      <c r="Z45" s="2">
        <v>172676.18700000001</v>
      </c>
      <c r="AA45" s="2">
        <v>173894.39</v>
      </c>
    </row>
    <row r="46" spans="1:43">
      <c r="A46" s="23" t="s">
        <v>98</v>
      </c>
      <c r="B46" s="36"/>
      <c r="C46" s="36"/>
      <c r="D46" s="36"/>
      <c r="E46" s="37"/>
      <c r="F46" s="77">
        <v>248103.96100000001</v>
      </c>
      <c r="G46" s="36"/>
      <c r="H46" s="36"/>
      <c r="I46" s="37">
        <v>270270.17300000001</v>
      </c>
      <c r="J46" s="37"/>
      <c r="K46" s="37">
        <v>287084.88</v>
      </c>
      <c r="L46" s="37">
        <v>361673.88699999999</v>
      </c>
      <c r="M46" s="37">
        <v>396260.86800000002</v>
      </c>
      <c r="N46" s="37">
        <v>401830.288</v>
      </c>
      <c r="O46" s="37">
        <v>413500.44199999998</v>
      </c>
      <c r="P46" s="37">
        <v>394263.85600000003</v>
      </c>
      <c r="Q46" s="37">
        <v>409435.51799999998</v>
      </c>
      <c r="R46" s="37">
        <v>449112.61700000003</v>
      </c>
      <c r="S46" s="37">
        <v>470277.77899999998</v>
      </c>
      <c r="T46" s="23">
        <v>572869.35600000003</v>
      </c>
      <c r="U46" s="23">
        <v>625179.04500000004</v>
      </c>
      <c r="V46" s="23">
        <v>638129.49199999997</v>
      </c>
      <c r="W46" s="23">
        <v>638372.52599999995</v>
      </c>
      <c r="X46" s="2">
        <v>668046.74800000002</v>
      </c>
      <c r="Y46" s="2">
        <v>679842.84299999999</v>
      </c>
      <c r="Z46" s="2">
        <v>693514.07700000005</v>
      </c>
      <c r="AA46" s="2">
        <v>737740.64199999999</v>
      </c>
    </row>
    <row r="47" spans="1:43">
      <c r="A47" s="23" t="s">
        <v>99</v>
      </c>
      <c r="B47" s="37"/>
      <c r="C47" s="37"/>
      <c r="D47" s="37"/>
      <c r="E47" s="37"/>
      <c r="F47" s="77">
        <v>116836.08900000001</v>
      </c>
      <c r="G47" s="37"/>
      <c r="H47" s="37"/>
      <c r="I47" s="37">
        <v>141086.65900000001</v>
      </c>
      <c r="J47" s="37"/>
      <c r="K47" s="37">
        <v>127940.58100000001</v>
      </c>
      <c r="L47" s="37">
        <v>200218.29</v>
      </c>
      <c r="M47" s="37">
        <v>159623.17199999999</v>
      </c>
      <c r="N47" s="37">
        <v>162956.80100000001</v>
      </c>
      <c r="O47" s="37">
        <v>172666.2</v>
      </c>
      <c r="P47" s="37">
        <v>171314.693</v>
      </c>
      <c r="Q47" s="37">
        <v>168318.48699999999</v>
      </c>
      <c r="R47" s="37">
        <v>189957.03599999999</v>
      </c>
      <c r="S47" s="37">
        <v>217033.17300000001</v>
      </c>
      <c r="T47" s="23">
        <v>277033.15000000002</v>
      </c>
      <c r="U47" s="23">
        <v>351273.56199999998</v>
      </c>
      <c r="V47" s="23">
        <v>359815.78499999997</v>
      </c>
      <c r="W47" s="23">
        <v>318565.266</v>
      </c>
      <c r="X47" s="2">
        <v>312376.29499999998</v>
      </c>
      <c r="Y47" s="2">
        <v>325330.74</v>
      </c>
      <c r="Z47" s="2">
        <v>397940.00300000003</v>
      </c>
      <c r="AA47" s="2">
        <v>392987.02799999999</v>
      </c>
    </row>
    <row r="48" spans="1:43">
      <c r="A48" s="23" t="s">
        <v>59</v>
      </c>
      <c r="B48" s="37"/>
      <c r="C48" s="37"/>
      <c r="D48" s="37"/>
      <c r="E48" s="37"/>
      <c r="F48" s="77">
        <v>67815.960999999996</v>
      </c>
      <c r="G48" s="37"/>
      <c r="H48" s="37"/>
      <c r="I48" s="37">
        <v>80321.210000000006</v>
      </c>
      <c r="J48" s="37"/>
      <c r="K48" s="37">
        <v>100719.378</v>
      </c>
      <c r="L48" s="37">
        <v>109922.58</v>
      </c>
      <c r="M48" s="37">
        <v>246340.30600000001</v>
      </c>
      <c r="N48" s="37">
        <v>134133.37400000001</v>
      </c>
      <c r="O48" s="37">
        <v>131919.41500000001</v>
      </c>
      <c r="P48" s="37">
        <v>147805.902</v>
      </c>
      <c r="Q48" s="37">
        <v>160708.41200000001</v>
      </c>
      <c r="R48" s="37">
        <v>153004.98499999999</v>
      </c>
      <c r="S48" s="37">
        <v>150868.21599999999</v>
      </c>
      <c r="T48" s="23">
        <v>166427.29699999999</v>
      </c>
      <c r="U48" s="23">
        <v>167590.111</v>
      </c>
      <c r="V48" s="23">
        <v>167919.56099999999</v>
      </c>
      <c r="W48" s="23">
        <v>211099.32</v>
      </c>
      <c r="X48" s="2">
        <v>223669.87400000001</v>
      </c>
      <c r="Y48" s="2">
        <v>203411.353</v>
      </c>
      <c r="Z48" s="2">
        <v>211951.454</v>
      </c>
      <c r="AA48" s="2">
        <v>236897.58600000001</v>
      </c>
    </row>
    <row r="49" spans="1:43">
      <c r="A49" s="23" t="s">
        <v>101</v>
      </c>
      <c r="B49" s="37"/>
      <c r="C49" s="37"/>
      <c r="D49" s="37"/>
      <c r="E49" s="37"/>
      <c r="F49" s="77">
        <v>44734.182000000001</v>
      </c>
      <c r="G49" s="37"/>
      <c r="H49" s="37"/>
      <c r="I49" s="37">
        <v>48277.436000000002</v>
      </c>
      <c r="J49" s="37"/>
      <c r="K49" s="37">
        <v>60602.178999999996</v>
      </c>
      <c r="L49" s="37">
        <v>60802.915999999997</v>
      </c>
      <c r="M49" s="37">
        <v>61463.337</v>
      </c>
      <c r="N49" s="37">
        <v>67362.501999999993</v>
      </c>
      <c r="O49" s="37">
        <v>73463.452000000005</v>
      </c>
      <c r="P49" s="37">
        <v>74873.501000000004</v>
      </c>
      <c r="Q49" s="37">
        <v>79510.543000000005</v>
      </c>
      <c r="R49" s="37">
        <v>80983.406000000003</v>
      </c>
      <c r="S49" s="37">
        <v>82150.767000000007</v>
      </c>
      <c r="T49" s="23">
        <v>88682.123000000007</v>
      </c>
      <c r="U49" s="23">
        <v>71089.731</v>
      </c>
      <c r="V49" s="23">
        <v>101263.81299999999</v>
      </c>
      <c r="W49" s="23">
        <v>107930.753</v>
      </c>
      <c r="X49" s="2">
        <v>114446.09699999999</v>
      </c>
      <c r="Y49" s="2">
        <v>119358.86900000001</v>
      </c>
      <c r="Z49" s="2">
        <v>127132.508</v>
      </c>
      <c r="AA49" s="2">
        <v>129092.891</v>
      </c>
    </row>
    <row r="50" spans="1:43">
      <c r="A50" s="23" t="s">
        <v>107</v>
      </c>
      <c r="B50" s="37"/>
      <c r="C50" s="37"/>
      <c r="D50" s="37"/>
      <c r="E50" s="37"/>
      <c r="F50" s="77">
        <v>25390.288</v>
      </c>
      <c r="G50" s="37"/>
      <c r="H50" s="37"/>
      <c r="I50" s="37">
        <v>25405.058000000001</v>
      </c>
      <c r="J50" s="37"/>
      <c r="K50" s="37">
        <v>25975.210999999999</v>
      </c>
      <c r="L50" s="37">
        <v>25068.651999999998</v>
      </c>
      <c r="M50" s="37">
        <v>28728.516</v>
      </c>
      <c r="N50" s="37">
        <v>31658.213</v>
      </c>
      <c r="O50" s="37">
        <v>34564.502</v>
      </c>
      <c r="P50" s="37">
        <v>37255.252</v>
      </c>
      <c r="Q50" s="37">
        <v>47471.021000000001</v>
      </c>
      <c r="R50" s="37">
        <v>46755.9</v>
      </c>
      <c r="S50" s="37">
        <v>49852.124000000003</v>
      </c>
      <c r="T50" s="23">
        <v>60283.953000000001</v>
      </c>
      <c r="U50" s="23">
        <v>60645.667999999998</v>
      </c>
      <c r="V50" s="23">
        <v>75938.118000000002</v>
      </c>
      <c r="W50" s="23">
        <v>74994.008000000002</v>
      </c>
      <c r="X50" s="2">
        <v>57673.495000000003</v>
      </c>
      <c r="Y50" s="2">
        <v>61532.714999999997</v>
      </c>
      <c r="Z50" s="2">
        <v>61665.292000000001</v>
      </c>
      <c r="AA50" s="2">
        <v>62535.406000000003</v>
      </c>
    </row>
    <row r="51" spans="1:43">
      <c r="A51" s="23" t="s">
        <v>108</v>
      </c>
      <c r="B51" s="37"/>
      <c r="C51" s="37"/>
      <c r="D51" s="37"/>
      <c r="E51" s="37"/>
      <c r="F51" s="77">
        <v>236592.264</v>
      </c>
      <c r="G51" s="37"/>
      <c r="H51" s="37"/>
      <c r="I51" s="37">
        <v>252137.64199999999</v>
      </c>
      <c r="J51" s="37"/>
      <c r="K51" s="37">
        <v>303071.70199999999</v>
      </c>
      <c r="L51" s="37">
        <v>374946.93099999998</v>
      </c>
      <c r="M51" s="37">
        <v>415992.42300000001</v>
      </c>
      <c r="N51" s="37">
        <v>419120.054</v>
      </c>
      <c r="O51" s="37">
        <v>448951.80699999997</v>
      </c>
      <c r="P51" s="37">
        <v>476744.07400000002</v>
      </c>
      <c r="Q51" s="37">
        <v>456599.83299999998</v>
      </c>
      <c r="R51" s="37">
        <v>498957.61099999998</v>
      </c>
      <c r="S51" s="37">
        <v>538315.76500000001</v>
      </c>
      <c r="T51" s="23">
        <v>638259.07900000003</v>
      </c>
      <c r="U51" s="23">
        <v>619636.73300000001</v>
      </c>
      <c r="V51" s="23">
        <v>676568.08</v>
      </c>
      <c r="W51" s="23">
        <v>806990.25399999996</v>
      </c>
      <c r="X51" s="2">
        <v>778227.76399999997</v>
      </c>
      <c r="Y51" s="2">
        <v>854781.25699999998</v>
      </c>
      <c r="Z51" s="2">
        <v>868716.36600000004</v>
      </c>
      <c r="AA51" s="2">
        <v>818194.62600000005</v>
      </c>
    </row>
    <row r="52" spans="1:43">
      <c r="A52" s="23" t="s">
        <v>112</v>
      </c>
      <c r="B52" s="37"/>
      <c r="C52" s="37"/>
      <c r="D52" s="37"/>
      <c r="E52" s="37"/>
      <c r="F52" s="77">
        <v>13615.624</v>
      </c>
      <c r="G52" s="37"/>
      <c r="H52" s="37"/>
      <c r="I52" s="37">
        <v>18859.725999999999</v>
      </c>
      <c r="J52" s="37"/>
      <c r="K52" s="37">
        <v>20420.103420000003</v>
      </c>
      <c r="L52" s="37">
        <v>22727.690999999999</v>
      </c>
      <c r="M52" s="37">
        <v>25151.005000000001</v>
      </c>
      <c r="N52" s="37">
        <v>27437.257000000001</v>
      </c>
      <c r="O52" s="37">
        <v>30261.46</v>
      </c>
      <c r="P52" s="37">
        <v>27394.257000000001</v>
      </c>
      <c r="Q52" s="37">
        <v>33594.084000000003</v>
      </c>
      <c r="R52" s="37">
        <v>33272.699999999997</v>
      </c>
      <c r="S52" s="37">
        <v>42088.485999999997</v>
      </c>
      <c r="T52" s="23">
        <v>48641.894999999997</v>
      </c>
      <c r="U52" s="23">
        <v>46917.533000000003</v>
      </c>
      <c r="V52" s="23">
        <v>60322.428999999996</v>
      </c>
      <c r="W52" s="23">
        <v>60948.055999999997</v>
      </c>
      <c r="X52" s="2">
        <v>69985.638000000006</v>
      </c>
      <c r="Y52" s="2">
        <v>62697.758999999998</v>
      </c>
      <c r="Z52" s="2">
        <v>66475.955000000002</v>
      </c>
      <c r="AA52" s="2">
        <v>65306.485000000001</v>
      </c>
    </row>
    <row r="53" spans="1:43">
      <c r="A53" s="45" t="s">
        <v>116</v>
      </c>
      <c r="B53" s="63"/>
      <c r="C53" s="63"/>
      <c r="D53" s="63"/>
      <c r="E53" s="63"/>
      <c r="F53" s="82">
        <v>106283.825</v>
      </c>
      <c r="G53" s="63"/>
      <c r="H53" s="63"/>
      <c r="I53" s="63">
        <v>101069.538</v>
      </c>
      <c r="J53" s="63"/>
      <c r="K53" s="63">
        <v>112333.122</v>
      </c>
      <c r="L53" s="63">
        <v>113809.228</v>
      </c>
      <c r="M53" s="63">
        <v>128273.33100000001</v>
      </c>
      <c r="N53" s="63">
        <v>122043.97900000001</v>
      </c>
      <c r="O53" s="63">
        <v>133806.70499999999</v>
      </c>
      <c r="P53" s="63">
        <v>140062.09400000001</v>
      </c>
      <c r="Q53" s="63">
        <v>134382.19200000001</v>
      </c>
      <c r="R53" s="63">
        <v>143507.095</v>
      </c>
      <c r="S53" s="63">
        <v>167970.117</v>
      </c>
      <c r="T53" s="45">
        <v>163750.848</v>
      </c>
      <c r="U53" s="45">
        <v>182474.76699999999</v>
      </c>
      <c r="V53" s="45">
        <v>190686.97</v>
      </c>
      <c r="W53" s="45">
        <v>199788.76500000001</v>
      </c>
      <c r="X53" s="45">
        <v>207854.446</v>
      </c>
      <c r="Y53" s="45">
        <v>229850.75599999999</v>
      </c>
      <c r="Z53" s="45">
        <v>241828.93400000001</v>
      </c>
      <c r="AA53" s="45">
        <v>254952.00899999999</v>
      </c>
    </row>
    <row r="54" spans="1:43" s="23" customFormat="1">
      <c r="A54" s="79" t="s">
        <v>122</v>
      </c>
      <c r="B54" s="90">
        <f>SUM(B56:B64)</f>
        <v>0</v>
      </c>
      <c r="C54" s="90">
        <f t="shared" ref="C54:AA54" si="10">SUM(C56:C64)</f>
        <v>0</v>
      </c>
      <c r="D54" s="90">
        <f t="shared" si="10"/>
        <v>0</v>
      </c>
      <c r="E54" s="90">
        <f t="shared" si="10"/>
        <v>0</v>
      </c>
      <c r="F54" s="90">
        <f t="shared" si="10"/>
        <v>1102943.8960000004</v>
      </c>
      <c r="G54" s="90">
        <f t="shared" si="10"/>
        <v>0</v>
      </c>
      <c r="H54" s="90">
        <f t="shared" si="10"/>
        <v>0</v>
      </c>
      <c r="I54" s="90">
        <f t="shared" si="10"/>
        <v>1294849.8760000002</v>
      </c>
      <c r="J54" s="90">
        <f t="shared" si="10"/>
        <v>0</v>
      </c>
      <c r="K54" s="90">
        <f t="shared" si="10"/>
        <v>1583916.284</v>
      </c>
      <c r="L54" s="90">
        <f t="shared" si="10"/>
        <v>1657159.889</v>
      </c>
      <c r="M54" s="90">
        <f t="shared" si="10"/>
        <v>1624774.787</v>
      </c>
      <c r="N54" s="90">
        <f t="shared" si="10"/>
        <v>1597941.1629999999</v>
      </c>
      <c r="O54" s="90">
        <f t="shared" si="10"/>
        <v>1488406.574</v>
      </c>
      <c r="P54" s="90">
        <f t="shared" si="10"/>
        <v>1581756.3749999998</v>
      </c>
      <c r="Q54" s="90">
        <f t="shared" si="10"/>
        <v>2008678.44</v>
      </c>
      <c r="R54" s="90">
        <f t="shared" si="10"/>
        <v>1924494.3020000001</v>
      </c>
      <c r="S54" s="90">
        <f t="shared" si="10"/>
        <v>2132259.2280000001</v>
      </c>
      <c r="T54" s="90">
        <f t="shared" si="10"/>
        <v>2518596.0430000001</v>
      </c>
      <c r="U54" s="90">
        <f t="shared" si="10"/>
        <v>2349440.0480000004</v>
      </c>
      <c r="V54" s="90">
        <f t="shared" si="10"/>
        <v>2973020.3109999998</v>
      </c>
      <c r="W54" s="90">
        <f t="shared" si="10"/>
        <v>3085104.1689999998</v>
      </c>
      <c r="X54" s="90">
        <f t="shared" si="10"/>
        <v>3198161.7169999997</v>
      </c>
      <c r="Y54" s="90">
        <f t="shared" si="10"/>
        <v>3106214.219</v>
      </c>
      <c r="Z54" s="90">
        <f t="shared" si="10"/>
        <v>3316819.4279999998</v>
      </c>
      <c r="AA54" s="90">
        <f t="shared" si="10"/>
        <v>3202289.429</v>
      </c>
    </row>
    <row r="55" spans="1:43">
      <c r="A55" s="79" t="s">
        <v>119</v>
      </c>
      <c r="B55" s="37"/>
      <c r="C55" s="37"/>
      <c r="D55" s="37"/>
      <c r="E55" s="37"/>
      <c r="F55" s="37"/>
      <c r="G55" s="37"/>
      <c r="H55" s="37"/>
      <c r="I55" s="37"/>
      <c r="J55" s="37"/>
      <c r="K55" s="37"/>
      <c r="L55" s="37"/>
      <c r="M55" s="37"/>
      <c r="N55" s="37"/>
      <c r="O55" s="37"/>
      <c r="P55" s="37"/>
      <c r="Q55" s="37"/>
      <c r="R55" s="37"/>
      <c r="S55" s="37"/>
      <c r="T55" s="23"/>
      <c r="U55" s="23"/>
      <c r="V55" s="23"/>
      <c r="W55" s="23"/>
      <c r="X55" s="2">
        <v>0</v>
      </c>
      <c r="Y55" s="2" t="e">
        <f>#REF!/1000</f>
        <v>#REF!</v>
      </c>
    </row>
    <row r="56" spans="1:43" s="23" customFormat="1">
      <c r="A56" s="23" t="s">
        <v>89</v>
      </c>
      <c r="B56" s="36"/>
      <c r="C56" s="36"/>
      <c r="D56" s="36"/>
      <c r="E56" s="36"/>
      <c r="F56" s="77">
        <v>95436.576000000001</v>
      </c>
      <c r="G56" s="36"/>
      <c r="H56" s="36"/>
      <c r="I56" s="37">
        <v>93338.407999999996</v>
      </c>
      <c r="J56" s="37"/>
      <c r="K56" s="37">
        <v>112516.25199999999</v>
      </c>
      <c r="L56" s="37">
        <v>125309.216</v>
      </c>
      <c r="M56" s="37">
        <v>133564.57999999999</v>
      </c>
      <c r="N56" s="37">
        <v>147266.73499999999</v>
      </c>
      <c r="O56" s="37">
        <v>154017.416</v>
      </c>
      <c r="P56" s="37">
        <v>157380.386</v>
      </c>
      <c r="Q56" s="37">
        <v>191650.08499999999</v>
      </c>
      <c r="R56" s="37">
        <v>188233.35699999999</v>
      </c>
      <c r="S56" s="37">
        <v>207198.03</v>
      </c>
      <c r="T56" s="23">
        <v>229936.45800000001</v>
      </c>
      <c r="U56" s="23">
        <v>268815.429</v>
      </c>
      <c r="V56" s="23">
        <v>290835.14199999999</v>
      </c>
      <c r="W56" s="23">
        <v>305866.96399999998</v>
      </c>
      <c r="X56" s="2">
        <v>293052.337</v>
      </c>
      <c r="Y56" s="2">
        <v>267163.80800000002</v>
      </c>
      <c r="Z56" s="2">
        <v>268498.826</v>
      </c>
      <c r="AA56" s="2">
        <v>320478.49200000003</v>
      </c>
      <c r="AB56" s="2"/>
      <c r="AC56" s="2"/>
      <c r="AD56" s="2"/>
      <c r="AE56" s="2"/>
      <c r="AF56" s="2"/>
      <c r="AG56" s="2"/>
      <c r="AH56" s="2"/>
      <c r="AI56" s="2"/>
      <c r="AJ56" s="2"/>
      <c r="AK56" s="2"/>
      <c r="AL56" s="2"/>
      <c r="AM56" s="2"/>
      <c r="AN56" s="2"/>
      <c r="AO56" s="2"/>
      <c r="AP56" s="2"/>
      <c r="AQ56" s="2"/>
    </row>
    <row r="57" spans="1:43" s="23" customFormat="1">
      <c r="A57" s="23" t="s">
        <v>96</v>
      </c>
      <c r="B57" s="36"/>
      <c r="C57" s="36"/>
      <c r="D57" s="36"/>
      <c r="E57" s="36"/>
      <c r="F57" s="77">
        <v>20040.894</v>
      </c>
      <c r="G57" s="36"/>
      <c r="H57" s="36"/>
      <c r="I57" s="37">
        <v>23871.131000000001</v>
      </c>
      <c r="J57" s="37"/>
      <c r="K57" s="37">
        <v>32386.621999999999</v>
      </c>
      <c r="L57" s="37">
        <v>27277.319</v>
      </c>
      <c r="M57" s="37">
        <v>30427.578000000001</v>
      </c>
      <c r="N57" s="37">
        <v>33777.966</v>
      </c>
      <c r="O57" s="37">
        <v>35940.133000000002</v>
      </c>
      <c r="P57" s="37">
        <v>40334.303</v>
      </c>
      <c r="Q57" s="37">
        <v>39464.644999999997</v>
      </c>
      <c r="R57" s="37">
        <v>41977.061999999998</v>
      </c>
      <c r="S57" s="37">
        <v>44464.773999999998</v>
      </c>
      <c r="T57" s="23">
        <v>50926.792000000001</v>
      </c>
      <c r="U57" s="23">
        <v>51752.968999999997</v>
      </c>
      <c r="V57" s="23">
        <v>60563.589</v>
      </c>
      <c r="W57" s="23">
        <v>61936.24</v>
      </c>
      <c r="X57" s="2">
        <v>63418.811000000002</v>
      </c>
      <c r="Y57" s="2">
        <v>66691.921000000002</v>
      </c>
      <c r="Z57" s="2">
        <v>67193.065000000002</v>
      </c>
      <c r="AA57" s="2">
        <v>68440.789999999994</v>
      </c>
      <c r="AB57" s="2"/>
      <c r="AC57" s="2"/>
      <c r="AD57" s="2"/>
      <c r="AE57" s="2"/>
      <c r="AF57" s="2"/>
      <c r="AG57" s="2"/>
      <c r="AH57" s="2"/>
      <c r="AI57" s="2"/>
      <c r="AJ57" s="2"/>
      <c r="AK57" s="2"/>
      <c r="AL57" s="2"/>
      <c r="AM57" s="2"/>
      <c r="AN57" s="2"/>
      <c r="AO57" s="2"/>
      <c r="AP57" s="2"/>
      <c r="AQ57" s="2"/>
    </row>
    <row r="58" spans="1:43" s="17" customFormat="1">
      <c r="A58" s="23" t="s">
        <v>97</v>
      </c>
      <c r="B58" s="36"/>
      <c r="C58" s="36"/>
      <c r="D58" s="36"/>
      <c r="E58" s="37"/>
      <c r="F58" s="77">
        <v>78793.179999999993</v>
      </c>
      <c r="G58" s="36"/>
      <c r="H58" s="36"/>
      <c r="I58" s="37">
        <v>121372.607</v>
      </c>
      <c r="J58" s="37"/>
      <c r="K58" s="37">
        <v>150457.052</v>
      </c>
      <c r="L58" s="37">
        <v>169009.78599999999</v>
      </c>
      <c r="M58" s="37">
        <v>165994.31200000001</v>
      </c>
      <c r="N58" s="37">
        <v>163640.59700000001</v>
      </c>
      <c r="O58" s="37">
        <v>165342.804</v>
      </c>
      <c r="P58" s="37">
        <v>167995.894</v>
      </c>
      <c r="Q58" s="37">
        <v>202884.11499999999</v>
      </c>
      <c r="R58" s="37">
        <v>217362.85</v>
      </c>
      <c r="S58" s="37">
        <v>232428.807</v>
      </c>
      <c r="T58" s="23">
        <v>256732.255</v>
      </c>
      <c r="U58" s="23">
        <v>192347.995</v>
      </c>
      <c r="V58" s="23">
        <v>302330.93300000002</v>
      </c>
      <c r="W58" s="23">
        <v>326538.489</v>
      </c>
      <c r="X58" s="23">
        <v>346844.36499999999</v>
      </c>
      <c r="Y58" s="2">
        <v>355989.93699999998</v>
      </c>
      <c r="Z58" s="2">
        <v>389648.38099999999</v>
      </c>
      <c r="AA58" s="2">
        <v>410264.08399999997</v>
      </c>
    </row>
    <row r="59" spans="1:43">
      <c r="A59" s="23" t="s">
        <v>103</v>
      </c>
      <c r="B59" s="37"/>
      <c r="C59" s="37"/>
      <c r="D59" s="37"/>
      <c r="E59" s="37"/>
      <c r="F59" s="77">
        <v>21080.297999999999</v>
      </c>
      <c r="G59" s="37"/>
      <c r="H59" s="37"/>
      <c r="I59" s="37">
        <v>25006.331999999999</v>
      </c>
      <c r="J59" s="37"/>
      <c r="K59" s="37">
        <v>29064.917000000001</v>
      </c>
      <c r="L59" s="37">
        <v>26506.496999999999</v>
      </c>
      <c r="M59" s="37">
        <v>25015.978999999999</v>
      </c>
      <c r="N59" s="37">
        <v>29918.312000000002</v>
      </c>
      <c r="O59" s="37">
        <v>29372.969000000001</v>
      </c>
      <c r="P59" s="37">
        <v>32289.416000000001</v>
      </c>
      <c r="Q59" s="37">
        <v>33477.834999999999</v>
      </c>
      <c r="R59" s="37">
        <v>33578.427000000003</v>
      </c>
      <c r="S59" s="37">
        <v>34790.446000000004</v>
      </c>
      <c r="T59" s="23">
        <v>48054.305999999997</v>
      </c>
      <c r="U59" s="23">
        <v>49785.396999999997</v>
      </c>
      <c r="V59" s="23">
        <v>53943.248</v>
      </c>
      <c r="W59" s="23">
        <v>50242.428</v>
      </c>
      <c r="X59" s="2">
        <v>51039.27</v>
      </c>
      <c r="Y59" s="2">
        <v>59622.082999999999</v>
      </c>
      <c r="Z59" s="2">
        <v>55499.078999999998</v>
      </c>
      <c r="AA59" s="2">
        <v>55019.351999999999</v>
      </c>
    </row>
    <row r="60" spans="1:43">
      <c r="A60" s="23" t="s">
        <v>104</v>
      </c>
      <c r="B60" s="37"/>
      <c r="C60" s="37"/>
      <c r="D60" s="37"/>
      <c r="E60" s="37"/>
      <c r="F60" s="77">
        <v>132093.00700000001</v>
      </c>
      <c r="G60" s="37"/>
      <c r="H60" s="37"/>
      <c r="I60" s="37">
        <v>159089.389</v>
      </c>
      <c r="J60" s="37"/>
      <c r="K60" s="37">
        <v>259347.277</v>
      </c>
      <c r="L60" s="37">
        <v>237331.511</v>
      </c>
      <c r="M60" s="37">
        <v>235339.72399999999</v>
      </c>
      <c r="N60" s="37">
        <v>241852.44500000001</v>
      </c>
      <c r="O60" s="37">
        <v>238185.321</v>
      </c>
      <c r="P60" s="37">
        <v>261423.42300000001</v>
      </c>
      <c r="Q60" s="37">
        <v>403301.67499999999</v>
      </c>
      <c r="R60" s="37">
        <v>378215.26699999999</v>
      </c>
      <c r="S60" s="37">
        <v>425117.125</v>
      </c>
      <c r="T60" s="128">
        <v>609433.74800000002</v>
      </c>
      <c r="U60" s="23">
        <v>395495.17300000001</v>
      </c>
      <c r="V60" s="23">
        <v>552170.35800000001</v>
      </c>
      <c r="W60" s="23">
        <v>559173.07400000002</v>
      </c>
      <c r="X60" s="2">
        <v>606418.57499999995</v>
      </c>
      <c r="Y60" s="2">
        <v>516490.886</v>
      </c>
      <c r="Z60" s="2">
        <v>721516.07799999998</v>
      </c>
      <c r="AA60" s="2">
        <v>733329.81400000001</v>
      </c>
    </row>
    <row r="61" spans="1:43">
      <c r="A61" s="23" t="s">
        <v>106</v>
      </c>
      <c r="B61" s="37"/>
      <c r="C61" s="37"/>
      <c r="D61" s="37"/>
      <c r="E61" s="37"/>
      <c r="F61" s="77">
        <v>426701.70299999998</v>
      </c>
      <c r="G61" s="37"/>
      <c r="H61" s="37"/>
      <c r="I61" s="37">
        <v>485624.315</v>
      </c>
      <c r="J61" s="37"/>
      <c r="K61" s="37">
        <v>569284.16700000002</v>
      </c>
      <c r="L61" s="37">
        <v>547676.97</v>
      </c>
      <c r="M61" s="37">
        <v>599628.66299999994</v>
      </c>
      <c r="N61" s="37">
        <v>655546.58299999998</v>
      </c>
      <c r="O61" s="37">
        <v>622158.054</v>
      </c>
      <c r="P61" s="37">
        <v>638200.20600000001</v>
      </c>
      <c r="Q61" s="37">
        <v>845214.21900000004</v>
      </c>
      <c r="R61" s="37">
        <v>757768.32200000004</v>
      </c>
      <c r="S61" s="37">
        <v>857824.70700000005</v>
      </c>
      <c r="T61" s="23">
        <v>943028.44299999997</v>
      </c>
      <c r="U61" s="23">
        <v>1027982.671</v>
      </c>
      <c r="V61" s="23">
        <v>1267287.1089999999</v>
      </c>
      <c r="W61" s="23">
        <v>1340245.8019999999</v>
      </c>
      <c r="X61" s="2">
        <v>1380904.193</v>
      </c>
      <c r="Y61" s="2">
        <v>1395044.7790000001</v>
      </c>
      <c r="Z61" s="2">
        <v>1353324.892</v>
      </c>
      <c r="AA61" s="2">
        <v>1184619.2320000001</v>
      </c>
    </row>
    <row r="62" spans="1:43">
      <c r="A62" s="23" t="s">
        <v>110</v>
      </c>
      <c r="B62" s="37"/>
      <c r="C62" s="37"/>
      <c r="D62" s="37"/>
      <c r="E62" s="37"/>
      <c r="F62" s="77">
        <v>276976.95400000003</v>
      </c>
      <c r="G62" s="37"/>
      <c r="H62" s="37"/>
      <c r="I62" s="37">
        <v>329431.53200000001</v>
      </c>
      <c r="J62" s="37"/>
      <c r="K62" s="37">
        <v>361457.36</v>
      </c>
      <c r="L62" s="37">
        <v>433988.38199999998</v>
      </c>
      <c r="M62" s="37">
        <v>361863.58100000001</v>
      </c>
      <c r="N62" s="37">
        <v>246138.87400000001</v>
      </c>
      <c r="O62" s="37">
        <v>174944.921</v>
      </c>
      <c r="P62" s="37">
        <v>192377.859</v>
      </c>
      <c r="Q62" s="37">
        <v>189055.30499999999</v>
      </c>
      <c r="R62" s="37">
        <v>197423.05900000001</v>
      </c>
      <c r="S62" s="37">
        <v>210338.046</v>
      </c>
      <c r="T62" s="23">
        <v>230246.698</v>
      </c>
      <c r="U62" s="23">
        <v>231379.40900000001</v>
      </c>
      <c r="V62" s="23">
        <v>281412.83299999998</v>
      </c>
      <c r="W62" s="23">
        <v>282023.35499999998</v>
      </c>
      <c r="X62" s="2">
        <v>292277.41700000002</v>
      </c>
      <c r="Y62" s="2">
        <v>299428.93</v>
      </c>
      <c r="Z62" s="2">
        <v>307267.625</v>
      </c>
      <c r="AA62" s="2">
        <v>292160.315</v>
      </c>
    </row>
    <row r="63" spans="1:43">
      <c r="A63" s="23" t="s">
        <v>111</v>
      </c>
      <c r="B63" s="37"/>
      <c r="C63" s="37"/>
      <c r="D63" s="37"/>
      <c r="E63" s="37"/>
      <c r="F63" s="77">
        <v>23206.673999999999</v>
      </c>
      <c r="G63" s="37"/>
      <c r="H63" s="37"/>
      <c r="I63" s="37">
        <v>24234.710999999999</v>
      </c>
      <c r="J63" s="37"/>
      <c r="K63" s="37">
        <v>26659.173999999999</v>
      </c>
      <c r="L63" s="37">
        <v>34940.881000000001</v>
      </c>
      <c r="M63" s="37">
        <v>34652.036</v>
      </c>
      <c r="N63" s="37">
        <v>36907.972000000002</v>
      </c>
      <c r="O63" s="37">
        <v>36124.51</v>
      </c>
      <c r="P63" s="37">
        <v>42019.112999999998</v>
      </c>
      <c r="Q63" s="37">
        <v>48965.97</v>
      </c>
      <c r="R63" s="37">
        <v>49420.273000000001</v>
      </c>
      <c r="S63" s="37">
        <v>54302.646999999997</v>
      </c>
      <c r="T63" s="23">
        <v>63578.086000000003</v>
      </c>
      <c r="U63" s="23">
        <v>59506.964</v>
      </c>
      <c r="V63" s="23">
        <v>72016.429999999993</v>
      </c>
      <c r="W63" s="23">
        <v>68119.491999999998</v>
      </c>
      <c r="X63" s="2">
        <v>72810.123999999996</v>
      </c>
      <c r="Y63" s="2">
        <v>67065.440000000002</v>
      </c>
      <c r="Z63" s="2">
        <v>67534.09</v>
      </c>
      <c r="AA63" s="2">
        <v>61132.612000000001</v>
      </c>
    </row>
    <row r="64" spans="1:43">
      <c r="A64" s="45" t="s">
        <v>114</v>
      </c>
      <c r="B64" s="63"/>
      <c r="C64" s="63"/>
      <c r="D64" s="63"/>
      <c r="E64" s="63"/>
      <c r="F64" s="82">
        <v>28614.61</v>
      </c>
      <c r="G64" s="63"/>
      <c r="H64" s="63"/>
      <c r="I64" s="63">
        <v>32881.451000000001</v>
      </c>
      <c r="J64" s="63"/>
      <c r="K64" s="63">
        <v>42743.463000000003</v>
      </c>
      <c r="L64" s="63">
        <v>55119.326999999997</v>
      </c>
      <c r="M64" s="63">
        <v>38288.334000000003</v>
      </c>
      <c r="N64" s="63">
        <v>42891.678999999996</v>
      </c>
      <c r="O64" s="63">
        <v>32320.446</v>
      </c>
      <c r="P64" s="63">
        <v>49735.775000000001</v>
      </c>
      <c r="Q64" s="63">
        <v>54664.591</v>
      </c>
      <c r="R64" s="63">
        <v>60515.684999999998</v>
      </c>
      <c r="S64" s="63">
        <v>65794.645999999993</v>
      </c>
      <c r="T64" s="45">
        <v>86659.256999999998</v>
      </c>
      <c r="U64" s="45">
        <v>72374.040999999997</v>
      </c>
      <c r="V64" s="45">
        <v>92460.668999999994</v>
      </c>
      <c r="W64" s="45">
        <v>90958.324999999997</v>
      </c>
      <c r="X64" s="45">
        <v>91396.625</v>
      </c>
      <c r="Y64" s="45">
        <v>78716.434999999998</v>
      </c>
      <c r="Z64" s="45">
        <v>86337.392000000007</v>
      </c>
      <c r="AA64" s="45">
        <v>76844.737999999998</v>
      </c>
    </row>
    <row r="65" spans="1:43">
      <c r="A65" s="88" t="s">
        <v>90</v>
      </c>
      <c r="B65" s="84"/>
      <c r="C65" s="84"/>
      <c r="D65" s="84"/>
      <c r="E65" s="84"/>
      <c r="F65" s="85">
        <v>17435.862000000001</v>
      </c>
      <c r="G65" s="84"/>
      <c r="H65" s="84"/>
      <c r="I65" s="86">
        <v>11241.071</v>
      </c>
      <c r="J65" s="86"/>
      <c r="K65" s="86">
        <v>13031.110050000001</v>
      </c>
      <c r="L65" s="86">
        <v>16237.66</v>
      </c>
      <c r="M65" s="86">
        <v>15922.427</v>
      </c>
      <c r="N65" s="86">
        <v>19095.725999999999</v>
      </c>
      <c r="O65" s="86">
        <v>22636.095000000001</v>
      </c>
      <c r="P65" s="86">
        <v>18724.035</v>
      </c>
      <c r="Q65" s="86">
        <v>11136.078</v>
      </c>
      <c r="R65" s="86">
        <v>18553.399000000001</v>
      </c>
      <c r="S65" s="86">
        <v>22757.956999999999</v>
      </c>
      <c r="T65" s="105">
        <f>((U65-S65)/2)+S65</f>
        <v>21201.710500000001</v>
      </c>
      <c r="U65" s="87">
        <v>19645.464</v>
      </c>
      <c r="V65" s="87">
        <v>18834</v>
      </c>
      <c r="W65" s="87">
        <v>20287.117999999999</v>
      </c>
      <c r="X65" s="45">
        <v>13865.002</v>
      </c>
      <c r="Y65" s="45">
        <v>21445.856</v>
      </c>
      <c r="Z65" s="45">
        <v>20941.616999999998</v>
      </c>
      <c r="AA65" s="45">
        <v>20278.384999999998</v>
      </c>
      <c r="AB65" s="23"/>
      <c r="AC65" s="23"/>
      <c r="AD65" s="23"/>
      <c r="AE65" s="23"/>
      <c r="AF65" s="23"/>
      <c r="AG65" s="23"/>
      <c r="AH65" s="23"/>
      <c r="AI65" s="23"/>
      <c r="AJ65" s="23"/>
      <c r="AK65" s="23"/>
      <c r="AL65" s="23"/>
      <c r="AM65" s="23"/>
      <c r="AN65" s="23"/>
      <c r="AO65" s="23"/>
      <c r="AP65" s="23"/>
      <c r="AQ65" s="23"/>
    </row>
    <row r="66" spans="1:43">
      <c r="F66" s="27"/>
    </row>
    <row r="67" spans="1:43">
      <c r="I67" s="34" t="s">
        <v>78</v>
      </c>
      <c r="J67" s="34" t="s">
        <v>76</v>
      </c>
      <c r="K67" s="34"/>
      <c r="L67" s="34" t="s">
        <v>69</v>
      </c>
      <c r="M67" s="34"/>
      <c r="N67" s="34"/>
      <c r="O67" s="34" t="s">
        <v>78</v>
      </c>
      <c r="P67" s="34" t="s">
        <v>78</v>
      </c>
      <c r="Q67" s="34" t="s">
        <v>78</v>
      </c>
      <c r="R67" s="34" t="s">
        <v>78</v>
      </c>
      <c r="S67" s="34"/>
    </row>
    <row r="68" spans="1:43">
      <c r="I68" s="14" t="s">
        <v>79</v>
      </c>
      <c r="J68" s="14" t="s">
        <v>72</v>
      </c>
      <c r="L68" s="14" t="s">
        <v>70</v>
      </c>
      <c r="O68" s="14" t="s">
        <v>79</v>
      </c>
      <c r="P68" s="14" t="s">
        <v>79</v>
      </c>
      <c r="Q68" s="14" t="s">
        <v>79</v>
      </c>
      <c r="R68" s="14" t="s">
        <v>79</v>
      </c>
    </row>
    <row r="69" spans="1:43">
      <c r="I69" s="14" t="s">
        <v>80</v>
      </c>
      <c r="J69" s="14" t="s">
        <v>73</v>
      </c>
      <c r="O69" s="14" t="s">
        <v>80</v>
      </c>
      <c r="P69" s="14" t="s">
        <v>80</v>
      </c>
      <c r="Q69" s="14" t="s">
        <v>80</v>
      </c>
      <c r="R69" s="14" t="s">
        <v>80</v>
      </c>
    </row>
    <row r="70" spans="1:43">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codeName="Sheet9">
    <tabColor theme="4" tint="0.39997558519241921"/>
  </sheetPr>
  <dimension ref="A1:AR70"/>
  <sheetViews>
    <sheetView showZeros="0" zoomScale="80" zoomScaleNormal="80" workbookViewId="0">
      <pane xSplit="1" ySplit="5" topLeftCell="S6" activePane="bottomRight" state="frozen"/>
      <selection activeCell="AC65" sqref="AC65"/>
      <selection pane="topRight" activeCell="AC65" sqref="AC65"/>
      <selection pane="bottomLeft" activeCell="AC65" sqref="AC65"/>
      <selection pane="bottomRight" activeCell="AA2" sqref="AA2"/>
    </sheetView>
  </sheetViews>
  <sheetFormatPr defaultColWidth="9.7109375" defaultRowHeight="12.75"/>
  <cols>
    <col min="1" max="1" width="23.42578125" style="80" customWidth="1"/>
    <col min="2" max="6" width="12.42578125" style="14" customWidth="1"/>
    <col min="7" max="7" width="10.42578125" style="14" customWidth="1"/>
    <col min="8" max="8" width="10.5703125" style="14" customWidth="1"/>
    <col min="9" max="23" width="12.42578125" style="14" customWidth="1"/>
    <col min="24" max="44" width="10.7109375" style="2" customWidth="1"/>
    <col min="45" max="16384" width="9.7109375" style="2"/>
  </cols>
  <sheetData>
    <row r="1" spans="1:27">
      <c r="A1" s="8" t="s">
        <v>39</v>
      </c>
      <c r="B1" s="46"/>
      <c r="C1" s="46"/>
      <c r="D1" s="46"/>
      <c r="E1" s="46"/>
      <c r="F1" s="46"/>
      <c r="G1" s="46"/>
      <c r="H1" s="46"/>
      <c r="I1" s="46"/>
      <c r="J1" s="46"/>
      <c r="K1" s="46"/>
      <c r="L1" s="46"/>
      <c r="M1" s="46"/>
      <c r="N1" s="46"/>
      <c r="O1" s="46"/>
      <c r="P1" s="46"/>
      <c r="Q1" s="46"/>
      <c r="R1" s="46"/>
      <c r="S1" s="46"/>
      <c r="T1" s="46"/>
      <c r="U1" s="46"/>
      <c r="V1" s="46"/>
      <c r="W1" s="46"/>
    </row>
    <row r="2" spans="1:27">
      <c r="A2" s="11"/>
      <c r="B2" s="46"/>
      <c r="C2" s="46"/>
      <c r="D2" s="46"/>
      <c r="E2" s="46"/>
      <c r="F2" s="46"/>
      <c r="G2" s="46"/>
      <c r="H2" s="46"/>
      <c r="I2" s="46"/>
      <c r="J2" s="46"/>
      <c r="K2" s="46"/>
      <c r="L2" s="46"/>
      <c r="M2" s="46"/>
      <c r="N2" s="46"/>
      <c r="O2" s="46"/>
      <c r="P2" s="46"/>
      <c r="Q2" s="46"/>
      <c r="R2" s="46"/>
      <c r="S2" s="46"/>
      <c r="T2" s="46"/>
      <c r="U2" s="46"/>
      <c r="V2" s="46"/>
      <c r="W2" s="46"/>
    </row>
    <row r="3" spans="1:27">
      <c r="A3" s="1" t="s">
        <v>23</v>
      </c>
      <c r="B3" s="46"/>
      <c r="C3" s="46"/>
      <c r="D3" s="46"/>
      <c r="E3" s="46"/>
      <c r="F3" s="46"/>
      <c r="G3" s="46"/>
      <c r="H3" s="46"/>
      <c r="I3" s="46"/>
      <c r="J3" s="46"/>
      <c r="K3" s="46"/>
      <c r="L3" s="46"/>
      <c r="M3" s="46"/>
      <c r="N3" s="46"/>
      <c r="O3" s="46"/>
      <c r="P3" s="46"/>
      <c r="Q3" s="46"/>
      <c r="R3" s="46"/>
      <c r="S3" s="46"/>
      <c r="T3" s="46"/>
      <c r="U3" s="46"/>
      <c r="V3" s="46"/>
      <c r="W3" s="46"/>
    </row>
    <row r="4" spans="1:27" s="65"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60">
        <v>2005</v>
      </c>
      <c r="R4" s="60">
        <v>2006</v>
      </c>
      <c r="S4" s="74">
        <v>2007</v>
      </c>
      <c r="T4" s="74">
        <v>2008</v>
      </c>
      <c r="U4" s="74">
        <v>2009</v>
      </c>
      <c r="V4" s="74">
        <v>2010</v>
      </c>
      <c r="W4" s="74">
        <v>2011</v>
      </c>
      <c r="X4" s="173" t="s">
        <v>142</v>
      </c>
      <c r="Y4" s="173" t="s">
        <v>144</v>
      </c>
      <c r="Z4" s="173" t="s">
        <v>145</v>
      </c>
      <c r="AA4" s="173" t="s">
        <v>146</v>
      </c>
    </row>
    <row r="5" spans="1:27" s="19" customFormat="1">
      <c r="B5" s="15" t="s">
        <v>2</v>
      </c>
      <c r="C5" s="15" t="s">
        <v>2</v>
      </c>
      <c r="D5" s="15" t="s">
        <v>2</v>
      </c>
      <c r="E5" s="15" t="s">
        <v>2</v>
      </c>
      <c r="F5" s="15" t="s">
        <v>2</v>
      </c>
      <c r="G5" s="15" t="s">
        <v>2</v>
      </c>
      <c r="H5" s="15" t="s">
        <v>2</v>
      </c>
      <c r="I5" s="15" t="s">
        <v>2</v>
      </c>
      <c r="J5" s="15" t="s">
        <v>2</v>
      </c>
      <c r="K5" s="15" t="s">
        <v>2</v>
      </c>
      <c r="L5" s="15" t="s">
        <v>2</v>
      </c>
      <c r="M5" s="15" t="s">
        <v>2</v>
      </c>
      <c r="N5" s="15" t="s">
        <v>2</v>
      </c>
      <c r="O5" s="15" t="s">
        <v>2</v>
      </c>
      <c r="P5" s="15" t="s">
        <v>2</v>
      </c>
      <c r="Q5" s="15" t="s">
        <v>2</v>
      </c>
      <c r="R5" s="15" t="s">
        <v>2</v>
      </c>
      <c r="S5" s="15" t="s">
        <v>2</v>
      </c>
      <c r="T5" s="15" t="s">
        <v>2</v>
      </c>
      <c r="U5" s="15" t="s">
        <v>2</v>
      </c>
      <c r="V5" s="15" t="s">
        <v>2</v>
      </c>
      <c r="W5" s="15" t="s">
        <v>2</v>
      </c>
      <c r="X5" s="19" t="s">
        <v>2</v>
      </c>
      <c r="Y5" s="19" t="s">
        <v>2</v>
      </c>
      <c r="Z5" s="19" t="s">
        <v>2</v>
      </c>
      <c r="AA5" s="19" t="s">
        <v>2</v>
      </c>
    </row>
    <row r="6" spans="1:27" s="23" customFormat="1">
      <c r="A6" s="63" t="s">
        <v>118</v>
      </c>
      <c r="B6" s="13">
        <v>1288681</v>
      </c>
      <c r="C6" s="13">
        <v>1403138</v>
      </c>
      <c r="D6" s="13">
        <v>1540950</v>
      </c>
      <c r="E6" s="13">
        <v>2354850.8489999999</v>
      </c>
      <c r="F6" s="91">
        <f>+F7+F25+F40+F54+F65</f>
        <v>2356175.5350000006</v>
      </c>
      <c r="G6" s="13">
        <v>2584439.1519999998</v>
      </c>
      <c r="H6" s="13">
        <v>2770815.3289999999</v>
      </c>
      <c r="I6" s="91">
        <f>+I7+I25+I40+I54+I65</f>
        <v>2730954.2419999996</v>
      </c>
      <c r="J6" s="14">
        <v>3124900.01</v>
      </c>
      <c r="K6" s="91">
        <f t="shared" ref="K6:U6" si="0">+K7+K25+K40+K54+K65</f>
        <v>3372010.5179500002</v>
      </c>
      <c r="L6" s="91">
        <f t="shared" si="0"/>
        <v>3736095.1340000001</v>
      </c>
      <c r="M6" s="91">
        <f t="shared" si="0"/>
        <v>4116381.6489999997</v>
      </c>
      <c r="N6" s="91">
        <f t="shared" si="0"/>
        <v>4190321.6450000005</v>
      </c>
      <c r="O6" s="91">
        <f t="shared" si="0"/>
        <v>4166984.9519999996</v>
      </c>
      <c r="P6" s="91">
        <f t="shared" si="0"/>
        <v>4446942.9589999998</v>
      </c>
      <c r="Q6" s="91">
        <f t="shared" si="0"/>
        <v>4805626.2170000002</v>
      </c>
      <c r="R6" s="91">
        <f t="shared" si="0"/>
        <v>5105077.828999999</v>
      </c>
      <c r="S6" s="91">
        <f t="shared" si="0"/>
        <v>5471477.0410000002</v>
      </c>
      <c r="T6" s="91">
        <f t="shared" si="0"/>
        <v>6130253.2519999994</v>
      </c>
      <c r="U6" s="91">
        <f t="shared" si="0"/>
        <v>6632363.9169999994</v>
      </c>
      <c r="V6" s="91">
        <f t="shared" ref="V6:W6" si="1">+V7+V25+V40+V54+V65</f>
        <v>7576632.1959999986</v>
      </c>
      <c r="W6" s="91">
        <f t="shared" si="1"/>
        <v>8075092.6969999997</v>
      </c>
      <c r="X6" s="91">
        <f t="shared" ref="X6:Y6" si="2">+X7+X25+X40+X54+X65</f>
        <v>8276766.7189999986</v>
      </c>
      <c r="Y6" s="91">
        <f t="shared" si="2"/>
        <v>7224369.6530000009</v>
      </c>
      <c r="Z6" s="91">
        <f t="shared" ref="Z6:AA6" si="3">+Z7+Z25+Z40+Z54+Z65</f>
        <v>7530973.0470000012</v>
      </c>
      <c r="AA6" s="91">
        <f t="shared" si="3"/>
        <v>7572530.578999999</v>
      </c>
    </row>
    <row r="7" spans="1:27" s="23" customFormat="1">
      <c r="A7" s="22" t="s">
        <v>56</v>
      </c>
      <c r="B7" s="89">
        <f>SUM(B8:B24)</f>
        <v>394830</v>
      </c>
      <c r="C7" s="89">
        <f t="shared" ref="C7:U7" si="4">SUM(C8:C24)</f>
        <v>434487</v>
      </c>
      <c r="D7" s="89">
        <f t="shared" si="4"/>
        <v>464995</v>
      </c>
      <c r="E7" s="89">
        <f t="shared" si="4"/>
        <v>718735.95400000003</v>
      </c>
      <c r="F7" s="89">
        <f t="shared" si="4"/>
        <v>726172.15600000019</v>
      </c>
      <c r="G7" s="89">
        <f t="shared" si="4"/>
        <v>763528.17599999998</v>
      </c>
      <c r="H7" s="89">
        <f t="shared" si="4"/>
        <v>835975.2350000001</v>
      </c>
      <c r="I7" s="89">
        <f t="shared" si="4"/>
        <v>867856.62800000003</v>
      </c>
      <c r="J7" s="89">
        <f t="shared" si="4"/>
        <v>937840.52799999993</v>
      </c>
      <c r="K7" s="89">
        <f t="shared" si="4"/>
        <v>999843.80946000002</v>
      </c>
      <c r="L7" s="89">
        <f t="shared" si="4"/>
        <v>1222779.1669999999</v>
      </c>
      <c r="M7" s="89">
        <f t="shared" si="4"/>
        <v>1377164.0949999997</v>
      </c>
      <c r="N7" s="89">
        <f t="shared" si="4"/>
        <v>1318578.2609999999</v>
      </c>
      <c r="O7" s="89">
        <f t="shared" si="4"/>
        <v>1340875.5020000001</v>
      </c>
      <c r="P7" s="89">
        <f t="shared" si="4"/>
        <v>1423723.0459999999</v>
      </c>
      <c r="Q7" s="89">
        <f t="shared" si="4"/>
        <v>1563331.841</v>
      </c>
      <c r="R7" s="89">
        <f t="shared" si="4"/>
        <v>1659628.6249999998</v>
      </c>
      <c r="S7" s="89">
        <f t="shared" si="4"/>
        <v>1819069.162</v>
      </c>
      <c r="T7" s="89">
        <f t="shared" si="4"/>
        <v>2018994.727</v>
      </c>
      <c r="U7" s="89">
        <f t="shared" si="4"/>
        <v>2168298.173</v>
      </c>
      <c r="V7" s="89">
        <f t="shared" ref="V7:W7" si="5">SUM(V8:V24)</f>
        <v>2570546.9539999994</v>
      </c>
      <c r="W7" s="89">
        <f t="shared" si="5"/>
        <v>2742832.1189999999</v>
      </c>
      <c r="X7" s="89">
        <f t="shared" ref="X7:Y7" si="6">SUM(X8:X24)</f>
        <v>2808464.1019999995</v>
      </c>
      <c r="Y7" s="89">
        <f t="shared" si="6"/>
        <v>2751411.2039999999</v>
      </c>
      <c r="Z7" s="89">
        <f t="shared" ref="Z7:AA7" si="7">SUM(Z8:Z24)</f>
        <v>2877842.9730000002</v>
      </c>
      <c r="AA7" s="89">
        <f t="shared" si="7"/>
        <v>2891685.1309999996</v>
      </c>
    </row>
    <row r="8" spans="1:27">
      <c r="A8" s="79" t="s">
        <v>119</v>
      </c>
      <c r="T8" s="2"/>
      <c r="U8" s="2"/>
      <c r="V8" s="2"/>
      <c r="W8" s="2"/>
    </row>
    <row r="9" spans="1:27">
      <c r="A9" s="22" t="s">
        <v>3</v>
      </c>
      <c r="B9" s="13">
        <v>11907</v>
      </c>
      <c r="C9" s="13">
        <v>17577</v>
      </c>
      <c r="D9" s="13">
        <v>21220</v>
      </c>
      <c r="E9" s="13">
        <v>30756.399000000001</v>
      </c>
      <c r="F9" s="76">
        <v>31408.925999999999</v>
      </c>
      <c r="G9" s="13">
        <v>36256.934999999998</v>
      </c>
      <c r="H9" s="13">
        <v>40572.963000000003</v>
      </c>
      <c r="I9" s="13">
        <v>39770.478000000003</v>
      </c>
      <c r="J9" s="13">
        <v>40247.942999999999</v>
      </c>
      <c r="K9" s="13">
        <v>41243.641360000016</v>
      </c>
      <c r="L9" s="14">
        <v>52278.233</v>
      </c>
      <c r="M9" s="14">
        <v>55825.372000000003</v>
      </c>
      <c r="N9" s="14">
        <v>56031.423999999999</v>
      </c>
      <c r="O9" s="14">
        <v>61184.576999999997</v>
      </c>
      <c r="P9" s="14">
        <v>63710.925999999999</v>
      </c>
      <c r="Q9" s="14">
        <v>69459.615999999995</v>
      </c>
      <c r="R9" s="14">
        <v>76989.19</v>
      </c>
      <c r="S9" s="14">
        <v>81930.762000000002</v>
      </c>
      <c r="T9" s="2">
        <v>114048.58</v>
      </c>
      <c r="U9" s="2">
        <v>95946.725999999995</v>
      </c>
      <c r="V9" s="2">
        <v>112794.697</v>
      </c>
      <c r="W9" s="2">
        <v>112715.59600000001</v>
      </c>
      <c r="X9" s="2">
        <v>112941.336</v>
      </c>
      <c r="Y9" s="2">
        <v>112469.50900000001</v>
      </c>
      <c r="Z9" s="2">
        <v>116364.689</v>
      </c>
      <c r="AA9" s="2">
        <v>116338.413</v>
      </c>
    </row>
    <row r="10" spans="1:27">
      <c r="A10" s="22" t="s">
        <v>4</v>
      </c>
      <c r="B10" s="13">
        <v>6037</v>
      </c>
      <c r="C10" s="13">
        <v>6961</v>
      </c>
      <c r="D10" s="13">
        <v>7440</v>
      </c>
      <c r="E10" s="13">
        <v>8034.3739999999998</v>
      </c>
      <c r="F10" s="76">
        <v>9220.2939999999999</v>
      </c>
      <c r="G10" s="13">
        <v>11359.512000000001</v>
      </c>
      <c r="H10" s="13">
        <v>12848.777</v>
      </c>
      <c r="I10" s="14">
        <v>14007.503000000001</v>
      </c>
      <c r="J10" s="14">
        <v>19479.225999999999</v>
      </c>
      <c r="K10" s="14">
        <v>18934.398000000001</v>
      </c>
      <c r="L10" s="14">
        <v>27029.133999999998</v>
      </c>
      <c r="M10" s="14">
        <v>31610.126</v>
      </c>
      <c r="N10" s="14">
        <v>30995.796999999999</v>
      </c>
      <c r="O10" s="14">
        <v>32638.296999999999</v>
      </c>
      <c r="P10" s="14">
        <v>37551.709000000003</v>
      </c>
      <c r="Q10" s="14">
        <v>40305.796999999999</v>
      </c>
      <c r="R10" s="14">
        <v>46736.567999999999</v>
      </c>
      <c r="S10" s="14">
        <v>53870.607000000004</v>
      </c>
      <c r="T10" s="2">
        <v>58767.777999999998</v>
      </c>
      <c r="U10" s="2">
        <v>54981.697999999997</v>
      </c>
      <c r="V10" s="2">
        <v>70384.774000000005</v>
      </c>
      <c r="W10" s="2">
        <v>73918.535000000003</v>
      </c>
      <c r="X10" s="2">
        <v>78860.639999999999</v>
      </c>
      <c r="Y10" s="2">
        <v>80085.731</v>
      </c>
      <c r="Z10" s="2">
        <v>83772.091</v>
      </c>
      <c r="AA10" s="2">
        <v>80213.388000000006</v>
      </c>
    </row>
    <row r="11" spans="1:27">
      <c r="A11" s="22" t="s">
        <v>52</v>
      </c>
      <c r="B11" s="13"/>
      <c r="C11" s="13"/>
      <c r="D11" s="13">
        <v>3202</v>
      </c>
      <c r="E11" s="13">
        <v>9583.848</v>
      </c>
      <c r="F11" s="76">
        <v>10487.85</v>
      </c>
      <c r="G11" s="13"/>
      <c r="H11" s="13"/>
      <c r="I11" s="14">
        <v>9730.5830000000005</v>
      </c>
      <c r="J11" s="14">
        <v>15148.489</v>
      </c>
      <c r="K11" s="14">
        <v>16519.829000000002</v>
      </c>
      <c r="L11" s="14">
        <v>9681.3549999999996</v>
      </c>
      <c r="M11" s="14">
        <v>11518.183999999999</v>
      </c>
      <c r="N11" s="14">
        <v>10005.073</v>
      </c>
      <c r="O11" s="14">
        <v>10710.611000000001</v>
      </c>
      <c r="P11" s="14">
        <v>10918.781000000001</v>
      </c>
      <c r="Q11" s="14">
        <v>12265.32</v>
      </c>
      <c r="R11" s="14">
        <v>12017.373</v>
      </c>
      <c r="S11" s="14">
        <v>13193.384</v>
      </c>
      <c r="T11" s="2">
        <v>14383.192999999999</v>
      </c>
      <c r="U11" s="2">
        <v>13337.878000000001</v>
      </c>
      <c r="V11" s="2">
        <v>14690.781000000001</v>
      </c>
      <c r="W11" s="2">
        <v>18593.205000000002</v>
      </c>
      <c r="X11" s="2">
        <v>18501.692999999999</v>
      </c>
      <c r="Y11" s="2">
        <v>19543.819</v>
      </c>
      <c r="Z11" s="2">
        <v>22676.298999999999</v>
      </c>
      <c r="AA11" s="2">
        <v>19218.583999999999</v>
      </c>
    </row>
    <row r="12" spans="1:27">
      <c r="A12" s="22" t="s">
        <v>5</v>
      </c>
      <c r="B12" s="13">
        <v>78941</v>
      </c>
      <c r="C12" s="13">
        <v>82913</v>
      </c>
      <c r="D12" s="13">
        <v>89949</v>
      </c>
      <c r="E12" s="13">
        <v>144799.071</v>
      </c>
      <c r="F12" s="76">
        <v>150308.266</v>
      </c>
      <c r="G12" s="13">
        <v>165260.01500000001</v>
      </c>
      <c r="H12" s="13">
        <v>173486.5</v>
      </c>
      <c r="I12" s="14">
        <v>178065.46599999999</v>
      </c>
      <c r="J12" s="14">
        <v>185218.079</v>
      </c>
      <c r="K12" s="14">
        <v>191199.93100000001</v>
      </c>
      <c r="L12" s="14">
        <v>231069.943</v>
      </c>
      <c r="M12" s="14">
        <v>269029.66100000002</v>
      </c>
      <c r="N12" s="14">
        <v>244681.99</v>
      </c>
      <c r="O12" s="14">
        <v>194101.23</v>
      </c>
      <c r="P12" s="14">
        <v>204548.611</v>
      </c>
      <c r="Q12" s="14">
        <v>219623.196</v>
      </c>
      <c r="R12" s="14">
        <v>232858.076</v>
      </c>
      <c r="S12" s="14">
        <v>282803.50300000003</v>
      </c>
      <c r="T12" s="2">
        <v>289355.64299999998</v>
      </c>
      <c r="U12" s="2">
        <v>443206.13099999999</v>
      </c>
      <c r="V12" s="2">
        <v>433142.88099999999</v>
      </c>
      <c r="W12" s="2">
        <v>475924.603</v>
      </c>
      <c r="X12" s="2">
        <v>467254.47899999999</v>
      </c>
      <c r="Y12" s="2">
        <v>484308.55300000001</v>
      </c>
      <c r="Z12" s="2">
        <v>513227.75900000002</v>
      </c>
      <c r="AA12" s="2">
        <v>538749.38800000004</v>
      </c>
    </row>
    <row r="13" spans="1:27">
      <c r="A13" s="22" t="s">
        <v>6</v>
      </c>
      <c r="B13" s="13">
        <v>21782</v>
      </c>
      <c r="C13" s="13">
        <v>23861</v>
      </c>
      <c r="D13" s="13">
        <v>17427</v>
      </c>
      <c r="E13" s="13">
        <v>35015.29</v>
      </c>
      <c r="F13" s="76">
        <v>41738.748</v>
      </c>
      <c r="G13" s="13">
        <v>46750.510999999999</v>
      </c>
      <c r="H13" s="13">
        <v>52321.927000000003</v>
      </c>
      <c r="I13" s="14">
        <v>65326.904000000002</v>
      </c>
      <c r="J13" s="14">
        <v>51407.502999999997</v>
      </c>
      <c r="K13" s="14">
        <v>58980.692839999974</v>
      </c>
      <c r="L13" s="14">
        <v>93412.307000000001</v>
      </c>
      <c r="M13" s="14">
        <v>105825.092</v>
      </c>
      <c r="N13" s="14">
        <v>109671.66099999999</v>
      </c>
      <c r="O13" s="14">
        <v>100950.93399999999</v>
      </c>
      <c r="P13" s="14">
        <v>106121.372</v>
      </c>
      <c r="Q13" s="14">
        <v>116771.363</v>
      </c>
      <c r="R13" s="14">
        <v>123124.772</v>
      </c>
      <c r="S13" s="14">
        <v>131899.128</v>
      </c>
      <c r="T13" s="2">
        <v>142815.84599999999</v>
      </c>
      <c r="U13" s="2">
        <v>81755.834000000003</v>
      </c>
      <c r="V13" s="2">
        <v>196500.46400000001</v>
      </c>
      <c r="W13" s="2">
        <v>215077.19099999999</v>
      </c>
      <c r="X13" s="2">
        <v>219681.856</v>
      </c>
      <c r="Y13" s="2">
        <v>73919.467999999993</v>
      </c>
      <c r="Z13" s="2">
        <v>83512.701000000001</v>
      </c>
      <c r="AA13" s="2">
        <v>81055.051000000007</v>
      </c>
    </row>
    <row r="14" spans="1:27">
      <c r="A14" s="22" t="s">
        <v>7</v>
      </c>
      <c r="B14" s="13">
        <v>5694</v>
      </c>
      <c r="C14" s="13">
        <v>2618</v>
      </c>
      <c r="D14" s="13">
        <v>2797</v>
      </c>
      <c r="E14" s="13">
        <v>6590.4939999999997</v>
      </c>
      <c r="F14" s="76">
        <v>9573.8790000000008</v>
      </c>
      <c r="G14" s="13">
        <v>9727.4590000000007</v>
      </c>
      <c r="H14" s="13">
        <v>10897.188</v>
      </c>
      <c r="I14" s="14">
        <v>11400.084000000001</v>
      </c>
      <c r="J14" s="14">
        <v>12190.034</v>
      </c>
      <c r="K14" s="14">
        <v>13102.288</v>
      </c>
      <c r="L14" s="14">
        <v>51243.536999999997</v>
      </c>
      <c r="M14" s="14">
        <v>51579.654999999999</v>
      </c>
      <c r="N14" s="14">
        <v>1798.7570000000001</v>
      </c>
      <c r="O14" s="14">
        <v>2008.171</v>
      </c>
      <c r="P14" s="14">
        <v>2147.8589999999999</v>
      </c>
      <c r="Q14" s="14">
        <v>42641.188000000002</v>
      </c>
      <c r="R14" s="14">
        <v>46186.205999999998</v>
      </c>
      <c r="S14" s="14">
        <v>50008.800000000003</v>
      </c>
      <c r="T14" s="2">
        <v>64591.392999999996</v>
      </c>
      <c r="U14" s="2">
        <v>58274.201000000001</v>
      </c>
      <c r="V14" s="2">
        <v>76377.846000000005</v>
      </c>
      <c r="W14" s="2">
        <v>74600.872000000003</v>
      </c>
      <c r="X14" s="2">
        <v>77923.553</v>
      </c>
      <c r="Y14" s="2">
        <v>67823.846999999994</v>
      </c>
      <c r="Z14" s="2">
        <v>66202.070000000007</v>
      </c>
      <c r="AA14" s="2">
        <v>64765.292000000001</v>
      </c>
    </row>
    <row r="15" spans="1:27">
      <c r="A15" s="22" t="s">
        <v>8</v>
      </c>
      <c r="B15" s="36">
        <v>4132</v>
      </c>
      <c r="C15" s="36">
        <v>4542</v>
      </c>
      <c r="D15" s="36">
        <v>4837</v>
      </c>
      <c r="E15" s="36">
        <v>8931.0290000000005</v>
      </c>
      <c r="F15" s="77">
        <v>8739.2849999999999</v>
      </c>
      <c r="G15" s="36">
        <v>10867.380999999999</v>
      </c>
      <c r="H15" s="36">
        <v>11948.300999999999</v>
      </c>
      <c r="I15" s="37">
        <v>11168.212</v>
      </c>
      <c r="J15" s="37">
        <v>18882.013999999999</v>
      </c>
      <c r="K15" s="37">
        <v>23341.967800000013</v>
      </c>
      <c r="L15" s="37">
        <v>28764.478999999999</v>
      </c>
      <c r="M15" s="37">
        <v>30444.651000000002</v>
      </c>
      <c r="N15" s="37">
        <v>37642.927000000003</v>
      </c>
      <c r="O15" s="37">
        <v>44449.413</v>
      </c>
      <c r="P15" s="37">
        <v>56206.811000000002</v>
      </c>
      <c r="Q15" s="37">
        <v>55728.178</v>
      </c>
      <c r="R15" s="37">
        <v>50886.553999999996</v>
      </c>
      <c r="S15" s="37">
        <v>55876.055</v>
      </c>
      <c r="T15" s="23">
        <v>75194.138000000006</v>
      </c>
      <c r="U15" s="23">
        <v>47582.991000000002</v>
      </c>
      <c r="V15" s="23">
        <v>71656.092999999993</v>
      </c>
      <c r="W15" s="23">
        <v>79142.663</v>
      </c>
      <c r="X15" s="2">
        <v>82830.566999999995</v>
      </c>
      <c r="Y15" s="2">
        <v>62040.010999999999</v>
      </c>
      <c r="Z15" s="2">
        <v>55172.006999999998</v>
      </c>
      <c r="AA15" s="2">
        <v>57626.394999999997</v>
      </c>
    </row>
    <row r="16" spans="1:27">
      <c r="A16" s="22" t="s">
        <v>9</v>
      </c>
      <c r="B16" s="36">
        <v>38114</v>
      </c>
      <c r="C16" s="36">
        <v>41399</v>
      </c>
      <c r="D16" s="36">
        <v>45107</v>
      </c>
      <c r="E16" s="36">
        <v>59374.413999999997</v>
      </c>
      <c r="F16" s="77">
        <v>48204.201999999997</v>
      </c>
      <c r="G16" s="36">
        <v>61128.57</v>
      </c>
      <c r="H16" s="36">
        <v>67843.786999999997</v>
      </c>
      <c r="I16" s="37">
        <v>58440.42</v>
      </c>
      <c r="J16" s="37">
        <v>73734.547999999995</v>
      </c>
      <c r="K16" s="37">
        <v>80772.89</v>
      </c>
      <c r="L16" s="37">
        <v>105180.19500000001</v>
      </c>
      <c r="M16" s="37">
        <v>106584.855</v>
      </c>
      <c r="N16" s="37">
        <v>109053.371</v>
      </c>
      <c r="O16" s="37">
        <v>131286.68100000001</v>
      </c>
      <c r="P16" s="37">
        <v>134983.139</v>
      </c>
      <c r="Q16" s="37">
        <v>141857.11600000001</v>
      </c>
      <c r="R16" s="37">
        <v>149297.465</v>
      </c>
      <c r="S16" s="37">
        <v>159641.63099999999</v>
      </c>
      <c r="T16" s="23">
        <v>168859.269</v>
      </c>
      <c r="U16" s="23">
        <v>191353.98499999999</v>
      </c>
      <c r="V16" s="23">
        <v>214078.40299999999</v>
      </c>
      <c r="W16" s="23">
        <v>218109.55900000001</v>
      </c>
      <c r="X16" s="2">
        <v>243721.15</v>
      </c>
      <c r="Y16" s="2">
        <v>241864.45800000001</v>
      </c>
      <c r="Z16" s="2">
        <v>261473.38699999999</v>
      </c>
      <c r="AA16" s="2">
        <v>264279.52299999999</v>
      </c>
    </row>
    <row r="17" spans="1:27">
      <c r="A17" s="22" t="s">
        <v>10</v>
      </c>
      <c r="B17" s="36">
        <v>15184</v>
      </c>
      <c r="C17" s="36">
        <v>15541</v>
      </c>
      <c r="D17" s="36">
        <v>16963</v>
      </c>
      <c r="E17" s="36">
        <v>20047.45</v>
      </c>
      <c r="F17" s="77">
        <v>20589.971000000001</v>
      </c>
      <c r="G17" s="36">
        <v>22877.839</v>
      </c>
      <c r="H17" s="36">
        <v>25030.9</v>
      </c>
      <c r="I17" s="37">
        <v>29686.562999999998</v>
      </c>
      <c r="J17" s="37">
        <v>32956.116999999998</v>
      </c>
      <c r="K17" s="37">
        <v>35473.061999999998</v>
      </c>
      <c r="L17" s="37">
        <v>46701.029000000002</v>
      </c>
      <c r="M17" s="37">
        <v>42877.595000000001</v>
      </c>
      <c r="N17" s="37">
        <v>45063.743999999999</v>
      </c>
      <c r="O17" s="37">
        <v>49611.983</v>
      </c>
      <c r="P17" s="37">
        <v>52365.731</v>
      </c>
      <c r="Q17" s="37">
        <v>54742.423000000003</v>
      </c>
      <c r="R17" s="37">
        <v>55264.758999999998</v>
      </c>
      <c r="S17" s="37">
        <v>64730.978000000003</v>
      </c>
      <c r="T17" s="23">
        <v>71382.789000000004</v>
      </c>
      <c r="U17" s="23">
        <v>77439.453999999998</v>
      </c>
      <c r="V17" s="23">
        <v>88753.358999999997</v>
      </c>
      <c r="W17" s="23">
        <v>97989.438999999998</v>
      </c>
      <c r="X17" s="2">
        <v>101415.326</v>
      </c>
      <c r="Y17" s="2">
        <v>104201.705</v>
      </c>
      <c r="Z17" s="2">
        <v>109592.63499999999</v>
      </c>
      <c r="AA17" s="2">
        <v>112151.624</v>
      </c>
    </row>
    <row r="18" spans="1:27">
      <c r="A18" s="22" t="s">
        <v>11</v>
      </c>
      <c r="B18" s="36">
        <v>42927</v>
      </c>
      <c r="C18" s="36">
        <v>46362</v>
      </c>
      <c r="D18" s="36">
        <v>50501</v>
      </c>
      <c r="E18" s="36">
        <v>71665.527000000002</v>
      </c>
      <c r="F18" s="77">
        <v>76133.025999999998</v>
      </c>
      <c r="G18" s="36">
        <v>81174.45</v>
      </c>
      <c r="H18" s="36">
        <v>87329.370999999999</v>
      </c>
      <c r="I18" s="37">
        <v>94744.793999999994</v>
      </c>
      <c r="J18" s="37">
        <v>98041.18</v>
      </c>
      <c r="K18" s="37">
        <v>102117.41532999999</v>
      </c>
      <c r="L18" s="37">
        <v>127767.44100000001</v>
      </c>
      <c r="M18" s="37">
        <v>146270.34700000001</v>
      </c>
      <c r="N18" s="37">
        <v>155347.01199999999</v>
      </c>
      <c r="O18" s="37">
        <v>168111.83799999999</v>
      </c>
      <c r="P18" s="37">
        <v>176677.467</v>
      </c>
      <c r="Q18" s="37">
        <v>190428.99799999999</v>
      </c>
      <c r="R18" s="37">
        <v>204218.57</v>
      </c>
      <c r="S18" s="37">
        <v>216117.33600000001</v>
      </c>
      <c r="T18" s="23">
        <v>234737.228</v>
      </c>
      <c r="U18" s="23">
        <v>239181.25099999999</v>
      </c>
      <c r="V18" s="23">
        <v>268633.65299999999</v>
      </c>
      <c r="W18" s="23">
        <v>290109.05599999998</v>
      </c>
      <c r="X18" s="2">
        <v>293673.45400000003</v>
      </c>
      <c r="Y18" s="2">
        <v>310552.886</v>
      </c>
      <c r="Z18" s="2">
        <v>328322.26199999999</v>
      </c>
      <c r="AA18" s="2">
        <v>309483.67</v>
      </c>
    </row>
    <row r="19" spans="1:27">
      <c r="A19" s="22" t="s">
        <v>12</v>
      </c>
      <c r="B19" s="36">
        <v>7850</v>
      </c>
      <c r="C19" s="36">
        <v>8080</v>
      </c>
      <c r="D19" s="37">
        <v>8710</v>
      </c>
      <c r="E19" s="36">
        <v>23007.107</v>
      </c>
      <c r="F19" s="77">
        <v>24152.159</v>
      </c>
      <c r="G19" s="36">
        <v>23906.678</v>
      </c>
      <c r="H19" s="36">
        <v>22691.419000000002</v>
      </c>
      <c r="I19" s="37">
        <v>22625.789000000001</v>
      </c>
      <c r="J19" s="37">
        <v>23395.124</v>
      </c>
      <c r="K19" s="37">
        <v>26869.236060000003</v>
      </c>
      <c r="L19" s="37">
        <v>27848.276999999998</v>
      </c>
      <c r="M19" s="37">
        <v>52755.733999999997</v>
      </c>
      <c r="N19" s="37">
        <v>27730.813999999998</v>
      </c>
      <c r="O19" s="37">
        <v>27931.013999999999</v>
      </c>
      <c r="P19" s="37">
        <v>28638.817999999999</v>
      </c>
      <c r="Q19" s="37">
        <v>30683.207999999999</v>
      </c>
      <c r="R19" s="37">
        <v>33133.440999999999</v>
      </c>
      <c r="S19" s="37">
        <v>33679</v>
      </c>
      <c r="T19" s="23">
        <v>39469.614000000001</v>
      </c>
      <c r="U19" s="23">
        <v>47374.46</v>
      </c>
      <c r="V19" s="23">
        <v>53279.17</v>
      </c>
      <c r="W19" s="23">
        <v>51475.046999999999</v>
      </c>
      <c r="X19" s="2">
        <v>52264.281000000003</v>
      </c>
      <c r="Y19" s="2">
        <v>58580.699000000001</v>
      </c>
      <c r="Z19" s="2">
        <v>65437.321000000004</v>
      </c>
      <c r="AA19" s="2">
        <v>65254.964</v>
      </c>
    </row>
    <row r="20" spans="1:27">
      <c r="A20" s="22" t="s">
        <v>13</v>
      </c>
      <c r="B20" s="36">
        <v>17215</v>
      </c>
      <c r="C20" s="36">
        <v>24067</v>
      </c>
      <c r="D20" s="36">
        <v>25497</v>
      </c>
      <c r="E20" s="36">
        <v>37702.053999999996</v>
      </c>
      <c r="F20" s="77">
        <v>36529.749000000003</v>
      </c>
      <c r="G20" s="36">
        <v>40065.178</v>
      </c>
      <c r="H20" s="36">
        <v>40528.845999999998</v>
      </c>
      <c r="I20" s="37">
        <v>42793.769</v>
      </c>
      <c r="J20" s="37">
        <v>42798.175000000003</v>
      </c>
      <c r="K20" s="37">
        <v>41210.766000000003</v>
      </c>
      <c r="L20" s="37">
        <v>47203.319000000003</v>
      </c>
      <c r="M20" s="37">
        <v>49631.807999999997</v>
      </c>
      <c r="N20" s="37">
        <v>55407.398000000001</v>
      </c>
      <c r="O20" s="37">
        <v>59546.521000000001</v>
      </c>
      <c r="P20" s="37">
        <v>59412.542000000001</v>
      </c>
      <c r="Q20" s="37">
        <v>63106.552000000003</v>
      </c>
      <c r="R20" s="37">
        <v>64720.044000000002</v>
      </c>
      <c r="S20" s="37">
        <v>67446.395999999993</v>
      </c>
      <c r="T20" s="23">
        <v>75313.303</v>
      </c>
      <c r="U20" s="23">
        <v>84300.437999999995</v>
      </c>
      <c r="V20" s="23">
        <v>86455.989000000001</v>
      </c>
      <c r="W20" s="23">
        <v>92301.345000000001</v>
      </c>
      <c r="X20" s="23">
        <v>91053.88</v>
      </c>
      <c r="Y20" s="2">
        <v>91715.686000000002</v>
      </c>
      <c r="Z20" s="2">
        <v>98976.053</v>
      </c>
      <c r="AA20" s="2">
        <v>104110.632</v>
      </c>
    </row>
    <row r="21" spans="1:27" s="17" customFormat="1">
      <c r="A21" s="22" t="s">
        <v>14</v>
      </c>
      <c r="B21" s="36">
        <v>12742</v>
      </c>
      <c r="C21" s="36">
        <v>14554</v>
      </c>
      <c r="D21" s="36">
        <v>16259</v>
      </c>
      <c r="E21" s="36">
        <v>19764.248</v>
      </c>
      <c r="F21" s="77">
        <v>19649.22</v>
      </c>
      <c r="G21" s="36">
        <v>21208.958999999999</v>
      </c>
      <c r="H21" s="36">
        <v>23605.656999999999</v>
      </c>
      <c r="I21" s="37">
        <v>27416.768</v>
      </c>
      <c r="J21" s="37">
        <v>28432.608</v>
      </c>
      <c r="K21" s="37">
        <v>30143.205999999998</v>
      </c>
      <c r="L21" s="37">
        <v>36630.150999999998</v>
      </c>
      <c r="M21" s="37">
        <v>42600.468000000001</v>
      </c>
      <c r="N21" s="37">
        <v>41837.281000000003</v>
      </c>
      <c r="O21" s="37">
        <v>43358.546999999999</v>
      </c>
      <c r="P21" s="37">
        <v>43807.055999999997</v>
      </c>
      <c r="Q21" s="37">
        <v>51105.985999999997</v>
      </c>
      <c r="R21" s="37">
        <v>54082.824999999997</v>
      </c>
      <c r="S21" s="37">
        <v>56595.45</v>
      </c>
      <c r="T21" s="23">
        <v>62858.311000000002</v>
      </c>
      <c r="U21" s="23">
        <v>70183.858999999997</v>
      </c>
      <c r="V21" s="23">
        <v>71531.179000000004</v>
      </c>
      <c r="W21" s="23">
        <v>79056.69</v>
      </c>
      <c r="X21" s="23">
        <v>80353.851999999999</v>
      </c>
      <c r="Y21" s="2">
        <v>84022.398000000001</v>
      </c>
      <c r="Z21" s="2">
        <v>87854.21</v>
      </c>
      <c r="AA21" s="2">
        <v>85787.629000000001</v>
      </c>
    </row>
    <row r="22" spans="1:27">
      <c r="A22" s="22" t="s">
        <v>15</v>
      </c>
      <c r="B22" s="36">
        <v>104790</v>
      </c>
      <c r="C22" s="36">
        <v>113176</v>
      </c>
      <c r="D22" s="36">
        <v>120285</v>
      </c>
      <c r="E22" s="36">
        <v>195889.568</v>
      </c>
      <c r="F22" s="77">
        <v>190394.217</v>
      </c>
      <c r="G22" s="36">
        <v>181430.55900000001</v>
      </c>
      <c r="H22" s="36">
        <v>210405.09099999999</v>
      </c>
      <c r="I22" s="37">
        <v>201042.565</v>
      </c>
      <c r="J22" s="37">
        <v>234039.84299999999</v>
      </c>
      <c r="K22" s="37">
        <v>251441.44899999999</v>
      </c>
      <c r="L22" s="37">
        <v>265614.51</v>
      </c>
      <c r="M22" s="37">
        <v>300477.20199999999</v>
      </c>
      <c r="N22" s="37">
        <v>315916.67800000001</v>
      </c>
      <c r="O22" s="37">
        <v>329944.82900000003</v>
      </c>
      <c r="P22" s="37">
        <v>355362.09</v>
      </c>
      <c r="Q22" s="37">
        <v>362945.45699999999</v>
      </c>
      <c r="R22" s="37">
        <v>392307.22399999999</v>
      </c>
      <c r="S22" s="37">
        <v>420238.86200000002</v>
      </c>
      <c r="T22" s="23">
        <v>452446.11900000001</v>
      </c>
      <c r="U22" s="23">
        <v>505232.19799999997</v>
      </c>
      <c r="V22" s="23">
        <v>636588.35100000002</v>
      </c>
      <c r="W22" s="23">
        <v>664972.37300000002</v>
      </c>
      <c r="X22" s="2">
        <v>673993.91700000002</v>
      </c>
      <c r="Y22" s="2">
        <v>739840.99300000002</v>
      </c>
      <c r="Z22" s="2">
        <v>759520.951</v>
      </c>
      <c r="AA22" s="2">
        <v>764852.38199999998</v>
      </c>
    </row>
    <row r="23" spans="1:27">
      <c r="A23" s="22" t="s">
        <v>16</v>
      </c>
      <c r="B23" s="36">
        <v>25166</v>
      </c>
      <c r="C23" s="36">
        <v>30330</v>
      </c>
      <c r="D23" s="36">
        <v>32119</v>
      </c>
      <c r="E23" s="36">
        <v>45196.803</v>
      </c>
      <c r="F23" s="77">
        <v>46576.285000000003</v>
      </c>
      <c r="G23" s="36">
        <v>48460.13</v>
      </c>
      <c r="H23" s="36">
        <v>52743.608</v>
      </c>
      <c r="I23" s="37">
        <v>57632.373</v>
      </c>
      <c r="J23" s="37">
        <v>57431.663999999997</v>
      </c>
      <c r="K23" s="37">
        <v>64484.108</v>
      </c>
      <c r="L23" s="37">
        <v>68047.563999999998</v>
      </c>
      <c r="M23" s="37">
        <v>74980.933999999994</v>
      </c>
      <c r="N23" s="37">
        <v>73520.28</v>
      </c>
      <c r="O23" s="37">
        <v>79061.553</v>
      </c>
      <c r="P23" s="37">
        <v>86073.217999999993</v>
      </c>
      <c r="Q23" s="37">
        <v>97217.398000000001</v>
      </c>
      <c r="R23" s="37">
        <v>105953.147</v>
      </c>
      <c r="S23" s="37">
        <v>116618.84699999999</v>
      </c>
      <c r="T23" s="23">
        <v>139178.579</v>
      </c>
      <c r="U23" s="23">
        <v>139017.84700000001</v>
      </c>
      <c r="V23" s="23">
        <v>145787.05900000001</v>
      </c>
      <c r="W23" s="23">
        <v>167053.38800000001</v>
      </c>
      <c r="X23" s="2">
        <v>178086.071</v>
      </c>
      <c r="Y23" s="2">
        <v>186488.31700000001</v>
      </c>
      <c r="Z23" s="2">
        <v>190834.41</v>
      </c>
      <c r="AA23" s="2">
        <v>196374.296</v>
      </c>
    </row>
    <row r="24" spans="1:27">
      <c r="A24" s="83" t="s">
        <v>17</v>
      </c>
      <c r="B24" s="66">
        <v>2349</v>
      </c>
      <c r="C24" s="66">
        <v>2506</v>
      </c>
      <c r="D24" s="66">
        <v>2682</v>
      </c>
      <c r="E24" s="66">
        <v>2378.2779999999998</v>
      </c>
      <c r="F24" s="82">
        <v>2466.0790000000002</v>
      </c>
      <c r="G24" s="66">
        <v>3054</v>
      </c>
      <c r="H24" s="66">
        <v>3720.9</v>
      </c>
      <c r="I24" s="63">
        <v>4004.357</v>
      </c>
      <c r="J24" s="63">
        <v>4437.9809999999998</v>
      </c>
      <c r="K24" s="63">
        <v>4008.9290699999929</v>
      </c>
      <c r="L24" s="63">
        <v>4307.6930000000002</v>
      </c>
      <c r="M24" s="63">
        <v>5152.4110000000001</v>
      </c>
      <c r="N24" s="63">
        <v>3874.0540000000001</v>
      </c>
      <c r="O24" s="63">
        <v>5979.3029999999999</v>
      </c>
      <c r="P24" s="63">
        <v>5196.9160000000002</v>
      </c>
      <c r="Q24" s="63">
        <v>14450.045</v>
      </c>
      <c r="R24" s="63">
        <v>11852.411</v>
      </c>
      <c r="S24" s="63">
        <v>14418.423000000001</v>
      </c>
      <c r="T24" s="45">
        <v>15592.944</v>
      </c>
      <c r="U24" s="45">
        <v>19129.222000000002</v>
      </c>
      <c r="V24" s="45">
        <v>29892.255000000001</v>
      </c>
      <c r="W24" s="45">
        <v>31792.557000000001</v>
      </c>
      <c r="X24" s="45">
        <v>35908.046999999999</v>
      </c>
      <c r="Y24" s="45">
        <v>33953.124000000003</v>
      </c>
      <c r="Z24" s="45">
        <v>34904.127999999997</v>
      </c>
      <c r="AA24" s="45">
        <v>31423.9</v>
      </c>
    </row>
    <row r="25" spans="1:27" s="23" customFormat="1">
      <c r="A25" s="79" t="s">
        <v>120</v>
      </c>
      <c r="B25" s="90">
        <f>SUM(B27:B39)</f>
        <v>0</v>
      </c>
      <c r="C25" s="90">
        <f t="shared" ref="C25:AA25" si="8">SUM(C27:C39)</f>
        <v>0</v>
      </c>
      <c r="D25" s="90">
        <f t="shared" si="8"/>
        <v>0</v>
      </c>
      <c r="E25" s="90">
        <f t="shared" si="8"/>
        <v>0</v>
      </c>
      <c r="F25" s="90">
        <f t="shared" si="8"/>
        <v>677342.71499999997</v>
      </c>
      <c r="G25" s="90">
        <f t="shared" si="8"/>
        <v>0</v>
      </c>
      <c r="H25" s="90">
        <f t="shared" si="8"/>
        <v>0</v>
      </c>
      <c r="I25" s="90">
        <f t="shared" si="8"/>
        <v>738076.67499999993</v>
      </c>
      <c r="J25" s="90">
        <f t="shared" si="8"/>
        <v>0</v>
      </c>
      <c r="K25" s="90">
        <f t="shared" si="8"/>
        <v>1050798.82914</v>
      </c>
      <c r="L25" s="90">
        <f t="shared" si="8"/>
        <v>997353.72600000002</v>
      </c>
      <c r="M25" s="90">
        <f t="shared" si="8"/>
        <v>1097665.6680000001</v>
      </c>
      <c r="N25" s="90">
        <f t="shared" si="8"/>
        <v>1145382.4510000001</v>
      </c>
      <c r="O25" s="90">
        <f t="shared" si="8"/>
        <v>1142460.173</v>
      </c>
      <c r="P25" s="90">
        <f t="shared" si="8"/>
        <v>1155769.2520000001</v>
      </c>
      <c r="Q25" s="90">
        <f t="shared" si="8"/>
        <v>1356452.3780000003</v>
      </c>
      <c r="R25" s="90">
        <f t="shared" si="8"/>
        <v>1455129.4579999999</v>
      </c>
      <c r="S25" s="90">
        <f t="shared" si="8"/>
        <v>1552688.331</v>
      </c>
      <c r="T25" s="90">
        <f t="shared" si="8"/>
        <v>1765968.7819999999</v>
      </c>
      <c r="U25" s="90">
        <f t="shared" si="8"/>
        <v>1858746.1159999997</v>
      </c>
      <c r="V25" s="90">
        <f t="shared" si="8"/>
        <v>2065432.6529999997</v>
      </c>
      <c r="W25" s="90">
        <f t="shared" si="8"/>
        <v>2179775.8859999999</v>
      </c>
      <c r="X25" s="90">
        <f t="shared" si="8"/>
        <v>2201407.9939999999</v>
      </c>
      <c r="Y25" s="90">
        <f t="shared" si="8"/>
        <v>1595891.4580000003</v>
      </c>
      <c r="Z25" s="90">
        <f t="shared" si="8"/>
        <v>1670111.9549999998</v>
      </c>
      <c r="AA25" s="90">
        <f t="shared" si="8"/>
        <v>1693846.2990000001</v>
      </c>
    </row>
    <row r="26" spans="1:27">
      <c r="A26" s="79" t="s">
        <v>119</v>
      </c>
      <c r="B26" s="37"/>
      <c r="C26" s="37"/>
      <c r="D26" s="37"/>
      <c r="E26" s="37"/>
      <c r="F26" s="37"/>
      <c r="G26" s="37"/>
      <c r="H26" s="37"/>
      <c r="I26" s="37"/>
      <c r="J26" s="37"/>
      <c r="K26" s="37"/>
      <c r="L26" s="37"/>
      <c r="M26" s="37"/>
      <c r="N26" s="37"/>
      <c r="O26" s="37"/>
      <c r="P26" s="37"/>
      <c r="Q26" s="37"/>
      <c r="R26" s="37"/>
      <c r="S26" s="37"/>
      <c r="T26" s="23"/>
      <c r="U26" s="23"/>
      <c r="V26" s="23"/>
      <c r="W26" s="23"/>
      <c r="X26" s="2">
        <v>0</v>
      </c>
      <c r="Y26" s="2">
        <v>0</v>
      </c>
    </row>
    <row r="27" spans="1:27">
      <c r="A27" s="23" t="s">
        <v>85</v>
      </c>
      <c r="B27" s="36"/>
      <c r="C27" s="36"/>
      <c r="D27" s="37"/>
      <c r="E27" s="36"/>
      <c r="F27" s="77">
        <v>438.86500000000001</v>
      </c>
      <c r="G27" s="36"/>
      <c r="H27" s="36"/>
      <c r="I27" s="37">
        <v>496.846</v>
      </c>
      <c r="J27" s="37"/>
      <c r="K27" s="37">
        <v>494.19499999999999</v>
      </c>
      <c r="L27" s="37">
        <v>3777.3560000000002</v>
      </c>
      <c r="M27" s="37">
        <v>565.76400000000001</v>
      </c>
      <c r="N27" s="37">
        <v>3375.83</v>
      </c>
      <c r="O27" s="37">
        <v>3941.26</v>
      </c>
      <c r="P27" s="37">
        <v>3517.01</v>
      </c>
      <c r="Q27" s="37">
        <v>570.93299999999999</v>
      </c>
      <c r="R27" s="37">
        <v>2921.306</v>
      </c>
      <c r="S27" s="37">
        <v>3595.4789999999998</v>
      </c>
      <c r="T27" s="23">
        <v>2931.8449999999998</v>
      </c>
      <c r="U27" s="23">
        <v>3834.8989999999999</v>
      </c>
      <c r="V27" s="23">
        <v>4018.2449999999999</v>
      </c>
      <c r="W27" s="23">
        <v>1135.0830000000001</v>
      </c>
      <c r="X27" s="2">
        <v>4227.71</v>
      </c>
      <c r="Y27" s="2">
        <v>1210.8330000000001</v>
      </c>
    </row>
    <row r="28" spans="1:27">
      <c r="A28" s="23" t="s">
        <v>86</v>
      </c>
      <c r="B28" s="36"/>
      <c r="C28" s="36"/>
      <c r="D28" s="36"/>
      <c r="E28" s="36"/>
      <c r="F28" s="77">
        <v>43285.129000000001</v>
      </c>
      <c r="G28" s="36"/>
      <c r="H28" s="36"/>
      <c r="I28" s="37">
        <v>50997.94</v>
      </c>
      <c r="J28" s="37"/>
      <c r="K28" s="37">
        <v>83105.585919999983</v>
      </c>
      <c r="L28" s="37">
        <v>82017.919999999998</v>
      </c>
      <c r="M28" s="37">
        <v>88376.99</v>
      </c>
      <c r="N28" s="37">
        <v>101156.448</v>
      </c>
      <c r="O28" s="37">
        <v>103769.39599999999</v>
      </c>
      <c r="P28" s="37">
        <v>113860.575</v>
      </c>
      <c r="Q28" s="37">
        <v>122067.91800000001</v>
      </c>
      <c r="R28" s="37">
        <v>132061.73000000001</v>
      </c>
      <c r="S28" s="37">
        <v>146235.503</v>
      </c>
      <c r="T28" s="23">
        <v>167589.27600000001</v>
      </c>
      <c r="U28" s="23">
        <v>180458.87599999999</v>
      </c>
      <c r="V28" s="23">
        <v>190072.989</v>
      </c>
      <c r="W28" s="23">
        <v>177439.897</v>
      </c>
      <c r="X28" s="2">
        <v>191151.375</v>
      </c>
      <c r="Y28" s="2">
        <v>55919.800999999999</v>
      </c>
      <c r="Z28" s="2">
        <v>53592.442999999999</v>
      </c>
      <c r="AA28" s="2">
        <v>52165.667000000001</v>
      </c>
    </row>
    <row r="29" spans="1:27">
      <c r="A29" s="23" t="s">
        <v>87</v>
      </c>
      <c r="B29" s="36"/>
      <c r="C29" s="36"/>
      <c r="D29" s="36"/>
      <c r="E29" s="36"/>
      <c r="F29" s="77">
        <v>425188.43199999997</v>
      </c>
      <c r="G29" s="36"/>
      <c r="H29" s="36"/>
      <c r="I29" s="37">
        <v>433709.408</v>
      </c>
      <c r="J29" s="37"/>
      <c r="K29" s="37">
        <v>651037.88754999998</v>
      </c>
      <c r="L29" s="37">
        <v>561479.32900000003</v>
      </c>
      <c r="M29" s="37">
        <v>632065.79299999995</v>
      </c>
      <c r="N29" s="37">
        <v>641671.81499999994</v>
      </c>
      <c r="O29" s="37">
        <v>625636.31200000003</v>
      </c>
      <c r="P29" s="37">
        <v>643882.00300000003</v>
      </c>
      <c r="Q29" s="37">
        <v>815578.68799999997</v>
      </c>
      <c r="R29" s="37">
        <v>873417.81400000001</v>
      </c>
      <c r="S29" s="37">
        <v>976138.83299999998</v>
      </c>
      <c r="T29" s="23">
        <v>1100349.2050000001</v>
      </c>
      <c r="U29" s="23">
        <v>1089010.139</v>
      </c>
      <c r="V29" s="23">
        <v>1218726.9169999999</v>
      </c>
      <c r="W29" s="23">
        <v>1314312.6059999999</v>
      </c>
      <c r="X29" s="2">
        <v>1301455.5</v>
      </c>
      <c r="Y29" s="2">
        <v>942221.73800000001</v>
      </c>
      <c r="Z29" s="2">
        <v>974286.54299999995</v>
      </c>
      <c r="AA29" s="2">
        <v>989709.473</v>
      </c>
    </row>
    <row r="30" spans="1:27">
      <c r="A30" s="23" t="s">
        <v>88</v>
      </c>
      <c r="B30" s="36"/>
      <c r="C30" s="36"/>
      <c r="D30" s="36"/>
      <c r="E30" s="36"/>
      <c r="F30" s="77">
        <v>27904.799999999999</v>
      </c>
      <c r="G30" s="36"/>
      <c r="H30" s="36"/>
      <c r="I30" s="37">
        <v>34637.58</v>
      </c>
      <c r="J30" s="37"/>
      <c r="K30" s="37">
        <v>40869.675999999999</v>
      </c>
      <c r="L30" s="37">
        <v>38230.159</v>
      </c>
      <c r="M30" s="37">
        <v>40477.427000000003</v>
      </c>
      <c r="N30" s="37">
        <v>45422.908000000003</v>
      </c>
      <c r="O30" s="37">
        <v>45129.7</v>
      </c>
      <c r="P30" s="37">
        <v>45424.870999999999</v>
      </c>
      <c r="Q30" s="37">
        <v>43133.875999999997</v>
      </c>
      <c r="R30" s="37">
        <v>45795.557000000001</v>
      </c>
      <c r="S30" s="37">
        <v>46605.303999999996</v>
      </c>
      <c r="T30" s="23">
        <v>56709.938999999998</v>
      </c>
      <c r="U30" s="23">
        <v>64573.118999999999</v>
      </c>
      <c r="V30" s="23">
        <v>72951.573000000004</v>
      </c>
      <c r="W30" s="23">
        <v>76133.581000000006</v>
      </c>
      <c r="X30" s="2">
        <v>82551.062999999995</v>
      </c>
      <c r="Y30" s="2">
        <v>45730.455000000002</v>
      </c>
      <c r="Z30" s="2">
        <v>44425.195</v>
      </c>
      <c r="AA30" s="2">
        <v>55198.864999999998</v>
      </c>
    </row>
    <row r="31" spans="1:27">
      <c r="A31" s="23" t="s">
        <v>91</v>
      </c>
      <c r="B31" s="36"/>
      <c r="C31" s="36"/>
      <c r="D31" s="36"/>
      <c r="E31" s="36"/>
      <c r="F31" s="77">
        <v>6562.152</v>
      </c>
      <c r="G31" s="36"/>
      <c r="H31" s="36"/>
      <c r="I31" s="37">
        <v>7101.0190000000002</v>
      </c>
      <c r="J31" s="37"/>
      <c r="K31" s="37">
        <v>14130.583000000001</v>
      </c>
      <c r="L31" s="37">
        <v>11317.593000000001</v>
      </c>
      <c r="M31" s="37">
        <v>11921.713</v>
      </c>
      <c r="N31" s="37">
        <v>13519.664000000001</v>
      </c>
      <c r="O31" s="37">
        <v>15459.689</v>
      </c>
      <c r="P31" s="37">
        <v>12175.398999999999</v>
      </c>
      <c r="Q31" s="37">
        <v>12755.172</v>
      </c>
      <c r="R31" s="37">
        <v>11474.177</v>
      </c>
      <c r="S31" s="37">
        <v>13227.89</v>
      </c>
      <c r="T31" s="23">
        <v>15131.288</v>
      </c>
      <c r="U31" s="23">
        <v>22085.781999999999</v>
      </c>
      <c r="V31" s="23">
        <v>24494.245999999999</v>
      </c>
      <c r="W31" s="23">
        <v>28046.928</v>
      </c>
      <c r="X31" s="2">
        <v>30070.429</v>
      </c>
      <c r="Y31" s="2">
        <v>32195.514999999999</v>
      </c>
      <c r="Z31" s="2">
        <v>32418.375</v>
      </c>
      <c r="AA31" s="2">
        <v>39082.063000000002</v>
      </c>
    </row>
    <row r="32" spans="1:27">
      <c r="A32" s="23" t="s">
        <v>92</v>
      </c>
      <c r="B32" s="36"/>
      <c r="C32" s="36"/>
      <c r="D32" s="36"/>
      <c r="E32" s="36"/>
      <c r="F32" s="77">
        <v>4960.0950000000003</v>
      </c>
      <c r="G32" s="36"/>
      <c r="H32" s="36"/>
      <c r="I32" s="37">
        <v>4511.8940000000002</v>
      </c>
      <c r="J32" s="37"/>
      <c r="K32" s="37">
        <v>5177.817</v>
      </c>
      <c r="L32" s="37">
        <v>7891.317</v>
      </c>
      <c r="M32" s="37">
        <v>10226.376</v>
      </c>
      <c r="N32" s="37">
        <v>12320.096</v>
      </c>
      <c r="O32" s="37">
        <v>12780.198</v>
      </c>
      <c r="P32" s="37">
        <v>13970.878000000001</v>
      </c>
      <c r="Q32" s="37">
        <v>14463.78</v>
      </c>
      <c r="R32" s="37">
        <v>15251.897000000001</v>
      </c>
      <c r="S32" s="37">
        <v>15060.962</v>
      </c>
      <c r="T32" s="23">
        <v>15877.33</v>
      </c>
      <c r="U32" s="23">
        <v>16654.427</v>
      </c>
      <c r="V32" s="23">
        <v>19341.384999999998</v>
      </c>
      <c r="W32" s="23">
        <v>19010.741000000002</v>
      </c>
      <c r="X32" s="2">
        <v>27856.145</v>
      </c>
      <c r="Y32" s="2">
        <v>19762.275000000001</v>
      </c>
      <c r="Z32" s="2">
        <v>20176.098000000002</v>
      </c>
      <c r="AA32" s="2">
        <v>17570.858</v>
      </c>
    </row>
    <row r="33" spans="1:44">
      <c r="A33" s="23" t="s">
        <v>100</v>
      </c>
      <c r="B33" s="37"/>
      <c r="C33" s="37"/>
      <c r="D33" s="37"/>
      <c r="E33" s="37"/>
      <c r="F33" s="77">
        <v>5791.0659999999998</v>
      </c>
      <c r="G33" s="37"/>
      <c r="H33" s="37"/>
      <c r="I33" s="37">
        <v>5153.1229999999996</v>
      </c>
      <c r="J33" s="37"/>
      <c r="K33" s="37">
        <v>6248.0304699999988</v>
      </c>
      <c r="L33" s="37">
        <v>8192.2710000000006</v>
      </c>
      <c r="M33" s="37">
        <v>10574.003000000001</v>
      </c>
      <c r="N33" s="37">
        <v>14002.976000000001</v>
      </c>
      <c r="O33" s="37">
        <v>12509.261</v>
      </c>
      <c r="P33" s="37">
        <v>11205.584999999999</v>
      </c>
      <c r="Q33" s="37">
        <v>14691.478999999999</v>
      </c>
      <c r="R33" s="37">
        <v>15746.035</v>
      </c>
      <c r="S33" s="37">
        <v>13429.754000000001</v>
      </c>
      <c r="T33" s="23">
        <v>13006.047</v>
      </c>
      <c r="U33" s="23">
        <v>13573.395</v>
      </c>
      <c r="V33" s="23">
        <v>15970.666999999999</v>
      </c>
      <c r="W33" s="23">
        <v>18867.490000000002</v>
      </c>
      <c r="X33" s="2">
        <v>20201.932000000001</v>
      </c>
      <c r="Y33" s="2">
        <v>18459.057000000001</v>
      </c>
      <c r="Z33" s="2">
        <v>19438.666000000001</v>
      </c>
      <c r="AA33" s="2">
        <v>18312.963</v>
      </c>
    </row>
    <row r="34" spans="1:44">
      <c r="A34" s="23" t="s">
        <v>102</v>
      </c>
      <c r="B34" s="37"/>
      <c r="C34" s="37"/>
      <c r="D34" s="37"/>
      <c r="E34" s="37"/>
      <c r="F34" s="77">
        <v>7478.5209999999997</v>
      </c>
      <c r="G34" s="37"/>
      <c r="H34" s="37"/>
      <c r="I34" s="37">
        <v>8849.9449999999997</v>
      </c>
      <c r="J34" s="37"/>
      <c r="K34" s="37">
        <v>14774</v>
      </c>
      <c r="L34" s="37">
        <v>15364</v>
      </c>
      <c r="M34" s="37">
        <v>15857</v>
      </c>
      <c r="N34" s="37">
        <v>17012.194</v>
      </c>
      <c r="O34" s="37">
        <v>18260</v>
      </c>
      <c r="P34" s="37">
        <v>10750</v>
      </c>
      <c r="Q34" s="37">
        <v>12052</v>
      </c>
      <c r="R34" s="37">
        <v>13973</v>
      </c>
      <c r="S34" s="37">
        <v>9463</v>
      </c>
      <c r="T34" s="23">
        <v>10218</v>
      </c>
      <c r="U34" s="23">
        <v>34481.96</v>
      </c>
      <c r="V34" s="23">
        <v>41438.398000000001</v>
      </c>
      <c r="W34" s="23">
        <v>42943.968000000001</v>
      </c>
      <c r="X34" s="2">
        <v>40216.688999999998</v>
      </c>
      <c r="Y34" s="2">
        <v>40646.904000000002</v>
      </c>
      <c r="Z34" s="2">
        <v>42368.771000000001</v>
      </c>
      <c r="AA34" s="2">
        <v>42043.11</v>
      </c>
    </row>
    <row r="35" spans="1:44">
      <c r="A35" s="23" t="s">
        <v>105</v>
      </c>
      <c r="B35" s="37"/>
      <c r="C35" s="37"/>
      <c r="D35" s="37"/>
      <c r="E35" s="37"/>
      <c r="F35" s="77">
        <v>15444.692999999999</v>
      </c>
      <c r="G35" s="37"/>
      <c r="H35" s="37"/>
      <c r="I35" s="37">
        <v>21459.377</v>
      </c>
      <c r="J35" s="37"/>
      <c r="K35" s="37">
        <v>27787.719239999995</v>
      </c>
      <c r="L35" s="37">
        <v>35215.296999999999</v>
      </c>
      <c r="M35" s="37">
        <v>34242.754000000001</v>
      </c>
      <c r="N35" s="37">
        <v>37631.178</v>
      </c>
      <c r="O35" s="37">
        <v>39927.438999999998</v>
      </c>
      <c r="P35" s="37">
        <v>41083.362999999998</v>
      </c>
      <c r="Q35" s="37">
        <v>45757.03</v>
      </c>
      <c r="R35" s="37">
        <v>50758.66</v>
      </c>
      <c r="S35" s="37">
        <v>50556.127</v>
      </c>
      <c r="T35" s="23">
        <v>54946.326000000001</v>
      </c>
      <c r="U35" s="23">
        <v>64940.800000000003</v>
      </c>
      <c r="V35" s="23">
        <v>70710.433999999994</v>
      </c>
      <c r="W35" s="23">
        <v>79502.966</v>
      </c>
      <c r="X35" s="2">
        <v>83177.365999999995</v>
      </c>
      <c r="Y35" s="2">
        <v>62620.766000000003</v>
      </c>
      <c r="Z35" s="2">
        <v>70507.501999999993</v>
      </c>
      <c r="AA35" s="2">
        <v>72440.960000000006</v>
      </c>
    </row>
    <row r="36" spans="1:44">
      <c r="A36" s="23" t="s">
        <v>109</v>
      </c>
      <c r="B36" s="37"/>
      <c r="C36" s="37"/>
      <c r="D36" s="37"/>
      <c r="E36" s="37"/>
      <c r="F36" s="77">
        <v>52234.101999999999</v>
      </c>
      <c r="G36" s="37"/>
      <c r="H36" s="37"/>
      <c r="I36" s="37">
        <v>66960.494999999995</v>
      </c>
      <c r="J36" s="37"/>
      <c r="K36" s="37">
        <v>85613.751099999994</v>
      </c>
      <c r="L36" s="37">
        <v>92844.197</v>
      </c>
      <c r="M36" s="37">
        <v>95058.383000000002</v>
      </c>
      <c r="N36" s="37">
        <v>95202.441000000006</v>
      </c>
      <c r="O36" s="37">
        <v>95892.221999999994</v>
      </c>
      <c r="P36" s="37">
        <v>81172.687000000005</v>
      </c>
      <c r="Q36" s="37">
        <v>94551.851999999999</v>
      </c>
      <c r="R36" s="37">
        <v>97611.861999999994</v>
      </c>
      <c r="S36" s="37">
        <v>90434.775999999998</v>
      </c>
      <c r="T36" s="23">
        <v>115564.58900000001</v>
      </c>
      <c r="U36" s="23">
        <v>135894.114</v>
      </c>
      <c r="V36" s="23">
        <v>140534.61199999999</v>
      </c>
      <c r="W36" s="23">
        <v>148233.97700000001</v>
      </c>
      <c r="X36" s="2">
        <v>154766.842</v>
      </c>
      <c r="Y36" s="2">
        <v>149220.57699999999</v>
      </c>
      <c r="Z36" s="2">
        <v>157444.568</v>
      </c>
      <c r="AA36" s="2">
        <v>139119.261</v>
      </c>
    </row>
    <row r="37" spans="1:44">
      <c r="A37" s="23" t="s">
        <v>113</v>
      </c>
      <c r="B37" s="37"/>
      <c r="C37" s="37"/>
      <c r="D37" s="37"/>
      <c r="E37" s="37"/>
      <c r="F37" s="77">
        <v>17650.214</v>
      </c>
      <c r="G37" s="37"/>
      <c r="H37" s="37"/>
      <c r="I37" s="37">
        <v>15126.347</v>
      </c>
      <c r="J37" s="37"/>
      <c r="K37" s="37">
        <v>18419.662</v>
      </c>
      <c r="L37" s="37">
        <v>17873.337</v>
      </c>
      <c r="M37" s="37">
        <v>20128.763999999999</v>
      </c>
      <c r="N37" s="37">
        <v>25120.899000000001</v>
      </c>
      <c r="O37" s="37">
        <v>25388.28</v>
      </c>
      <c r="P37" s="37">
        <v>28320.039000000001</v>
      </c>
      <c r="Q37" s="37">
        <v>27259.448</v>
      </c>
      <c r="R37" s="37">
        <v>29512.602999999999</v>
      </c>
      <c r="S37" s="37">
        <v>33230.601000000002</v>
      </c>
      <c r="T37" s="23">
        <v>37355.781000000003</v>
      </c>
      <c r="U37" s="23">
        <v>37660.559999999998</v>
      </c>
      <c r="V37" s="23">
        <v>40639.125999999997</v>
      </c>
      <c r="W37" s="23">
        <v>43329.324000000001</v>
      </c>
      <c r="X37" s="2">
        <v>35837.699999999997</v>
      </c>
      <c r="Y37" s="2">
        <v>46976.705000000002</v>
      </c>
      <c r="Z37" s="2">
        <v>49971.008000000002</v>
      </c>
      <c r="AA37" s="2">
        <v>54410.951000000001</v>
      </c>
    </row>
    <row r="38" spans="1:44">
      <c r="A38" s="23" t="s">
        <v>115</v>
      </c>
      <c r="B38" s="37"/>
      <c r="C38" s="37"/>
      <c r="D38" s="37"/>
      <c r="E38" s="37"/>
      <c r="F38" s="77">
        <v>60530.813999999998</v>
      </c>
      <c r="G38" s="37"/>
      <c r="H38" s="37"/>
      <c r="I38" s="37">
        <v>77690.801999999996</v>
      </c>
      <c r="J38" s="37"/>
      <c r="K38" s="37">
        <v>91635.985860000015</v>
      </c>
      <c r="L38" s="37">
        <v>110218.59</v>
      </c>
      <c r="M38" s="37">
        <v>124988.31</v>
      </c>
      <c r="N38" s="37">
        <v>121789.31</v>
      </c>
      <c r="O38" s="37">
        <v>125730.898</v>
      </c>
      <c r="P38" s="37">
        <v>131929.44099999999</v>
      </c>
      <c r="Q38" s="37">
        <v>134084.52299999999</v>
      </c>
      <c r="R38" s="37">
        <v>144093.649</v>
      </c>
      <c r="S38" s="37">
        <v>131845.538</v>
      </c>
      <c r="T38" s="23">
        <v>148090.476</v>
      </c>
      <c r="U38" s="23">
        <v>165393.05799999999</v>
      </c>
      <c r="V38" s="23">
        <v>193103.266</v>
      </c>
      <c r="W38" s="23">
        <v>194315.47899999999</v>
      </c>
      <c r="X38" s="2">
        <v>188618.52600000001</v>
      </c>
      <c r="Y38" s="2">
        <v>140167.12700000001</v>
      </c>
      <c r="Z38" s="2">
        <v>160472.66500000001</v>
      </c>
      <c r="AA38" s="2">
        <v>166723.99299999999</v>
      </c>
    </row>
    <row r="39" spans="1:44">
      <c r="A39" s="45" t="s">
        <v>117</v>
      </c>
      <c r="B39" s="63"/>
      <c r="C39" s="63"/>
      <c r="D39" s="63"/>
      <c r="E39" s="63"/>
      <c r="F39" s="82">
        <v>9873.8320000000003</v>
      </c>
      <c r="G39" s="63"/>
      <c r="H39" s="63"/>
      <c r="I39" s="63">
        <v>11381.898999999999</v>
      </c>
      <c r="J39" s="63"/>
      <c r="K39" s="63">
        <v>11503.936</v>
      </c>
      <c r="L39" s="63">
        <v>12932.36</v>
      </c>
      <c r="M39" s="63">
        <v>13182.391</v>
      </c>
      <c r="N39" s="63">
        <v>17156.691999999999</v>
      </c>
      <c r="O39" s="63">
        <v>18035.518</v>
      </c>
      <c r="P39" s="63">
        <v>18477.401000000002</v>
      </c>
      <c r="Q39" s="63">
        <v>19485.679</v>
      </c>
      <c r="R39" s="63">
        <v>22511.168000000001</v>
      </c>
      <c r="S39" s="63">
        <v>22864.563999999998</v>
      </c>
      <c r="T39" s="45">
        <v>28198.68</v>
      </c>
      <c r="U39" s="45">
        <v>30184.987000000001</v>
      </c>
      <c r="V39" s="45">
        <v>33430.794999999998</v>
      </c>
      <c r="W39" s="45">
        <v>36503.845999999998</v>
      </c>
      <c r="X39" s="45">
        <v>41276.716999999997</v>
      </c>
      <c r="Y39" s="45">
        <v>40759.705000000002</v>
      </c>
      <c r="Z39" s="45">
        <v>45010.120999999999</v>
      </c>
      <c r="AA39" s="45">
        <v>47068.135000000002</v>
      </c>
      <c r="AB39" s="23"/>
      <c r="AC39" s="23"/>
      <c r="AD39" s="23"/>
      <c r="AE39" s="23"/>
      <c r="AF39" s="23"/>
      <c r="AG39" s="23"/>
      <c r="AH39" s="23"/>
      <c r="AI39" s="23"/>
      <c r="AJ39" s="23"/>
      <c r="AK39" s="23"/>
      <c r="AL39" s="23"/>
      <c r="AM39" s="23"/>
      <c r="AN39" s="23"/>
      <c r="AO39" s="23"/>
      <c r="AP39" s="23"/>
      <c r="AQ39" s="23"/>
      <c r="AR39" s="23"/>
    </row>
    <row r="40" spans="1:44" s="23" customFormat="1">
      <c r="A40" s="79" t="s">
        <v>121</v>
      </c>
      <c r="B40" s="90">
        <f>SUM(B42:B53)</f>
        <v>0</v>
      </c>
      <c r="C40" s="90">
        <f t="shared" ref="C40:AA40" si="9">SUM(C42:C53)</f>
        <v>0</v>
      </c>
      <c r="D40" s="90">
        <f t="shared" si="9"/>
        <v>0</v>
      </c>
      <c r="E40" s="90">
        <f t="shared" si="9"/>
        <v>0</v>
      </c>
      <c r="F40" s="90">
        <f t="shared" si="9"/>
        <v>578195.77400000009</v>
      </c>
      <c r="G40" s="90">
        <f t="shared" si="9"/>
        <v>0</v>
      </c>
      <c r="H40" s="90">
        <f t="shared" si="9"/>
        <v>0</v>
      </c>
      <c r="I40" s="90">
        <f t="shared" si="9"/>
        <v>678213.54300000018</v>
      </c>
      <c r="J40" s="90">
        <f t="shared" si="9"/>
        <v>0</v>
      </c>
      <c r="K40" s="90">
        <f t="shared" si="9"/>
        <v>819865.7980200001</v>
      </c>
      <c r="L40" s="90">
        <f t="shared" si="9"/>
        <v>957602.93099999987</v>
      </c>
      <c r="M40" s="90">
        <f t="shared" si="9"/>
        <v>1012364.9090000001</v>
      </c>
      <c r="N40" s="90">
        <f t="shared" si="9"/>
        <v>1083467.389</v>
      </c>
      <c r="O40" s="90">
        <f t="shared" si="9"/>
        <v>1010727.9969999999</v>
      </c>
      <c r="P40" s="90">
        <f t="shared" si="9"/>
        <v>1159221.7560000001</v>
      </c>
      <c r="Q40" s="90">
        <f t="shared" si="9"/>
        <v>1142548.4829999998</v>
      </c>
      <c r="R40" s="90">
        <f t="shared" si="9"/>
        <v>1204880.7749999997</v>
      </c>
      <c r="S40" s="90">
        <f t="shared" si="9"/>
        <v>1246270.3419999999</v>
      </c>
      <c r="T40" s="90">
        <f t="shared" si="9"/>
        <v>1413970.449</v>
      </c>
      <c r="U40" s="90">
        <f t="shared" si="9"/>
        <v>1537271.112</v>
      </c>
      <c r="V40" s="90">
        <f t="shared" si="9"/>
        <v>1705094.8399999999</v>
      </c>
      <c r="W40" s="90">
        <f t="shared" si="9"/>
        <v>1873102.8149999999</v>
      </c>
      <c r="X40" s="90">
        <f t="shared" si="9"/>
        <v>1977174.0249999997</v>
      </c>
      <c r="Y40" s="90">
        <f t="shared" si="9"/>
        <v>1544800.5719999999</v>
      </c>
      <c r="Z40" s="90">
        <f t="shared" si="9"/>
        <v>1609155.4760000003</v>
      </c>
      <c r="AA40" s="90">
        <f t="shared" si="9"/>
        <v>1664729.3669999999</v>
      </c>
    </row>
    <row r="41" spans="1:44">
      <c r="A41" s="79" t="s">
        <v>119</v>
      </c>
      <c r="B41" s="37"/>
      <c r="C41" s="37"/>
      <c r="D41" s="37"/>
      <c r="E41" s="37"/>
      <c r="F41" s="37"/>
      <c r="G41" s="37"/>
      <c r="H41" s="37"/>
      <c r="I41" s="37"/>
      <c r="J41" s="37"/>
      <c r="K41" s="37"/>
      <c r="L41" s="37"/>
      <c r="M41" s="37"/>
      <c r="N41" s="37"/>
      <c r="O41" s="37"/>
      <c r="P41" s="37"/>
      <c r="Q41" s="37"/>
      <c r="R41" s="37"/>
      <c r="S41" s="37"/>
      <c r="T41" s="23"/>
      <c r="U41" s="23"/>
      <c r="V41" s="23"/>
      <c r="W41" s="23"/>
      <c r="X41" s="2">
        <v>0</v>
      </c>
      <c r="Y41" s="2">
        <v>0</v>
      </c>
    </row>
    <row r="42" spans="1:44">
      <c r="A42" s="23" t="s">
        <v>93</v>
      </c>
      <c r="B42" s="36"/>
      <c r="C42" s="36"/>
      <c r="D42" s="36"/>
      <c r="E42" s="36"/>
      <c r="F42" s="77">
        <v>181533.625</v>
      </c>
      <c r="G42" s="36"/>
      <c r="H42" s="36"/>
      <c r="I42" s="37">
        <v>220466.217</v>
      </c>
      <c r="J42" s="37"/>
      <c r="K42" s="37">
        <v>263691.41899999999</v>
      </c>
      <c r="L42" s="37">
        <v>339043.86499999999</v>
      </c>
      <c r="M42" s="37">
        <v>357776.571</v>
      </c>
      <c r="N42" s="37">
        <v>369778.43900000001</v>
      </c>
      <c r="O42" s="37">
        <v>285232.69099999999</v>
      </c>
      <c r="P42" s="37">
        <v>383497.848</v>
      </c>
      <c r="Q42" s="37">
        <v>328717.71799999999</v>
      </c>
      <c r="R42" s="37">
        <v>335227.42499999999</v>
      </c>
      <c r="S42" s="37">
        <v>354337.41600000003</v>
      </c>
      <c r="T42" s="23">
        <v>398443.54399999999</v>
      </c>
      <c r="U42" s="23">
        <v>435243.32299999997</v>
      </c>
      <c r="V42" s="23">
        <v>471207.79599999997</v>
      </c>
      <c r="W42" s="23">
        <v>530431.26</v>
      </c>
      <c r="X42" s="2">
        <v>549510.21699999995</v>
      </c>
      <c r="Y42" s="2">
        <v>355292.91800000001</v>
      </c>
      <c r="Z42" s="2">
        <v>364901.82699999999</v>
      </c>
      <c r="AA42" s="2">
        <v>395823.72200000001</v>
      </c>
    </row>
    <row r="43" spans="1:44">
      <c r="A43" s="23" t="s">
        <v>58</v>
      </c>
      <c r="B43" s="36"/>
      <c r="C43" s="36"/>
      <c r="D43" s="36"/>
      <c r="E43" s="36"/>
      <c r="F43" s="77">
        <v>24353.472000000002</v>
      </c>
      <c r="G43" s="36"/>
      <c r="H43" s="36"/>
      <c r="I43" s="37">
        <v>26436.383999999998</v>
      </c>
      <c r="J43" s="37"/>
      <c r="K43" s="37">
        <v>40326.834000000003</v>
      </c>
      <c r="L43" s="37">
        <v>30331.116000000002</v>
      </c>
      <c r="M43" s="37">
        <v>32805.546999999999</v>
      </c>
      <c r="N43" s="37">
        <v>38775.629999999997</v>
      </c>
      <c r="O43" s="37">
        <v>39739.987999999998</v>
      </c>
      <c r="P43" s="37">
        <v>33942.379000000001</v>
      </c>
      <c r="Q43" s="37">
        <v>42483.552000000003</v>
      </c>
      <c r="R43" s="37">
        <v>43700.487999999998</v>
      </c>
      <c r="S43" s="37">
        <v>45465.468999999997</v>
      </c>
      <c r="T43" s="23">
        <v>37599.345000000001</v>
      </c>
      <c r="U43" s="23">
        <v>55823.375999999997</v>
      </c>
      <c r="V43" s="23">
        <v>74116.963000000003</v>
      </c>
      <c r="W43" s="23">
        <v>71906.731</v>
      </c>
      <c r="X43" s="2">
        <v>114013.679</v>
      </c>
      <c r="Y43" s="2">
        <v>114579.671</v>
      </c>
      <c r="Z43" s="2">
        <v>118451.728</v>
      </c>
      <c r="AA43" s="2">
        <v>116278.111</v>
      </c>
    </row>
    <row r="44" spans="1:44">
      <c r="A44" s="23" t="s">
        <v>94</v>
      </c>
      <c r="B44" s="36"/>
      <c r="C44" s="36"/>
      <c r="D44" s="36"/>
      <c r="E44" s="36"/>
      <c r="F44" s="77">
        <v>37088.69</v>
      </c>
      <c r="G44" s="36"/>
      <c r="H44" s="36"/>
      <c r="I44" s="37">
        <v>45200.260999999999</v>
      </c>
      <c r="J44" s="37"/>
      <c r="K44" s="37">
        <v>49088.75</v>
      </c>
      <c r="L44" s="37">
        <v>66818.947</v>
      </c>
      <c r="M44" s="37">
        <v>71090.994999999995</v>
      </c>
      <c r="N44" s="37">
        <v>84185.703999999998</v>
      </c>
      <c r="O44" s="37">
        <v>71751.792000000001</v>
      </c>
      <c r="P44" s="37">
        <v>81946.206999999995</v>
      </c>
      <c r="Q44" s="37">
        <v>84401.907000000007</v>
      </c>
      <c r="R44" s="37">
        <v>89996.805999999997</v>
      </c>
      <c r="S44" s="37">
        <v>101559.314</v>
      </c>
      <c r="T44" s="23">
        <v>110602.299</v>
      </c>
      <c r="U44" s="23">
        <v>121024.743</v>
      </c>
      <c r="V44" s="23">
        <v>140918.83600000001</v>
      </c>
      <c r="W44" s="23">
        <v>152696.51199999999</v>
      </c>
      <c r="X44" s="2">
        <v>166158.44099999999</v>
      </c>
      <c r="Y44" s="2">
        <v>160486.535</v>
      </c>
      <c r="Z44" s="2">
        <v>172150.486</v>
      </c>
      <c r="AA44" s="2">
        <v>182961.62100000001</v>
      </c>
    </row>
    <row r="45" spans="1:44">
      <c r="A45" s="23" t="s">
        <v>95</v>
      </c>
      <c r="B45" s="36"/>
      <c r="C45" s="36"/>
      <c r="D45" s="36"/>
      <c r="E45" s="36"/>
      <c r="F45" s="77">
        <v>33181.629000000001</v>
      </c>
      <c r="G45" s="36"/>
      <c r="H45" s="36"/>
      <c r="I45" s="37">
        <v>40095.739000000001</v>
      </c>
      <c r="J45" s="37"/>
      <c r="K45" s="37">
        <v>42958.65110000001</v>
      </c>
      <c r="L45" s="37">
        <v>51459.798999999999</v>
      </c>
      <c r="M45" s="37">
        <v>57106.252</v>
      </c>
      <c r="N45" s="37">
        <v>60326.86</v>
      </c>
      <c r="O45" s="37">
        <v>60374.457999999999</v>
      </c>
      <c r="P45" s="37">
        <v>61724.427000000003</v>
      </c>
      <c r="Q45" s="37">
        <v>67115.596000000005</v>
      </c>
      <c r="R45" s="37">
        <v>71388.231</v>
      </c>
      <c r="S45" s="37">
        <v>77793.676000000007</v>
      </c>
      <c r="T45" s="23">
        <v>83157.402000000002</v>
      </c>
      <c r="U45" s="23">
        <v>101295.929</v>
      </c>
      <c r="V45" s="23">
        <v>108381.37699999999</v>
      </c>
      <c r="W45" s="23">
        <v>113313.701</v>
      </c>
      <c r="X45" s="2">
        <v>124492.607</v>
      </c>
      <c r="Y45" s="2">
        <v>97140.115999999995</v>
      </c>
      <c r="Z45" s="2">
        <v>100098.171</v>
      </c>
      <c r="AA45" s="2">
        <v>106200.298</v>
      </c>
    </row>
    <row r="46" spans="1:44">
      <c r="A46" s="23" t="s">
        <v>98</v>
      </c>
      <c r="B46" s="36"/>
      <c r="C46" s="36"/>
      <c r="D46" s="36"/>
      <c r="E46" s="37"/>
      <c r="F46" s="77">
        <v>79761.52</v>
      </c>
      <c r="G46" s="36"/>
      <c r="H46" s="36"/>
      <c r="I46" s="37">
        <v>89085.922000000006</v>
      </c>
      <c r="J46" s="37"/>
      <c r="K46" s="37">
        <v>99306.957069999989</v>
      </c>
      <c r="L46" s="37">
        <v>124155.09299999999</v>
      </c>
      <c r="M46" s="37">
        <v>129252.959</v>
      </c>
      <c r="N46" s="37">
        <v>159984.24799999999</v>
      </c>
      <c r="O46" s="37">
        <v>154061.372</v>
      </c>
      <c r="P46" s="37">
        <v>183341.291</v>
      </c>
      <c r="Q46" s="37">
        <v>177169.19699999999</v>
      </c>
      <c r="R46" s="37">
        <v>185624.23</v>
      </c>
      <c r="S46" s="37">
        <v>190676.242</v>
      </c>
      <c r="T46" s="23">
        <v>201764.486</v>
      </c>
      <c r="U46" s="23">
        <v>209718.86499999999</v>
      </c>
      <c r="V46" s="23">
        <v>213063.55799999999</v>
      </c>
      <c r="W46" s="23">
        <v>212202.93799999999</v>
      </c>
      <c r="X46" s="2">
        <v>219383.87700000001</v>
      </c>
      <c r="Y46" s="2">
        <v>209571.24299999999</v>
      </c>
      <c r="Z46" s="2">
        <v>210371.13699999999</v>
      </c>
      <c r="AA46" s="2">
        <v>225776.43700000001</v>
      </c>
    </row>
    <row r="47" spans="1:44">
      <c r="A47" s="23" t="s">
        <v>99</v>
      </c>
      <c r="B47" s="37"/>
      <c r="C47" s="37"/>
      <c r="D47" s="37"/>
      <c r="E47" s="37"/>
      <c r="F47" s="77">
        <v>45631.381999999998</v>
      </c>
      <c r="G47" s="37"/>
      <c r="H47" s="37"/>
      <c r="I47" s="37">
        <v>65497.317999999999</v>
      </c>
      <c r="J47" s="37"/>
      <c r="K47" s="37">
        <v>75626.096340000004</v>
      </c>
      <c r="L47" s="37">
        <v>68569.452999999994</v>
      </c>
      <c r="M47" s="37">
        <v>71030.149000000005</v>
      </c>
      <c r="N47" s="37">
        <v>72284.706000000006</v>
      </c>
      <c r="O47" s="37">
        <v>71637.895999999993</v>
      </c>
      <c r="P47" s="37">
        <v>77295.259000000005</v>
      </c>
      <c r="Q47" s="37">
        <v>79156.346999999994</v>
      </c>
      <c r="R47" s="37">
        <v>85205.98</v>
      </c>
      <c r="S47" s="37">
        <v>86519.466</v>
      </c>
      <c r="T47" s="23">
        <v>108775.145</v>
      </c>
      <c r="U47" s="23">
        <v>113916.821</v>
      </c>
      <c r="V47" s="23">
        <v>127405.54700000001</v>
      </c>
      <c r="W47" s="23">
        <v>129580</v>
      </c>
      <c r="X47" s="2">
        <v>123497.724</v>
      </c>
      <c r="Y47" s="2">
        <v>103267.031</v>
      </c>
      <c r="Z47" s="2">
        <v>101207.91099999999</v>
      </c>
      <c r="AA47" s="2">
        <v>104792.66499999999</v>
      </c>
    </row>
    <row r="48" spans="1:44">
      <c r="A48" s="23" t="s">
        <v>59</v>
      </c>
      <c r="B48" s="37"/>
      <c r="C48" s="37"/>
      <c r="D48" s="37"/>
      <c r="E48" s="37"/>
      <c r="F48" s="77">
        <v>29013.58</v>
      </c>
      <c r="G48" s="37"/>
      <c r="H48" s="37"/>
      <c r="I48" s="37">
        <v>15116.838</v>
      </c>
      <c r="J48" s="37"/>
      <c r="K48" s="37">
        <v>44819.987999999998</v>
      </c>
      <c r="L48" s="37">
        <v>21615.327000000001</v>
      </c>
      <c r="M48" s="37">
        <v>26642.15</v>
      </c>
      <c r="N48" s="37">
        <v>23447.495999999999</v>
      </c>
      <c r="O48" s="37">
        <v>24842.941999999999</v>
      </c>
      <c r="P48" s="37">
        <v>27197.114000000001</v>
      </c>
      <c r="Q48" s="37">
        <v>31201.553</v>
      </c>
      <c r="R48" s="37">
        <v>34694.508999999998</v>
      </c>
      <c r="S48" s="37">
        <v>35021.913</v>
      </c>
      <c r="T48" s="23">
        <v>41804.457999999999</v>
      </c>
      <c r="U48" s="23">
        <v>47402.642</v>
      </c>
      <c r="V48" s="23">
        <v>51196.695</v>
      </c>
      <c r="W48" s="23">
        <v>94174.301000000007</v>
      </c>
      <c r="X48" s="2">
        <v>107865.099</v>
      </c>
      <c r="Y48" s="2">
        <v>103446.371</v>
      </c>
      <c r="Z48" s="2">
        <v>129212.107</v>
      </c>
      <c r="AA48" s="2">
        <v>111731.611</v>
      </c>
    </row>
    <row r="49" spans="1:44">
      <c r="A49" s="23" t="s">
        <v>101</v>
      </c>
      <c r="B49" s="37"/>
      <c r="C49" s="37"/>
      <c r="D49" s="37"/>
      <c r="E49" s="37"/>
      <c r="F49" s="77">
        <v>14569.786</v>
      </c>
      <c r="G49" s="37"/>
      <c r="H49" s="37"/>
      <c r="I49" s="37">
        <v>16877.287</v>
      </c>
      <c r="J49" s="37"/>
      <c r="K49" s="37">
        <v>23842.672999999999</v>
      </c>
      <c r="L49" s="37">
        <v>28195.679</v>
      </c>
      <c r="M49" s="37">
        <v>30012.008000000002</v>
      </c>
      <c r="N49" s="37">
        <v>31727.413</v>
      </c>
      <c r="O49" s="37">
        <v>36124.353000000003</v>
      </c>
      <c r="P49" s="37">
        <v>38165.722000000002</v>
      </c>
      <c r="Q49" s="37">
        <v>38761.021000000001</v>
      </c>
      <c r="R49" s="37">
        <v>41208.607000000004</v>
      </c>
      <c r="S49" s="37">
        <v>42458.815999999999</v>
      </c>
      <c r="T49" s="23">
        <v>45411.887999999999</v>
      </c>
      <c r="U49" s="23">
        <v>46927.637999999999</v>
      </c>
      <c r="V49" s="23">
        <v>57725</v>
      </c>
      <c r="W49" s="23">
        <v>67459.63</v>
      </c>
      <c r="X49" s="2">
        <v>64652.998</v>
      </c>
      <c r="Y49" s="2">
        <v>54051.423999999999</v>
      </c>
      <c r="Z49" s="2">
        <v>58209.076000000001</v>
      </c>
      <c r="AA49" s="2">
        <v>62986.199000000001</v>
      </c>
    </row>
    <row r="50" spans="1:44">
      <c r="A50" s="23" t="s">
        <v>107</v>
      </c>
      <c r="B50" s="37"/>
      <c r="C50" s="37"/>
      <c r="D50" s="37"/>
      <c r="E50" s="37"/>
      <c r="F50" s="77">
        <v>5222.1930000000002</v>
      </c>
      <c r="G50" s="37"/>
      <c r="H50" s="37"/>
      <c r="I50" s="37">
        <v>5429.2</v>
      </c>
      <c r="J50" s="37"/>
      <c r="K50" s="37">
        <v>7634.6005900000036</v>
      </c>
      <c r="L50" s="37">
        <v>9744.2350000000006</v>
      </c>
      <c r="M50" s="37">
        <v>6796.3339999999998</v>
      </c>
      <c r="N50" s="37">
        <v>7818.9849999999997</v>
      </c>
      <c r="O50" s="37">
        <v>8100.6589999999997</v>
      </c>
      <c r="P50" s="37">
        <v>8904.9750000000004</v>
      </c>
      <c r="Q50" s="37">
        <v>14133.938</v>
      </c>
      <c r="R50" s="37">
        <v>15993.13</v>
      </c>
      <c r="S50" s="37">
        <v>12417.759</v>
      </c>
      <c r="T50" s="23">
        <v>7993.1030000000001</v>
      </c>
      <c r="U50" s="23">
        <v>15195.397000000001</v>
      </c>
      <c r="V50" s="23">
        <v>19023.284</v>
      </c>
      <c r="W50" s="23">
        <v>20824.949000000001</v>
      </c>
      <c r="X50" s="2">
        <v>20343.36</v>
      </c>
      <c r="Y50" s="2">
        <v>21768.449000000001</v>
      </c>
      <c r="Z50" s="2">
        <v>23443.304</v>
      </c>
      <c r="AA50" s="2">
        <v>24585.848999999998</v>
      </c>
    </row>
    <row r="51" spans="1:44">
      <c r="A51" s="23" t="s">
        <v>108</v>
      </c>
      <c r="B51" s="37"/>
      <c r="C51" s="37"/>
      <c r="D51" s="37"/>
      <c r="E51" s="37"/>
      <c r="F51" s="77">
        <v>75521.194000000003</v>
      </c>
      <c r="G51" s="37"/>
      <c r="H51" s="37"/>
      <c r="I51" s="37">
        <v>91421.032000000007</v>
      </c>
      <c r="J51" s="37"/>
      <c r="K51" s="37">
        <v>98758.680999999997</v>
      </c>
      <c r="L51" s="37">
        <v>126371.174</v>
      </c>
      <c r="M51" s="37">
        <v>131705.226</v>
      </c>
      <c r="N51" s="37">
        <v>130480.72199999999</v>
      </c>
      <c r="O51" s="37">
        <v>146921.00599999999</v>
      </c>
      <c r="P51" s="37">
        <v>147190.86600000001</v>
      </c>
      <c r="Q51" s="37">
        <v>154185.46900000001</v>
      </c>
      <c r="R51" s="37">
        <v>168143.73199999999</v>
      </c>
      <c r="S51" s="37">
        <v>169635.84599999999</v>
      </c>
      <c r="T51" s="23">
        <v>232951.67</v>
      </c>
      <c r="U51" s="23">
        <v>232902.43700000001</v>
      </c>
      <c r="V51" s="23">
        <v>252848.14499999999</v>
      </c>
      <c r="W51" s="23">
        <v>277232.29800000001</v>
      </c>
      <c r="X51" s="2">
        <v>289240.592</v>
      </c>
      <c r="Y51" s="2">
        <v>278554.50699999998</v>
      </c>
      <c r="Z51" s="2">
        <v>283160.03200000001</v>
      </c>
      <c r="AA51" s="2">
        <v>278919.353</v>
      </c>
    </row>
    <row r="52" spans="1:44">
      <c r="A52" s="23" t="s">
        <v>112</v>
      </c>
      <c r="B52" s="37"/>
      <c r="C52" s="37"/>
      <c r="D52" s="37"/>
      <c r="E52" s="37"/>
      <c r="F52" s="77">
        <v>132.01499999999999</v>
      </c>
      <c r="G52" s="37"/>
      <c r="H52" s="37"/>
      <c r="I52" s="37">
        <v>337.40300000000002</v>
      </c>
      <c r="J52" s="37"/>
      <c r="K52" s="37">
        <v>3968.5779199999979</v>
      </c>
      <c r="L52" s="37">
        <v>4179.7370000000001</v>
      </c>
      <c r="M52" s="37">
        <v>4733.1000000000004</v>
      </c>
      <c r="N52" s="37">
        <v>3494.7510000000002</v>
      </c>
      <c r="O52" s="37">
        <v>6454.2539999999999</v>
      </c>
      <c r="P52" s="37">
        <v>6549.2169999999996</v>
      </c>
      <c r="Q52" s="37">
        <v>5844.8770000000004</v>
      </c>
      <c r="R52" s="37">
        <v>6835.0479999999998</v>
      </c>
      <c r="S52" s="37">
        <v>8155.8549999999996</v>
      </c>
      <c r="T52" s="23">
        <v>9619.1489999999994</v>
      </c>
      <c r="U52" s="23">
        <v>11724.165999999999</v>
      </c>
      <c r="V52" s="23">
        <v>10756.105</v>
      </c>
      <c r="W52" s="23">
        <v>12039.374</v>
      </c>
      <c r="X52" s="2">
        <v>11192.058000000001</v>
      </c>
      <c r="Y52" s="2">
        <v>14430.842000000001</v>
      </c>
      <c r="Z52" s="2">
        <v>14035.245999999999</v>
      </c>
      <c r="AA52" s="2">
        <v>15828.058000000001</v>
      </c>
    </row>
    <row r="53" spans="1:44">
      <c r="A53" s="45" t="s">
        <v>116</v>
      </c>
      <c r="B53" s="63"/>
      <c r="C53" s="63"/>
      <c r="D53" s="63"/>
      <c r="E53" s="63"/>
      <c r="F53" s="82">
        <v>52186.688000000002</v>
      </c>
      <c r="G53" s="63"/>
      <c r="H53" s="63"/>
      <c r="I53" s="63">
        <v>62249.942000000003</v>
      </c>
      <c r="J53" s="63"/>
      <c r="K53" s="63">
        <v>69842.570000000007</v>
      </c>
      <c r="L53" s="63">
        <v>87118.505999999994</v>
      </c>
      <c r="M53" s="63">
        <v>93413.618000000002</v>
      </c>
      <c r="N53" s="63">
        <v>101162.435</v>
      </c>
      <c r="O53" s="63">
        <v>105486.586</v>
      </c>
      <c r="P53" s="63">
        <v>109466.451</v>
      </c>
      <c r="Q53" s="63">
        <v>119377.308</v>
      </c>
      <c r="R53" s="63">
        <v>126862.58900000001</v>
      </c>
      <c r="S53" s="63">
        <v>122228.57</v>
      </c>
      <c r="T53" s="45">
        <v>135847.96</v>
      </c>
      <c r="U53" s="45">
        <v>146095.77499999999</v>
      </c>
      <c r="V53" s="45">
        <v>178451.53400000001</v>
      </c>
      <c r="W53" s="45">
        <v>191241.12100000001</v>
      </c>
      <c r="X53" s="45">
        <v>186823.37299999999</v>
      </c>
      <c r="Y53" s="45">
        <v>32211.465</v>
      </c>
      <c r="Z53" s="45">
        <v>33914.451000000001</v>
      </c>
      <c r="AA53" s="45">
        <v>38845.442999999999</v>
      </c>
    </row>
    <row r="54" spans="1:44" s="23" customFormat="1">
      <c r="A54" s="79" t="s">
        <v>122</v>
      </c>
      <c r="B54" s="90">
        <f>SUM(B56:B64)</f>
        <v>0</v>
      </c>
      <c r="C54" s="90">
        <f t="shared" ref="C54:AA54" si="10">SUM(C56:C64)</f>
        <v>0</v>
      </c>
      <c r="D54" s="90">
        <f t="shared" si="10"/>
        <v>0</v>
      </c>
      <c r="E54" s="90">
        <f t="shared" si="10"/>
        <v>0</v>
      </c>
      <c r="F54" s="90">
        <f t="shared" si="10"/>
        <v>374464.89000000007</v>
      </c>
      <c r="G54" s="90">
        <f t="shared" si="10"/>
        <v>0</v>
      </c>
      <c r="H54" s="90">
        <f t="shared" si="10"/>
        <v>0</v>
      </c>
      <c r="I54" s="90">
        <f t="shared" si="10"/>
        <v>446807.39599999995</v>
      </c>
      <c r="J54" s="90">
        <f t="shared" si="10"/>
        <v>0</v>
      </c>
      <c r="K54" s="90">
        <f t="shared" si="10"/>
        <v>501502.08132999996</v>
      </c>
      <c r="L54" s="90">
        <f t="shared" si="10"/>
        <v>558359.30999999994</v>
      </c>
      <c r="M54" s="90">
        <f t="shared" si="10"/>
        <v>629186.97700000007</v>
      </c>
      <c r="N54" s="90">
        <f t="shared" si="10"/>
        <v>642893.54399999999</v>
      </c>
      <c r="O54" s="90">
        <f t="shared" si="10"/>
        <v>672921.27999999991</v>
      </c>
      <c r="P54" s="90">
        <f t="shared" si="10"/>
        <v>708228.90500000014</v>
      </c>
      <c r="Q54" s="90">
        <f t="shared" si="10"/>
        <v>743293.51500000001</v>
      </c>
      <c r="R54" s="90">
        <f t="shared" si="10"/>
        <v>785438.9709999999</v>
      </c>
      <c r="S54" s="90">
        <f t="shared" si="10"/>
        <v>853449.20600000001</v>
      </c>
      <c r="T54" s="90">
        <f t="shared" si="10"/>
        <v>931319.29399999999</v>
      </c>
      <c r="U54" s="90">
        <f t="shared" si="10"/>
        <v>1068048.5159999998</v>
      </c>
      <c r="V54" s="90">
        <f t="shared" si="10"/>
        <v>1235557.7490000001</v>
      </c>
      <c r="W54" s="90">
        <f t="shared" si="10"/>
        <v>1279381.8769999996</v>
      </c>
      <c r="X54" s="90">
        <f t="shared" si="10"/>
        <v>1289720.598</v>
      </c>
      <c r="Y54" s="90">
        <f t="shared" si="10"/>
        <v>1332266.4190000002</v>
      </c>
      <c r="Z54" s="90">
        <f t="shared" si="10"/>
        <v>1373862.6430000002</v>
      </c>
      <c r="AA54" s="90">
        <f t="shared" si="10"/>
        <v>1322269.7819999999</v>
      </c>
    </row>
    <row r="55" spans="1:44">
      <c r="A55" s="79" t="s">
        <v>119</v>
      </c>
      <c r="B55" s="37"/>
      <c r="C55" s="37"/>
      <c r="D55" s="37"/>
      <c r="E55" s="37"/>
      <c r="F55" s="37"/>
      <c r="G55" s="37"/>
      <c r="H55" s="37"/>
      <c r="I55" s="37"/>
      <c r="J55" s="37"/>
      <c r="K55" s="37"/>
      <c r="L55" s="37"/>
      <c r="M55" s="37"/>
      <c r="N55" s="37"/>
      <c r="O55" s="37"/>
      <c r="P55" s="37"/>
      <c r="Q55" s="37"/>
      <c r="R55" s="37"/>
      <c r="S55" s="37"/>
      <c r="T55" s="23"/>
      <c r="U55" s="23"/>
      <c r="V55" s="23"/>
      <c r="W55" s="23"/>
      <c r="X55" s="2">
        <v>0</v>
      </c>
      <c r="Y55" s="2">
        <v>0</v>
      </c>
    </row>
    <row r="56" spans="1:44" s="23" customFormat="1">
      <c r="A56" s="23" t="s">
        <v>89</v>
      </c>
      <c r="B56" s="36"/>
      <c r="C56" s="36"/>
      <c r="D56" s="36"/>
      <c r="E56" s="36"/>
      <c r="F56" s="77">
        <v>17507.056</v>
      </c>
      <c r="G56" s="36"/>
      <c r="H56" s="36"/>
      <c r="I56" s="37">
        <v>19835.912</v>
      </c>
      <c r="J56" s="37"/>
      <c r="K56" s="37">
        <v>28959.079659999996</v>
      </c>
      <c r="L56" s="37">
        <v>37877.033000000003</v>
      </c>
      <c r="M56" s="37">
        <v>38495.567000000003</v>
      </c>
      <c r="N56" s="37">
        <v>39759.059000000001</v>
      </c>
      <c r="O56" s="37">
        <v>41113.139000000003</v>
      </c>
      <c r="P56" s="37">
        <v>37583.387000000002</v>
      </c>
      <c r="Q56" s="37">
        <v>38934.17</v>
      </c>
      <c r="R56" s="37">
        <v>40325.356</v>
      </c>
      <c r="S56" s="37">
        <v>43061.822999999997</v>
      </c>
      <c r="T56" s="23">
        <v>48351.923999999999</v>
      </c>
      <c r="U56" s="23">
        <v>47052.775999999998</v>
      </c>
      <c r="V56" s="23">
        <v>54570.885000000002</v>
      </c>
      <c r="W56" s="23">
        <v>57946.726999999999</v>
      </c>
      <c r="X56" s="2">
        <v>56947.192999999999</v>
      </c>
      <c r="Y56" s="2">
        <v>58622.078999999998</v>
      </c>
      <c r="Z56" s="2">
        <v>61957.152000000002</v>
      </c>
      <c r="AA56" s="2">
        <v>64089.552000000003</v>
      </c>
      <c r="AB56" s="2"/>
      <c r="AC56" s="2"/>
      <c r="AD56" s="2"/>
      <c r="AE56" s="2"/>
      <c r="AF56" s="2"/>
      <c r="AG56" s="2"/>
      <c r="AH56" s="2"/>
      <c r="AI56" s="2"/>
      <c r="AJ56" s="2"/>
      <c r="AK56" s="2"/>
      <c r="AL56" s="2"/>
      <c r="AM56" s="2"/>
      <c r="AN56" s="2"/>
      <c r="AO56" s="2"/>
      <c r="AP56" s="2"/>
      <c r="AQ56" s="2"/>
      <c r="AR56" s="2"/>
    </row>
    <row r="57" spans="1:44" s="23" customFormat="1">
      <c r="A57" s="23" t="s">
        <v>96</v>
      </c>
      <c r="B57" s="36"/>
      <c r="C57" s="36"/>
      <c r="D57" s="36"/>
      <c r="E57" s="36"/>
      <c r="F57" s="77">
        <v>3686.1640000000002</v>
      </c>
      <c r="G57" s="36"/>
      <c r="H57" s="36"/>
      <c r="I57" s="37">
        <v>4494.5420000000004</v>
      </c>
      <c r="J57" s="37"/>
      <c r="K57" s="37">
        <v>5719.2629999999999</v>
      </c>
      <c r="L57" s="37">
        <v>7915.2470000000003</v>
      </c>
      <c r="M57" s="37">
        <v>7866.1890000000003</v>
      </c>
      <c r="N57" s="37">
        <v>7392.1890000000003</v>
      </c>
      <c r="O57" s="37">
        <v>7977.6149999999998</v>
      </c>
      <c r="P57" s="37">
        <v>8821.8359999999993</v>
      </c>
      <c r="Q57" s="37">
        <v>8953.7510000000002</v>
      </c>
      <c r="R57" s="37">
        <v>9233.2279999999992</v>
      </c>
      <c r="S57" s="37">
        <v>9843.7950000000001</v>
      </c>
      <c r="T57" s="23">
        <v>11079.682000000001</v>
      </c>
      <c r="U57" s="23">
        <v>14190.941000000001</v>
      </c>
      <c r="V57" s="23">
        <v>14668.825000000001</v>
      </c>
      <c r="W57" s="23">
        <v>15213.776</v>
      </c>
      <c r="X57" s="2">
        <v>16017.784</v>
      </c>
      <c r="Y57" s="2">
        <v>16237.94</v>
      </c>
      <c r="Z57" s="2">
        <v>16945.2</v>
      </c>
      <c r="AA57" s="2">
        <v>17764.031999999999</v>
      </c>
      <c r="AB57" s="2"/>
      <c r="AC57" s="2"/>
      <c r="AD57" s="2"/>
      <c r="AE57" s="2"/>
      <c r="AF57" s="2"/>
      <c r="AG57" s="2"/>
      <c r="AH57" s="2"/>
      <c r="AI57" s="2"/>
      <c r="AJ57" s="2"/>
      <c r="AK57" s="2"/>
      <c r="AL57" s="2"/>
      <c r="AM57" s="2"/>
      <c r="AN57" s="2"/>
      <c r="AO57" s="2"/>
      <c r="AP57" s="2"/>
      <c r="AQ57" s="2"/>
      <c r="AR57" s="2"/>
    </row>
    <row r="58" spans="1:44" s="17" customFormat="1">
      <c r="A58" s="23" t="s">
        <v>97</v>
      </c>
      <c r="B58" s="36"/>
      <c r="C58" s="36"/>
      <c r="D58" s="36"/>
      <c r="E58" s="37"/>
      <c r="F58" s="77">
        <v>36792.972999999998</v>
      </c>
      <c r="G58" s="36"/>
      <c r="H58" s="36"/>
      <c r="I58" s="37">
        <v>51550.262999999999</v>
      </c>
      <c r="J58" s="37"/>
      <c r="K58" s="37">
        <v>49196.392999999996</v>
      </c>
      <c r="L58" s="37">
        <v>65854.947</v>
      </c>
      <c r="M58" s="37">
        <v>71342.301999999996</v>
      </c>
      <c r="N58" s="37">
        <v>66311.592999999993</v>
      </c>
      <c r="O58" s="37">
        <v>64187.607000000004</v>
      </c>
      <c r="P58" s="37">
        <v>66964.168000000005</v>
      </c>
      <c r="Q58" s="37">
        <v>70960.376999999993</v>
      </c>
      <c r="R58" s="37">
        <v>78434.099000000002</v>
      </c>
      <c r="S58" s="37">
        <v>81183.63</v>
      </c>
      <c r="T58" s="23">
        <v>83587.399000000005</v>
      </c>
      <c r="U58" s="23">
        <v>83841.555999999997</v>
      </c>
      <c r="V58" s="23">
        <v>100545.765</v>
      </c>
      <c r="W58" s="23">
        <v>106476.569</v>
      </c>
      <c r="X58" s="23">
        <v>112429.26300000001</v>
      </c>
      <c r="Y58" s="2">
        <v>112758.345</v>
      </c>
      <c r="Z58" s="2">
        <v>127021.94500000001</v>
      </c>
      <c r="AA58" s="2">
        <v>134554.573</v>
      </c>
    </row>
    <row r="59" spans="1:44">
      <c r="A59" s="23" t="s">
        <v>103</v>
      </c>
      <c r="B59" s="37"/>
      <c r="C59" s="37"/>
      <c r="D59" s="37"/>
      <c r="E59" s="37"/>
      <c r="F59" s="77">
        <v>3593.9430000000002</v>
      </c>
      <c r="G59" s="37"/>
      <c r="H59" s="37"/>
      <c r="I59" s="37">
        <v>11058.396000000001</v>
      </c>
      <c r="J59" s="37"/>
      <c r="K59" s="37">
        <v>14828.843210000001</v>
      </c>
      <c r="L59" s="37">
        <v>15367.911</v>
      </c>
      <c r="M59" s="37">
        <v>16758.04</v>
      </c>
      <c r="N59" s="37">
        <v>17302.145</v>
      </c>
      <c r="O59" s="37">
        <v>21244.578000000001</v>
      </c>
      <c r="P59" s="37">
        <v>21753.429</v>
      </c>
      <c r="Q59" s="37">
        <v>25061.865000000002</v>
      </c>
      <c r="R59" s="37">
        <v>22574.235000000001</v>
      </c>
      <c r="S59" s="37">
        <v>31541.472000000002</v>
      </c>
      <c r="T59" s="23">
        <v>31030.405999999999</v>
      </c>
      <c r="U59" s="23">
        <v>35728.188000000002</v>
      </c>
      <c r="V59" s="23">
        <v>54299.775999999998</v>
      </c>
      <c r="W59" s="23">
        <v>66716.998999999996</v>
      </c>
      <c r="X59" s="2">
        <v>37397.769</v>
      </c>
      <c r="Y59" s="2">
        <v>40903.635999999999</v>
      </c>
      <c r="Z59" s="2">
        <v>41698.07</v>
      </c>
      <c r="AA59" s="2">
        <v>41179.523999999998</v>
      </c>
    </row>
    <row r="60" spans="1:44">
      <c r="A60" s="23" t="s">
        <v>104</v>
      </c>
      <c r="B60" s="37"/>
      <c r="C60" s="37"/>
      <c r="D60" s="37"/>
      <c r="E60" s="37"/>
      <c r="F60" s="77">
        <v>78373.732999999993</v>
      </c>
      <c r="G60" s="37"/>
      <c r="H60" s="37"/>
      <c r="I60" s="37">
        <v>95318.462</v>
      </c>
      <c r="J60" s="37"/>
      <c r="K60" s="37">
        <v>106038.038</v>
      </c>
      <c r="L60" s="37">
        <v>119568.758</v>
      </c>
      <c r="M60" s="37">
        <v>134061.08900000001</v>
      </c>
      <c r="N60" s="37">
        <v>133555.97399999999</v>
      </c>
      <c r="O60" s="37">
        <v>147723.16500000001</v>
      </c>
      <c r="P60" s="37">
        <v>160201.37599999999</v>
      </c>
      <c r="Q60" s="37">
        <v>162537.33100000001</v>
      </c>
      <c r="R60" s="37">
        <v>169817.133</v>
      </c>
      <c r="S60" s="37">
        <v>176206.20600000001</v>
      </c>
      <c r="T60" s="23">
        <v>195974.43400000001</v>
      </c>
      <c r="U60" s="23">
        <v>210684.465</v>
      </c>
      <c r="V60" s="23">
        <v>255555.16099999999</v>
      </c>
      <c r="W60" s="23">
        <v>259395.068</v>
      </c>
      <c r="X60" s="2">
        <v>258829.614</v>
      </c>
      <c r="Y60" s="2">
        <v>251895.42</v>
      </c>
      <c r="Z60" s="2">
        <v>247045.959</v>
      </c>
      <c r="AA60" s="2">
        <v>246574.655</v>
      </c>
    </row>
    <row r="61" spans="1:44">
      <c r="A61" s="23" t="s">
        <v>106</v>
      </c>
      <c r="B61" s="37"/>
      <c r="C61" s="37"/>
      <c r="D61" s="37"/>
      <c r="E61" s="37"/>
      <c r="F61" s="77">
        <v>173931.1</v>
      </c>
      <c r="G61" s="37"/>
      <c r="H61" s="37"/>
      <c r="I61" s="37">
        <v>196048.52499999999</v>
      </c>
      <c r="J61" s="37"/>
      <c r="K61" s="37">
        <v>221384.954</v>
      </c>
      <c r="L61" s="37">
        <v>220574.98499999999</v>
      </c>
      <c r="M61" s="37">
        <v>263619.34299999999</v>
      </c>
      <c r="N61" s="37">
        <v>274533.723</v>
      </c>
      <c r="O61" s="37">
        <v>276660.20699999999</v>
      </c>
      <c r="P61" s="37">
        <v>286502.71899999998</v>
      </c>
      <c r="Q61" s="37">
        <v>296614.359</v>
      </c>
      <c r="R61" s="37">
        <v>317356.86499999999</v>
      </c>
      <c r="S61" s="37">
        <v>363041.08799999999</v>
      </c>
      <c r="T61" s="23">
        <v>386256.46899999998</v>
      </c>
      <c r="U61" s="23">
        <v>478672.03499999997</v>
      </c>
      <c r="V61" s="23">
        <v>543859.67200000002</v>
      </c>
      <c r="W61" s="23">
        <v>560358.67799999996</v>
      </c>
      <c r="X61" s="2">
        <v>583534.93099999998</v>
      </c>
      <c r="Y61" s="2">
        <v>604168.08100000001</v>
      </c>
      <c r="Z61" s="2">
        <v>624395.65500000003</v>
      </c>
      <c r="AA61" s="2">
        <v>568941.75699999998</v>
      </c>
    </row>
    <row r="62" spans="1:44">
      <c r="A62" s="23" t="s">
        <v>110</v>
      </c>
      <c r="B62" s="37"/>
      <c r="C62" s="37"/>
      <c r="D62" s="37"/>
      <c r="E62" s="37"/>
      <c r="F62" s="77">
        <v>51767.406000000003</v>
      </c>
      <c r="G62" s="37"/>
      <c r="H62" s="37"/>
      <c r="I62" s="37">
        <v>60270.195</v>
      </c>
      <c r="J62" s="37"/>
      <c r="K62" s="37">
        <v>65896.986459999986</v>
      </c>
      <c r="L62" s="37">
        <v>79741.721000000005</v>
      </c>
      <c r="M62" s="37">
        <v>84767.082999999999</v>
      </c>
      <c r="N62" s="37">
        <v>89880.55</v>
      </c>
      <c r="O62" s="37">
        <v>98940.494000000006</v>
      </c>
      <c r="P62" s="37">
        <v>108760.783</v>
      </c>
      <c r="Q62" s="37">
        <v>118766.76700000001</v>
      </c>
      <c r="R62" s="37">
        <v>125108.034</v>
      </c>
      <c r="S62" s="37">
        <v>126030.753</v>
      </c>
      <c r="T62" s="23">
        <v>149921.54999999999</v>
      </c>
      <c r="U62" s="23">
        <v>163265.09</v>
      </c>
      <c r="V62" s="23">
        <v>182651.75599999999</v>
      </c>
      <c r="W62" s="23">
        <v>184753.182</v>
      </c>
      <c r="X62" s="2">
        <v>194557.109</v>
      </c>
      <c r="Y62" s="2">
        <v>208410.883</v>
      </c>
      <c r="Z62" s="2">
        <v>215364.568</v>
      </c>
      <c r="AA62" s="2">
        <v>210095.34700000001</v>
      </c>
    </row>
    <row r="63" spans="1:44">
      <c r="A63" s="23" t="s">
        <v>111</v>
      </c>
      <c r="B63" s="37"/>
      <c r="C63" s="37"/>
      <c r="D63" s="37"/>
      <c r="E63" s="37"/>
      <c r="F63" s="77">
        <v>6094.1639999999998</v>
      </c>
      <c r="G63" s="37"/>
      <c r="H63" s="37"/>
      <c r="I63" s="37">
        <v>7007.4589999999998</v>
      </c>
      <c r="J63" s="37"/>
      <c r="K63" s="37">
        <v>7885.12</v>
      </c>
      <c r="L63" s="37">
        <v>9880.8130000000001</v>
      </c>
      <c r="M63" s="37">
        <v>10386.716</v>
      </c>
      <c r="N63" s="37">
        <v>10306.183999999999</v>
      </c>
      <c r="O63" s="37">
        <v>10713.937</v>
      </c>
      <c r="P63" s="37">
        <v>12363.285</v>
      </c>
      <c r="Q63" s="37">
        <v>15854.741</v>
      </c>
      <c r="R63" s="37">
        <v>16533.911</v>
      </c>
      <c r="S63" s="37">
        <v>17692.519</v>
      </c>
      <c r="T63" s="23">
        <v>17980.017</v>
      </c>
      <c r="U63" s="23">
        <v>19820.171999999999</v>
      </c>
      <c r="V63" s="23">
        <v>20626.677</v>
      </c>
      <c r="W63" s="23">
        <v>19663.031999999999</v>
      </c>
      <c r="X63" s="2">
        <v>20567.057000000001</v>
      </c>
      <c r="Y63" s="2">
        <v>20381.803</v>
      </c>
      <c r="Z63" s="2">
        <v>21360.246999999999</v>
      </c>
      <c r="AA63" s="2">
        <v>22316.816999999999</v>
      </c>
    </row>
    <row r="64" spans="1:44">
      <c r="A64" s="45" t="s">
        <v>114</v>
      </c>
      <c r="B64" s="63"/>
      <c r="C64" s="63"/>
      <c r="D64" s="63"/>
      <c r="E64" s="63"/>
      <c r="F64" s="82">
        <v>2718.3510000000001</v>
      </c>
      <c r="G64" s="63"/>
      <c r="H64" s="63"/>
      <c r="I64" s="63">
        <v>1223.6420000000001</v>
      </c>
      <c r="J64" s="63"/>
      <c r="K64" s="63">
        <v>1593.404</v>
      </c>
      <c r="L64" s="63">
        <v>1577.895</v>
      </c>
      <c r="M64" s="63">
        <v>1890.6479999999999</v>
      </c>
      <c r="N64" s="63">
        <v>3852.127</v>
      </c>
      <c r="O64" s="63">
        <v>4360.5379999999996</v>
      </c>
      <c r="P64" s="63">
        <v>5277.9219999999996</v>
      </c>
      <c r="Q64" s="63">
        <v>5610.1540000000005</v>
      </c>
      <c r="R64" s="63">
        <v>6056.11</v>
      </c>
      <c r="S64" s="63">
        <v>4847.92</v>
      </c>
      <c r="T64" s="45">
        <v>7137.4129999999996</v>
      </c>
      <c r="U64" s="45">
        <v>14793.293</v>
      </c>
      <c r="V64" s="45">
        <v>8779.232</v>
      </c>
      <c r="W64" s="45">
        <v>8857.8459999999995</v>
      </c>
      <c r="X64" s="45">
        <v>9439.8780000000006</v>
      </c>
      <c r="Y64" s="45">
        <v>18888.232</v>
      </c>
      <c r="Z64" s="45">
        <v>18073.847000000002</v>
      </c>
      <c r="AA64" s="45">
        <v>16753.525000000001</v>
      </c>
    </row>
    <row r="65" spans="1:44">
      <c r="A65" s="88" t="s">
        <v>90</v>
      </c>
      <c r="B65" s="84"/>
      <c r="C65" s="84"/>
      <c r="D65" s="84"/>
      <c r="E65" s="84"/>
      <c r="F65" s="85">
        <v>0</v>
      </c>
      <c r="G65" s="84"/>
      <c r="H65" s="84"/>
      <c r="I65" s="86">
        <v>0</v>
      </c>
      <c r="J65" s="86"/>
      <c r="K65" s="86">
        <v>0</v>
      </c>
      <c r="L65" s="86">
        <v>0</v>
      </c>
      <c r="M65" s="86">
        <v>0</v>
      </c>
      <c r="N65" s="86">
        <v>0</v>
      </c>
      <c r="O65" s="86">
        <v>0</v>
      </c>
      <c r="P65" s="86">
        <v>0</v>
      </c>
      <c r="Q65" s="86">
        <v>0</v>
      </c>
      <c r="R65" s="86">
        <v>0</v>
      </c>
      <c r="S65" s="86">
        <v>0</v>
      </c>
      <c r="T65" s="87">
        <v>0</v>
      </c>
      <c r="U65" s="87">
        <v>0</v>
      </c>
      <c r="V65" s="87">
        <v>0</v>
      </c>
      <c r="W65" s="87">
        <v>0</v>
      </c>
      <c r="X65" s="45"/>
      <c r="Y65" s="45"/>
      <c r="Z65" s="45"/>
      <c r="AA65" s="45"/>
      <c r="AB65" s="23"/>
      <c r="AC65" s="23"/>
      <c r="AD65" s="23"/>
      <c r="AE65" s="23"/>
      <c r="AF65" s="23"/>
      <c r="AG65" s="23"/>
      <c r="AH65" s="23"/>
      <c r="AI65" s="23"/>
      <c r="AJ65" s="23"/>
      <c r="AK65" s="23"/>
      <c r="AL65" s="23"/>
      <c r="AM65" s="23"/>
      <c r="AN65" s="23"/>
      <c r="AO65" s="23"/>
      <c r="AP65" s="23"/>
      <c r="AQ65" s="23"/>
      <c r="AR65" s="23"/>
    </row>
    <row r="66" spans="1:44">
      <c r="F66" s="27"/>
    </row>
    <row r="67" spans="1:44">
      <c r="I67" s="34" t="s">
        <v>78</v>
      </c>
      <c r="J67" s="34" t="s">
        <v>76</v>
      </c>
      <c r="K67" s="34"/>
      <c r="L67" s="34" t="s">
        <v>69</v>
      </c>
      <c r="M67" s="34"/>
      <c r="N67" s="34"/>
      <c r="O67" s="34" t="s">
        <v>78</v>
      </c>
      <c r="P67" s="34" t="s">
        <v>78</v>
      </c>
      <c r="Q67" s="34" t="s">
        <v>78</v>
      </c>
      <c r="R67" s="34" t="s">
        <v>78</v>
      </c>
      <c r="S67" s="34"/>
      <c r="T67" s="34"/>
      <c r="U67" s="34"/>
      <c r="V67" s="34"/>
      <c r="W67" s="34"/>
    </row>
    <row r="68" spans="1:44">
      <c r="I68" s="14" t="s">
        <v>79</v>
      </c>
      <c r="J68" s="14" t="s">
        <v>72</v>
      </c>
      <c r="L68" s="14" t="s">
        <v>70</v>
      </c>
      <c r="O68" s="14" t="s">
        <v>79</v>
      </c>
      <c r="P68" s="14" t="s">
        <v>79</v>
      </c>
      <c r="Q68" s="14" t="s">
        <v>79</v>
      </c>
      <c r="R68" s="14" t="s">
        <v>79</v>
      </c>
    </row>
    <row r="69" spans="1:44">
      <c r="I69" s="14" t="s">
        <v>80</v>
      </c>
      <c r="J69" s="14" t="s">
        <v>73</v>
      </c>
      <c r="O69" s="14" t="s">
        <v>80</v>
      </c>
      <c r="P69" s="14" t="s">
        <v>80</v>
      </c>
      <c r="Q69" s="14" t="s">
        <v>80</v>
      </c>
      <c r="R69" s="14" t="s">
        <v>80</v>
      </c>
    </row>
    <row r="70" spans="1:44">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ransitionEvaluation="1">
    <tabColor indexed="62"/>
  </sheetPr>
  <dimension ref="A1:AC70"/>
  <sheetViews>
    <sheetView showZeros="0" zoomScale="80" zoomScaleNormal="80" workbookViewId="0">
      <pane xSplit="1" ySplit="5" topLeftCell="Q6" activePane="bottomRight" state="frozen"/>
      <selection activeCell="B52" sqref="B52"/>
      <selection pane="topRight" activeCell="B52" sqref="B52"/>
      <selection pane="bottomLeft" activeCell="B52" sqref="B52"/>
      <selection pane="bottomRight" activeCell="Z19" sqref="Z19"/>
    </sheetView>
  </sheetViews>
  <sheetFormatPr defaultColWidth="9.7109375" defaultRowHeight="12.75"/>
  <cols>
    <col min="1" max="1" width="23.42578125" style="80" customWidth="1"/>
    <col min="2" max="22" width="12.42578125" style="14" customWidth="1"/>
    <col min="23" max="23" width="11.5703125" style="14" bestFit="1" customWidth="1"/>
    <col min="24" max="25" width="11.5703125" style="2" bestFit="1" customWidth="1"/>
    <col min="26" max="27" width="11.5703125" style="2" customWidth="1"/>
    <col min="28" max="29" width="10.7109375" style="2" customWidth="1"/>
    <col min="30" max="16384" width="9.7109375" style="2"/>
  </cols>
  <sheetData>
    <row r="1" spans="1:27">
      <c r="A1" s="8" t="s">
        <v>39</v>
      </c>
      <c r="B1"/>
      <c r="C1"/>
      <c r="D1"/>
      <c r="E1"/>
      <c r="F1"/>
      <c r="G1"/>
      <c r="H1"/>
      <c r="I1"/>
      <c r="J1"/>
      <c r="K1"/>
      <c r="L1"/>
      <c r="M1"/>
      <c r="N1"/>
      <c r="O1" s="46"/>
      <c r="P1" s="46"/>
      <c r="Q1" s="46"/>
      <c r="R1" s="46"/>
      <c r="S1"/>
      <c r="T1"/>
      <c r="U1"/>
      <c r="V1"/>
      <c r="W1"/>
    </row>
    <row r="2" spans="1:27">
      <c r="A2" s="11"/>
      <c r="B2"/>
      <c r="C2"/>
      <c r="D2"/>
      <c r="E2"/>
      <c r="F2"/>
      <c r="G2"/>
      <c r="H2"/>
      <c r="I2"/>
      <c r="J2"/>
      <c r="K2"/>
      <c r="L2"/>
      <c r="M2"/>
      <c r="N2"/>
      <c r="O2" s="46"/>
      <c r="P2" s="46"/>
      <c r="Q2" s="46"/>
      <c r="R2" s="46"/>
      <c r="S2"/>
      <c r="T2"/>
      <c r="U2"/>
      <c r="V2"/>
      <c r="W2"/>
    </row>
    <row r="3" spans="1:27">
      <c r="A3" s="1" t="s">
        <v>25</v>
      </c>
      <c r="B3"/>
      <c r="C3"/>
      <c r="D3"/>
      <c r="E3"/>
      <c r="F3"/>
      <c r="G3"/>
      <c r="H3"/>
      <c r="I3"/>
      <c r="J3"/>
      <c r="K3"/>
      <c r="L3"/>
      <c r="M3"/>
      <c r="N3"/>
      <c r="O3" s="46"/>
      <c r="P3" s="46"/>
      <c r="Q3" s="46"/>
      <c r="R3" s="46"/>
      <c r="S3"/>
      <c r="T3"/>
      <c r="U3"/>
      <c r="V3"/>
      <c r="W3"/>
    </row>
    <row r="4" spans="1:27" s="65"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60">
        <v>2005</v>
      </c>
      <c r="R4" s="60">
        <v>2006</v>
      </c>
      <c r="S4" s="74">
        <v>2007</v>
      </c>
      <c r="T4" s="74">
        <v>2008</v>
      </c>
      <c r="U4" s="74">
        <v>2009</v>
      </c>
      <c r="V4" s="74">
        <v>2010</v>
      </c>
      <c r="W4" s="74">
        <v>2011</v>
      </c>
      <c r="X4" s="173" t="s">
        <v>142</v>
      </c>
      <c r="Y4" s="173" t="s">
        <v>144</v>
      </c>
      <c r="Z4" s="173" t="s">
        <v>145</v>
      </c>
      <c r="AA4" s="173" t="s">
        <v>146</v>
      </c>
    </row>
    <row r="5" spans="1:27" s="19" customFormat="1">
      <c r="B5" s="15" t="s">
        <v>1</v>
      </c>
      <c r="C5" s="15" t="s">
        <v>1</v>
      </c>
      <c r="D5" s="15" t="s">
        <v>1</v>
      </c>
      <c r="E5" s="15" t="s">
        <v>1</v>
      </c>
      <c r="F5" s="15" t="s">
        <v>1</v>
      </c>
      <c r="G5" s="15" t="s">
        <v>1</v>
      </c>
      <c r="H5" s="15" t="s">
        <v>1</v>
      </c>
      <c r="I5" s="15" t="s">
        <v>1</v>
      </c>
      <c r="J5" s="15" t="s">
        <v>1</v>
      </c>
      <c r="K5" s="15" t="s">
        <v>1</v>
      </c>
      <c r="L5" s="15" t="s">
        <v>1</v>
      </c>
      <c r="M5" s="15" t="s">
        <v>1</v>
      </c>
      <c r="N5" s="15" t="s">
        <v>1</v>
      </c>
      <c r="O5" s="15" t="s">
        <v>1</v>
      </c>
      <c r="P5" s="15" t="s">
        <v>1</v>
      </c>
      <c r="Q5" s="15" t="s">
        <v>1</v>
      </c>
      <c r="R5" s="15" t="s">
        <v>1</v>
      </c>
      <c r="S5" s="15" t="s">
        <v>1</v>
      </c>
      <c r="T5" s="15" t="s">
        <v>1</v>
      </c>
      <c r="U5" s="15" t="s">
        <v>1</v>
      </c>
      <c r="V5" s="15" t="s">
        <v>1</v>
      </c>
      <c r="W5" s="15" t="s">
        <v>1</v>
      </c>
      <c r="X5" s="15" t="s">
        <v>1</v>
      </c>
      <c r="Y5" s="15" t="s">
        <v>1</v>
      </c>
      <c r="Z5" s="15" t="s">
        <v>1</v>
      </c>
      <c r="AA5" s="15" t="s">
        <v>1</v>
      </c>
    </row>
    <row r="6" spans="1:27" s="23" customFormat="1">
      <c r="A6" s="63" t="s">
        <v>118</v>
      </c>
      <c r="B6" s="13">
        <f>807338+1253259</f>
        <v>2060597</v>
      </c>
      <c r="C6" s="13">
        <f>875210+1343860</f>
        <v>2219070</v>
      </c>
      <c r="D6" s="13">
        <f>1006975+1557254</f>
        <v>2564229</v>
      </c>
      <c r="E6" s="13">
        <v>3978087.031</v>
      </c>
      <c r="F6" s="91">
        <f>+F7+F25+F40+F54+F65</f>
        <v>4573711.7689999994</v>
      </c>
      <c r="G6" s="13">
        <v>12379675.277000001</v>
      </c>
      <c r="H6" s="13">
        <v>5413612.4060000004</v>
      </c>
      <c r="I6" s="91">
        <f>+I7+I25+I40+I54+I65</f>
        <v>5661401.3399999999</v>
      </c>
      <c r="J6" s="14">
        <v>6172991.1509999996</v>
      </c>
      <c r="K6" s="91">
        <f t="shared" ref="K6:U6" si="0">+K7+K25+K40+K54+K65</f>
        <v>6755538.5629200004</v>
      </c>
      <c r="L6" s="91">
        <f t="shared" si="0"/>
        <v>8123364.2749999985</v>
      </c>
      <c r="M6" s="91">
        <f t="shared" si="0"/>
        <v>8959347.9979999997</v>
      </c>
      <c r="N6" s="91">
        <f t="shared" si="0"/>
        <v>10099118.753</v>
      </c>
      <c r="O6" s="91">
        <f t="shared" si="0"/>
        <v>11101425.990000002</v>
      </c>
      <c r="P6" s="91">
        <f t="shared" si="0"/>
        <v>12366024.649</v>
      </c>
      <c r="Q6" s="91">
        <f t="shared" si="0"/>
        <v>13632180.964000002</v>
      </c>
      <c r="R6" s="91">
        <f t="shared" si="0"/>
        <v>14372569.117000001</v>
      </c>
      <c r="S6" s="91">
        <f t="shared" si="0"/>
        <v>15407846.331999999</v>
      </c>
      <c r="T6" s="91">
        <f t="shared" si="0"/>
        <v>16811424.227000002</v>
      </c>
      <c r="U6" s="91">
        <f t="shared" si="0"/>
        <v>18025530.422999997</v>
      </c>
      <c r="V6" s="91">
        <f t="shared" ref="V6:W6" si="1">+V7+V25+V40+V54+V65</f>
        <v>22559874.300000001</v>
      </c>
      <c r="W6" s="91">
        <f t="shared" si="1"/>
        <v>25332034.873000003</v>
      </c>
      <c r="X6" s="91">
        <f t="shared" ref="X6:Y6" si="2">+X7+X25+X40+X54+X65</f>
        <v>25981731.729999997</v>
      </c>
      <c r="Y6" s="91">
        <f t="shared" si="2"/>
        <v>26835900.177999999</v>
      </c>
      <c r="Z6" s="91">
        <f t="shared" ref="Z6:AA6" si="3">+Z7+Z25+Z40+Z54+Z65</f>
        <v>28077697.342000004</v>
      </c>
      <c r="AA6" s="91">
        <f t="shared" si="3"/>
        <v>29686245.299999993</v>
      </c>
    </row>
    <row r="7" spans="1:27" s="23" customFormat="1">
      <c r="A7" s="22" t="s">
        <v>56</v>
      </c>
      <c r="B7" s="89">
        <f>SUM(B8:B24)</f>
        <v>583438</v>
      </c>
      <c r="C7" s="89">
        <f t="shared" ref="C7:U7" si="4">SUM(C8:C24)</f>
        <v>636554</v>
      </c>
      <c r="D7" s="89">
        <f t="shared" si="4"/>
        <v>790459</v>
      </c>
      <c r="E7" s="89">
        <f t="shared" si="4"/>
        <v>1273983.531</v>
      </c>
      <c r="F7" s="89">
        <f t="shared" si="4"/>
        <v>1478460.0050000001</v>
      </c>
      <c r="G7" s="89">
        <f t="shared" si="4"/>
        <v>1698413.8720000002</v>
      </c>
      <c r="H7" s="89">
        <f t="shared" si="4"/>
        <v>1714618.9349999998</v>
      </c>
      <c r="I7" s="89">
        <f t="shared" si="4"/>
        <v>1831537.175</v>
      </c>
      <c r="J7" s="89">
        <f t="shared" si="4"/>
        <v>2063623.1409999998</v>
      </c>
      <c r="K7" s="89">
        <f t="shared" si="4"/>
        <v>2342605.0197899998</v>
      </c>
      <c r="L7" s="89">
        <f t="shared" si="4"/>
        <v>2929939.051</v>
      </c>
      <c r="M7" s="89">
        <f t="shared" si="4"/>
        <v>3307888.1070000003</v>
      </c>
      <c r="N7" s="89">
        <f t="shared" si="4"/>
        <v>3787539.8160000001</v>
      </c>
      <c r="O7" s="89">
        <f t="shared" si="4"/>
        <v>4339620.4220000003</v>
      </c>
      <c r="P7" s="89">
        <f t="shared" si="4"/>
        <v>4778744.3510000007</v>
      </c>
      <c r="Q7" s="89">
        <f t="shared" si="4"/>
        <v>5284314.99</v>
      </c>
      <c r="R7" s="89">
        <f t="shared" si="4"/>
        <v>5630513.4080000008</v>
      </c>
      <c r="S7" s="89">
        <f t="shared" si="4"/>
        <v>6032535.3309999993</v>
      </c>
      <c r="T7" s="89">
        <f t="shared" si="4"/>
        <v>6585908.585</v>
      </c>
      <c r="U7" s="89">
        <f t="shared" si="4"/>
        <v>7049860.4479999999</v>
      </c>
      <c r="V7" s="89">
        <f t="shared" ref="V7:W7" si="5">SUM(V8:V24)</f>
        <v>8828228.620000001</v>
      </c>
      <c r="W7" s="89">
        <f t="shared" si="5"/>
        <v>10125253.743000001</v>
      </c>
      <c r="X7" s="89">
        <f t="shared" ref="X7:Y7" si="6">SUM(X8:X24)</f>
        <v>10048434.832999999</v>
      </c>
      <c r="Y7" s="89">
        <f t="shared" si="6"/>
        <v>10449459.470000001</v>
      </c>
      <c r="Z7" s="89">
        <f t="shared" ref="Z7:AA7" si="7">SUM(Z8:Z24)</f>
        <v>10878403.288000001</v>
      </c>
      <c r="AA7" s="89">
        <f t="shared" si="7"/>
        <v>11459190.254000001</v>
      </c>
    </row>
    <row r="8" spans="1:27">
      <c r="A8" s="79" t="s">
        <v>119</v>
      </c>
      <c r="T8" s="2"/>
      <c r="U8" s="2"/>
      <c r="V8" s="2"/>
      <c r="W8" s="2"/>
    </row>
    <row r="9" spans="1:27">
      <c r="A9" s="22" t="s">
        <v>3</v>
      </c>
      <c r="B9" s="13">
        <f>11853+25028</f>
        <v>36881</v>
      </c>
      <c r="C9" s="13">
        <f>13830+26853</f>
        <v>40683</v>
      </c>
      <c r="D9" s="13">
        <f>16828+32352</f>
        <v>49180</v>
      </c>
      <c r="E9" s="13">
        <v>74161.536999999997</v>
      </c>
      <c r="F9" s="76">
        <v>84080.432000000001</v>
      </c>
      <c r="G9" s="13">
        <v>89735.698000000004</v>
      </c>
      <c r="H9" s="13">
        <v>89530.78</v>
      </c>
      <c r="I9" s="13">
        <v>99155.827000000005</v>
      </c>
      <c r="J9" s="13">
        <v>104202.774</v>
      </c>
      <c r="K9" s="13">
        <v>110558.50599999999</v>
      </c>
      <c r="L9" s="14">
        <v>156079.24900000001</v>
      </c>
      <c r="M9" s="14">
        <v>182966.068</v>
      </c>
      <c r="N9" s="14">
        <v>218936.16</v>
      </c>
      <c r="O9" s="14">
        <v>239231.682</v>
      </c>
      <c r="P9" s="14">
        <v>255409.93100000001</v>
      </c>
      <c r="Q9" s="14">
        <v>269158.97100000002</v>
      </c>
      <c r="R9" s="14">
        <v>277686.505</v>
      </c>
      <c r="S9" s="14">
        <v>319533.14600000001</v>
      </c>
      <c r="T9" s="2">
        <v>343881.848</v>
      </c>
      <c r="U9" s="2">
        <v>396535.71600000001</v>
      </c>
      <c r="V9" s="2">
        <v>503148.10200000001</v>
      </c>
      <c r="W9" s="2">
        <v>552698.39800000004</v>
      </c>
      <c r="X9" s="2">
        <v>550068.57400000002</v>
      </c>
      <c r="Y9" s="2">
        <v>609205.91200000001</v>
      </c>
      <c r="Z9" s="2">
        <v>641026.26699999999</v>
      </c>
      <c r="AA9" s="2">
        <v>692979.37600000005</v>
      </c>
    </row>
    <row r="10" spans="1:27">
      <c r="A10" s="22" t="s">
        <v>4</v>
      </c>
      <c r="B10" s="13">
        <f>8154+18268</f>
        <v>26422</v>
      </c>
      <c r="C10" s="13">
        <f>9300+19097</f>
        <v>28397</v>
      </c>
      <c r="D10" s="13">
        <f>10335+21947</f>
        <v>32282</v>
      </c>
      <c r="E10" s="13">
        <v>52432.771999999997</v>
      </c>
      <c r="F10" s="76">
        <v>63322.279000000002</v>
      </c>
      <c r="G10" s="13">
        <v>74596.493000000002</v>
      </c>
      <c r="H10" s="13">
        <v>73960.225999999995</v>
      </c>
      <c r="I10" s="14">
        <v>76740.100000000006</v>
      </c>
      <c r="J10" s="14">
        <v>83606.024000000005</v>
      </c>
      <c r="K10" s="14">
        <v>80971.082999999999</v>
      </c>
      <c r="L10" s="14">
        <v>127857.91099999999</v>
      </c>
      <c r="M10" s="14">
        <v>146634.49400000001</v>
      </c>
      <c r="N10" s="14">
        <v>177731.50700000001</v>
      </c>
      <c r="O10" s="14">
        <v>194871.41800000001</v>
      </c>
      <c r="P10" s="14">
        <v>213747.073</v>
      </c>
      <c r="Q10" s="14">
        <v>215778.75899999999</v>
      </c>
      <c r="R10" s="14">
        <v>233715.959</v>
      </c>
      <c r="S10" s="14">
        <v>221196.383</v>
      </c>
      <c r="T10" s="2">
        <v>237934.58900000001</v>
      </c>
      <c r="U10" s="2">
        <v>265956.28000000003</v>
      </c>
      <c r="V10" s="2">
        <v>317949.35800000001</v>
      </c>
      <c r="W10" s="2">
        <v>420514.29599999997</v>
      </c>
      <c r="X10" s="2">
        <v>421108.26899999997</v>
      </c>
      <c r="Y10" s="2">
        <v>423625.31699999998</v>
      </c>
      <c r="Z10" s="2">
        <v>415107.77600000001</v>
      </c>
      <c r="AA10" s="2">
        <v>422484.61099999998</v>
      </c>
    </row>
    <row r="11" spans="1:27">
      <c r="A11" s="22" t="s">
        <v>52</v>
      </c>
      <c r="B11" s="13"/>
      <c r="C11" s="13"/>
      <c r="D11" s="13">
        <f>9016+1870</f>
        <v>10886</v>
      </c>
      <c r="E11" s="13">
        <v>23315.65</v>
      </c>
      <c r="F11" s="76">
        <v>24601.065999999999</v>
      </c>
      <c r="G11" s="13"/>
      <c r="H11" s="13"/>
      <c r="I11" s="14">
        <v>30879.627</v>
      </c>
      <c r="J11" s="14">
        <v>31905.923999999999</v>
      </c>
      <c r="K11" s="14">
        <v>34635.462</v>
      </c>
      <c r="L11" s="14">
        <v>50040.442999999999</v>
      </c>
      <c r="M11" s="14">
        <v>54847.14</v>
      </c>
      <c r="N11" s="14">
        <v>64508.940999999999</v>
      </c>
      <c r="O11" s="14">
        <v>67260.94</v>
      </c>
      <c r="P11" s="14">
        <v>69216.031000000003</v>
      </c>
      <c r="Q11" s="14">
        <v>74389.794999999998</v>
      </c>
      <c r="R11" s="14">
        <v>79387.152000000002</v>
      </c>
      <c r="S11" s="14">
        <v>84889.490999999995</v>
      </c>
      <c r="T11" s="2">
        <v>92679.103000000003</v>
      </c>
      <c r="U11" s="2">
        <v>97214.372000000003</v>
      </c>
      <c r="V11" s="2">
        <v>118774.124</v>
      </c>
      <c r="W11" s="2">
        <v>131976.39499999999</v>
      </c>
      <c r="X11" s="2">
        <v>141342.16899999999</v>
      </c>
      <c r="Y11" s="2">
        <v>22728.042000000001</v>
      </c>
      <c r="Z11" s="2">
        <v>169999.228</v>
      </c>
      <c r="AA11" s="2">
        <v>181088.1</v>
      </c>
    </row>
    <row r="12" spans="1:27">
      <c r="A12" s="22" t="s">
        <v>5</v>
      </c>
      <c r="B12" s="13">
        <f>20504+17942</f>
        <v>38446</v>
      </c>
      <c r="C12" s="13">
        <f>22822+21232</f>
        <v>44054</v>
      </c>
      <c r="D12" s="13">
        <f>26536+24617</f>
        <v>51153</v>
      </c>
      <c r="E12" s="13">
        <v>81209.535999999993</v>
      </c>
      <c r="F12" s="76">
        <v>105116.83</v>
      </c>
      <c r="G12" s="13">
        <v>128524.927</v>
      </c>
      <c r="H12" s="13">
        <v>127741.72199999999</v>
      </c>
      <c r="I12" s="14">
        <v>138742.88500000001</v>
      </c>
      <c r="J12" s="14">
        <v>164786.916</v>
      </c>
      <c r="K12" s="14">
        <v>232585.60800000001</v>
      </c>
      <c r="L12" s="14">
        <v>261858.557</v>
      </c>
      <c r="M12" s="14">
        <v>318325.533</v>
      </c>
      <c r="N12" s="14">
        <v>423422.91899999999</v>
      </c>
      <c r="O12" s="14">
        <v>582587.64099999995</v>
      </c>
      <c r="P12" s="14">
        <v>689372.31900000002</v>
      </c>
      <c r="Q12" s="14">
        <v>861696.49600000004</v>
      </c>
      <c r="R12" s="14">
        <v>862908.16799999995</v>
      </c>
      <c r="S12" s="14">
        <v>847785.375</v>
      </c>
      <c r="T12" s="2">
        <v>938279.25800000003</v>
      </c>
      <c r="U12" s="2">
        <v>913122.19200000004</v>
      </c>
      <c r="V12" s="2">
        <v>1115493.1340000001</v>
      </c>
      <c r="W12" s="2">
        <v>1291604.0079999999</v>
      </c>
      <c r="X12" s="2">
        <v>1244351.933</v>
      </c>
      <c r="Y12" s="2">
        <v>1282768.996</v>
      </c>
      <c r="Z12" s="2">
        <v>1305042.8929999999</v>
      </c>
      <c r="AA12" s="2">
        <v>1306037.5149999999</v>
      </c>
    </row>
    <row r="13" spans="1:27">
      <c r="A13" s="22" t="s">
        <v>6</v>
      </c>
      <c r="B13" s="13">
        <f>5171+20555</f>
        <v>25726</v>
      </c>
      <c r="C13" s="13">
        <f>5595+21822</f>
        <v>27417</v>
      </c>
      <c r="D13" s="13">
        <f>6388+24343</f>
        <v>30731</v>
      </c>
      <c r="E13" s="13">
        <v>49198.184999999998</v>
      </c>
      <c r="F13" s="76">
        <v>60909.483999999997</v>
      </c>
      <c r="G13" s="13">
        <v>86206.254000000001</v>
      </c>
      <c r="H13" s="13">
        <v>104020.73</v>
      </c>
      <c r="I13" s="14">
        <v>142131.21100000001</v>
      </c>
      <c r="J13" s="14">
        <v>183914.04399999999</v>
      </c>
      <c r="K13" s="14">
        <v>223836.14</v>
      </c>
      <c r="L13" s="14">
        <v>299807.25300000003</v>
      </c>
      <c r="M13" s="14">
        <v>352193.967</v>
      </c>
      <c r="N13" s="14">
        <v>276302.16200000001</v>
      </c>
      <c r="O13" s="14">
        <v>289993.87800000003</v>
      </c>
      <c r="P13" s="14">
        <v>315211.826</v>
      </c>
      <c r="Q13" s="14">
        <v>299830.89299999998</v>
      </c>
      <c r="R13" s="14">
        <v>311641.65700000001</v>
      </c>
      <c r="S13" s="14">
        <v>342907.88900000002</v>
      </c>
      <c r="T13" s="2">
        <v>378013.853</v>
      </c>
      <c r="U13" s="2">
        <v>388123.43199999997</v>
      </c>
      <c r="V13" s="2">
        <v>539798.37399999995</v>
      </c>
      <c r="W13" s="2">
        <v>657889.21100000001</v>
      </c>
      <c r="X13" s="2">
        <v>635348.11899999995</v>
      </c>
      <c r="Y13" s="2">
        <v>692477.94700000004</v>
      </c>
      <c r="Z13" s="2">
        <v>708260.43400000001</v>
      </c>
      <c r="AA13" s="2">
        <v>747990.54200000002</v>
      </c>
    </row>
    <row r="14" spans="1:27">
      <c r="A14" s="22" t="s">
        <v>7</v>
      </c>
      <c r="B14" s="13">
        <f>14625+20429</f>
        <v>35054</v>
      </c>
      <c r="C14" s="13">
        <f>17304+22072</f>
        <v>39376</v>
      </c>
      <c r="D14" s="13">
        <f>20054+24638</f>
        <v>44692</v>
      </c>
      <c r="E14" s="13">
        <v>81725.506999999998</v>
      </c>
      <c r="F14" s="76">
        <v>92208.879000000001</v>
      </c>
      <c r="G14" s="13">
        <v>93188.038</v>
      </c>
      <c r="H14" s="13">
        <v>91513.474000000002</v>
      </c>
      <c r="I14" s="14">
        <v>98364.929000000004</v>
      </c>
      <c r="J14" s="14">
        <v>104278.91899999999</v>
      </c>
      <c r="K14" s="14">
        <v>109104.283</v>
      </c>
      <c r="L14" s="14">
        <v>143726.467</v>
      </c>
      <c r="M14" s="14">
        <v>167127.52100000001</v>
      </c>
      <c r="N14" s="14">
        <v>200661.98300000001</v>
      </c>
      <c r="O14" s="14">
        <v>241946.755</v>
      </c>
      <c r="P14" s="14">
        <v>275685.90899999999</v>
      </c>
      <c r="Q14" s="14">
        <v>297880.59000000003</v>
      </c>
      <c r="R14" s="14">
        <v>321468.43900000001</v>
      </c>
      <c r="S14" s="14">
        <v>348622.61900000001</v>
      </c>
      <c r="T14" s="2">
        <v>381885.13900000002</v>
      </c>
      <c r="U14" s="2">
        <v>408927.21600000001</v>
      </c>
      <c r="V14" s="2">
        <v>461510.23</v>
      </c>
      <c r="W14" s="2">
        <v>497932.641</v>
      </c>
      <c r="X14" s="2">
        <v>515495.40899999999</v>
      </c>
      <c r="Y14" s="2">
        <v>536783.01800000004</v>
      </c>
      <c r="Z14" s="2">
        <v>566466.245</v>
      </c>
      <c r="AA14" s="2">
        <v>607857.34499999997</v>
      </c>
    </row>
    <row r="15" spans="1:27">
      <c r="A15" s="22" t="s">
        <v>8</v>
      </c>
      <c r="B15" s="36">
        <f>7126+40669</f>
        <v>47795</v>
      </c>
      <c r="C15" s="36">
        <f>8063+45066</f>
        <v>53129</v>
      </c>
      <c r="D15" s="36">
        <f>10427+56531</f>
        <v>66958</v>
      </c>
      <c r="E15" s="36">
        <v>106347.697</v>
      </c>
      <c r="F15" s="77">
        <v>124370.677</v>
      </c>
      <c r="G15" s="36">
        <v>136272.652</v>
      </c>
      <c r="H15" s="36">
        <v>128631.133</v>
      </c>
      <c r="I15" s="37">
        <v>134605.005</v>
      </c>
      <c r="J15" s="37">
        <v>139569.451</v>
      </c>
      <c r="K15" s="37">
        <v>140748.08100000001</v>
      </c>
      <c r="L15" s="37">
        <v>164961.90700000001</v>
      </c>
      <c r="M15" s="37">
        <v>179554.39</v>
      </c>
      <c r="N15" s="37">
        <v>203393.345</v>
      </c>
      <c r="O15" s="37">
        <v>220114.07399999999</v>
      </c>
      <c r="P15" s="37">
        <v>236119.04399999999</v>
      </c>
      <c r="Q15" s="37">
        <v>250896.29300000001</v>
      </c>
      <c r="R15" s="37">
        <v>249842.09599999999</v>
      </c>
      <c r="S15" s="37">
        <v>250966.677</v>
      </c>
      <c r="T15" s="23">
        <v>260130.58300000001</v>
      </c>
      <c r="U15" s="23">
        <v>276392.35499999998</v>
      </c>
      <c r="V15" s="23">
        <v>348263.79100000003</v>
      </c>
      <c r="W15" s="23">
        <v>381118.86099999998</v>
      </c>
      <c r="X15" s="2">
        <v>389479.152</v>
      </c>
      <c r="Y15" s="2">
        <v>392403.60200000001</v>
      </c>
      <c r="Z15" s="2">
        <v>404772.386</v>
      </c>
      <c r="AA15" s="2">
        <v>425198.91899999999</v>
      </c>
    </row>
    <row r="16" spans="1:27">
      <c r="A16" s="22" t="s">
        <v>9</v>
      </c>
      <c r="B16" s="36">
        <v>36830</v>
      </c>
      <c r="C16" s="36">
        <f>0+38420</f>
        <v>38420</v>
      </c>
      <c r="D16" s="36">
        <v>40595</v>
      </c>
      <c r="E16" s="36">
        <v>59454.464999999997</v>
      </c>
      <c r="F16" s="77">
        <v>71964.297999999995</v>
      </c>
      <c r="G16" s="36">
        <v>79114.467000000004</v>
      </c>
      <c r="H16" s="36">
        <v>84874.976999999999</v>
      </c>
      <c r="I16" s="37">
        <v>90947.322</v>
      </c>
      <c r="J16" s="37">
        <v>100426.46400000001</v>
      </c>
      <c r="K16" s="37">
        <v>110172.36500000001</v>
      </c>
      <c r="L16" s="37">
        <v>147518.77499999999</v>
      </c>
      <c r="M16" s="37">
        <v>164401.74600000001</v>
      </c>
      <c r="N16" s="37">
        <v>199920.00700000001</v>
      </c>
      <c r="O16" s="37">
        <v>211450.33900000001</v>
      </c>
      <c r="P16" s="37">
        <v>221172.318</v>
      </c>
      <c r="Q16" s="37">
        <v>234468.69</v>
      </c>
      <c r="R16" s="37">
        <v>253522.345</v>
      </c>
      <c r="S16" s="37">
        <v>270131.44199999998</v>
      </c>
      <c r="T16" s="23">
        <v>286205.33799999999</v>
      </c>
      <c r="U16" s="23">
        <v>292442.19199999998</v>
      </c>
      <c r="V16" s="23">
        <v>350816.91399999999</v>
      </c>
      <c r="W16" s="23">
        <v>387219.51400000002</v>
      </c>
      <c r="X16" s="2">
        <v>389782.34</v>
      </c>
      <c r="Y16" s="2">
        <v>412482.83100000001</v>
      </c>
      <c r="Z16" s="2">
        <v>428056.41700000002</v>
      </c>
      <c r="AA16" s="2">
        <v>449438.13699999999</v>
      </c>
    </row>
    <row r="17" spans="1:27">
      <c r="A17" s="22" t="s">
        <v>10</v>
      </c>
      <c r="B17" s="36">
        <f>5320+34837</f>
        <v>40157</v>
      </c>
      <c r="C17" s="36">
        <f>4782+33603</f>
        <v>38385</v>
      </c>
      <c r="D17" s="36">
        <f>6072+38812</f>
        <v>44884</v>
      </c>
      <c r="E17" s="36">
        <v>64900.701999999997</v>
      </c>
      <c r="F17" s="77">
        <v>73029.554000000004</v>
      </c>
      <c r="G17" s="36">
        <v>76319.603000000003</v>
      </c>
      <c r="H17" s="36">
        <v>74097.635999999999</v>
      </c>
      <c r="I17" s="37">
        <v>75464.179000000004</v>
      </c>
      <c r="J17" s="37">
        <v>86480.327000000005</v>
      </c>
      <c r="K17" s="37">
        <v>95967.05</v>
      </c>
      <c r="L17" s="37">
        <v>125451.803</v>
      </c>
      <c r="M17" s="37">
        <v>139335.50700000001</v>
      </c>
      <c r="N17" s="37">
        <v>152870.48300000001</v>
      </c>
      <c r="O17" s="37">
        <v>167848.698</v>
      </c>
      <c r="P17" s="37">
        <v>173382.764</v>
      </c>
      <c r="Q17" s="37">
        <v>178538.10800000001</v>
      </c>
      <c r="R17" s="37">
        <v>211480.79199999999</v>
      </c>
      <c r="S17" s="37">
        <v>219008.23300000001</v>
      </c>
      <c r="T17" s="23">
        <v>214274.81400000001</v>
      </c>
      <c r="U17" s="23">
        <v>227723.628</v>
      </c>
      <c r="V17" s="23">
        <v>288917.72499999998</v>
      </c>
      <c r="W17" s="23">
        <v>322345.71600000001</v>
      </c>
      <c r="X17" s="2">
        <v>338422.84100000001</v>
      </c>
      <c r="Y17" s="2">
        <v>344724.17700000003</v>
      </c>
      <c r="Z17" s="2">
        <v>375776.46100000001</v>
      </c>
      <c r="AA17" s="2">
        <v>417277.24900000001</v>
      </c>
    </row>
    <row r="18" spans="1:27">
      <c r="A18" s="22" t="s">
        <v>11</v>
      </c>
      <c r="B18" s="36">
        <f>12615+45955</f>
        <v>58570</v>
      </c>
      <c r="C18" s="36">
        <f>12451+46299</f>
        <v>58750</v>
      </c>
      <c r="D18" s="36">
        <f>15195+50938</f>
        <v>66133</v>
      </c>
      <c r="E18" s="36">
        <v>93190.740999999995</v>
      </c>
      <c r="F18" s="77">
        <v>105863.03200000001</v>
      </c>
      <c r="G18" s="36">
        <v>172092.106</v>
      </c>
      <c r="H18" s="36">
        <v>163755.93599999999</v>
      </c>
      <c r="I18" s="37">
        <v>124819.894</v>
      </c>
      <c r="J18" s="37">
        <v>178789.182</v>
      </c>
      <c r="K18" s="37">
        <v>213548.44200000001</v>
      </c>
      <c r="L18" s="37">
        <v>194745.30300000001</v>
      </c>
      <c r="M18" s="37">
        <v>220657.12299999999</v>
      </c>
      <c r="N18" s="37">
        <v>260635.239</v>
      </c>
      <c r="O18" s="37">
        <v>311398.239</v>
      </c>
      <c r="P18" s="37">
        <v>332955.73599999998</v>
      </c>
      <c r="Q18" s="37">
        <v>362761.36099999998</v>
      </c>
      <c r="R18" s="37">
        <v>366292.50400000002</v>
      </c>
      <c r="S18" s="37">
        <v>414645.98800000001</v>
      </c>
      <c r="T18" s="23">
        <v>474227.42</v>
      </c>
      <c r="U18" s="23">
        <v>516377.951</v>
      </c>
      <c r="V18" s="23">
        <v>729056.88300000003</v>
      </c>
      <c r="W18" s="23">
        <v>887090.83400000003</v>
      </c>
      <c r="X18" s="2">
        <v>850894.30599999998</v>
      </c>
      <c r="Y18" s="2">
        <v>914107.83700000006</v>
      </c>
      <c r="Z18" s="2">
        <v>946815.27599999995</v>
      </c>
      <c r="AA18" s="2">
        <v>985765.10600000003</v>
      </c>
    </row>
    <row r="19" spans="1:27">
      <c r="A19" s="22" t="s">
        <v>12</v>
      </c>
      <c r="B19" s="36">
        <v>23687</v>
      </c>
      <c r="C19" s="36">
        <f>0+27727</f>
        <v>27727</v>
      </c>
      <c r="D19" s="37">
        <v>33678</v>
      </c>
      <c r="E19" s="36">
        <v>68372.267000000007</v>
      </c>
      <c r="F19" s="77">
        <v>81297.740000000005</v>
      </c>
      <c r="G19" s="36">
        <v>89270.22</v>
      </c>
      <c r="H19" s="36">
        <v>85762.928</v>
      </c>
      <c r="I19" s="37">
        <v>86739.542000000001</v>
      </c>
      <c r="J19" s="37">
        <v>88700.828999999998</v>
      </c>
      <c r="K19" s="37">
        <v>95837.806479999999</v>
      </c>
      <c r="L19" s="37">
        <v>122229.84699999999</v>
      </c>
      <c r="M19" s="37">
        <v>132221.40599999999</v>
      </c>
      <c r="N19" s="37">
        <v>142629.20300000001</v>
      </c>
      <c r="O19" s="37">
        <v>165768.37400000001</v>
      </c>
      <c r="P19" s="37">
        <v>184519.11</v>
      </c>
      <c r="Q19" s="37">
        <v>213864.07</v>
      </c>
      <c r="R19" s="37">
        <v>218872.74799999999</v>
      </c>
      <c r="S19" s="37">
        <v>240495.033</v>
      </c>
      <c r="T19" s="23">
        <v>258675.56200000001</v>
      </c>
      <c r="U19" s="23">
        <v>273796.772</v>
      </c>
      <c r="V19" s="23">
        <v>351871.65500000003</v>
      </c>
      <c r="W19" s="23">
        <v>405680.14199999999</v>
      </c>
      <c r="X19" s="2">
        <v>406740.01799999998</v>
      </c>
      <c r="Y19" s="2">
        <v>427335.32299999997</v>
      </c>
      <c r="Z19" s="2">
        <v>439471.03</v>
      </c>
      <c r="AA19" s="2">
        <v>456206.92800000001</v>
      </c>
    </row>
    <row r="20" spans="1:27">
      <c r="A20" s="22" t="s">
        <v>13</v>
      </c>
      <c r="B20" s="36">
        <f>12144+11060</f>
        <v>23204</v>
      </c>
      <c r="C20" s="36">
        <f>10645+11804</f>
        <v>22449</v>
      </c>
      <c r="D20" s="36">
        <f>11541+14353</f>
        <v>25894</v>
      </c>
      <c r="E20" s="36">
        <v>45258.02</v>
      </c>
      <c r="F20" s="77">
        <v>51950.947999999997</v>
      </c>
      <c r="G20" s="36">
        <v>58611.23</v>
      </c>
      <c r="H20" s="36">
        <v>58871.862000000001</v>
      </c>
      <c r="I20" s="37">
        <v>59495.606</v>
      </c>
      <c r="J20" s="37">
        <v>63396.15</v>
      </c>
      <c r="K20" s="37">
        <v>91315.778999999995</v>
      </c>
      <c r="L20" s="37">
        <v>141606.30499999999</v>
      </c>
      <c r="M20" s="37">
        <v>163818.56200000001</v>
      </c>
      <c r="N20" s="37">
        <v>174817.07699999999</v>
      </c>
      <c r="O20" s="37">
        <v>234024.228</v>
      </c>
      <c r="P20" s="37">
        <v>260310.95499999999</v>
      </c>
      <c r="Q20" s="37">
        <v>282064.74900000001</v>
      </c>
      <c r="R20" s="37">
        <v>309501.804</v>
      </c>
      <c r="S20" s="37">
        <v>337682.04300000001</v>
      </c>
      <c r="T20" s="23">
        <v>377467.75300000003</v>
      </c>
      <c r="U20" s="23">
        <v>425745.935</v>
      </c>
      <c r="V20" s="23">
        <v>490829.18800000002</v>
      </c>
      <c r="W20" s="23">
        <v>526495.74199999997</v>
      </c>
      <c r="X20" s="2">
        <v>532833.17200000002</v>
      </c>
      <c r="Y20" s="2">
        <v>558535.41099999996</v>
      </c>
      <c r="Z20" s="2">
        <v>584141.48300000001</v>
      </c>
      <c r="AA20" s="2">
        <v>621703.85</v>
      </c>
    </row>
    <row r="21" spans="1:27" s="17" customFormat="1">
      <c r="A21" s="22" t="s">
        <v>14</v>
      </c>
      <c r="B21" s="36">
        <f>9803+26391</f>
        <v>36194</v>
      </c>
      <c r="C21" s="36">
        <f>10087+28064</f>
        <v>38151</v>
      </c>
      <c r="D21" s="36">
        <f>10432+31921</f>
        <v>42353</v>
      </c>
      <c r="E21" s="36">
        <v>66029.428</v>
      </c>
      <c r="F21" s="77">
        <v>75851.895000000004</v>
      </c>
      <c r="G21" s="36">
        <v>84586.36</v>
      </c>
      <c r="H21" s="36">
        <v>82152.070999999996</v>
      </c>
      <c r="I21" s="37">
        <v>83134.451000000001</v>
      </c>
      <c r="J21" s="37">
        <v>89096.508000000002</v>
      </c>
      <c r="K21" s="37">
        <v>93311.42399000001</v>
      </c>
      <c r="L21" s="37">
        <v>118780.501</v>
      </c>
      <c r="M21" s="37">
        <v>132641.17600000001</v>
      </c>
      <c r="N21" s="37">
        <v>164835.761</v>
      </c>
      <c r="O21" s="37">
        <v>190594.99799999999</v>
      </c>
      <c r="P21" s="37">
        <v>202144.08300000001</v>
      </c>
      <c r="Q21" s="37">
        <v>265355.14600000001</v>
      </c>
      <c r="R21" s="37">
        <v>320008.47499999998</v>
      </c>
      <c r="S21" s="37">
        <v>400330.88699999999</v>
      </c>
      <c r="T21" s="23">
        <v>450343.27799999999</v>
      </c>
      <c r="U21" s="23">
        <v>496546.478</v>
      </c>
      <c r="V21" s="23">
        <v>595601.02899999998</v>
      </c>
      <c r="W21" s="23">
        <v>663030.69499999995</v>
      </c>
      <c r="X21" s="23">
        <v>677809.07400000002</v>
      </c>
      <c r="Y21" s="2">
        <v>664752.42500000005</v>
      </c>
      <c r="Z21" s="2">
        <v>668188.56599999999</v>
      </c>
      <c r="AA21" s="2">
        <v>716955.571</v>
      </c>
    </row>
    <row r="22" spans="1:27">
      <c r="A22" s="22" t="s">
        <v>15</v>
      </c>
      <c r="B22" s="36">
        <f>35845+53657</f>
        <v>89502</v>
      </c>
      <c r="C22" s="36">
        <f>38637+61816</f>
        <v>100453</v>
      </c>
      <c r="D22" s="36">
        <f>73573+91392</f>
        <v>164965</v>
      </c>
      <c r="E22" s="36">
        <v>259828.345</v>
      </c>
      <c r="F22" s="77">
        <v>285399.56800000003</v>
      </c>
      <c r="G22" s="36">
        <v>326228.54399999999</v>
      </c>
      <c r="H22" s="36">
        <v>335349.10200000001</v>
      </c>
      <c r="I22" s="37">
        <v>352780.22499999998</v>
      </c>
      <c r="J22" s="37">
        <v>391582.35499999998</v>
      </c>
      <c r="K22" s="37">
        <v>437399.52799999999</v>
      </c>
      <c r="L22" s="37">
        <v>551854.50800000003</v>
      </c>
      <c r="M22" s="37">
        <v>605542.47</v>
      </c>
      <c r="N22" s="37">
        <v>732454.70799999998</v>
      </c>
      <c r="O22" s="37">
        <v>821476.10600000003</v>
      </c>
      <c r="P22" s="37">
        <v>903965.97699999996</v>
      </c>
      <c r="Q22" s="37">
        <v>998065.44700000004</v>
      </c>
      <c r="R22" s="37">
        <v>1098434.1610000001</v>
      </c>
      <c r="S22" s="37">
        <v>1175304.7320000001</v>
      </c>
      <c r="T22" s="23">
        <v>1265605.841</v>
      </c>
      <c r="U22" s="23">
        <v>1378143.996</v>
      </c>
      <c r="V22" s="23">
        <v>1807855.0149999999</v>
      </c>
      <c r="W22" s="23">
        <v>2087620.3389999999</v>
      </c>
      <c r="X22" s="2">
        <v>2017600.0889999999</v>
      </c>
      <c r="Y22" s="2">
        <v>2203547.4640000002</v>
      </c>
      <c r="Z22" s="2">
        <v>2209441.0380000002</v>
      </c>
      <c r="AA22" s="2">
        <v>2364262.932</v>
      </c>
    </row>
    <row r="23" spans="1:27">
      <c r="A23" s="22" t="s">
        <v>16</v>
      </c>
      <c r="B23" s="36">
        <f>18825+26625</f>
        <v>45450</v>
      </c>
      <c r="C23" s="36">
        <f>22244+35515</f>
        <v>57759</v>
      </c>
      <c r="D23" s="36">
        <f>26711+36279</f>
        <v>62990</v>
      </c>
      <c r="E23" s="36">
        <v>109711.416</v>
      </c>
      <c r="F23" s="77">
        <v>132758.19200000001</v>
      </c>
      <c r="G23" s="36">
        <v>151606.50599999999</v>
      </c>
      <c r="H23" s="36">
        <v>160843.014</v>
      </c>
      <c r="I23" s="37">
        <v>177888.21100000001</v>
      </c>
      <c r="J23" s="37">
        <v>192989.20699999999</v>
      </c>
      <c r="K23" s="37">
        <v>207347.432</v>
      </c>
      <c r="L23" s="37">
        <v>241801.943</v>
      </c>
      <c r="M23" s="37">
        <v>257227.31599999999</v>
      </c>
      <c r="N23" s="37">
        <v>288341.413</v>
      </c>
      <c r="O23" s="37">
        <v>292081.91600000003</v>
      </c>
      <c r="P23" s="37">
        <v>315739.48300000001</v>
      </c>
      <c r="Q23" s="37">
        <v>350036.63799999998</v>
      </c>
      <c r="R23" s="37">
        <v>372399.25199999998</v>
      </c>
      <c r="S23" s="37">
        <v>409942.63500000001</v>
      </c>
      <c r="T23" s="23">
        <v>466447.01199999999</v>
      </c>
      <c r="U23" s="23">
        <v>519460.99599999998</v>
      </c>
      <c r="V23" s="23">
        <v>604909.60600000003</v>
      </c>
      <c r="W23" s="23">
        <v>685917.89099999995</v>
      </c>
      <c r="X23" s="2">
        <v>706868.60900000005</v>
      </c>
      <c r="Y23" s="2">
        <v>726088.39899999998</v>
      </c>
      <c r="Z23" s="2">
        <v>771115.85600000003</v>
      </c>
      <c r="AA23" s="2">
        <v>805625.39099999995</v>
      </c>
    </row>
    <row r="24" spans="1:27">
      <c r="A24" s="83" t="s">
        <v>17</v>
      </c>
      <c r="B24" s="66">
        <f>6271+13249</f>
        <v>19520</v>
      </c>
      <c r="C24" s="66">
        <f>6388+15016</f>
        <v>21404</v>
      </c>
      <c r="D24" s="66">
        <f>6668+16417</f>
        <v>23085</v>
      </c>
      <c r="E24" s="66">
        <v>38847.262999999999</v>
      </c>
      <c r="F24" s="82">
        <v>45735.131000000001</v>
      </c>
      <c r="G24" s="66">
        <v>52060.773999999998</v>
      </c>
      <c r="H24" s="66">
        <v>53513.343999999997</v>
      </c>
      <c r="I24" s="63">
        <v>59648.161</v>
      </c>
      <c r="J24" s="63">
        <v>59898.067000000003</v>
      </c>
      <c r="K24" s="63">
        <v>65266.030319999998</v>
      </c>
      <c r="L24" s="63">
        <v>81618.278999999995</v>
      </c>
      <c r="M24" s="63">
        <v>90393.687999999995</v>
      </c>
      <c r="N24" s="63">
        <v>106078.908</v>
      </c>
      <c r="O24" s="63">
        <v>108971.136</v>
      </c>
      <c r="P24" s="63">
        <v>129791.792</v>
      </c>
      <c r="Q24" s="63">
        <v>129528.984</v>
      </c>
      <c r="R24" s="63">
        <v>143351.351</v>
      </c>
      <c r="S24" s="63">
        <v>149092.758</v>
      </c>
      <c r="T24" s="45">
        <v>159857.19399999999</v>
      </c>
      <c r="U24" s="45">
        <v>173350.93700000001</v>
      </c>
      <c r="V24" s="45">
        <v>203433.492</v>
      </c>
      <c r="W24" s="45">
        <v>226119.06</v>
      </c>
      <c r="X24" s="45">
        <v>230290.75899999999</v>
      </c>
      <c r="Y24" s="45">
        <v>237892.769</v>
      </c>
      <c r="Z24" s="45">
        <v>244721.932</v>
      </c>
      <c r="AA24" s="45">
        <v>258318.682</v>
      </c>
    </row>
    <row r="25" spans="1:27" s="23" customFormat="1">
      <c r="A25" s="79" t="s">
        <v>120</v>
      </c>
      <c r="B25" s="90">
        <f>SUM(B27:B39)</f>
        <v>0</v>
      </c>
      <c r="C25" s="90">
        <f t="shared" ref="C25:AA25" si="8">SUM(C27:C39)</f>
        <v>0</v>
      </c>
      <c r="D25" s="90">
        <f t="shared" si="8"/>
        <v>0</v>
      </c>
      <c r="E25" s="90">
        <f t="shared" si="8"/>
        <v>0</v>
      </c>
      <c r="F25" s="90">
        <f t="shared" si="8"/>
        <v>955461.17399999988</v>
      </c>
      <c r="G25" s="90">
        <f t="shared" si="8"/>
        <v>0</v>
      </c>
      <c r="H25" s="90">
        <f t="shared" si="8"/>
        <v>0</v>
      </c>
      <c r="I25" s="90">
        <f t="shared" si="8"/>
        <v>1315779.9139999999</v>
      </c>
      <c r="J25" s="90">
        <f t="shared" si="8"/>
        <v>0</v>
      </c>
      <c r="K25" s="90">
        <f t="shared" si="8"/>
        <v>1498600.1864200002</v>
      </c>
      <c r="L25" s="90">
        <f t="shared" si="8"/>
        <v>1876399.514</v>
      </c>
      <c r="M25" s="90">
        <f t="shared" si="8"/>
        <v>2096986.534</v>
      </c>
      <c r="N25" s="90">
        <f t="shared" si="8"/>
        <v>2406697.6609999994</v>
      </c>
      <c r="O25" s="90">
        <f t="shared" si="8"/>
        <v>2521242.87</v>
      </c>
      <c r="P25" s="90">
        <f t="shared" si="8"/>
        <v>2913064.9340000004</v>
      </c>
      <c r="Q25" s="90">
        <f t="shared" si="8"/>
        <v>3163424.6910000006</v>
      </c>
      <c r="R25" s="90">
        <f t="shared" si="8"/>
        <v>3268005.6379999998</v>
      </c>
      <c r="S25" s="90">
        <f t="shared" si="8"/>
        <v>3504593.7439999999</v>
      </c>
      <c r="T25" s="90">
        <f t="shared" si="8"/>
        <v>3855053.2040000008</v>
      </c>
      <c r="U25" s="90">
        <f t="shared" si="8"/>
        <v>4176162.6579999998</v>
      </c>
      <c r="V25" s="90">
        <f t="shared" si="8"/>
        <v>5394213.3049999997</v>
      </c>
      <c r="W25" s="90">
        <f t="shared" si="8"/>
        <v>6200903.7480000006</v>
      </c>
      <c r="X25" s="90">
        <f t="shared" si="8"/>
        <v>6841691.3899999987</v>
      </c>
      <c r="Y25" s="90">
        <f t="shared" si="8"/>
        <v>7134856.7499999981</v>
      </c>
      <c r="Z25" s="90">
        <f t="shared" si="8"/>
        <v>7453031.0370000005</v>
      </c>
      <c r="AA25" s="90">
        <f t="shared" si="8"/>
        <v>7925794.1339999977</v>
      </c>
    </row>
    <row r="26" spans="1:27">
      <c r="A26" s="79" t="s">
        <v>119</v>
      </c>
      <c r="B26" s="37"/>
      <c r="C26" s="37"/>
      <c r="D26" s="37"/>
      <c r="E26" s="37"/>
      <c r="F26" s="37"/>
      <c r="G26" s="37"/>
      <c r="H26" s="37"/>
      <c r="I26" s="37"/>
      <c r="J26" s="37"/>
      <c r="K26" s="37"/>
      <c r="L26" s="37"/>
      <c r="M26" s="37"/>
      <c r="N26" s="37"/>
      <c r="O26" s="37"/>
      <c r="P26" s="37"/>
      <c r="Q26" s="37"/>
      <c r="R26" s="37"/>
      <c r="S26" s="37"/>
      <c r="T26" s="23"/>
      <c r="U26" s="23"/>
      <c r="V26" s="23"/>
      <c r="W26" s="23"/>
      <c r="X26" s="2">
        <v>0</v>
      </c>
      <c r="Y26" s="2">
        <v>0</v>
      </c>
    </row>
    <row r="27" spans="1:27">
      <c r="A27" s="23" t="s">
        <v>85</v>
      </c>
      <c r="B27" s="36"/>
      <c r="C27" s="36"/>
      <c r="D27" s="37"/>
      <c r="E27" s="36"/>
      <c r="F27" s="77">
        <v>7797.6629999999996</v>
      </c>
      <c r="G27" s="36"/>
      <c r="H27" s="36"/>
      <c r="I27" s="37">
        <v>10671.164000000001</v>
      </c>
      <c r="J27" s="37"/>
      <c r="K27" s="37">
        <v>11427.217000000001</v>
      </c>
      <c r="L27" s="37">
        <v>10713.306</v>
      </c>
      <c r="M27" s="37">
        <v>11739.079</v>
      </c>
      <c r="N27" s="37">
        <v>13540.9</v>
      </c>
      <c r="O27" s="37">
        <v>16767.734</v>
      </c>
      <c r="P27" s="37">
        <v>20532.32</v>
      </c>
      <c r="Q27" s="37">
        <v>20224.59</v>
      </c>
      <c r="R27" s="37">
        <v>20604.904999999999</v>
      </c>
      <c r="S27" s="37">
        <v>21610.45</v>
      </c>
      <c r="T27" s="23">
        <v>23807.406999999999</v>
      </c>
      <c r="U27" s="23">
        <v>28397.749</v>
      </c>
      <c r="V27" s="23">
        <v>36221.690999999999</v>
      </c>
      <c r="W27" s="23">
        <v>43435.177000000003</v>
      </c>
      <c r="X27" s="2">
        <v>44922.892</v>
      </c>
      <c r="Y27" s="2">
        <v>45476.913999999997</v>
      </c>
      <c r="Z27" s="2">
        <v>44160.144</v>
      </c>
      <c r="AA27" s="2">
        <v>44854.106</v>
      </c>
    </row>
    <row r="28" spans="1:27">
      <c r="A28" s="23" t="s">
        <v>86</v>
      </c>
      <c r="B28" s="36"/>
      <c r="C28" s="36"/>
      <c r="D28" s="36"/>
      <c r="E28" s="36"/>
      <c r="F28" s="77">
        <v>99616.930999999997</v>
      </c>
      <c r="G28" s="36"/>
      <c r="H28" s="36"/>
      <c r="I28" s="37">
        <v>115720.01700000001</v>
      </c>
      <c r="J28" s="37"/>
      <c r="K28" s="37">
        <v>131306.489</v>
      </c>
      <c r="L28" s="37">
        <v>168736.75399999999</v>
      </c>
      <c r="M28" s="37">
        <v>181130.916</v>
      </c>
      <c r="N28" s="37">
        <v>201208.74</v>
      </c>
      <c r="O28" s="37">
        <v>183066.67</v>
      </c>
      <c r="P28" s="37">
        <v>235220.962</v>
      </c>
      <c r="Q28" s="37">
        <v>271284.11200000002</v>
      </c>
      <c r="R28" s="37">
        <v>290413.44</v>
      </c>
      <c r="S28" s="37">
        <v>315914.89399999997</v>
      </c>
      <c r="T28" s="23">
        <v>350754.85499999998</v>
      </c>
      <c r="U28" s="23">
        <v>414839.88799999998</v>
      </c>
      <c r="V28" s="23">
        <v>538723.83200000005</v>
      </c>
      <c r="W28" s="23">
        <v>612111.73899999994</v>
      </c>
      <c r="X28" s="2">
        <v>645630.777</v>
      </c>
      <c r="Y28" s="2">
        <v>670791.50100000005</v>
      </c>
      <c r="Z28" s="2">
        <v>721590.53099999996</v>
      </c>
      <c r="AA28" s="2">
        <v>787635.56799999997</v>
      </c>
    </row>
    <row r="29" spans="1:27">
      <c r="A29" s="23" t="s">
        <v>87</v>
      </c>
      <c r="B29" s="36"/>
      <c r="C29" s="36"/>
      <c r="D29" s="36"/>
      <c r="E29" s="36"/>
      <c r="F29" s="77">
        <v>388050.875</v>
      </c>
      <c r="G29" s="36"/>
      <c r="H29" s="36"/>
      <c r="I29" s="37">
        <v>684438.4</v>
      </c>
      <c r="J29" s="37"/>
      <c r="K29" s="37">
        <v>789396.97100000002</v>
      </c>
      <c r="L29" s="37">
        <v>980941.68200000003</v>
      </c>
      <c r="M29" s="37">
        <v>1090463.476</v>
      </c>
      <c r="N29" s="37">
        <v>1261297.2069999999</v>
      </c>
      <c r="O29" s="37">
        <v>1315559.557</v>
      </c>
      <c r="P29" s="37">
        <v>1522430.4939999999</v>
      </c>
      <c r="Q29" s="37">
        <v>1630747.436</v>
      </c>
      <c r="R29" s="37">
        <v>1738150.9509999999</v>
      </c>
      <c r="S29" s="37">
        <v>1854233.9850000001</v>
      </c>
      <c r="T29" s="23">
        <v>2032397.5649999999</v>
      </c>
      <c r="U29" s="23">
        <v>2192766.426</v>
      </c>
      <c r="V29" s="23">
        <v>2823692.8679999998</v>
      </c>
      <c r="W29" s="23">
        <v>3220389.8280000002</v>
      </c>
      <c r="X29" s="2">
        <v>3714691.3020000001</v>
      </c>
      <c r="Y29" s="2">
        <v>3871746.4249999998</v>
      </c>
      <c r="Z29" s="2">
        <v>4067389.321</v>
      </c>
      <c r="AA29" s="2">
        <v>4366603.301</v>
      </c>
    </row>
    <row r="30" spans="1:27">
      <c r="A30" s="23" t="s">
        <v>88</v>
      </c>
      <c r="B30" s="36"/>
      <c r="C30" s="36"/>
      <c r="D30" s="36"/>
      <c r="E30" s="36"/>
      <c r="F30" s="77">
        <v>90704.103000000003</v>
      </c>
      <c r="G30" s="36"/>
      <c r="H30" s="36"/>
      <c r="I30" s="37">
        <v>97509.506999999998</v>
      </c>
      <c r="J30" s="37"/>
      <c r="K30" s="37">
        <v>106399.19741999998</v>
      </c>
      <c r="L30" s="37">
        <v>131608.079</v>
      </c>
      <c r="M30" s="37">
        <v>143280.285</v>
      </c>
      <c r="N30" s="37">
        <v>180416.821</v>
      </c>
      <c r="O30" s="37">
        <v>199768.96299999999</v>
      </c>
      <c r="P30" s="37">
        <v>191181.54</v>
      </c>
      <c r="Q30" s="37">
        <v>285888.853</v>
      </c>
      <c r="R30" s="37">
        <v>239117.60699999999</v>
      </c>
      <c r="S30" s="37">
        <v>243831.08799999999</v>
      </c>
      <c r="T30" s="23">
        <v>273292.94400000002</v>
      </c>
      <c r="U30" s="23">
        <v>300620.78200000001</v>
      </c>
      <c r="V30" s="23">
        <v>390146.60800000001</v>
      </c>
      <c r="W30" s="23">
        <v>433391.68400000001</v>
      </c>
      <c r="X30" s="2">
        <v>455520.152</v>
      </c>
      <c r="Y30" s="2">
        <v>478232.70299999998</v>
      </c>
      <c r="Z30" s="2">
        <v>502857.00099999999</v>
      </c>
      <c r="AA30" s="2">
        <v>541875.96900000004</v>
      </c>
    </row>
    <row r="31" spans="1:27">
      <c r="A31" s="23" t="s">
        <v>91</v>
      </c>
      <c r="B31" s="36"/>
      <c r="C31" s="36"/>
      <c r="D31" s="36"/>
      <c r="E31" s="36"/>
      <c r="F31" s="77">
        <v>7356.402</v>
      </c>
      <c r="G31" s="36"/>
      <c r="H31" s="36"/>
      <c r="I31" s="37">
        <v>8349.4850000000006</v>
      </c>
      <c r="J31" s="37"/>
      <c r="K31" s="37">
        <v>8962.1720000000005</v>
      </c>
      <c r="L31" s="37">
        <v>10685.5</v>
      </c>
      <c r="M31" s="37">
        <v>12581.074000000001</v>
      </c>
      <c r="N31" s="37">
        <v>35994.714</v>
      </c>
      <c r="O31" s="37">
        <v>40614.616000000002</v>
      </c>
      <c r="P31" s="37">
        <v>41645.572</v>
      </c>
      <c r="Q31" s="37">
        <v>37689.597000000002</v>
      </c>
      <c r="R31" s="37">
        <v>36264.476999999999</v>
      </c>
      <c r="S31" s="37">
        <v>39700.703999999998</v>
      </c>
      <c r="T31" s="23">
        <v>48646.991999999998</v>
      </c>
      <c r="U31" s="23">
        <v>48579.398000000001</v>
      </c>
      <c r="V31" s="23">
        <v>67125.159</v>
      </c>
      <c r="W31" s="23">
        <v>98102.089000000007</v>
      </c>
      <c r="X31" s="2">
        <v>109105.027</v>
      </c>
      <c r="Y31" s="2">
        <v>115423.193</v>
      </c>
      <c r="Z31" s="2">
        <v>122723.087</v>
      </c>
      <c r="AA31" s="2">
        <v>123399.436</v>
      </c>
    </row>
    <row r="32" spans="1:27">
      <c r="A32" s="23" t="s">
        <v>92</v>
      </c>
      <c r="B32" s="36"/>
      <c r="C32" s="36"/>
      <c r="D32" s="36"/>
      <c r="E32" s="36"/>
      <c r="F32" s="77">
        <v>28697.809000000001</v>
      </c>
      <c r="G32" s="36"/>
      <c r="H32" s="36"/>
      <c r="I32" s="37">
        <v>34933.987999999998</v>
      </c>
      <c r="J32" s="37"/>
      <c r="K32" s="37">
        <v>38074.504000000001</v>
      </c>
      <c r="L32" s="37">
        <v>49076.836000000003</v>
      </c>
      <c r="M32" s="37">
        <v>56157.74</v>
      </c>
      <c r="N32" s="37">
        <v>70483.657999999996</v>
      </c>
      <c r="O32" s="37">
        <v>80323.557000000001</v>
      </c>
      <c r="P32" s="37">
        <v>86143.112999999998</v>
      </c>
      <c r="Q32" s="37">
        <v>86107.372000000003</v>
      </c>
      <c r="R32" s="37">
        <v>82952.466</v>
      </c>
      <c r="S32" s="37">
        <v>85257.438999999998</v>
      </c>
      <c r="T32" s="23">
        <v>91039.014999999999</v>
      </c>
      <c r="U32" s="23">
        <v>102239.481</v>
      </c>
      <c r="V32" s="23">
        <v>131588.065</v>
      </c>
      <c r="W32" s="23">
        <v>149995.02799999999</v>
      </c>
      <c r="X32" s="2">
        <v>148358.76199999999</v>
      </c>
      <c r="Y32" s="2">
        <v>143224.94200000001</v>
      </c>
      <c r="Z32" s="2">
        <v>138110.38</v>
      </c>
      <c r="AA32" s="2">
        <v>137788.266</v>
      </c>
    </row>
    <row r="33" spans="1:29">
      <c r="A33" s="23" t="s">
        <v>100</v>
      </c>
      <c r="B33" s="37"/>
      <c r="C33" s="37"/>
      <c r="D33" s="37"/>
      <c r="E33" s="37"/>
      <c r="F33" s="77">
        <v>25096.7</v>
      </c>
      <c r="G33" s="37"/>
      <c r="H33" s="37"/>
      <c r="I33" s="37">
        <v>24870.455000000002</v>
      </c>
      <c r="J33" s="37"/>
      <c r="K33" s="37">
        <v>36805.735000000001</v>
      </c>
      <c r="L33" s="37">
        <v>39575.921999999999</v>
      </c>
      <c r="M33" s="37">
        <v>44132.328000000001</v>
      </c>
      <c r="N33" s="37">
        <v>52915.817000000003</v>
      </c>
      <c r="O33" s="37">
        <v>62536.436000000002</v>
      </c>
      <c r="P33" s="37">
        <v>66336.581000000006</v>
      </c>
      <c r="Q33" s="37">
        <v>68421.244999999995</v>
      </c>
      <c r="R33" s="37">
        <v>71742.028000000006</v>
      </c>
      <c r="S33" s="37">
        <v>73601.676999999996</v>
      </c>
      <c r="T33" s="23">
        <v>78293.960999999996</v>
      </c>
      <c r="U33" s="23">
        <v>84146.854000000007</v>
      </c>
      <c r="V33" s="23">
        <v>103644.91800000001</v>
      </c>
      <c r="W33" s="23">
        <v>117837.067</v>
      </c>
      <c r="X33" s="2">
        <v>118700.265</v>
      </c>
      <c r="Y33" s="2">
        <v>117881.481</v>
      </c>
      <c r="Z33" s="2">
        <v>117526.007</v>
      </c>
      <c r="AA33" s="2">
        <v>117519.64</v>
      </c>
    </row>
    <row r="34" spans="1:29">
      <c r="A34" s="23" t="s">
        <v>102</v>
      </c>
      <c r="B34" s="37"/>
      <c r="C34" s="37"/>
      <c r="D34" s="37"/>
      <c r="E34" s="37"/>
      <c r="F34" s="77">
        <v>11420.107</v>
      </c>
      <c r="G34" s="37"/>
      <c r="H34" s="37"/>
      <c r="I34" s="37">
        <v>16015.73</v>
      </c>
      <c r="J34" s="37"/>
      <c r="K34" s="37">
        <v>19200.348999999998</v>
      </c>
      <c r="L34" s="37">
        <v>27406.125</v>
      </c>
      <c r="M34" s="37">
        <v>36374.837</v>
      </c>
      <c r="N34" s="37">
        <v>47585.928999999996</v>
      </c>
      <c r="O34" s="37">
        <v>54943.233999999997</v>
      </c>
      <c r="P34" s="37">
        <v>81814.934999999998</v>
      </c>
      <c r="Q34" s="37">
        <v>85524.561000000002</v>
      </c>
      <c r="R34" s="37">
        <v>88606.812000000005</v>
      </c>
      <c r="S34" s="37">
        <v>91440.853000000003</v>
      </c>
      <c r="T34" s="23">
        <v>93024.536999999997</v>
      </c>
      <c r="U34" s="23">
        <v>84847.23</v>
      </c>
      <c r="V34" s="23">
        <v>104100.84699999999</v>
      </c>
      <c r="W34" s="23">
        <v>124188.202</v>
      </c>
      <c r="X34" s="2">
        <v>131164.09599999999</v>
      </c>
      <c r="Y34" s="2">
        <v>138061.038</v>
      </c>
      <c r="Z34" s="2">
        <v>142344.571</v>
      </c>
      <c r="AA34" s="2">
        <v>152949.511</v>
      </c>
    </row>
    <row r="35" spans="1:29">
      <c r="A35" s="23" t="s">
        <v>105</v>
      </c>
      <c r="B35" s="37"/>
      <c r="C35" s="37"/>
      <c r="D35" s="37"/>
      <c r="E35" s="37"/>
      <c r="F35" s="77">
        <v>55207.779000000002</v>
      </c>
      <c r="G35" s="37"/>
      <c r="H35" s="37"/>
      <c r="I35" s="37">
        <v>58194.207999999999</v>
      </c>
      <c r="J35" s="37"/>
      <c r="K35" s="37">
        <v>63974.154999999999</v>
      </c>
      <c r="L35" s="37">
        <v>83813.278000000006</v>
      </c>
      <c r="M35" s="37">
        <v>90928.126999999993</v>
      </c>
      <c r="N35" s="37">
        <v>100034.73699999999</v>
      </c>
      <c r="O35" s="37">
        <v>112894.85</v>
      </c>
      <c r="P35" s="37">
        <v>126690.516</v>
      </c>
      <c r="Q35" s="37">
        <v>120428.80499999999</v>
      </c>
      <c r="R35" s="37">
        <v>126371.537</v>
      </c>
      <c r="S35" s="37">
        <v>138943.72399999999</v>
      </c>
      <c r="T35" s="23">
        <v>147944.929</v>
      </c>
      <c r="U35" s="23">
        <v>154660.636</v>
      </c>
      <c r="V35" s="23">
        <v>184863.19200000001</v>
      </c>
      <c r="W35" s="23">
        <v>207256.93400000001</v>
      </c>
      <c r="X35" s="2">
        <v>209194.60200000001</v>
      </c>
      <c r="Y35" s="2">
        <v>208353.391</v>
      </c>
      <c r="Z35" s="2">
        <v>217375.79300000001</v>
      </c>
      <c r="AA35" s="2">
        <v>214622.549</v>
      </c>
    </row>
    <row r="36" spans="1:29">
      <c r="A36" s="23" t="s">
        <v>109</v>
      </c>
      <c r="B36" s="37"/>
      <c r="C36" s="37"/>
      <c r="D36" s="37"/>
      <c r="E36" s="37"/>
      <c r="F36" s="77">
        <v>59051.656999999999</v>
      </c>
      <c r="G36" s="37"/>
      <c r="H36" s="37"/>
      <c r="I36" s="37">
        <v>59958.940999999999</v>
      </c>
      <c r="J36" s="37"/>
      <c r="K36" s="37">
        <v>63781.262999999999</v>
      </c>
      <c r="L36" s="37">
        <v>82390.490000000005</v>
      </c>
      <c r="M36" s="37">
        <v>101013.371</v>
      </c>
      <c r="N36" s="37">
        <v>114025.746</v>
      </c>
      <c r="O36" s="37">
        <v>94376.773000000001</v>
      </c>
      <c r="P36" s="37">
        <v>105011.49800000001</v>
      </c>
      <c r="Q36" s="37">
        <v>113459.253</v>
      </c>
      <c r="R36" s="37">
        <v>107708.621</v>
      </c>
      <c r="S36" s="37">
        <v>113758.677</v>
      </c>
      <c r="T36" s="23">
        <v>128344.916</v>
      </c>
      <c r="U36" s="23">
        <v>142162.51</v>
      </c>
      <c r="V36" s="23">
        <v>250388.90599999999</v>
      </c>
      <c r="W36" s="23">
        <v>270610.31400000001</v>
      </c>
      <c r="X36" s="2">
        <v>293861.79599999997</v>
      </c>
      <c r="Y36" s="2">
        <v>316168.98100000003</v>
      </c>
      <c r="Z36" s="2">
        <v>323221.71600000001</v>
      </c>
      <c r="AA36" s="2">
        <v>328697.147</v>
      </c>
    </row>
    <row r="37" spans="1:29">
      <c r="A37" s="23" t="s">
        <v>113</v>
      </c>
      <c r="B37" s="37"/>
      <c r="C37" s="37"/>
      <c r="D37" s="37"/>
      <c r="E37" s="37"/>
      <c r="F37" s="77">
        <v>48905.79</v>
      </c>
      <c r="G37" s="37"/>
      <c r="H37" s="37"/>
      <c r="I37" s="37">
        <v>55671.696000000004</v>
      </c>
      <c r="J37" s="37"/>
      <c r="K37" s="37">
        <v>58961.485000000001</v>
      </c>
      <c r="L37" s="37">
        <v>76264.047000000006</v>
      </c>
      <c r="M37" s="37">
        <v>85860.414000000004</v>
      </c>
      <c r="N37" s="37">
        <v>107820.442</v>
      </c>
      <c r="O37" s="37">
        <v>123665.019</v>
      </c>
      <c r="P37" s="37">
        <v>151884.247</v>
      </c>
      <c r="Q37" s="37">
        <v>159064.476</v>
      </c>
      <c r="R37" s="37">
        <v>161028.845</v>
      </c>
      <c r="S37" s="37">
        <v>171452.18900000001</v>
      </c>
      <c r="T37" s="23">
        <v>188003.46900000001</v>
      </c>
      <c r="U37" s="23">
        <v>208261.196</v>
      </c>
      <c r="V37" s="23">
        <v>270348.75699999998</v>
      </c>
      <c r="W37" s="23">
        <v>380628.39299999998</v>
      </c>
      <c r="X37" s="2">
        <v>356660.69300000003</v>
      </c>
      <c r="Y37" s="2">
        <v>342214.76</v>
      </c>
      <c r="Z37" s="2">
        <v>349776.21899999998</v>
      </c>
      <c r="AA37" s="2">
        <v>370513.20299999998</v>
      </c>
    </row>
    <row r="38" spans="1:29">
      <c r="A38" s="23" t="s">
        <v>115</v>
      </c>
      <c r="B38" s="37"/>
      <c r="C38" s="37"/>
      <c r="D38" s="37"/>
      <c r="E38" s="37"/>
      <c r="F38" s="77">
        <v>117628.264</v>
      </c>
      <c r="G38" s="37"/>
      <c r="H38" s="37"/>
      <c r="I38" s="37">
        <v>134400.47</v>
      </c>
      <c r="J38" s="37"/>
      <c r="K38" s="37">
        <v>154439.465</v>
      </c>
      <c r="L38" s="37">
        <v>194384.492</v>
      </c>
      <c r="M38" s="37">
        <v>220885.98</v>
      </c>
      <c r="N38" s="37">
        <v>199976.30600000001</v>
      </c>
      <c r="O38" s="37">
        <v>213839.981</v>
      </c>
      <c r="P38" s="37">
        <v>261122.58300000001</v>
      </c>
      <c r="Q38" s="37">
        <v>260518.853</v>
      </c>
      <c r="R38" s="37">
        <v>280525.777</v>
      </c>
      <c r="S38" s="37">
        <v>327301.32500000001</v>
      </c>
      <c r="T38" s="23">
        <v>363563.88400000002</v>
      </c>
      <c r="U38" s="23">
        <v>374940.05200000003</v>
      </c>
      <c r="V38" s="23">
        <v>444998.92499999999</v>
      </c>
      <c r="W38" s="23">
        <v>490552.20600000001</v>
      </c>
      <c r="X38" s="2">
        <v>561718.42299999995</v>
      </c>
      <c r="Y38" s="2">
        <v>635540.71200000006</v>
      </c>
      <c r="Z38" s="2">
        <v>653788.75899999996</v>
      </c>
      <c r="AA38" s="2">
        <v>681538.27599999995</v>
      </c>
    </row>
    <row r="39" spans="1:29">
      <c r="A39" s="45" t="s">
        <v>117</v>
      </c>
      <c r="B39" s="63"/>
      <c r="C39" s="63"/>
      <c r="D39" s="63"/>
      <c r="E39" s="63"/>
      <c r="F39" s="82">
        <v>15927.093999999999</v>
      </c>
      <c r="G39" s="63"/>
      <c r="H39" s="63"/>
      <c r="I39" s="63">
        <v>15045.852999999999</v>
      </c>
      <c r="J39" s="63"/>
      <c r="K39" s="63">
        <v>15871.183999999999</v>
      </c>
      <c r="L39" s="63">
        <v>20803.003000000001</v>
      </c>
      <c r="M39" s="63">
        <v>22438.906999999999</v>
      </c>
      <c r="N39" s="63">
        <v>21396.644</v>
      </c>
      <c r="O39" s="63">
        <v>22885.48</v>
      </c>
      <c r="P39" s="63">
        <v>23050.573</v>
      </c>
      <c r="Q39" s="63">
        <v>24065.538</v>
      </c>
      <c r="R39" s="63">
        <v>24518.171999999999</v>
      </c>
      <c r="S39" s="63">
        <v>27546.739000000001</v>
      </c>
      <c r="T39" s="45">
        <v>35938.730000000003</v>
      </c>
      <c r="U39" s="45">
        <v>39700.455999999998</v>
      </c>
      <c r="V39" s="45">
        <v>48369.536999999997</v>
      </c>
      <c r="W39" s="45">
        <v>52405.087</v>
      </c>
      <c r="X39" s="45">
        <v>52162.603000000003</v>
      </c>
      <c r="Y39" s="45">
        <v>51740.709000000003</v>
      </c>
      <c r="Z39" s="45">
        <v>52167.508000000002</v>
      </c>
      <c r="AA39" s="45">
        <v>57797.161999999997</v>
      </c>
      <c r="AB39" s="23"/>
      <c r="AC39" s="23"/>
    </row>
    <row r="40" spans="1:29" s="23" customFormat="1">
      <c r="A40" s="79" t="s">
        <v>121</v>
      </c>
      <c r="B40" s="90">
        <f>SUM(B42:B53)</f>
        <v>0</v>
      </c>
      <c r="C40" s="90">
        <f t="shared" ref="C40:AA40" si="9">SUM(C42:C53)</f>
        <v>0</v>
      </c>
      <c r="D40" s="90">
        <f t="shared" si="9"/>
        <v>0</v>
      </c>
      <c r="E40" s="90">
        <f t="shared" si="9"/>
        <v>0</v>
      </c>
      <c r="F40" s="90">
        <f t="shared" si="9"/>
        <v>1342619.4169999999</v>
      </c>
      <c r="G40" s="90">
        <f t="shared" si="9"/>
        <v>0</v>
      </c>
      <c r="H40" s="90">
        <f t="shared" si="9"/>
        <v>0</v>
      </c>
      <c r="I40" s="90">
        <f t="shared" si="9"/>
        <v>1517140.2580000001</v>
      </c>
      <c r="J40" s="90">
        <f t="shared" si="9"/>
        <v>0</v>
      </c>
      <c r="K40" s="90">
        <f t="shared" si="9"/>
        <v>1722094.67139</v>
      </c>
      <c r="L40" s="90">
        <f t="shared" si="9"/>
        <v>2023808.8709999998</v>
      </c>
      <c r="M40" s="90">
        <f t="shared" si="9"/>
        <v>2211274.9419999998</v>
      </c>
      <c r="N40" s="90">
        <f t="shared" si="9"/>
        <v>2504691.8739999994</v>
      </c>
      <c r="O40" s="90">
        <f t="shared" si="9"/>
        <v>2803857.7180000003</v>
      </c>
      <c r="P40" s="90">
        <f t="shared" si="9"/>
        <v>3058465.6849999996</v>
      </c>
      <c r="Q40" s="90">
        <f t="shared" si="9"/>
        <v>3342814.8650000002</v>
      </c>
      <c r="R40" s="90">
        <f t="shared" si="9"/>
        <v>3570354.4130000002</v>
      </c>
      <c r="S40" s="90">
        <f t="shared" si="9"/>
        <v>3835458.4590000003</v>
      </c>
      <c r="T40" s="90">
        <f t="shared" si="9"/>
        <v>4162900.9169999994</v>
      </c>
      <c r="U40" s="90">
        <f t="shared" si="9"/>
        <v>4458862.165</v>
      </c>
      <c r="V40" s="90">
        <f t="shared" si="9"/>
        <v>5332255.29</v>
      </c>
      <c r="W40" s="90">
        <f t="shared" si="9"/>
        <v>5825335.3010000009</v>
      </c>
      <c r="X40" s="90">
        <f t="shared" si="9"/>
        <v>5831669.5090000005</v>
      </c>
      <c r="Y40" s="90">
        <f t="shared" si="9"/>
        <v>5962538.5769999996</v>
      </c>
      <c r="Z40" s="90">
        <f t="shared" si="9"/>
        <v>6245223.4530000007</v>
      </c>
      <c r="AA40" s="90">
        <f t="shared" si="9"/>
        <v>6549798.8489999995</v>
      </c>
    </row>
    <row r="41" spans="1:29">
      <c r="A41" s="79" t="s">
        <v>119</v>
      </c>
      <c r="B41" s="37"/>
      <c r="C41" s="37"/>
      <c r="D41" s="37"/>
      <c r="E41" s="37"/>
      <c r="F41" s="37"/>
      <c r="G41" s="37"/>
      <c r="H41" s="37"/>
      <c r="I41" s="37"/>
      <c r="J41" s="37"/>
      <c r="K41" s="37"/>
      <c r="L41" s="37"/>
      <c r="M41" s="37"/>
      <c r="N41" s="37"/>
      <c r="O41" s="37"/>
      <c r="P41" s="37"/>
      <c r="Q41" s="37"/>
      <c r="R41" s="37"/>
      <c r="S41" s="37"/>
      <c r="T41" s="23"/>
      <c r="U41" s="23"/>
      <c r="V41" s="23"/>
      <c r="W41" s="23"/>
      <c r="X41" s="2">
        <v>0</v>
      </c>
      <c r="Y41" s="2">
        <v>0</v>
      </c>
    </row>
    <row r="42" spans="1:29">
      <c r="A42" s="23" t="s">
        <v>93</v>
      </c>
      <c r="B42" s="36"/>
      <c r="C42" s="36"/>
      <c r="D42" s="36"/>
      <c r="E42" s="36"/>
      <c r="F42" s="77">
        <v>167788.36300000001</v>
      </c>
      <c r="G42" s="36"/>
      <c r="H42" s="36"/>
      <c r="I42" s="37">
        <v>207189.55300000001</v>
      </c>
      <c r="J42" s="37"/>
      <c r="K42" s="37">
        <v>219156.14199999999</v>
      </c>
      <c r="L42" s="37">
        <v>259338.821</v>
      </c>
      <c r="M42" s="37">
        <v>276161.04200000002</v>
      </c>
      <c r="N42" s="37">
        <v>336446.76199999999</v>
      </c>
      <c r="O42" s="37">
        <v>385740.84</v>
      </c>
      <c r="P42" s="37">
        <v>415537.83</v>
      </c>
      <c r="Q42" s="37">
        <v>453118.48300000001</v>
      </c>
      <c r="R42" s="37">
        <v>484482.38299999997</v>
      </c>
      <c r="S42" s="37">
        <v>537512.51599999995</v>
      </c>
      <c r="T42" s="23">
        <v>575329.43900000001</v>
      </c>
      <c r="U42" s="23">
        <v>619633.24300000002</v>
      </c>
      <c r="V42" s="23">
        <v>728518.21200000006</v>
      </c>
      <c r="W42" s="23">
        <v>810721.05700000003</v>
      </c>
      <c r="X42" s="2">
        <v>831947.41399999999</v>
      </c>
      <c r="Y42" s="2">
        <v>880280.76199999999</v>
      </c>
      <c r="Z42" s="2">
        <v>983458.69799999997</v>
      </c>
      <c r="AA42" s="2">
        <v>1089861.7339999999</v>
      </c>
    </row>
    <row r="43" spans="1:29">
      <c r="A43" s="23" t="s">
        <v>58</v>
      </c>
      <c r="B43" s="36"/>
      <c r="C43" s="36"/>
      <c r="D43" s="36"/>
      <c r="E43" s="36"/>
      <c r="F43" s="77">
        <v>133788.557</v>
      </c>
      <c r="G43" s="36"/>
      <c r="H43" s="36"/>
      <c r="I43" s="37">
        <v>145849.848</v>
      </c>
      <c r="J43" s="37"/>
      <c r="K43" s="37">
        <v>157912.77600000001</v>
      </c>
      <c r="L43" s="37">
        <v>194085.73800000001</v>
      </c>
      <c r="M43" s="37">
        <v>212948.89499999999</v>
      </c>
      <c r="N43" s="37">
        <v>270881.03999999998</v>
      </c>
      <c r="O43" s="37">
        <v>309151.09000000003</v>
      </c>
      <c r="P43" s="37">
        <v>350669.19300000003</v>
      </c>
      <c r="Q43" s="37">
        <v>356208.02600000001</v>
      </c>
      <c r="R43" s="37">
        <v>389910.53700000001</v>
      </c>
      <c r="S43" s="37">
        <v>415190.37300000002</v>
      </c>
      <c r="T43" s="23">
        <v>448543.02799999999</v>
      </c>
      <c r="U43" s="23">
        <v>511427.47600000002</v>
      </c>
      <c r="V43" s="23">
        <v>636994.06000000006</v>
      </c>
      <c r="W43" s="23">
        <v>712389.81700000004</v>
      </c>
      <c r="X43" s="2">
        <v>717590.03799999994</v>
      </c>
      <c r="Y43" s="2">
        <v>704185.72199999995</v>
      </c>
      <c r="Z43" s="2">
        <v>746213.42299999995</v>
      </c>
      <c r="AA43" s="2">
        <v>775331.24899999995</v>
      </c>
    </row>
    <row r="44" spans="1:29">
      <c r="A44" s="23" t="s">
        <v>94</v>
      </c>
      <c r="B44" s="36"/>
      <c r="C44" s="36"/>
      <c r="D44" s="36"/>
      <c r="E44" s="36"/>
      <c r="F44" s="77">
        <v>66334.540999999997</v>
      </c>
      <c r="G44" s="36"/>
      <c r="H44" s="36"/>
      <c r="I44" s="37">
        <v>73444.881999999998</v>
      </c>
      <c r="J44" s="37"/>
      <c r="K44" s="37">
        <v>80261.796000000002</v>
      </c>
      <c r="L44" s="37">
        <v>96397.906000000003</v>
      </c>
      <c r="M44" s="37">
        <v>103264.526</v>
      </c>
      <c r="N44" s="37">
        <v>122132.2</v>
      </c>
      <c r="O44" s="37">
        <v>137343.848</v>
      </c>
      <c r="P44" s="37">
        <v>160845.38800000001</v>
      </c>
      <c r="Q44" s="37">
        <v>162983.86600000001</v>
      </c>
      <c r="R44" s="37">
        <v>166803.99900000001</v>
      </c>
      <c r="S44" s="37">
        <v>180623.71900000001</v>
      </c>
      <c r="T44" s="23">
        <v>189814.93400000001</v>
      </c>
      <c r="U44" s="23">
        <v>204818.171</v>
      </c>
      <c r="V44" s="23">
        <v>234977.17800000001</v>
      </c>
      <c r="W44" s="23">
        <v>256649.33499999999</v>
      </c>
      <c r="X44" s="2">
        <v>258079.49600000001</v>
      </c>
      <c r="Y44" s="2">
        <v>282405.77100000001</v>
      </c>
      <c r="Z44" s="2">
        <v>298774.73100000003</v>
      </c>
      <c r="AA44" s="2">
        <v>314684.21899999998</v>
      </c>
    </row>
    <row r="45" spans="1:29">
      <c r="A45" s="23" t="s">
        <v>95</v>
      </c>
      <c r="B45" s="36"/>
      <c r="C45" s="36"/>
      <c r="D45" s="36"/>
      <c r="E45" s="36"/>
      <c r="F45" s="77">
        <v>61031.000999999997</v>
      </c>
      <c r="G45" s="36"/>
      <c r="H45" s="36"/>
      <c r="I45" s="37">
        <v>67557.573999999993</v>
      </c>
      <c r="J45" s="37"/>
      <c r="K45" s="37">
        <v>67860.793999999994</v>
      </c>
      <c r="L45" s="37">
        <v>83655.221000000005</v>
      </c>
      <c r="M45" s="37">
        <v>92073.209000000003</v>
      </c>
      <c r="N45" s="37">
        <v>92897.107999999993</v>
      </c>
      <c r="O45" s="37">
        <v>103803.098</v>
      </c>
      <c r="P45" s="37">
        <v>124442.031</v>
      </c>
      <c r="Q45" s="37">
        <v>126974.352</v>
      </c>
      <c r="R45" s="37">
        <v>124443.936</v>
      </c>
      <c r="S45" s="37">
        <v>124978.22199999999</v>
      </c>
      <c r="T45" s="23">
        <v>133475.56899999999</v>
      </c>
      <c r="U45" s="23">
        <v>156625.674</v>
      </c>
      <c r="V45" s="23">
        <v>200261.859</v>
      </c>
      <c r="W45" s="23">
        <v>223132.42199999999</v>
      </c>
      <c r="X45" s="2">
        <v>215137.889</v>
      </c>
      <c r="Y45" s="2">
        <v>214827.223</v>
      </c>
      <c r="Z45" s="2">
        <v>216404.967</v>
      </c>
      <c r="AA45" s="2">
        <v>219566.45300000001</v>
      </c>
    </row>
    <row r="46" spans="1:29">
      <c r="A46" s="23" t="s">
        <v>98</v>
      </c>
      <c r="B46" s="36"/>
      <c r="C46" s="36"/>
      <c r="D46" s="36"/>
      <c r="E46" s="37"/>
      <c r="F46" s="77">
        <v>252504.39799999999</v>
      </c>
      <c r="G46" s="36"/>
      <c r="H46" s="36"/>
      <c r="I46" s="37">
        <v>288411.66700000002</v>
      </c>
      <c r="J46" s="37"/>
      <c r="K46" s="37">
        <v>369120.30699999997</v>
      </c>
      <c r="L46" s="37">
        <v>393074.42200000002</v>
      </c>
      <c r="M46" s="37">
        <v>422996.16899999999</v>
      </c>
      <c r="N46" s="37">
        <v>495261.038</v>
      </c>
      <c r="O46" s="37">
        <v>552797.27800000005</v>
      </c>
      <c r="P46" s="37">
        <v>583760.52599999995</v>
      </c>
      <c r="Q46" s="37">
        <v>601809.08700000006</v>
      </c>
      <c r="R46" s="37">
        <v>663675.10900000005</v>
      </c>
      <c r="S46" s="37">
        <v>701577.44499999995</v>
      </c>
      <c r="T46" s="23">
        <v>780809.96600000001</v>
      </c>
      <c r="U46" s="23">
        <v>886324.071</v>
      </c>
      <c r="V46" s="23">
        <v>1062402.307</v>
      </c>
      <c r="W46" s="23">
        <v>1167198.7</v>
      </c>
      <c r="X46" s="2">
        <v>1195683.2879999999</v>
      </c>
      <c r="Y46" s="2">
        <v>1234918.784</v>
      </c>
      <c r="Z46" s="2">
        <v>1280542.0689999999</v>
      </c>
      <c r="AA46" s="2">
        <v>1345497.872</v>
      </c>
    </row>
    <row r="47" spans="1:29">
      <c r="A47" s="23" t="s">
        <v>99</v>
      </c>
      <c r="B47" s="37"/>
      <c r="C47" s="37"/>
      <c r="D47" s="37"/>
      <c r="E47" s="37"/>
      <c r="F47" s="77">
        <v>96388.270999999993</v>
      </c>
      <c r="G47" s="37"/>
      <c r="H47" s="37"/>
      <c r="I47" s="37">
        <v>106324.44100000001</v>
      </c>
      <c r="J47" s="37"/>
      <c r="K47" s="37">
        <v>134052.052</v>
      </c>
      <c r="L47" s="37">
        <v>141355.91399999999</v>
      </c>
      <c r="M47" s="37">
        <v>155790.476</v>
      </c>
      <c r="N47" s="37">
        <v>194699.70699999999</v>
      </c>
      <c r="O47" s="37">
        <v>228716.92</v>
      </c>
      <c r="P47" s="37">
        <v>230626.226</v>
      </c>
      <c r="Q47" s="37">
        <v>245356.99799999999</v>
      </c>
      <c r="R47" s="37">
        <v>249401.18599999999</v>
      </c>
      <c r="S47" s="37">
        <v>275366.05499999999</v>
      </c>
      <c r="T47" s="23">
        <v>300164.62199999997</v>
      </c>
      <c r="U47" s="23">
        <v>320254.495</v>
      </c>
      <c r="V47" s="23">
        <v>393253.15399999998</v>
      </c>
      <c r="W47" s="23">
        <v>421887.05599999998</v>
      </c>
      <c r="X47" s="2">
        <v>410279.40700000001</v>
      </c>
      <c r="Y47" s="2">
        <v>421227.70600000001</v>
      </c>
      <c r="Z47" s="2">
        <v>432384.07900000003</v>
      </c>
      <c r="AA47" s="2">
        <v>441201.10200000001</v>
      </c>
    </row>
    <row r="48" spans="1:29">
      <c r="A48" s="23" t="s">
        <v>59</v>
      </c>
      <c r="B48" s="37"/>
      <c r="C48" s="37"/>
      <c r="D48" s="37"/>
      <c r="E48" s="37"/>
      <c r="F48" s="77">
        <v>98852.516000000003</v>
      </c>
      <c r="G48" s="37"/>
      <c r="H48" s="37"/>
      <c r="I48" s="37">
        <v>115756.356</v>
      </c>
      <c r="J48" s="37"/>
      <c r="K48" s="37">
        <v>141903.193</v>
      </c>
      <c r="L48" s="37">
        <v>175093.508</v>
      </c>
      <c r="M48" s="37">
        <v>190182.038</v>
      </c>
      <c r="N48" s="37">
        <v>231601.69500000001</v>
      </c>
      <c r="O48" s="37">
        <v>247651.06</v>
      </c>
      <c r="P48" s="37">
        <v>263613.03700000001</v>
      </c>
      <c r="Q48" s="37">
        <v>286536.163</v>
      </c>
      <c r="R48" s="37">
        <v>303159.54300000001</v>
      </c>
      <c r="S48" s="37">
        <v>325989.81900000002</v>
      </c>
      <c r="T48" s="23">
        <v>353151.42499999999</v>
      </c>
      <c r="U48" s="23">
        <v>386834.89199999999</v>
      </c>
      <c r="V48" s="23">
        <v>441257.109</v>
      </c>
      <c r="W48" s="23">
        <v>454152.86</v>
      </c>
      <c r="X48" s="2">
        <v>484042.25099999999</v>
      </c>
      <c r="Y48" s="2">
        <v>491029.49</v>
      </c>
      <c r="Z48" s="2">
        <v>510577.01299999998</v>
      </c>
      <c r="AA48" s="2">
        <v>535960.73199999996</v>
      </c>
    </row>
    <row r="49" spans="1:29">
      <c r="A49" s="23" t="s">
        <v>101</v>
      </c>
      <c r="B49" s="37"/>
      <c r="C49" s="37"/>
      <c r="D49" s="37"/>
      <c r="E49" s="37"/>
      <c r="F49" s="77">
        <v>45219.059000000001</v>
      </c>
      <c r="G49" s="37"/>
      <c r="H49" s="37"/>
      <c r="I49" s="37">
        <v>42007.108</v>
      </c>
      <c r="J49" s="37"/>
      <c r="K49" s="37">
        <v>47324.51</v>
      </c>
      <c r="L49" s="37">
        <v>59081.936999999998</v>
      </c>
      <c r="M49" s="37">
        <v>65991.317999999999</v>
      </c>
      <c r="N49" s="37">
        <v>75264.528000000006</v>
      </c>
      <c r="O49" s="37">
        <v>81176.366999999998</v>
      </c>
      <c r="P49" s="37">
        <v>94751.013999999996</v>
      </c>
      <c r="Q49" s="37">
        <v>105283.899</v>
      </c>
      <c r="R49" s="37">
        <v>128999.10400000001</v>
      </c>
      <c r="S49" s="37">
        <v>139112.90900000001</v>
      </c>
      <c r="T49" s="23">
        <v>151497.78599999999</v>
      </c>
      <c r="U49" s="23">
        <v>127229.064</v>
      </c>
      <c r="V49" s="23">
        <v>164861.49299999999</v>
      </c>
      <c r="W49" s="23">
        <v>180072.565</v>
      </c>
      <c r="X49" s="2">
        <v>180838.101</v>
      </c>
      <c r="Y49" s="2">
        <v>191464.49799999999</v>
      </c>
      <c r="Z49" s="2">
        <v>200221.88200000001</v>
      </c>
      <c r="AA49" s="2">
        <v>206065.696</v>
      </c>
    </row>
    <row r="50" spans="1:29">
      <c r="A50" s="23" t="s">
        <v>107</v>
      </c>
      <c r="B50" s="37"/>
      <c r="C50" s="37"/>
      <c r="D50" s="37"/>
      <c r="E50" s="37"/>
      <c r="F50" s="77">
        <v>28262.006000000001</v>
      </c>
      <c r="G50" s="37"/>
      <c r="H50" s="37"/>
      <c r="I50" s="37">
        <v>25273.9</v>
      </c>
      <c r="J50" s="37"/>
      <c r="K50" s="37">
        <v>24238.463</v>
      </c>
      <c r="L50" s="37">
        <v>28078.29</v>
      </c>
      <c r="M50" s="37">
        <v>31840.532999999999</v>
      </c>
      <c r="N50" s="37">
        <v>36161.68</v>
      </c>
      <c r="O50" s="37">
        <v>38861.603999999999</v>
      </c>
      <c r="P50" s="37">
        <v>46341.002</v>
      </c>
      <c r="Q50" s="37">
        <v>44136.366000000002</v>
      </c>
      <c r="R50" s="37">
        <v>47392.014000000003</v>
      </c>
      <c r="S50" s="37">
        <v>51321.442000000003</v>
      </c>
      <c r="T50" s="23">
        <v>58429.934000000001</v>
      </c>
      <c r="U50" s="23">
        <v>61730.601999999999</v>
      </c>
      <c r="V50" s="23">
        <v>65399.13</v>
      </c>
      <c r="W50" s="23">
        <v>73577.888000000006</v>
      </c>
      <c r="X50" s="2">
        <v>70033.057000000001</v>
      </c>
      <c r="Y50" s="2">
        <v>67077.322</v>
      </c>
      <c r="Z50" s="2">
        <v>62287.180999999997</v>
      </c>
      <c r="AA50" s="2">
        <v>61916.137000000002</v>
      </c>
    </row>
    <row r="51" spans="1:29">
      <c r="A51" s="23" t="s">
        <v>108</v>
      </c>
      <c r="B51" s="37"/>
      <c r="C51" s="37"/>
      <c r="D51" s="37"/>
      <c r="E51" s="37"/>
      <c r="F51" s="77">
        <v>227364.07</v>
      </c>
      <c r="G51" s="37"/>
      <c r="H51" s="37"/>
      <c r="I51" s="37">
        <v>278533.79300000001</v>
      </c>
      <c r="J51" s="37"/>
      <c r="K51" s="37">
        <v>306488.18199999997</v>
      </c>
      <c r="L51" s="37">
        <v>358293.62300000002</v>
      </c>
      <c r="M51" s="37">
        <v>400191.28499999997</v>
      </c>
      <c r="N51" s="37">
        <v>491554.20600000001</v>
      </c>
      <c r="O51" s="37">
        <v>540152.88</v>
      </c>
      <c r="P51" s="37">
        <v>596992.348</v>
      </c>
      <c r="Q51" s="37">
        <v>762543.30599999998</v>
      </c>
      <c r="R51" s="37">
        <v>815925.65099999995</v>
      </c>
      <c r="S51" s="37">
        <v>865262.27599999995</v>
      </c>
      <c r="T51" s="23">
        <v>928943.94799999997</v>
      </c>
      <c r="U51" s="23">
        <v>920460.70900000003</v>
      </c>
      <c r="V51" s="23">
        <v>1060975.9310000001</v>
      </c>
      <c r="W51" s="23">
        <v>1127063.3759999999</v>
      </c>
      <c r="X51" s="2">
        <v>1065908.2549999999</v>
      </c>
      <c r="Y51" s="2">
        <v>1060244.31</v>
      </c>
      <c r="Z51" s="2">
        <v>1077367.1240000001</v>
      </c>
      <c r="AA51" s="2">
        <v>1118055.1329999999</v>
      </c>
    </row>
    <row r="52" spans="1:29">
      <c r="A52" s="23" t="s">
        <v>112</v>
      </c>
      <c r="B52" s="37"/>
      <c r="C52" s="37"/>
      <c r="D52" s="37"/>
      <c r="E52" s="37"/>
      <c r="F52" s="77">
        <v>21017.845000000001</v>
      </c>
      <c r="G52" s="37"/>
      <c r="H52" s="37"/>
      <c r="I52" s="37">
        <v>20930.627</v>
      </c>
      <c r="J52" s="37"/>
      <c r="K52" s="37">
        <v>19777.67239</v>
      </c>
      <c r="L52" s="37">
        <v>26693.723000000002</v>
      </c>
      <c r="M52" s="37">
        <v>28409.198</v>
      </c>
      <c r="N52" s="37">
        <v>31917.164000000001</v>
      </c>
      <c r="O52" s="37">
        <v>36953.146000000001</v>
      </c>
      <c r="P52" s="37">
        <v>36063.300999999999</v>
      </c>
      <c r="Q52" s="37">
        <v>37866.987999999998</v>
      </c>
      <c r="R52" s="37">
        <v>38614.998</v>
      </c>
      <c r="S52" s="37">
        <v>42974.517999999996</v>
      </c>
      <c r="T52" s="23">
        <v>49358.472000000002</v>
      </c>
      <c r="U52" s="23">
        <v>49181.337</v>
      </c>
      <c r="V52" s="23">
        <v>70526.255000000005</v>
      </c>
      <c r="W52" s="23">
        <v>77289.16</v>
      </c>
      <c r="X52" s="2">
        <v>76639.573999999993</v>
      </c>
      <c r="Y52" s="2">
        <v>67493.599000000002</v>
      </c>
      <c r="Z52" s="2">
        <v>69597.735000000001</v>
      </c>
      <c r="AA52" s="2">
        <v>71041.664999999994</v>
      </c>
    </row>
    <row r="53" spans="1:29">
      <c r="A53" s="45" t="s">
        <v>116</v>
      </c>
      <c r="B53" s="63"/>
      <c r="C53" s="63"/>
      <c r="D53" s="63"/>
      <c r="E53" s="63"/>
      <c r="F53" s="82">
        <v>144068.79</v>
      </c>
      <c r="G53" s="63"/>
      <c r="H53" s="63"/>
      <c r="I53" s="63">
        <v>145860.50899999999</v>
      </c>
      <c r="J53" s="63"/>
      <c r="K53" s="63">
        <v>153998.78400000001</v>
      </c>
      <c r="L53" s="63">
        <v>208659.76800000001</v>
      </c>
      <c r="M53" s="63">
        <v>231426.253</v>
      </c>
      <c r="N53" s="63">
        <v>125874.746</v>
      </c>
      <c r="O53" s="63">
        <v>141509.587</v>
      </c>
      <c r="P53" s="63">
        <v>154823.78899999999</v>
      </c>
      <c r="Q53" s="63">
        <v>159997.33100000001</v>
      </c>
      <c r="R53" s="63">
        <v>157545.95300000001</v>
      </c>
      <c r="S53" s="63">
        <v>175549.16500000001</v>
      </c>
      <c r="T53" s="45">
        <v>193381.79399999999</v>
      </c>
      <c r="U53" s="45">
        <v>214342.43100000001</v>
      </c>
      <c r="V53" s="45">
        <v>272828.60200000001</v>
      </c>
      <c r="W53" s="45">
        <v>321201.065</v>
      </c>
      <c r="X53" s="45">
        <v>325490.739</v>
      </c>
      <c r="Y53" s="45">
        <v>347383.39</v>
      </c>
      <c r="Z53" s="45">
        <v>367394.55099999998</v>
      </c>
      <c r="AA53" s="45">
        <v>370616.85700000002</v>
      </c>
    </row>
    <row r="54" spans="1:29" s="23" customFormat="1">
      <c r="A54" s="79" t="s">
        <v>122</v>
      </c>
      <c r="B54" s="90">
        <f>SUM(B56:B64)</f>
        <v>0</v>
      </c>
      <c r="C54" s="90">
        <f t="shared" ref="C54:AA54" si="10">SUM(C56:C64)</f>
        <v>0</v>
      </c>
      <c r="D54" s="90">
        <f t="shared" si="10"/>
        <v>0</v>
      </c>
      <c r="E54" s="90">
        <f t="shared" si="10"/>
        <v>0</v>
      </c>
      <c r="F54" s="90">
        <f t="shared" si="10"/>
        <v>793918.95899999992</v>
      </c>
      <c r="G54" s="90">
        <f t="shared" si="10"/>
        <v>0</v>
      </c>
      <c r="H54" s="90">
        <f t="shared" si="10"/>
        <v>0</v>
      </c>
      <c r="I54" s="90">
        <f t="shared" si="10"/>
        <v>993533.21600000001</v>
      </c>
      <c r="J54" s="90">
        <f t="shared" si="10"/>
        <v>0</v>
      </c>
      <c r="K54" s="90">
        <f t="shared" si="10"/>
        <v>1188113.3460000001</v>
      </c>
      <c r="L54" s="90">
        <f t="shared" si="10"/>
        <v>1289525.1509999998</v>
      </c>
      <c r="M54" s="90">
        <f t="shared" si="10"/>
        <v>1335270.5180000002</v>
      </c>
      <c r="N54" s="90">
        <f t="shared" si="10"/>
        <v>1392902.73</v>
      </c>
      <c r="O54" s="90">
        <f t="shared" si="10"/>
        <v>1429912.0959999999</v>
      </c>
      <c r="P54" s="90">
        <f t="shared" si="10"/>
        <v>1608350.9540000001</v>
      </c>
      <c r="Q54" s="90">
        <f t="shared" si="10"/>
        <v>1830559.1800000002</v>
      </c>
      <c r="R54" s="90">
        <f t="shared" si="10"/>
        <v>1894210.1240000003</v>
      </c>
      <c r="S54" s="90">
        <f t="shared" si="10"/>
        <v>2025835.4959999998</v>
      </c>
      <c r="T54" s="90">
        <f t="shared" si="10"/>
        <v>2195633.4189999998</v>
      </c>
      <c r="U54" s="90">
        <f t="shared" si="10"/>
        <v>2326404.8489999999</v>
      </c>
      <c r="V54" s="90">
        <f t="shared" si="10"/>
        <v>2976098.0460000001</v>
      </c>
      <c r="W54" s="90">
        <f t="shared" si="10"/>
        <v>3153144.0039999997</v>
      </c>
      <c r="X54" s="90">
        <f t="shared" si="10"/>
        <v>3233874.6320000002</v>
      </c>
      <c r="Y54" s="90">
        <f t="shared" si="10"/>
        <v>3265767.8720000004</v>
      </c>
      <c r="Z54" s="90">
        <f t="shared" si="10"/>
        <v>3480584.1069999998</v>
      </c>
      <c r="AA54" s="90">
        <f t="shared" si="10"/>
        <v>3729785.6129999999</v>
      </c>
    </row>
    <row r="55" spans="1:29">
      <c r="A55" s="79" t="s">
        <v>119</v>
      </c>
      <c r="B55" s="37"/>
      <c r="C55" s="37"/>
      <c r="D55" s="37"/>
      <c r="E55" s="37"/>
      <c r="F55" s="37"/>
      <c r="G55" s="37"/>
      <c r="H55" s="37"/>
      <c r="I55" s="37"/>
      <c r="J55" s="37"/>
      <c r="K55" s="37"/>
      <c r="L55" s="37"/>
      <c r="M55" s="37"/>
      <c r="N55" s="37"/>
      <c r="O55" s="37"/>
      <c r="P55" s="37"/>
      <c r="Q55" s="37"/>
      <c r="R55" s="37"/>
      <c r="S55" s="37"/>
      <c r="T55" s="23"/>
      <c r="U55" s="23"/>
      <c r="V55" s="23"/>
      <c r="W55" s="23"/>
      <c r="X55" s="2">
        <v>0</v>
      </c>
      <c r="Y55" s="2">
        <v>0</v>
      </c>
    </row>
    <row r="56" spans="1:29" s="23" customFormat="1">
      <c r="A56" s="23" t="s">
        <v>89</v>
      </c>
      <c r="B56" s="36"/>
      <c r="C56" s="36"/>
      <c r="D56" s="36"/>
      <c r="E56" s="36"/>
      <c r="F56" s="77">
        <v>29819.544000000002</v>
      </c>
      <c r="G56" s="36"/>
      <c r="H56" s="36"/>
      <c r="I56" s="37">
        <v>42809.95</v>
      </c>
      <c r="J56" s="37"/>
      <c r="K56" s="37">
        <v>46699.906000000003</v>
      </c>
      <c r="L56" s="37">
        <v>64244.993000000002</v>
      </c>
      <c r="M56" s="37">
        <v>73389.324999999997</v>
      </c>
      <c r="N56" s="37">
        <v>77904.206999999995</v>
      </c>
      <c r="O56" s="37">
        <v>88851.971999999994</v>
      </c>
      <c r="P56" s="37">
        <v>104276.586</v>
      </c>
      <c r="Q56" s="37">
        <v>116915.291</v>
      </c>
      <c r="R56" s="37">
        <v>125834.51</v>
      </c>
      <c r="S56" s="37">
        <v>140637.84899999999</v>
      </c>
      <c r="T56" s="23">
        <v>190679.04500000001</v>
      </c>
      <c r="U56" s="23">
        <v>204389.36300000001</v>
      </c>
      <c r="V56" s="23">
        <v>234756.277</v>
      </c>
      <c r="W56" s="23">
        <v>260648.48300000001</v>
      </c>
      <c r="X56" s="2">
        <v>261935.342</v>
      </c>
      <c r="Y56" s="2">
        <v>265902.25900000002</v>
      </c>
      <c r="Z56" s="2">
        <v>286403.495</v>
      </c>
      <c r="AA56" s="2">
        <v>306339.984</v>
      </c>
      <c r="AB56" s="2"/>
      <c r="AC56" s="2"/>
    </row>
    <row r="57" spans="1:29" s="23" customFormat="1">
      <c r="A57" s="23" t="s">
        <v>96</v>
      </c>
      <c r="B57" s="36"/>
      <c r="C57" s="36"/>
      <c r="D57" s="36"/>
      <c r="E57" s="36"/>
      <c r="F57" s="77">
        <v>30992.032999999999</v>
      </c>
      <c r="G57" s="36"/>
      <c r="H57" s="36"/>
      <c r="I57" s="37">
        <v>34347.837</v>
      </c>
      <c r="J57" s="37"/>
      <c r="K57" s="37">
        <v>39219.696000000004</v>
      </c>
      <c r="L57" s="37">
        <v>48771.569000000003</v>
      </c>
      <c r="M57" s="37">
        <v>51461.892</v>
      </c>
      <c r="N57" s="37">
        <v>68793.274000000005</v>
      </c>
      <c r="O57" s="37">
        <v>71702.021999999997</v>
      </c>
      <c r="P57" s="37">
        <v>71700.695000000007</v>
      </c>
      <c r="Q57" s="37">
        <v>72726.789000000004</v>
      </c>
      <c r="R57" s="37">
        <v>74733.467999999993</v>
      </c>
      <c r="S57" s="37">
        <v>74035.188999999998</v>
      </c>
      <c r="T57" s="23">
        <v>78598.811000000002</v>
      </c>
      <c r="U57" s="23">
        <v>86190.76</v>
      </c>
      <c r="V57" s="23">
        <v>101013.726</v>
      </c>
      <c r="W57" s="23">
        <v>112118.825</v>
      </c>
      <c r="X57" s="2">
        <v>113246.58900000001</v>
      </c>
      <c r="Y57" s="2">
        <v>109650.489</v>
      </c>
      <c r="Z57" s="2">
        <v>112978.05499999999</v>
      </c>
      <c r="AA57" s="2">
        <v>118703.129</v>
      </c>
      <c r="AB57" s="2"/>
      <c r="AC57" s="2"/>
    </row>
    <row r="58" spans="1:29" s="17" customFormat="1">
      <c r="A58" s="23" t="s">
        <v>97</v>
      </c>
      <c r="B58" s="36"/>
      <c r="C58" s="36"/>
      <c r="D58" s="36"/>
      <c r="E58" s="37"/>
      <c r="F58" s="77">
        <v>74913.104999999996</v>
      </c>
      <c r="G58" s="36"/>
      <c r="H58" s="36"/>
      <c r="I58" s="37">
        <v>93468.286999999997</v>
      </c>
      <c r="J58" s="37"/>
      <c r="K58" s="37">
        <v>96714.94</v>
      </c>
      <c r="L58" s="37">
        <v>123410.80499999999</v>
      </c>
      <c r="M58" s="37">
        <v>122379.622</v>
      </c>
      <c r="N58" s="37">
        <v>126891.56</v>
      </c>
      <c r="O58" s="37">
        <v>116158.93799999999</v>
      </c>
      <c r="P58" s="37">
        <v>131106.32199999999</v>
      </c>
      <c r="Q58" s="37">
        <v>139349.155</v>
      </c>
      <c r="R58" s="37">
        <v>151318.28700000001</v>
      </c>
      <c r="S58" s="37">
        <v>169369.23</v>
      </c>
      <c r="T58" s="23">
        <v>185683.47700000001</v>
      </c>
      <c r="U58" s="23">
        <v>198724.166</v>
      </c>
      <c r="V58" s="23">
        <v>279856.70899999997</v>
      </c>
      <c r="W58" s="23">
        <v>285993.90500000003</v>
      </c>
      <c r="X58" s="23">
        <v>309101.33500000002</v>
      </c>
      <c r="Y58" s="2">
        <v>335275.69</v>
      </c>
      <c r="Z58" s="2">
        <v>352276.39799999999</v>
      </c>
      <c r="AA58" s="2">
        <v>371696.06599999999</v>
      </c>
    </row>
    <row r="59" spans="1:29">
      <c r="A59" s="23" t="s">
        <v>103</v>
      </c>
      <c r="B59" s="37"/>
      <c r="C59" s="37"/>
      <c r="D59" s="37"/>
      <c r="E59" s="37"/>
      <c r="F59" s="77">
        <v>23583.876</v>
      </c>
      <c r="G59" s="37"/>
      <c r="H59" s="37"/>
      <c r="I59" s="37">
        <v>35494.832000000002</v>
      </c>
      <c r="J59" s="37"/>
      <c r="K59" s="37">
        <v>40593.877</v>
      </c>
      <c r="L59" s="37">
        <v>46614.044999999998</v>
      </c>
      <c r="M59" s="37">
        <v>50088.904000000002</v>
      </c>
      <c r="N59" s="37">
        <v>56162.245999999999</v>
      </c>
      <c r="O59" s="37">
        <v>56717.478999999999</v>
      </c>
      <c r="P59" s="37">
        <v>61202.300999999999</v>
      </c>
      <c r="Q59" s="37">
        <v>64254.09</v>
      </c>
      <c r="R59" s="37">
        <v>64905.53</v>
      </c>
      <c r="S59" s="37">
        <v>75152.241999999998</v>
      </c>
      <c r="T59" s="23">
        <v>84192.937999999995</v>
      </c>
      <c r="U59" s="23">
        <v>89257.18</v>
      </c>
      <c r="V59" s="23">
        <v>109271.841</v>
      </c>
      <c r="W59" s="23">
        <v>120707.57</v>
      </c>
      <c r="X59" s="2">
        <v>122023.712</v>
      </c>
      <c r="Y59" s="2">
        <v>131340.06899999999</v>
      </c>
      <c r="Z59" s="2">
        <v>139658.39199999999</v>
      </c>
      <c r="AA59" s="2">
        <v>144960.06</v>
      </c>
    </row>
    <row r="60" spans="1:29">
      <c r="A60" s="23" t="s">
        <v>104</v>
      </c>
      <c r="B60" s="37"/>
      <c r="C60" s="37"/>
      <c r="D60" s="37"/>
      <c r="E60" s="37"/>
      <c r="F60" s="77">
        <v>65051.341</v>
      </c>
      <c r="G60" s="37"/>
      <c r="H60" s="37"/>
      <c r="I60" s="37">
        <v>79604.705000000002</v>
      </c>
      <c r="J60" s="37"/>
      <c r="K60" s="37">
        <v>169760.158</v>
      </c>
      <c r="L60" s="37">
        <v>118596.84</v>
      </c>
      <c r="M60" s="37">
        <v>126588.393</v>
      </c>
      <c r="N60" s="37">
        <v>141824.72</v>
      </c>
      <c r="O60" s="37">
        <v>162706.50399999999</v>
      </c>
      <c r="P60" s="37">
        <v>182186.84400000001</v>
      </c>
      <c r="Q60" s="37">
        <v>339473.37099999998</v>
      </c>
      <c r="R60" s="37">
        <v>352875.212</v>
      </c>
      <c r="S60" s="37">
        <v>374327.92</v>
      </c>
      <c r="T60" s="23">
        <v>397275.413</v>
      </c>
      <c r="U60" s="23">
        <v>442039.33399999997</v>
      </c>
      <c r="V60" s="23">
        <v>559402.74</v>
      </c>
      <c r="W60" s="23">
        <v>584830.353</v>
      </c>
      <c r="X60" s="2">
        <v>598765.99</v>
      </c>
      <c r="Y60" s="2">
        <v>608273.12300000002</v>
      </c>
      <c r="Z60" s="2">
        <v>656088.75100000005</v>
      </c>
      <c r="AA60" s="2">
        <v>696069.96799999999</v>
      </c>
    </row>
    <row r="61" spans="1:29">
      <c r="A61" s="23" t="s">
        <v>106</v>
      </c>
      <c r="B61" s="37"/>
      <c r="C61" s="37"/>
      <c r="D61" s="37"/>
      <c r="E61" s="37"/>
      <c r="F61" s="77">
        <v>323062.51699999999</v>
      </c>
      <c r="G61" s="37"/>
      <c r="H61" s="37"/>
      <c r="I61" s="37">
        <v>417485.19699999999</v>
      </c>
      <c r="J61" s="37"/>
      <c r="K61" s="37">
        <v>463655.42800000001</v>
      </c>
      <c r="L61" s="37">
        <v>472724.07799999998</v>
      </c>
      <c r="M61" s="37">
        <v>526413.67000000004</v>
      </c>
      <c r="N61" s="37">
        <v>582362.18500000006</v>
      </c>
      <c r="O61" s="37">
        <v>661736.77800000005</v>
      </c>
      <c r="P61" s="37">
        <v>776447.72499999998</v>
      </c>
      <c r="Q61" s="37">
        <v>807106.41500000004</v>
      </c>
      <c r="R61" s="37">
        <v>820142.27500000002</v>
      </c>
      <c r="S61" s="37">
        <v>856576.304</v>
      </c>
      <c r="T61" s="23">
        <v>889614.17700000003</v>
      </c>
      <c r="U61" s="23">
        <v>925501.97499999998</v>
      </c>
      <c r="V61" s="23">
        <v>1209994.7579999999</v>
      </c>
      <c r="W61" s="23">
        <v>1269688.5160000001</v>
      </c>
      <c r="X61" s="2">
        <v>1290636.03</v>
      </c>
      <c r="Y61" s="2">
        <v>1286114.3740000001</v>
      </c>
      <c r="Z61" s="2">
        <v>1372267.25</v>
      </c>
      <c r="AA61" s="2">
        <v>1516853.997</v>
      </c>
    </row>
    <row r="62" spans="1:29">
      <c r="A62" s="23" t="s">
        <v>110</v>
      </c>
      <c r="B62" s="37"/>
      <c r="C62" s="37"/>
      <c r="D62" s="37"/>
      <c r="E62" s="37"/>
      <c r="F62" s="77">
        <v>207067.39199999999</v>
      </c>
      <c r="G62" s="37"/>
      <c r="H62" s="37"/>
      <c r="I62" s="37">
        <v>241387.834</v>
      </c>
      <c r="J62" s="37"/>
      <c r="K62" s="37">
        <v>273218.30699999997</v>
      </c>
      <c r="L62" s="37">
        <v>340221.74900000001</v>
      </c>
      <c r="M62" s="37">
        <v>304116.14799999999</v>
      </c>
      <c r="N62" s="37">
        <v>253318.31599999999</v>
      </c>
      <c r="O62" s="37">
        <v>173883.73300000001</v>
      </c>
      <c r="P62" s="37">
        <v>178125.215</v>
      </c>
      <c r="Q62" s="37">
        <v>178900.72500000001</v>
      </c>
      <c r="R62" s="37">
        <v>186774.72500000001</v>
      </c>
      <c r="S62" s="37">
        <v>206275.51199999999</v>
      </c>
      <c r="T62" s="23">
        <v>220824.36</v>
      </c>
      <c r="U62" s="23">
        <v>216484.34299999999</v>
      </c>
      <c r="V62" s="23">
        <v>277354.44300000003</v>
      </c>
      <c r="W62" s="23">
        <v>289960.70400000003</v>
      </c>
      <c r="X62" s="2">
        <v>301569.57400000002</v>
      </c>
      <c r="Y62" s="2">
        <v>287146.549</v>
      </c>
      <c r="Z62" s="2">
        <v>297130.04100000003</v>
      </c>
      <c r="AA62" s="2">
        <v>300451.90299999999</v>
      </c>
    </row>
    <row r="63" spans="1:29">
      <c r="A63" s="23" t="s">
        <v>111</v>
      </c>
      <c r="B63" s="37"/>
      <c r="C63" s="37"/>
      <c r="D63" s="37"/>
      <c r="E63" s="37"/>
      <c r="F63" s="77">
        <v>18846.61</v>
      </c>
      <c r="G63" s="37"/>
      <c r="H63" s="37"/>
      <c r="I63" s="37">
        <v>25702.088</v>
      </c>
      <c r="J63" s="37"/>
      <c r="K63" s="37">
        <v>29729.465</v>
      </c>
      <c r="L63" s="37">
        <v>33581.868999999999</v>
      </c>
      <c r="M63" s="37">
        <v>35946.756999999998</v>
      </c>
      <c r="N63" s="37">
        <v>39269.033000000003</v>
      </c>
      <c r="O63" s="37">
        <v>43041.752999999997</v>
      </c>
      <c r="P63" s="37">
        <v>45538.284</v>
      </c>
      <c r="Q63" s="37">
        <v>49120.773000000001</v>
      </c>
      <c r="R63" s="37">
        <v>52668.067999999999</v>
      </c>
      <c r="S63" s="37">
        <v>60037.8</v>
      </c>
      <c r="T63" s="23">
        <v>70983.661999999997</v>
      </c>
      <c r="U63" s="23">
        <v>78879.072</v>
      </c>
      <c r="V63" s="23">
        <v>93476.437000000005</v>
      </c>
      <c r="W63" s="23">
        <v>110217.287</v>
      </c>
      <c r="X63" s="2">
        <v>118650.44100000001</v>
      </c>
      <c r="Y63" s="2">
        <v>123948.361</v>
      </c>
      <c r="Z63" s="2">
        <v>138127.152</v>
      </c>
      <c r="AA63" s="2">
        <v>145388.19099999999</v>
      </c>
    </row>
    <row r="64" spans="1:29">
      <c r="A64" s="45" t="s">
        <v>114</v>
      </c>
      <c r="B64" s="63"/>
      <c r="C64" s="63"/>
      <c r="D64" s="63"/>
      <c r="E64" s="63"/>
      <c r="F64" s="82">
        <v>20582.541000000001</v>
      </c>
      <c r="G64" s="63"/>
      <c r="H64" s="63"/>
      <c r="I64" s="63">
        <v>23232.486000000001</v>
      </c>
      <c r="J64" s="63"/>
      <c r="K64" s="63">
        <v>28521.569</v>
      </c>
      <c r="L64" s="63">
        <v>41359.203000000001</v>
      </c>
      <c r="M64" s="63">
        <v>44885.807000000001</v>
      </c>
      <c r="N64" s="63">
        <v>46377.188999999998</v>
      </c>
      <c r="O64" s="63">
        <v>55112.917000000001</v>
      </c>
      <c r="P64" s="63">
        <v>57766.982000000004</v>
      </c>
      <c r="Q64" s="63">
        <v>62712.571000000004</v>
      </c>
      <c r="R64" s="63">
        <v>64958.048999999999</v>
      </c>
      <c r="S64" s="63">
        <v>69423.45</v>
      </c>
      <c r="T64" s="45">
        <v>77781.535999999993</v>
      </c>
      <c r="U64" s="45">
        <v>84938.656000000003</v>
      </c>
      <c r="V64" s="45">
        <v>110971.11500000001</v>
      </c>
      <c r="W64" s="45">
        <v>118978.361</v>
      </c>
      <c r="X64" s="45">
        <v>117945.61900000001</v>
      </c>
      <c r="Y64" s="45">
        <v>118116.958</v>
      </c>
      <c r="Z64" s="45">
        <v>125654.573</v>
      </c>
      <c r="AA64" s="45">
        <v>129322.315</v>
      </c>
    </row>
    <row r="65" spans="1:29">
      <c r="A65" s="88" t="s">
        <v>90</v>
      </c>
      <c r="B65" s="84"/>
      <c r="C65" s="84"/>
      <c r="D65" s="84"/>
      <c r="E65" s="84"/>
      <c r="F65" s="85">
        <v>3252.2139999999999</v>
      </c>
      <c r="G65" s="84"/>
      <c r="H65" s="84"/>
      <c r="I65" s="86">
        <v>3410.777</v>
      </c>
      <c r="J65" s="86"/>
      <c r="K65" s="86">
        <v>4125.33932</v>
      </c>
      <c r="L65" s="86">
        <v>3691.6880000000001</v>
      </c>
      <c r="M65" s="86">
        <v>7927.8969999999999</v>
      </c>
      <c r="N65" s="86">
        <v>7286.6719999999996</v>
      </c>
      <c r="O65" s="86">
        <v>6792.884</v>
      </c>
      <c r="P65" s="86">
        <v>7398.7250000000004</v>
      </c>
      <c r="Q65" s="86">
        <v>11067.237999999999</v>
      </c>
      <c r="R65" s="86">
        <v>9485.5339999999997</v>
      </c>
      <c r="S65" s="86">
        <v>9423.3019999999997</v>
      </c>
      <c r="T65" s="87">
        <v>11928.102000000001</v>
      </c>
      <c r="U65" s="87">
        <v>14240.303</v>
      </c>
      <c r="V65" s="87">
        <v>29079.039000000001</v>
      </c>
      <c r="W65" s="87">
        <v>27398.077000000001</v>
      </c>
      <c r="X65" s="45">
        <v>26061.366000000002</v>
      </c>
      <c r="Y65" s="45">
        <v>23277.508999999998</v>
      </c>
      <c r="Z65" s="45">
        <v>20455.456999999999</v>
      </c>
      <c r="AA65" s="45">
        <v>21676.45</v>
      </c>
      <c r="AB65" s="23"/>
      <c r="AC65" s="23"/>
    </row>
    <row r="67" spans="1:29">
      <c r="I67" s="34" t="s">
        <v>78</v>
      </c>
      <c r="J67" s="34" t="s">
        <v>75</v>
      </c>
      <c r="K67" s="34"/>
      <c r="L67" s="34" t="s">
        <v>69</v>
      </c>
      <c r="M67" s="34"/>
      <c r="N67" s="34"/>
      <c r="O67" s="34" t="s">
        <v>78</v>
      </c>
      <c r="P67" s="34" t="s">
        <v>78</v>
      </c>
      <c r="Q67" s="34" t="s">
        <v>78</v>
      </c>
      <c r="R67" s="34" t="s">
        <v>78</v>
      </c>
      <c r="S67" s="34"/>
      <c r="T67" s="34"/>
      <c r="U67" s="34"/>
      <c r="V67" s="34"/>
      <c r="W67" s="34"/>
    </row>
    <row r="68" spans="1:29">
      <c r="I68" s="14" t="s">
        <v>79</v>
      </c>
      <c r="J68" s="14" t="s">
        <v>72</v>
      </c>
      <c r="L68" s="14" t="s">
        <v>70</v>
      </c>
      <c r="O68" s="14" t="s">
        <v>79</v>
      </c>
      <c r="P68" s="14" t="s">
        <v>79</v>
      </c>
      <c r="Q68" s="14" t="s">
        <v>79</v>
      </c>
      <c r="R68" s="14" t="s">
        <v>79</v>
      </c>
    </row>
    <row r="69" spans="1:29">
      <c r="I69" s="14" t="s">
        <v>80</v>
      </c>
      <c r="J69" s="14" t="s">
        <v>73</v>
      </c>
      <c r="O69" s="14" t="s">
        <v>80</v>
      </c>
      <c r="P69" s="14" t="s">
        <v>80</v>
      </c>
      <c r="Q69" s="14" t="s">
        <v>80</v>
      </c>
      <c r="R69" s="14" t="s">
        <v>80</v>
      </c>
    </row>
    <row r="70" spans="1:29">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2">
    <tabColor indexed="16"/>
  </sheetPr>
  <dimension ref="A1:AD84"/>
  <sheetViews>
    <sheetView showGridLines="0" tabSelected="1" view="pageBreakPreview" zoomScaleNormal="75" zoomScaleSheetLayoutView="100" workbookViewId="0">
      <selection activeCell="A2" sqref="A2"/>
    </sheetView>
  </sheetViews>
  <sheetFormatPr defaultColWidth="12.42578125" defaultRowHeight="12.75"/>
  <cols>
    <col min="1" max="1" width="8.28515625" customWidth="1"/>
    <col min="3" max="3" width="10.140625" customWidth="1"/>
    <col min="4" max="4" width="10.28515625" customWidth="1"/>
    <col min="5" max="5" width="9.140625" customWidth="1"/>
    <col min="7" max="7" width="11.7109375" customWidth="1"/>
    <col min="8" max="8" width="9.85546875" customWidth="1"/>
    <col min="9" max="9" width="9.5703125" customWidth="1"/>
    <col min="10" max="10" width="10.140625" customWidth="1"/>
    <col min="11" max="11" width="9" customWidth="1"/>
    <col min="13" max="13" width="11.7109375" customWidth="1"/>
    <col min="14" max="14" width="8.7109375" customWidth="1"/>
    <col min="15" max="16" width="12.42578125" style="33"/>
    <col min="17" max="17" width="8.85546875" style="33" customWidth="1"/>
    <col min="18" max="18" width="9.5703125" style="33" customWidth="1"/>
    <col min="19" max="19" width="12.42578125" style="33"/>
    <col min="20" max="20" width="14.42578125" style="33" customWidth="1"/>
    <col min="21" max="21" width="12.42578125" style="33"/>
    <col min="22" max="22" width="8.85546875" style="33" customWidth="1"/>
    <col min="23" max="23" width="4" style="33" customWidth="1"/>
    <col min="24" max="24" width="8" customWidth="1"/>
    <col min="25" max="25" width="6.7109375" customWidth="1"/>
  </cols>
  <sheetData>
    <row r="1" spans="1:30">
      <c r="A1" s="8" t="s">
        <v>155</v>
      </c>
      <c r="B1" s="8"/>
      <c r="C1" s="3"/>
      <c r="D1" s="3"/>
      <c r="E1" s="3"/>
      <c r="F1" s="3"/>
      <c r="G1" s="3"/>
      <c r="H1" s="3"/>
      <c r="J1" s="3"/>
      <c r="K1" s="5"/>
      <c r="L1" s="5"/>
      <c r="M1" s="5"/>
      <c r="N1" s="5"/>
      <c r="O1" s="10"/>
      <c r="P1" s="10"/>
      <c r="Q1" s="10"/>
      <c r="R1" s="10"/>
      <c r="S1" s="10"/>
      <c r="T1" s="10"/>
      <c r="U1" s="10"/>
      <c r="V1" s="10"/>
      <c r="W1" s="10"/>
      <c r="X1" s="1"/>
      <c r="Y1" s="3"/>
      <c r="Z1" s="1"/>
      <c r="AA1" s="1"/>
      <c r="AB1" s="1"/>
      <c r="AC1" s="2"/>
      <c r="AD1" s="2"/>
    </row>
    <row r="2" spans="1:30" ht="14.25">
      <c r="A2" s="8" t="s">
        <v>128</v>
      </c>
      <c r="B2" s="8"/>
      <c r="C2" s="3"/>
      <c r="D2" s="3"/>
      <c r="E2" s="3"/>
      <c r="F2" s="3"/>
      <c r="G2" s="3"/>
      <c r="H2" s="3"/>
      <c r="I2" s="3"/>
      <c r="J2" s="3"/>
      <c r="K2" s="5"/>
      <c r="L2" s="5"/>
      <c r="M2" s="5"/>
      <c r="N2" s="5"/>
      <c r="O2" s="28"/>
      <c r="P2" s="28"/>
      <c r="Q2" s="28"/>
      <c r="R2" s="28"/>
      <c r="S2" s="28"/>
      <c r="T2" s="28"/>
      <c r="U2" s="28"/>
      <c r="V2" s="28"/>
      <c r="W2" s="28"/>
      <c r="X2" s="1"/>
      <c r="Y2" s="3"/>
      <c r="Z2" s="1"/>
      <c r="AA2" s="1"/>
      <c r="AB2" s="1"/>
      <c r="AC2" s="2"/>
      <c r="AD2" s="2"/>
    </row>
    <row r="3" spans="1:30">
      <c r="A3" s="1" t="s">
        <v>51</v>
      </c>
      <c r="B3" s="8"/>
      <c r="C3" s="3"/>
      <c r="D3" s="1"/>
      <c r="E3" s="1"/>
      <c r="F3" s="1"/>
      <c r="G3" s="3"/>
      <c r="H3" s="1"/>
      <c r="I3" s="1"/>
      <c r="J3" s="3"/>
      <c r="K3" s="5"/>
      <c r="L3" s="5"/>
      <c r="M3" s="5"/>
      <c r="N3" s="5"/>
      <c r="O3" s="28"/>
      <c r="P3" s="28"/>
      <c r="Q3" s="28"/>
      <c r="R3" s="28"/>
      <c r="S3" s="28"/>
      <c r="T3" s="28"/>
      <c r="U3" s="28"/>
      <c r="V3" s="28"/>
      <c r="W3" s="28"/>
      <c r="X3" s="1"/>
      <c r="Y3" s="1"/>
      <c r="Z3" s="1"/>
      <c r="AA3" s="1"/>
      <c r="AB3" s="1"/>
      <c r="AC3" s="2"/>
      <c r="AD3" s="2"/>
    </row>
    <row r="4" spans="1:30">
      <c r="A4" s="1"/>
      <c r="B4" s="1"/>
      <c r="C4" s="1"/>
      <c r="D4" s="1"/>
      <c r="E4" s="1"/>
      <c r="F4" s="1"/>
      <c r="G4" s="1"/>
      <c r="H4" s="1"/>
      <c r="I4" s="1"/>
      <c r="J4" s="1"/>
      <c r="K4" s="1"/>
      <c r="L4" s="1"/>
      <c r="M4" s="1"/>
      <c r="N4" s="1"/>
      <c r="O4" s="28"/>
      <c r="X4" s="1"/>
      <c r="Y4" s="1"/>
      <c r="Z4" s="1"/>
      <c r="AA4" s="1"/>
      <c r="AB4" s="1"/>
      <c r="AC4" s="2"/>
      <c r="AD4" s="2"/>
    </row>
    <row r="5" spans="1:30">
      <c r="A5" s="35"/>
      <c r="B5" s="35"/>
      <c r="C5" s="4" t="s">
        <v>147</v>
      </c>
      <c r="D5" s="4"/>
      <c r="E5" s="4"/>
      <c r="F5" s="4"/>
      <c r="G5" s="4"/>
      <c r="H5" s="4"/>
      <c r="I5" s="106" t="s">
        <v>148</v>
      </c>
      <c r="J5" s="4"/>
      <c r="K5" s="4"/>
      <c r="L5" s="4"/>
      <c r="M5" s="4"/>
      <c r="N5" s="4"/>
      <c r="O5" s="40"/>
      <c r="P5" s="4" t="s">
        <v>149</v>
      </c>
      <c r="Q5" s="4"/>
      <c r="R5" s="4"/>
      <c r="S5" s="4"/>
      <c r="T5" s="4"/>
      <c r="U5" s="4"/>
      <c r="V5" s="4"/>
      <c r="W5" s="9"/>
      <c r="X5" s="1" t="s">
        <v>50</v>
      </c>
      <c r="Y5" s="22"/>
      <c r="Z5" s="3"/>
      <c r="AA5" s="3"/>
      <c r="AB5" s="1"/>
      <c r="AC5" s="2"/>
      <c r="AD5" s="2"/>
    </row>
    <row r="6" spans="1:30" ht="51">
      <c r="A6" s="6"/>
      <c r="B6" s="6"/>
      <c r="C6" s="48"/>
      <c r="D6" s="48"/>
      <c r="E6" s="48" t="s">
        <v>43</v>
      </c>
      <c r="F6" s="134" t="s">
        <v>127</v>
      </c>
      <c r="G6" s="129" t="s">
        <v>126</v>
      </c>
      <c r="H6" s="68" t="s">
        <v>44</v>
      </c>
      <c r="I6" s="107"/>
      <c r="J6" s="48"/>
      <c r="K6" s="48" t="s">
        <v>43</v>
      </c>
      <c r="L6" s="134" t="s">
        <v>127</v>
      </c>
      <c r="M6" s="129" t="s">
        <v>126</v>
      </c>
      <c r="N6" s="68" t="s">
        <v>44</v>
      </c>
      <c r="O6" s="29"/>
      <c r="P6" s="48"/>
      <c r="Q6" s="48"/>
      <c r="R6" s="48" t="s">
        <v>43</v>
      </c>
      <c r="S6" s="134" t="s">
        <v>127</v>
      </c>
      <c r="T6" s="136" t="s">
        <v>137</v>
      </c>
      <c r="U6" s="129" t="s">
        <v>126</v>
      </c>
      <c r="V6" s="68" t="s">
        <v>44</v>
      </c>
      <c r="W6" s="5"/>
      <c r="X6" s="1"/>
      <c r="Y6" s="1"/>
      <c r="Z6" s="3"/>
      <c r="AA6" s="3"/>
      <c r="AB6" s="1"/>
      <c r="AC6" s="2"/>
      <c r="AD6" s="2"/>
    </row>
    <row r="7" spans="1:30" ht="14.25">
      <c r="A7" s="6"/>
      <c r="B7" s="6"/>
      <c r="C7" s="47" t="s">
        <v>130</v>
      </c>
      <c r="D7" s="47" t="s">
        <v>131</v>
      </c>
      <c r="E7" s="47" t="s">
        <v>132</v>
      </c>
      <c r="F7" s="47" t="s">
        <v>133</v>
      </c>
      <c r="G7" s="47" t="s">
        <v>49</v>
      </c>
      <c r="H7" s="49" t="s">
        <v>134</v>
      </c>
      <c r="I7" s="108" t="s">
        <v>130</v>
      </c>
      <c r="J7" s="47" t="s">
        <v>131</v>
      </c>
      <c r="K7" s="47" t="s">
        <v>132</v>
      </c>
      <c r="L7" s="47" t="s">
        <v>133</v>
      </c>
      <c r="M7" s="47" t="s">
        <v>49</v>
      </c>
      <c r="N7" s="49" t="s">
        <v>134</v>
      </c>
      <c r="O7" s="29"/>
      <c r="P7" s="47" t="s">
        <v>130</v>
      </c>
      <c r="Q7" s="47" t="s">
        <v>131</v>
      </c>
      <c r="R7" s="47" t="s">
        <v>132</v>
      </c>
      <c r="S7" s="47" t="s">
        <v>133</v>
      </c>
      <c r="T7" s="137" t="s">
        <v>138</v>
      </c>
      <c r="U7" s="47" t="s">
        <v>49</v>
      </c>
      <c r="V7" s="49" t="s">
        <v>134</v>
      </c>
      <c r="W7" s="5"/>
      <c r="X7" s="25" t="s">
        <v>77</v>
      </c>
      <c r="Y7" s="1"/>
      <c r="Z7" s="3"/>
      <c r="AA7" s="3"/>
      <c r="AB7" s="1"/>
      <c r="AC7" s="2"/>
      <c r="AD7" s="2"/>
    </row>
    <row r="8" spans="1:30">
      <c r="A8" s="104" t="s">
        <v>118</v>
      </c>
      <c r="B8" s="104"/>
      <c r="C8" s="109">
        <f>('INSTRUCTION-2YR'!AA6)/('T E&amp;G 2YR'!AA6)*100</f>
        <v>40.32317454085446</v>
      </c>
      <c r="D8" s="109" t="str">
        <f>IF((('RESEARCH 2yr'!AA6/'T E&amp;G 2YR'!AA6)*100)=0,('RESEARCH 2yr'!AA6/'T E&amp;G 2YR'!AA6)*100,IF((('RESEARCH 2yr'!AA6/'T E&amp;G 2YR'!AA6)*100)&gt;=0.05,('RESEARCH 2yr'!AA6/'T E&amp;G 2YR'!AA6)*100,"*"))</f>
        <v>*</v>
      </c>
      <c r="E8" s="109">
        <f>'PUBLIC SERVICE 2yr'!AA6/'T E&amp;G 2YR'!AA6*100</f>
        <v>1.3569697845518027</v>
      </c>
      <c r="F8" s="109">
        <f>'ASptISptSSv 2yr'!AA6/'T E&amp;G 2YR'!AA6*100</f>
        <v>32.446318974078103</v>
      </c>
      <c r="G8" s="109">
        <f>'SCHOLAR FELLOW 2yr'!AA6/'T E&amp;G 2YR'!AA6*100</f>
        <v>22.771820672350035</v>
      </c>
      <c r="H8" s="109">
        <f>('All Other 2yr'!AA6/'T E&amp;G 2YR'!AA6)*100</f>
        <v>3.059329764989315</v>
      </c>
      <c r="I8" s="110">
        <f t="shared" ref="I8:L9" si="0">IF((C8-P8)=0,(C8-P8),IF((C8-P8)&gt;=0.05,(C8-P8),IF((C8-P8&lt;=-0.05),(C8-P8),"*")))</f>
        <v>-0.3235018525950295</v>
      </c>
      <c r="J8" s="109" t="str">
        <f t="shared" si="0"/>
        <v>*</v>
      </c>
      <c r="K8" s="109">
        <f t="shared" si="0"/>
        <v>-0.21662708308202139</v>
      </c>
      <c r="L8" s="109">
        <f t="shared" si="0"/>
        <v>1.4807799908556234</v>
      </c>
      <c r="M8" s="109">
        <f>IF((G8-U8)=0,(G8-U8),IF((G8-U8)&gt;=0.05,(G8-U8),IF((G8-U8&lt;=-0.05),(G8-U8),"*")))</f>
        <v>-0.38792598344785745</v>
      </c>
      <c r="N8" s="109">
        <f>IF((H8-V8)=0,(H8-V8),IF((H8-V8)&gt;=0.05,(H8-V8),IF((H8-V8&lt;=-0.05),(H8-V8),"*")))</f>
        <v>-0.54828610247112053</v>
      </c>
      <c r="O8" s="43"/>
      <c r="P8" s="71">
        <f>'INSTRUCTION-2YR'!V6/'T E&amp;G 2YR'!V6*100</f>
        <v>40.646676393449489</v>
      </c>
      <c r="Q8" s="72">
        <f>('RESEARCH 2yr'!V6/'T E&amp;G 2YR'!V6)*100</f>
        <v>4.6825232435878279E-2</v>
      </c>
      <c r="R8" s="72">
        <f>'PUBLIC SERVICE 2yr'!V6/'T E&amp;G 2YR'!V6*100</f>
        <v>1.5735968676338241</v>
      </c>
      <c r="S8" s="72">
        <f>'ASptISptSSv 2yr'!V6/'T E&amp;G 2YR'!V6*100</f>
        <v>30.96553898322248</v>
      </c>
      <c r="T8" s="73">
        <f>'PLANT OPER MAIN 2yr'!V6/'T E&amp;G 2YR'!V6*100</f>
        <v>0</v>
      </c>
      <c r="U8" s="72">
        <f>'SCHOLAR FELLOW 2yr'!V6/'T E&amp;G 2YR'!V6*100</f>
        <v>23.159746655797893</v>
      </c>
      <c r="V8" s="70">
        <f>IF((('All Other 2yr'!V6/'T E&amp;G 2YR'!V6)*100)&gt;=0.05,('All Other 2yr'!V6/'T E&amp;G 2YR'!V6)*100,"*")</f>
        <v>3.6076158674604355</v>
      </c>
      <c r="W8" s="70"/>
      <c r="X8" s="52">
        <f>SUM(P8:V8)</f>
        <v>100</v>
      </c>
      <c r="Y8" s="52">
        <f>SUM(C8:H8)</f>
        <v>99.957613736823703</v>
      </c>
      <c r="Z8" s="1"/>
      <c r="AA8" s="1"/>
      <c r="AB8" s="1"/>
      <c r="AC8" s="2"/>
      <c r="AD8" s="2"/>
    </row>
    <row r="9" spans="1:30">
      <c r="A9" s="101" t="s">
        <v>56</v>
      </c>
      <c r="B9" s="101"/>
      <c r="C9" s="111">
        <f>('INSTRUCTION-2YR'!AA7)/('T E&amp;G 2YR'!AA7)*100</f>
        <v>39.721979107080344</v>
      </c>
      <c r="D9" s="111" t="str">
        <f>IF((('RESEARCH 2yr'!AA7/'T E&amp;G 2YR'!AA7)*100)=0,('RESEARCH 2yr'!AA7/'T E&amp;G 2YR'!AA7)*100,IF((('RESEARCH 2yr'!AA7/'T E&amp;G 2YR'!AA7)*100)&gt;=0.05,('RESEARCH 2yr'!AA7/'T E&amp;G 2YR'!AA7)*100,"*"))</f>
        <v>*</v>
      </c>
      <c r="E9" s="111">
        <f>'PUBLIC SERVICE 2yr'!AA7/'T E&amp;G 2YR'!AA7*100</f>
        <v>1.0318139365575008</v>
      </c>
      <c r="F9" s="111">
        <f>'ASptISptSSv 2yr'!AA7/'T E&amp;G 2YR'!AA7*100</f>
        <v>31.85922967350071</v>
      </c>
      <c r="G9" s="111">
        <f>'SCHOLAR FELLOW 2yr'!AA7/'T E&amp;G 2YR'!AA7*100</f>
        <v>25.338180849637716</v>
      </c>
      <c r="H9" s="111">
        <f>('All Other 2yr'!AA7/'T E&amp;G 2YR'!AA7)*100</f>
        <v>2.0435564571545624</v>
      </c>
      <c r="I9" s="112">
        <f t="shared" si="0"/>
        <v>-0.3623671139355622</v>
      </c>
      <c r="J9" s="126" t="str">
        <f t="shared" si="0"/>
        <v>*</v>
      </c>
      <c r="K9" s="111">
        <f t="shared" si="0"/>
        <v>-0.16384419091636349</v>
      </c>
      <c r="L9" s="111">
        <f t="shared" si="0"/>
        <v>2.7497934783394307</v>
      </c>
      <c r="M9" s="111">
        <f>IF((G9-U9)=0,(G9-U9),IF((G9-U9)&gt;=0.05,(G9-U9),IF((G9-U9&lt;=-0.05),(G9-U9),"*")))</f>
        <v>-1.8684996195665136</v>
      </c>
      <c r="N9" s="111">
        <f>IF((H9-V9)=0,(H9-V9),IF((H9-V9)&gt;=0.05,(H9-V9),IF((H9-V9&lt;=-0.05),(H9-V9),"*")))</f>
        <v>-0.34289054415203069</v>
      </c>
      <c r="O9" s="43"/>
      <c r="P9" s="71">
        <f>'INSTRUCTION-2YR'!V7/'T E&amp;G 2YR'!V7*100</f>
        <v>40.084346221015906</v>
      </c>
      <c r="Q9" s="72">
        <f>('RESEARCH 2yr'!V7/'T E&amp;G 2YR'!V7)*100</f>
        <v>1.7431985838104756E-2</v>
      </c>
      <c r="R9" s="72">
        <f>'PUBLIC SERVICE 2yr'!V7/'T E&amp;G 2YR'!V7*100</f>
        <v>1.1956581274738642</v>
      </c>
      <c r="S9" s="72">
        <f>'ASptISptSSv 2yr'!V7/'T E&amp;G 2YR'!V7*100</f>
        <v>29.10943619516128</v>
      </c>
      <c r="T9" s="73">
        <f>'PLANT OPER MAIN 2yr'!V7/'T E&amp;G 2YR'!V7*100</f>
        <v>0</v>
      </c>
      <c r="U9" s="72">
        <f>'SCHOLAR FELLOW 2yr'!V7/'T E&amp;G 2YR'!V7*100</f>
        <v>27.20668046920423</v>
      </c>
      <c r="V9" s="70">
        <f>IF((('All Other 2yr'!V7/'T E&amp;G 2YR'!V7)*100)&gt;=0.05,('All Other 2yr'!V7/'T E&amp;G 2YR'!V7)*100,"*")</f>
        <v>2.386447001306593</v>
      </c>
      <c r="W9" s="70"/>
      <c r="X9" s="52">
        <f t="shared" ref="X9:X66" si="1">SUM(P9:V9)</f>
        <v>99.999999999999986</v>
      </c>
      <c r="Y9" s="52">
        <f>SUM(C9:H9)</f>
        <v>99.994760023930823</v>
      </c>
      <c r="Z9" s="1"/>
      <c r="AA9" s="1"/>
      <c r="AB9" s="1"/>
      <c r="AC9" s="2"/>
      <c r="AD9" s="2"/>
    </row>
    <row r="10" spans="1:30" s="46" customFormat="1">
      <c r="A10" s="101"/>
      <c r="B10" s="101"/>
      <c r="C10" s="111"/>
      <c r="D10" s="111"/>
      <c r="E10" s="111"/>
      <c r="F10" s="111"/>
      <c r="G10" s="111"/>
      <c r="H10" s="111"/>
      <c r="I10" s="112"/>
      <c r="J10" s="126"/>
      <c r="K10" s="111"/>
      <c r="L10" s="111"/>
      <c r="M10" s="111"/>
      <c r="N10" s="111"/>
      <c r="O10" s="15"/>
      <c r="P10" s="71"/>
      <c r="Q10" s="72"/>
      <c r="R10" s="72"/>
      <c r="S10" s="72"/>
      <c r="T10" s="73"/>
      <c r="U10" s="72"/>
      <c r="V10" s="70"/>
      <c r="W10" s="69"/>
      <c r="X10" s="52"/>
      <c r="Y10" s="52"/>
      <c r="Z10" s="13"/>
      <c r="AA10" s="13"/>
      <c r="AB10" s="13"/>
      <c r="AC10" s="14"/>
      <c r="AD10" s="14"/>
    </row>
    <row r="11" spans="1:30">
      <c r="A11" s="97" t="s">
        <v>3</v>
      </c>
      <c r="B11" s="97"/>
      <c r="C11" s="113">
        <f>('INSTRUCTION-2YR'!AA9)/('T E&amp;G 2YR'!AA9)*100</f>
        <v>38.952116220717571</v>
      </c>
      <c r="D11" s="113">
        <f>IF((('RESEARCH 2yr'!AA9/'T E&amp;G 2YR'!AA9)*100)=0,('RESEARCH 2yr'!AA9/'T E&amp;G 2YR'!AA9)*100,IF((('RESEARCH 2yr'!AA9/'T E&amp;G 2YR'!AA9)*100)&gt;=0.05,('RESEARCH 2yr'!AA9/'T E&amp;G 2YR'!AA9)*100,"*"))</f>
        <v>0</v>
      </c>
      <c r="E11" s="113">
        <f>'PUBLIC SERVICE 2yr'!AA9/'T E&amp;G 2YR'!AA9*100</f>
        <v>0.64497206364429238</v>
      </c>
      <c r="F11" s="113">
        <f>'ASptISptSSv 2yr'!AA9/'T E&amp;G 2YR'!AA9*100</f>
        <v>32.655350257354847</v>
      </c>
      <c r="G11" s="113">
        <f>'SCHOLAR FELLOW 2yr'!AA9/'T E&amp;G 2YR'!AA9*100</f>
        <v>26.742475284090773</v>
      </c>
      <c r="H11" s="113">
        <f>('All Other 2yr'!AA9/'T E&amp;G 2YR'!AA9)*100</f>
        <v>1.0050861741925141</v>
      </c>
      <c r="I11" s="114">
        <f t="shared" ref="I11:I42" si="2">IF((C11-P11)=0,(C11-P11),IF((C11-P11)&gt;=0.05,(C11-P11),IF((C11-P11&lt;=-0.05),(C11-P11),"*")))</f>
        <v>2.2221627917790343</v>
      </c>
      <c r="J11" s="127">
        <f t="shared" ref="J11:J42" si="3">IF((D11-Q11)=0,(D11-Q11),IF((D11-Q11)&gt;=0.05,(D11-Q11),IF((D11-Q11&lt;=-0.05),(D11-Q11),"*")))</f>
        <v>0</v>
      </c>
      <c r="K11" s="113">
        <f t="shared" ref="K11:K42" si="4">IF((E11-R11)=0,(E11-R11),IF((E11-R11)&gt;=0.05,(E11-R11),IF((E11-R11&lt;=-0.05),(E11-R11),"*")))</f>
        <v>-0.95191754804034256</v>
      </c>
      <c r="L11" s="113">
        <f t="shared" ref="L11:L42" si="5">IF((F11-S11)=0,(F11-S11),IF((F11-S11)&gt;=0.05,(F11-S11),IF((F11-S11&lt;=-0.05),(F11-S11),"*")))</f>
        <v>4.3375135837373335</v>
      </c>
      <c r="M11" s="113">
        <f t="shared" ref="M11:M42" si="6">IF((G11-U11)=0,(G11-U11),IF((G11-U11)&gt;=0.05,(G11-U11),IF((G11-U11&lt;=-0.05),(G11-U11),"*")))</f>
        <v>-4.8759347250046936</v>
      </c>
      <c r="N11" s="113">
        <f t="shared" ref="N11:N42" si="7">IF((H11-V11)=0,(H11-V11),IF((H11-V11)&gt;=0.05,(H11-V11),IF((H11-V11&lt;=-0.05),(H11-V11),"*")))</f>
        <v>-0.73182410247133411</v>
      </c>
      <c r="O11" s="10"/>
      <c r="P11" s="71">
        <f>'INSTRUCTION-2YR'!V9/'T E&amp;G 2YR'!V9*100</f>
        <v>36.729953428938536</v>
      </c>
      <c r="Q11" s="72">
        <f>('RESEARCH 2yr'!V9/'T E&amp;G 2YR'!V9)*100</f>
        <v>0</v>
      </c>
      <c r="R11" s="72">
        <f>'PUBLIC SERVICE 2yr'!V9/'T E&amp;G 2YR'!V9*100</f>
        <v>1.5968896116846349</v>
      </c>
      <c r="S11" s="72">
        <f>'ASptISptSSv 2yr'!V9/'T E&amp;G 2YR'!V9*100</f>
        <v>28.317836673617514</v>
      </c>
      <c r="T11" s="73">
        <f>'PLANT OPER MAIN 2yr'!V9/'T E&amp;G 2YR'!V9*100</f>
        <v>0</v>
      </c>
      <c r="U11" s="72">
        <f>'SCHOLAR FELLOW 2yr'!V9/'T E&amp;G 2YR'!V9*100</f>
        <v>31.618410009095467</v>
      </c>
      <c r="V11" s="70">
        <f>IF((('All Other 2yr'!V9/'T E&amp;G 2YR'!V9)*100)&gt;=0.05,('All Other 2yr'!V9/'T E&amp;G 2YR'!V9)*100,"*")</f>
        <v>1.7369102766638482</v>
      </c>
      <c r="W11" s="69"/>
      <c r="X11" s="52">
        <f t="shared" si="1"/>
        <v>100</v>
      </c>
      <c r="Y11" s="52">
        <f t="shared" ref="Y11:Y27" si="8">SUM(C11:H11)</f>
        <v>100</v>
      </c>
      <c r="Z11" s="1"/>
      <c r="AA11" s="1"/>
      <c r="AB11" s="1"/>
      <c r="AC11" s="2"/>
      <c r="AD11" s="2"/>
    </row>
    <row r="12" spans="1:30">
      <c r="A12" s="97" t="s">
        <v>4</v>
      </c>
      <c r="B12" s="97"/>
      <c r="C12" s="113">
        <f>('INSTRUCTION-2YR'!AA10)/('T E&amp;G 2YR'!AA10)*100</f>
        <v>35.924565421713623</v>
      </c>
      <c r="D12" s="113" t="str">
        <f>IF((('RESEARCH 2yr'!AA10/'T E&amp;G 2YR'!AA10)*100)=0,('RESEARCH 2yr'!AA10/'T E&amp;G 2YR'!AA10)*100,IF((('RESEARCH 2yr'!AA10/'T E&amp;G 2YR'!AA10)*100)&gt;=0.05,('RESEARCH 2yr'!AA10/'T E&amp;G 2YR'!AA10)*100,"*"))</f>
        <v>*</v>
      </c>
      <c r="E12" s="113">
        <f>'PUBLIC SERVICE 2yr'!AA10/'T E&amp;G 2YR'!AA10*100</f>
        <v>1.624107641644867</v>
      </c>
      <c r="F12" s="113">
        <f>'ASptISptSSv 2yr'!AA10/'T E&amp;G 2YR'!AA10*100</f>
        <v>33.38418396229747</v>
      </c>
      <c r="G12" s="113">
        <f>'SCHOLAR FELLOW 2yr'!AA10/'T E&amp;G 2YR'!AA10*100</f>
        <v>26.076610512310328</v>
      </c>
      <c r="H12" s="113">
        <f>('All Other 2yr'!AA10/'T E&amp;G 2YR'!AA10)*100</f>
        <v>2.9837685133728176</v>
      </c>
      <c r="I12" s="114">
        <f t="shared" si="2"/>
        <v>-0.9617474762288154</v>
      </c>
      <c r="J12" s="127">
        <f t="shared" si="3"/>
        <v>0</v>
      </c>
      <c r="K12" s="113">
        <f t="shared" si="4"/>
        <v>0.49683089891442789</v>
      </c>
      <c r="L12" s="113">
        <f t="shared" si="5"/>
        <v>1.9428515518132343</v>
      </c>
      <c r="M12" s="113">
        <f t="shared" si="6"/>
        <v>-3.1817941361282784</v>
      </c>
      <c r="N12" s="113">
        <f t="shared" si="7"/>
        <v>1.6970952129685295</v>
      </c>
      <c r="O12" s="10"/>
      <c r="P12" s="71">
        <f>'INSTRUCTION-2YR'!V10/'T E&amp;G 2YR'!V10*100</f>
        <v>36.886312897942439</v>
      </c>
      <c r="Q12" s="72">
        <f>('RESEARCH 2yr'!V10/'T E&amp;G 2YR'!V10)*100</f>
        <v>0</v>
      </c>
      <c r="R12" s="72">
        <f>'PUBLIC SERVICE 2yr'!V10/'T E&amp;G 2YR'!V10*100</f>
        <v>1.1272767427304391</v>
      </c>
      <c r="S12" s="72">
        <f>'ASptISptSSv 2yr'!V10/'T E&amp;G 2YR'!V10*100</f>
        <v>31.441332410484236</v>
      </c>
      <c r="T12" s="73">
        <f>'PLANT OPER MAIN 2yr'!V10/'T E&amp;G 2YR'!V10*100</f>
        <v>0</v>
      </c>
      <c r="U12" s="72">
        <f>'SCHOLAR FELLOW 2yr'!V10/'T E&amp;G 2YR'!V10*100</f>
        <v>29.258404648438606</v>
      </c>
      <c r="V12" s="70">
        <f>IF((('All Other 2yr'!V10/'T E&amp;G 2YR'!V10)*100)&gt;=0.05,('All Other 2yr'!V10/'T E&amp;G 2YR'!V10)*100,"*")</f>
        <v>1.2866733004042881</v>
      </c>
      <c r="W12" s="69"/>
      <c r="X12" s="52">
        <f t="shared" si="1"/>
        <v>100</v>
      </c>
      <c r="Y12" s="52">
        <f t="shared" si="8"/>
        <v>99.99323605133911</v>
      </c>
      <c r="Z12" s="1"/>
      <c r="AA12" s="1"/>
      <c r="AB12" s="1"/>
      <c r="AC12" s="2"/>
      <c r="AD12" s="2"/>
    </row>
    <row r="13" spans="1:30" s="46" customFormat="1">
      <c r="A13" s="97" t="s">
        <v>52</v>
      </c>
      <c r="B13" s="97"/>
      <c r="C13" s="113">
        <f>('INSTRUCTION-2YR'!AA11)/('T E&amp;G 2YR'!AA11)*100</f>
        <v>51.601356557608888</v>
      </c>
      <c r="D13" s="113">
        <f>IF((('RESEARCH 2yr'!AA11/'T E&amp;G 2YR'!AA11)*100)=0,('RESEARCH 2yr'!AA11/'T E&amp;G 2YR'!AA11)*100,IF((('RESEARCH 2yr'!AA11/'T E&amp;G 2YR'!AA11)*100)&gt;=0.05,('RESEARCH 2yr'!AA11/'T E&amp;G 2YR'!AA11)*100,"*"))</f>
        <v>0</v>
      </c>
      <c r="E13" s="113">
        <f>'PUBLIC SERVICE 2yr'!AA11/'T E&amp;G 2YR'!AA11*100</f>
        <v>2.2843580393101881</v>
      </c>
      <c r="F13" s="113">
        <f>'ASptISptSSv 2yr'!AA11/'T E&amp;G 2YR'!AA11*100</f>
        <v>31.070922633474009</v>
      </c>
      <c r="G13" s="113">
        <f>'SCHOLAR FELLOW 2yr'!AA11/'T E&amp;G 2YR'!AA11*100</f>
        <v>15.043362769606903</v>
      </c>
      <c r="H13" s="113">
        <f>('All Other 2yr'!AA11/'T E&amp;G 2YR'!AA11)*100</f>
        <v>0</v>
      </c>
      <c r="I13" s="114">
        <f t="shared" si="2"/>
        <v>1.1097359290690108</v>
      </c>
      <c r="J13" s="127">
        <f t="shared" si="3"/>
        <v>0</v>
      </c>
      <c r="K13" s="113">
        <f t="shared" si="4"/>
        <v>-1.6049385112839896</v>
      </c>
      <c r="L13" s="113">
        <f t="shared" si="5"/>
        <v>0.45893044888437728</v>
      </c>
      <c r="M13" s="113" t="str">
        <f t="shared" si="6"/>
        <v>*</v>
      </c>
      <c r="N13" s="113">
        <f t="shared" si="7"/>
        <v>0</v>
      </c>
      <c r="O13" s="15"/>
      <c r="P13" s="71">
        <f>'INSTRUCTION-2YR'!V11/'T E&amp;G 2YR'!V11*100</f>
        <v>50.491620628539877</v>
      </c>
      <c r="Q13" s="72">
        <f>('RESEARCH 2yr'!V11/'T E&amp;G 2YR'!V11)*100</f>
        <v>0</v>
      </c>
      <c r="R13" s="72">
        <f>'PUBLIC SERVICE 2yr'!V11/'T E&amp;G 2YR'!V11*100</f>
        <v>3.8892965505941777</v>
      </c>
      <c r="S13" s="72">
        <f>'ASptISptSSv 2yr'!V11/'T E&amp;G 2YR'!V11*100</f>
        <v>30.611992184589631</v>
      </c>
      <c r="T13" s="73">
        <f>'PLANT OPER MAIN 2yr'!V11/'T E&amp;G 2YR'!V11*100</f>
        <v>0</v>
      </c>
      <c r="U13" s="72">
        <f>'SCHOLAR FELLOW 2yr'!V11/'T E&amp;G 2YR'!V11*100</f>
        <v>15.007475319566414</v>
      </c>
      <c r="V13" s="70" t="str">
        <f>IF((('All Other 2yr'!V11/'T E&amp;G 2YR'!V11)*100)&gt;=0.05,('All Other 2yr'!V11/'T E&amp;G 2YR'!V11)*100,"*")</f>
        <v>*</v>
      </c>
      <c r="W13" s="69"/>
      <c r="X13" s="52">
        <f t="shared" si="1"/>
        <v>100.00038468329009</v>
      </c>
      <c r="Y13" s="52">
        <f t="shared" si="8"/>
        <v>99.999999999999986</v>
      </c>
      <c r="Z13" s="13"/>
      <c r="AA13" s="13"/>
      <c r="AB13" s="13"/>
      <c r="AC13" s="14"/>
      <c r="AD13" s="14"/>
    </row>
    <row r="14" spans="1:30">
      <c r="A14" s="97" t="s">
        <v>5</v>
      </c>
      <c r="B14" s="97"/>
      <c r="C14" s="113">
        <f>('INSTRUCTION-2YR'!AA12)/('T E&amp;G 2YR'!AA12)*100</f>
        <v>36.126316975879845</v>
      </c>
      <c r="D14" s="113">
        <f>IF((('RESEARCH 2yr'!AA12/'T E&amp;G 2YR'!AA12)*100)=0,('RESEARCH 2yr'!AA12/'T E&amp;G 2YR'!AA12)*100,IF((('RESEARCH 2yr'!AA12/'T E&amp;G 2YR'!AA12)*100)&gt;=0.05,('RESEARCH 2yr'!AA12/'T E&amp;G 2YR'!AA12)*100,"*"))</f>
        <v>0</v>
      </c>
      <c r="E14" s="113">
        <f>'PUBLIC SERVICE 2yr'!AA12/'T E&amp;G 2YR'!AA12*100</f>
        <v>1.0005109990080325</v>
      </c>
      <c r="F14" s="113">
        <f>'ASptISptSSv 2yr'!AA12/'T E&amp;G 2YR'!AA12*100</f>
        <v>34.229187091512095</v>
      </c>
      <c r="G14" s="113">
        <f>'SCHOLAR FELLOW 2yr'!AA12/'T E&amp;G 2YR'!AA12*100</f>
        <v>28.432289938485578</v>
      </c>
      <c r="H14" s="113">
        <f>('All Other 2yr'!AA12/'T E&amp;G 2YR'!AA12)*100</f>
        <v>0.21169499511445028</v>
      </c>
      <c r="I14" s="114">
        <f t="shared" si="2"/>
        <v>-0.6661337294798102</v>
      </c>
      <c r="J14" s="127" t="str">
        <f t="shared" si="3"/>
        <v>*</v>
      </c>
      <c r="K14" s="113">
        <f t="shared" si="4"/>
        <v>-0.1958655175014532</v>
      </c>
      <c r="L14" s="113">
        <f t="shared" si="5"/>
        <v>2.0500582436182029</v>
      </c>
      <c r="M14" s="113">
        <f t="shared" si="6"/>
        <v>-1.091243546355809</v>
      </c>
      <c r="N14" s="113">
        <f t="shared" si="7"/>
        <v>-8.7095313871633995E-2</v>
      </c>
      <c r="O14" s="10"/>
      <c r="P14" s="71">
        <f>'INSTRUCTION-2YR'!V12/'T E&amp;G 2YR'!V12*100</f>
        <v>36.792450705359656</v>
      </c>
      <c r="Q14" s="72">
        <f>('RESEARCH 2yr'!V12/'T E&amp;G 2YR'!V12)*100</f>
        <v>9.7201364094919585E-3</v>
      </c>
      <c r="R14" s="72">
        <f>'PUBLIC SERVICE 2yr'!V12/'T E&amp;G 2YR'!V12*100</f>
        <v>1.1963765165094857</v>
      </c>
      <c r="S14" s="72">
        <f>'ASptISptSSv 2yr'!V12/'T E&amp;G 2YR'!V12*100</f>
        <v>32.179128847893892</v>
      </c>
      <c r="T14" s="73">
        <f>'PLANT OPER MAIN 2yr'!V12/'T E&amp;G 2YR'!V12*100</f>
        <v>0</v>
      </c>
      <c r="U14" s="72">
        <f>'SCHOLAR FELLOW 2yr'!V12/'T E&amp;G 2YR'!V12*100</f>
        <v>29.523533484841387</v>
      </c>
      <c r="V14" s="70">
        <f>IF((('All Other 2yr'!V12/'T E&amp;G 2YR'!V12)*100)&gt;=0.05,('All Other 2yr'!V12/'T E&amp;G 2YR'!V12)*100,"*")</f>
        <v>0.29879030898608427</v>
      </c>
      <c r="W14" s="69"/>
      <c r="X14" s="52">
        <f t="shared" si="1"/>
        <v>99.999999999999986</v>
      </c>
      <c r="Y14" s="52">
        <f t="shared" si="8"/>
        <v>100.00000000000001</v>
      </c>
      <c r="Z14" s="1"/>
      <c r="AA14" s="1"/>
      <c r="AB14" s="1"/>
      <c r="AC14" s="2"/>
      <c r="AD14" s="2"/>
    </row>
    <row r="15" spans="1:30">
      <c r="A15" s="98" t="s">
        <v>6</v>
      </c>
      <c r="B15" s="98"/>
      <c r="C15" s="111">
        <f>('INSTRUCTION-2YR'!AA13)/('T E&amp;G 2YR'!AA13)*100</f>
        <v>33.863614106861831</v>
      </c>
      <c r="D15" s="111" t="str">
        <f>IF((('RESEARCH 2yr'!AA13/'T E&amp;G 2YR'!AA13)*100)=0,('RESEARCH 2yr'!AA13/'T E&amp;G 2YR'!AA13)*100,IF((('RESEARCH 2yr'!AA13/'T E&amp;G 2YR'!AA13)*100)&gt;=0.05,('RESEARCH 2yr'!AA13/'T E&amp;G 2YR'!AA13)*100,"*"))</f>
        <v>*</v>
      </c>
      <c r="E15" s="111">
        <f>'PUBLIC SERVICE 2yr'!AA13/'T E&amp;G 2YR'!AA13*100</f>
        <v>0.74348678388768386</v>
      </c>
      <c r="F15" s="111">
        <f>'ASptISptSSv 2yr'!AA13/'T E&amp;G 2YR'!AA13*100</f>
        <v>32.670581898959739</v>
      </c>
      <c r="G15" s="111">
        <f>'SCHOLAR FELLOW 2yr'!AA13/'T E&amp;G 2YR'!AA13*100</f>
        <v>29.684793964466738</v>
      </c>
      <c r="H15" s="111">
        <f>('All Other 2yr'!AA13/'T E&amp;G 2YR'!AA13)*100</f>
        <v>3.0195794860222138</v>
      </c>
      <c r="I15" s="116">
        <f t="shared" si="2"/>
        <v>-4.1929959294630521</v>
      </c>
      <c r="J15" s="117">
        <f t="shared" si="3"/>
        <v>0</v>
      </c>
      <c r="K15" s="115">
        <f t="shared" si="4"/>
        <v>0.35177445807603347</v>
      </c>
      <c r="L15" s="115">
        <f t="shared" si="5"/>
        <v>2.4245167752010914</v>
      </c>
      <c r="M15" s="115">
        <f t="shared" si="6"/>
        <v>1.0002877611730732</v>
      </c>
      <c r="N15" s="115">
        <f t="shared" si="7"/>
        <v>0.39847317521105374</v>
      </c>
      <c r="O15" s="43"/>
      <c r="P15" s="71">
        <f>'INSTRUCTION-2YR'!V13/'T E&amp;G 2YR'!V13*100</f>
        <v>38.056610036324884</v>
      </c>
      <c r="Q15" s="72">
        <f>('RESEARCH 2yr'!V13/'T E&amp;G 2YR'!V13)*100</f>
        <v>0</v>
      </c>
      <c r="R15" s="72">
        <f>'PUBLIC SERVICE 2yr'!V13/'T E&amp;G 2YR'!V13*100</f>
        <v>0.39171232581165039</v>
      </c>
      <c r="S15" s="72">
        <f>'ASptISptSSv 2yr'!V13/'T E&amp;G 2YR'!V13*100</f>
        <v>30.246065123758648</v>
      </c>
      <c r="T15" s="73">
        <f>'PLANT OPER MAIN 2yr'!V13/'T E&amp;G 2YR'!V13*100</f>
        <v>0</v>
      </c>
      <c r="U15" s="72">
        <f>'SCHOLAR FELLOW 2yr'!V13/'T E&amp;G 2YR'!V13*100</f>
        <v>28.684506203293665</v>
      </c>
      <c r="V15" s="70">
        <f>IF((('All Other 2yr'!V13/'T E&amp;G 2YR'!V13)*100)&gt;=0.05,('All Other 2yr'!V13/'T E&amp;G 2YR'!V13)*100,"*")</f>
        <v>2.6211063108111601</v>
      </c>
      <c r="W15" s="70"/>
      <c r="X15" s="52">
        <f t="shared" si="1"/>
        <v>100.00000000000001</v>
      </c>
      <c r="Y15" s="52">
        <f t="shared" si="8"/>
        <v>99.98205624019819</v>
      </c>
      <c r="Z15" s="1"/>
      <c r="AA15" s="1"/>
      <c r="AB15" s="1"/>
      <c r="AC15" s="2"/>
      <c r="AD15" s="2"/>
    </row>
    <row r="16" spans="1:30">
      <c r="A16" s="98" t="s">
        <v>7</v>
      </c>
      <c r="B16" s="98"/>
      <c r="C16" s="111">
        <f>('INSTRUCTION-2YR'!AA14)/('T E&amp;G 2YR'!AA14)*100</f>
        <v>36.981504881368402</v>
      </c>
      <c r="D16" s="111">
        <f>IF((('RESEARCH 2yr'!AA14/'T E&amp;G 2YR'!AA14)*100)=0,('RESEARCH 2yr'!AA14/'T E&amp;G 2YR'!AA14)*100,IF((('RESEARCH 2yr'!AA14/'T E&amp;G 2YR'!AA14)*100)&gt;=0.05,('RESEARCH 2yr'!AA14/'T E&amp;G 2YR'!AA14)*100,"*"))</f>
        <v>0</v>
      </c>
      <c r="E16" s="111">
        <f>'PUBLIC SERVICE 2yr'!AA14/'T E&amp;G 2YR'!AA14*100</f>
        <v>1.1178206279361993</v>
      </c>
      <c r="F16" s="111">
        <f>'ASptISptSSv 2yr'!AA14/'T E&amp;G 2YR'!AA14*100</f>
        <v>26.968826548039576</v>
      </c>
      <c r="G16" s="111">
        <f>'SCHOLAR FELLOW 2yr'!AA14/'T E&amp;G 2YR'!AA14*100</f>
        <v>34.267166765719551</v>
      </c>
      <c r="H16" s="111">
        <f>('All Other 2yr'!AA14/'T E&amp;G 2YR'!AA14)*100</f>
        <v>0.66468117693629147</v>
      </c>
      <c r="I16" s="116">
        <f t="shared" si="2"/>
        <v>-2.3576950317720957</v>
      </c>
      <c r="J16" s="117">
        <f t="shared" si="3"/>
        <v>0</v>
      </c>
      <c r="K16" s="115" t="str">
        <f t="shared" si="4"/>
        <v>*</v>
      </c>
      <c r="L16" s="115">
        <f t="shared" si="5"/>
        <v>2.2736406497228288</v>
      </c>
      <c r="M16" s="115">
        <f t="shared" si="6"/>
        <v>1.3122308698343303</v>
      </c>
      <c r="N16" s="115">
        <f t="shared" si="7"/>
        <v>-1.1952449881768892</v>
      </c>
      <c r="O16" s="43"/>
      <c r="P16" s="71">
        <f>'INSTRUCTION-2YR'!V14/'T E&amp;G 2YR'!V14*100</f>
        <v>39.339199913140497</v>
      </c>
      <c r="Q16" s="72">
        <f>('RESEARCH 2yr'!V14/'T E&amp;G 2YR'!V14)*100</f>
        <v>0</v>
      </c>
      <c r="R16" s="72">
        <f>'PUBLIC SERVICE 2yr'!V14/'T E&amp;G 2YR'!V14*100</f>
        <v>1.1507521275443593</v>
      </c>
      <c r="S16" s="72">
        <f>'ASptISptSSv 2yr'!V14/'T E&amp;G 2YR'!V14*100</f>
        <v>24.695185898316748</v>
      </c>
      <c r="T16" s="73">
        <f>'PLANT OPER MAIN 2yr'!V14/'T E&amp;G 2YR'!V14*100</f>
        <v>0</v>
      </c>
      <c r="U16" s="72">
        <f>'SCHOLAR FELLOW 2yr'!V14/'T E&amp;G 2YR'!V14*100</f>
        <v>32.954935895885221</v>
      </c>
      <c r="V16" s="70">
        <f>IF((('All Other 2yr'!V14/'T E&amp;G 2YR'!V14)*100)&gt;=0.05,('All Other 2yr'!V14/'T E&amp;G 2YR'!V14)*100,"*")</f>
        <v>1.8599261651131807</v>
      </c>
      <c r="W16" s="70"/>
      <c r="X16" s="52">
        <f t="shared" si="1"/>
        <v>100.00000000000001</v>
      </c>
      <c r="Y16" s="52">
        <f t="shared" si="8"/>
        <v>100.00000000000003</v>
      </c>
      <c r="Z16" s="1"/>
      <c r="AA16" s="1"/>
      <c r="AB16" s="1"/>
      <c r="AC16" s="2"/>
      <c r="AD16" s="2"/>
    </row>
    <row r="17" spans="1:30">
      <c r="A17" s="98" t="s">
        <v>8</v>
      </c>
      <c r="B17" s="98"/>
      <c r="C17" s="111">
        <f>('INSTRUCTION-2YR'!AA15)/('T E&amp;G 2YR'!AA15)*100</f>
        <v>35.308375647906708</v>
      </c>
      <c r="D17" s="111" t="str">
        <f>IF((('RESEARCH 2yr'!AA15/'T E&amp;G 2YR'!AA15)*100)=0,('RESEARCH 2yr'!AA15/'T E&amp;G 2YR'!AA15)*100,IF((('RESEARCH 2yr'!AA15/'T E&amp;G 2YR'!AA15)*100)&gt;=0.05,('RESEARCH 2yr'!AA15/'T E&amp;G 2YR'!AA15)*100,"*"))</f>
        <v>*</v>
      </c>
      <c r="E17" s="111">
        <f>'PUBLIC SERVICE 2yr'!AA15/'T E&amp;G 2YR'!AA15*100</f>
        <v>0.63123235913964815</v>
      </c>
      <c r="F17" s="111">
        <f>'ASptISptSSv 2yr'!AA15/'T E&amp;G 2YR'!AA15*100</f>
        <v>26.374201286456039</v>
      </c>
      <c r="G17" s="111">
        <f>'SCHOLAR FELLOW 2yr'!AA15/'T E&amp;G 2YR'!AA15*100</f>
        <v>30.664287418548902</v>
      </c>
      <c r="H17" s="111">
        <f>('All Other 2yr'!AA15/'T E&amp;G 2YR'!AA15)*100</f>
        <v>6.9976423844830808</v>
      </c>
      <c r="I17" s="116">
        <f t="shared" si="2"/>
        <v>-4.6241411442279059</v>
      </c>
      <c r="J17" s="117">
        <f t="shared" si="3"/>
        <v>-8.6904896321855413E-2</v>
      </c>
      <c r="K17" s="115">
        <f t="shared" si="4"/>
        <v>0.15523544737794109</v>
      </c>
      <c r="L17" s="115">
        <f t="shared" si="5"/>
        <v>-0.18156013652306768</v>
      </c>
      <c r="M17" s="115">
        <f t="shared" si="6"/>
        <v>2.6200375821666135</v>
      </c>
      <c r="N17" s="115">
        <f t="shared" si="7"/>
        <v>2.0930722440626504</v>
      </c>
      <c r="O17" s="43"/>
      <c r="P17" s="71">
        <f>'INSTRUCTION-2YR'!V15/'T E&amp;G 2YR'!V15*100</f>
        <v>39.932516792134614</v>
      </c>
      <c r="Q17" s="72">
        <f>('RESEARCH 2yr'!V15/'T E&amp;G 2YR'!V15)*100</f>
        <v>8.6904896321855413E-2</v>
      </c>
      <c r="R17" s="72">
        <f>'PUBLIC SERVICE 2yr'!V15/'T E&amp;G 2YR'!V15*100</f>
        <v>0.47599691176170705</v>
      </c>
      <c r="S17" s="72">
        <f>'ASptISptSSv 2yr'!V15/'T E&amp;G 2YR'!V15*100</f>
        <v>26.555761422979106</v>
      </c>
      <c r="T17" s="73">
        <f>'PLANT OPER MAIN 2yr'!V15/'T E&amp;G 2YR'!V15*100</f>
        <v>0</v>
      </c>
      <c r="U17" s="72">
        <f>'SCHOLAR FELLOW 2yr'!V15/'T E&amp;G 2YR'!V15*100</f>
        <v>28.044249836382289</v>
      </c>
      <c r="V17" s="70">
        <f>IF((('All Other 2yr'!V15/'T E&amp;G 2YR'!V15)*100)&gt;=0.05,('All Other 2yr'!V15/'T E&amp;G 2YR'!V15)*100,"*")</f>
        <v>4.9045701404204305</v>
      </c>
      <c r="W17" s="70"/>
      <c r="X17" s="52">
        <f t="shared" si="1"/>
        <v>100</v>
      </c>
      <c r="Y17" s="52">
        <f t="shared" si="8"/>
        <v>99.975739096534383</v>
      </c>
      <c r="Z17" s="1"/>
      <c r="AA17" s="1"/>
      <c r="AB17" s="1"/>
      <c r="AC17" s="2"/>
      <c r="AD17" s="2"/>
    </row>
    <row r="18" spans="1:30">
      <c r="A18" s="98" t="s">
        <v>9</v>
      </c>
      <c r="B18" s="98"/>
      <c r="C18" s="111">
        <f>('INSTRUCTION-2YR'!AA16)/('T E&amp;G 2YR'!AA16)*100</f>
        <v>42.117633145580626</v>
      </c>
      <c r="D18" s="111" t="str">
        <f>IF((('RESEARCH 2yr'!AA16/'T E&amp;G 2YR'!AA16)*100)=0,('RESEARCH 2yr'!AA16/'T E&amp;G 2YR'!AA16)*100,IF((('RESEARCH 2yr'!AA16/'T E&amp;G 2YR'!AA16)*100)&gt;=0.05,('RESEARCH 2yr'!AA16/'T E&amp;G 2YR'!AA16)*100,"*"))</f>
        <v>*</v>
      </c>
      <c r="E18" s="111">
        <f>'PUBLIC SERVICE 2yr'!AA16/'T E&amp;G 2YR'!AA16*100</f>
        <v>0.37208719893466419</v>
      </c>
      <c r="F18" s="111">
        <f>'ASptISptSSv 2yr'!AA16/'T E&amp;G 2YR'!AA16*100</f>
        <v>39.31351150098196</v>
      </c>
      <c r="G18" s="111">
        <f>'SCHOLAR FELLOW 2yr'!AA16/'T E&amp;G 2YR'!AA16*100</f>
        <v>13.989394494350375</v>
      </c>
      <c r="H18" s="111">
        <f>('All Other 2yr'!AA16/'T E&amp;G 2YR'!AA16)*100</f>
        <v>4.1973503671023185</v>
      </c>
      <c r="I18" s="116" t="str">
        <f t="shared" si="2"/>
        <v>*</v>
      </c>
      <c r="J18" s="117" t="str">
        <f t="shared" si="3"/>
        <v>*</v>
      </c>
      <c r="K18" s="115">
        <f t="shared" si="4"/>
        <v>-5.0717887077618762E-2</v>
      </c>
      <c r="L18" s="115">
        <f t="shared" si="5"/>
        <v>3.3899062832844891</v>
      </c>
      <c r="M18" s="115">
        <f t="shared" si="6"/>
        <v>-0.77857266009587889</v>
      </c>
      <c r="N18" s="115">
        <f t="shared" si="7"/>
        <v>-2.538798165767143</v>
      </c>
      <c r="O18" s="43"/>
      <c r="P18" s="71">
        <f>'INSTRUCTION-2YR'!V16/'T E&amp;G 2YR'!V16*100</f>
        <v>42.14898884135026</v>
      </c>
      <c r="Q18" s="72">
        <f>('RESEARCH 2yr'!V16/'T E&amp;G 2YR'!V16)*100</f>
        <v>4.8516762425364064E-4</v>
      </c>
      <c r="R18" s="72">
        <f>'PUBLIC SERVICE 2yr'!V16/'T E&amp;G 2YR'!V16*100</f>
        <v>0.42280508601228295</v>
      </c>
      <c r="S18" s="72">
        <f>'ASptISptSSv 2yr'!V16/'T E&amp;G 2YR'!V16*100</f>
        <v>35.923605217697471</v>
      </c>
      <c r="T18" s="73">
        <f>'PLANT OPER MAIN 2yr'!V16/'T E&amp;G 2YR'!V16*100</f>
        <v>0</v>
      </c>
      <c r="U18" s="72">
        <f>'SCHOLAR FELLOW 2yr'!V16/'T E&amp;G 2YR'!V16*100</f>
        <v>14.767967154446254</v>
      </c>
      <c r="V18" s="70">
        <f>IF((('All Other 2yr'!V16/'T E&amp;G 2YR'!V16)*100)&gt;=0.05,('All Other 2yr'!V16/'T E&amp;G 2YR'!V16)*100,"*")</f>
        <v>6.7361485328694615</v>
      </c>
      <c r="W18" s="70"/>
      <c r="X18" s="52">
        <f t="shared" si="1"/>
        <v>99.999999999999986</v>
      </c>
      <c r="Y18" s="52">
        <f t="shared" si="8"/>
        <v>99.989976706949946</v>
      </c>
      <c r="Z18" s="1"/>
      <c r="AA18" s="1"/>
      <c r="AB18" s="1"/>
      <c r="AC18" s="2"/>
      <c r="AD18" s="2"/>
    </row>
    <row r="19" spans="1:30">
      <c r="A19" s="97" t="s">
        <v>10</v>
      </c>
      <c r="B19" s="97"/>
      <c r="C19" s="113">
        <f>('INSTRUCTION-2YR'!AA17)/('T E&amp;G 2YR'!AA17)*100</f>
        <v>41.734183192206345</v>
      </c>
      <c r="D19" s="113">
        <f>IF((('RESEARCH 2yr'!AA17/'T E&amp;G 2YR'!AA17)*100)=0,('RESEARCH 2yr'!AA17/'T E&amp;G 2YR'!AA17)*100,IF((('RESEARCH 2yr'!AA17/'T E&amp;G 2YR'!AA17)*100)&gt;=0.05,('RESEARCH 2yr'!AA17/'T E&amp;G 2YR'!AA17)*100,"*"))</f>
        <v>0</v>
      </c>
      <c r="E19" s="113">
        <f>'PUBLIC SERVICE 2yr'!AA17/'T E&amp;G 2YR'!AA17*100</f>
        <v>0.12382319322614375</v>
      </c>
      <c r="F19" s="113">
        <f>'ASptISptSSv 2yr'!AA17/'T E&amp;G 2YR'!AA17*100</f>
        <v>24.748498192245908</v>
      </c>
      <c r="G19" s="113">
        <f>'SCHOLAR FELLOW 2yr'!AA17/'T E&amp;G 2YR'!AA17*100</f>
        <v>29.482234914637385</v>
      </c>
      <c r="H19" s="113">
        <f>('All Other 2yr'!AA17/'T E&amp;G 2YR'!AA17)*100</f>
        <v>3.911260507684212</v>
      </c>
      <c r="I19" s="114">
        <f t="shared" si="2"/>
        <v>-0.36941780211784447</v>
      </c>
      <c r="J19" s="127">
        <f t="shared" si="3"/>
        <v>0</v>
      </c>
      <c r="K19" s="113" t="str">
        <f t="shared" si="4"/>
        <v>*</v>
      </c>
      <c r="L19" s="113">
        <f t="shared" si="5"/>
        <v>3.9951629485217026</v>
      </c>
      <c r="M19" s="113">
        <f t="shared" si="6"/>
        <v>-4.0129562995801074</v>
      </c>
      <c r="N19" s="113">
        <f t="shared" si="7"/>
        <v>0.38217960007360618</v>
      </c>
      <c r="O19" s="10"/>
      <c r="P19" s="71">
        <f>'INSTRUCTION-2YR'!V17/'T E&amp;G 2YR'!V17*100</f>
        <v>42.103600994324189</v>
      </c>
      <c r="Q19" s="72">
        <f>('RESEARCH 2yr'!V17/'T E&amp;G 2YR'!V17)*100</f>
        <v>0</v>
      </c>
      <c r="R19" s="72">
        <f>'PUBLIC SERVICE 2yr'!V17/'T E&amp;G 2YR'!V17*100</f>
        <v>0.11879164012349999</v>
      </c>
      <c r="S19" s="72">
        <f>'ASptISptSSv 2yr'!V17/'T E&amp;G 2YR'!V17*100</f>
        <v>20.753335243724205</v>
      </c>
      <c r="T19" s="73">
        <f>'PLANT OPER MAIN 2yr'!V17/'T E&amp;G 2YR'!V17*100</f>
        <v>0</v>
      </c>
      <c r="U19" s="72">
        <f>'SCHOLAR FELLOW 2yr'!V17/'T E&amp;G 2YR'!V17*100</f>
        <v>33.495191214217492</v>
      </c>
      <c r="V19" s="70">
        <f>IF((('All Other 2yr'!V17/'T E&amp;G 2YR'!V17)*100)&gt;=0.05,('All Other 2yr'!V17/'T E&amp;G 2YR'!V17)*100,"*")</f>
        <v>3.5290809076106058</v>
      </c>
      <c r="W19" s="69"/>
      <c r="X19" s="52">
        <f t="shared" si="1"/>
        <v>99.999999999999986</v>
      </c>
      <c r="Y19" s="52">
        <f t="shared" si="8"/>
        <v>100</v>
      </c>
      <c r="Z19" s="1"/>
      <c r="AA19" s="1"/>
      <c r="AB19" s="1"/>
      <c r="AC19" s="2"/>
      <c r="AD19" s="2"/>
    </row>
    <row r="20" spans="1:30">
      <c r="A20" s="97" t="s">
        <v>11</v>
      </c>
      <c r="B20" s="97"/>
      <c r="C20" s="113">
        <f>('INSTRUCTION-2YR'!AA18)/('T E&amp;G 2YR'!AA18)*100</f>
        <v>44.852103772543614</v>
      </c>
      <c r="D20" s="113" t="str">
        <f>IF((('RESEARCH 2yr'!AA18/'T E&amp;G 2YR'!AA18)*100)=0,('RESEARCH 2yr'!AA18/'T E&amp;G 2YR'!AA18)*100,IF((('RESEARCH 2yr'!AA18/'T E&amp;G 2YR'!AA18)*100)&gt;=0.05,('RESEARCH 2yr'!AA18/'T E&amp;G 2YR'!AA18)*100,"*"))</f>
        <v>*</v>
      </c>
      <c r="E20" s="113">
        <f>'PUBLIC SERVICE 2yr'!AA18/'T E&amp;G 2YR'!AA18*100</f>
        <v>0.33094251504596223</v>
      </c>
      <c r="F20" s="113">
        <f>'ASptISptSSv 2yr'!AA18/'T E&amp;G 2YR'!AA18*100</f>
        <v>28.665183556073355</v>
      </c>
      <c r="G20" s="113">
        <f>'SCHOLAR FELLOW 2yr'!AA18/'T E&amp;G 2YR'!AA18*100</f>
        <v>22.602111846224386</v>
      </c>
      <c r="H20" s="113">
        <f>('All Other 2yr'!AA18/'T E&amp;G 2YR'!AA18)*100</f>
        <v>3.5478101730708049</v>
      </c>
      <c r="I20" s="114">
        <f t="shared" si="2"/>
        <v>-0.35450998218891527</v>
      </c>
      <c r="J20" s="127">
        <f t="shared" si="3"/>
        <v>0</v>
      </c>
      <c r="K20" s="113" t="str">
        <f t="shared" si="4"/>
        <v>*</v>
      </c>
      <c r="L20" s="113">
        <f t="shared" si="5"/>
        <v>2.9696256441864577</v>
      </c>
      <c r="M20" s="113">
        <f t="shared" si="6"/>
        <v>-2.7419425252828624</v>
      </c>
      <c r="N20" s="113">
        <f t="shared" si="7"/>
        <v>8.6416227482347452E-2</v>
      </c>
      <c r="O20" s="10"/>
      <c r="P20" s="71">
        <f>'INSTRUCTION-2YR'!V18/'T E&amp;G 2YR'!V18*100</f>
        <v>45.20661375473253</v>
      </c>
      <c r="Q20" s="72">
        <f>('RESEARCH 2yr'!V18/'T E&amp;G 2YR'!V18)*100</f>
        <v>0</v>
      </c>
      <c r="R20" s="72">
        <f>'PUBLIC SERVICE 2yr'!V18/'T E&amp;G 2YR'!V18*100</f>
        <v>0.29238001628486721</v>
      </c>
      <c r="S20" s="72">
        <f>'ASptISptSSv 2yr'!V18/'T E&amp;G 2YR'!V18*100</f>
        <v>25.695557911886898</v>
      </c>
      <c r="T20" s="73">
        <f>'PLANT OPER MAIN 2yr'!V18/'T E&amp;G 2YR'!V18*100</f>
        <v>0</v>
      </c>
      <c r="U20" s="72">
        <f>'SCHOLAR FELLOW 2yr'!V18/'T E&amp;G 2YR'!V18*100</f>
        <v>25.344054371507248</v>
      </c>
      <c r="V20" s="70">
        <f>IF((('All Other 2yr'!V18/'T E&amp;G 2YR'!V18)*100)&gt;=0.05,('All Other 2yr'!V18/'T E&amp;G 2YR'!V18)*100,"*")</f>
        <v>3.4613939455884575</v>
      </c>
      <c r="W20" s="69"/>
      <c r="X20" s="52">
        <f t="shared" si="1"/>
        <v>99.999999999999986</v>
      </c>
      <c r="Y20" s="52">
        <f t="shared" si="8"/>
        <v>99.998151862958125</v>
      </c>
      <c r="Z20" s="1"/>
      <c r="AA20" s="1"/>
      <c r="AB20" s="1"/>
      <c r="AC20" s="2"/>
      <c r="AD20" s="2"/>
    </row>
    <row r="21" spans="1:30">
      <c r="A21" s="97" t="s">
        <v>12</v>
      </c>
      <c r="B21" s="97"/>
      <c r="C21" s="113">
        <f>('INSTRUCTION-2YR'!AA19)/('T E&amp;G 2YR'!AA19)*100</f>
        <v>42.958193263303706</v>
      </c>
      <c r="D21" s="113" t="str">
        <f>IF((('RESEARCH 2yr'!AA19/'T E&amp;G 2YR'!AA19)*100)=0,('RESEARCH 2yr'!AA19/'T E&amp;G 2YR'!AA19)*100,IF((('RESEARCH 2yr'!AA19/'T E&amp;G 2YR'!AA19)*100)&gt;=0.05,('RESEARCH 2yr'!AA19/'T E&amp;G 2YR'!AA19)*100,"*"))</f>
        <v>*</v>
      </c>
      <c r="E21" s="113">
        <f>'PUBLIC SERVICE 2yr'!AA19/'T E&amp;G 2YR'!AA19*100</f>
        <v>0.54687011434546473</v>
      </c>
      <c r="F21" s="113">
        <f>'ASptISptSSv 2yr'!AA19/'T E&amp;G 2YR'!AA19*100</f>
        <v>29.260907775928086</v>
      </c>
      <c r="G21" s="113">
        <f>'SCHOLAR FELLOW 2yr'!AA19/'T E&amp;G 2YR'!AA19*100</f>
        <v>24.856724786343499</v>
      </c>
      <c r="H21" s="113">
        <f>('All Other 2yr'!AA19/'T E&amp;G 2YR'!AA19)*100</f>
        <v>2.3573386372902752</v>
      </c>
      <c r="I21" s="114">
        <f t="shared" si="2"/>
        <v>2.4368510966456753</v>
      </c>
      <c r="J21" s="127">
        <f t="shared" si="3"/>
        <v>-0.36658799271556536</v>
      </c>
      <c r="K21" s="113">
        <f t="shared" si="4"/>
        <v>-0.2447230739415851</v>
      </c>
      <c r="L21" s="113">
        <f t="shared" si="5"/>
        <v>5.5243047048472782</v>
      </c>
      <c r="M21" s="113">
        <f t="shared" si="6"/>
        <v>-3.0460596759597678</v>
      </c>
      <c r="N21" s="113">
        <f t="shared" si="7"/>
        <v>-4.3237504816650087</v>
      </c>
      <c r="O21" s="10"/>
      <c r="P21" s="71">
        <f>'INSTRUCTION-2YR'!V19/'T E&amp;G 2YR'!V19*100</f>
        <v>40.52134216665803</v>
      </c>
      <c r="Q21" s="72">
        <f>('RESEARCH 2yr'!V19/'T E&amp;G 2YR'!V19)*100</f>
        <v>0.36658799271556536</v>
      </c>
      <c r="R21" s="72">
        <f>'PUBLIC SERVICE 2yr'!V19/'T E&amp;G 2YR'!V19*100</f>
        <v>0.79159318828704983</v>
      </c>
      <c r="S21" s="72">
        <f>'ASptISptSSv 2yr'!V19/'T E&amp;G 2YR'!V19*100</f>
        <v>23.736603071080808</v>
      </c>
      <c r="T21" s="73">
        <f>'PLANT OPER MAIN 2yr'!V19/'T E&amp;G 2YR'!V19*100</f>
        <v>0</v>
      </c>
      <c r="U21" s="72">
        <f>'SCHOLAR FELLOW 2yr'!V19/'T E&amp;G 2YR'!V19*100</f>
        <v>27.902784462303266</v>
      </c>
      <c r="V21" s="70">
        <f>IF((('All Other 2yr'!V19/'T E&amp;G 2YR'!V19)*100)&gt;=0.05,('All Other 2yr'!V19/'T E&amp;G 2YR'!V19)*100,"*")</f>
        <v>6.6810891189552839</v>
      </c>
      <c r="W21" s="69"/>
      <c r="X21" s="52">
        <f t="shared" si="1"/>
        <v>100.00000000000001</v>
      </c>
      <c r="Y21" s="52">
        <f t="shared" si="8"/>
        <v>99.980034577211029</v>
      </c>
      <c r="Z21" s="1"/>
      <c r="AA21" s="1"/>
      <c r="AB21" s="1"/>
      <c r="AC21" s="2"/>
      <c r="AD21" s="2"/>
    </row>
    <row r="22" spans="1:30">
      <c r="A22" s="97" t="s">
        <v>13</v>
      </c>
      <c r="B22" s="97"/>
      <c r="C22" s="113">
        <f>('INSTRUCTION-2YR'!AA20)/('T E&amp;G 2YR'!AA20)*100</f>
        <v>37.027996926468063</v>
      </c>
      <c r="D22" s="113" t="str">
        <f>IF((('RESEARCH 2yr'!AA20/'T E&amp;G 2YR'!AA20)*100)=0,('RESEARCH 2yr'!AA20/'T E&amp;G 2YR'!AA20)*100,IF((('RESEARCH 2yr'!AA20/'T E&amp;G 2YR'!AA20)*100)&gt;=0.05,('RESEARCH 2yr'!AA20/'T E&amp;G 2YR'!AA20)*100,"*"))</f>
        <v>*</v>
      </c>
      <c r="E22" s="113">
        <f>'PUBLIC SERVICE 2yr'!AA20/'T E&amp;G 2YR'!AA20*100</f>
        <v>7.8318096075537635E-2</v>
      </c>
      <c r="F22" s="113">
        <f>'ASptISptSSv 2yr'!AA20/'T E&amp;G 2YR'!AA20*100</f>
        <v>29.403466667283912</v>
      </c>
      <c r="G22" s="113">
        <f>'SCHOLAR FELLOW 2yr'!AA20/'T E&amp;G 2YR'!AA20*100</f>
        <v>32.783000085680094</v>
      </c>
      <c r="H22" s="113">
        <f>('All Other 2yr'!AA20/'T E&amp;G 2YR'!AA20)*100</f>
        <v>0.68143099481187908</v>
      </c>
      <c r="I22" s="114">
        <f t="shared" si="2"/>
        <v>0.63335558291284144</v>
      </c>
      <c r="J22" s="127" t="str">
        <f t="shared" si="3"/>
        <v>*</v>
      </c>
      <c r="K22" s="113">
        <f t="shared" si="4"/>
        <v>-0.17273224996117792</v>
      </c>
      <c r="L22" s="113">
        <f t="shared" si="5"/>
        <v>2.1293216028176367</v>
      </c>
      <c r="M22" s="113">
        <f t="shared" si="6"/>
        <v>-2.6982824330692523</v>
      </c>
      <c r="N22" s="113">
        <f t="shared" si="7"/>
        <v>0.12671784869206193</v>
      </c>
      <c r="O22" s="10"/>
      <c r="P22" s="71">
        <f>'INSTRUCTION-2YR'!V20/'T E&amp;G 2YR'!V20*100</f>
        <v>36.394641343555222</v>
      </c>
      <c r="Q22" s="72">
        <f>('RESEARCH 2yr'!V20/'T E&amp;G 2YR'!V20)*100</f>
        <v>4.4167581072622919E-2</v>
      </c>
      <c r="R22" s="72">
        <f>'PUBLIC SERVICE 2yr'!V20/'T E&amp;G 2YR'!V20*100</f>
        <v>0.25105034603671555</v>
      </c>
      <c r="S22" s="72">
        <f>'ASptISptSSv 2yr'!V20/'T E&amp;G 2YR'!V20*100</f>
        <v>27.274145064466275</v>
      </c>
      <c r="T22" s="73">
        <f>'PLANT OPER MAIN 2yr'!V20/'T E&amp;G 2YR'!V20*100</f>
        <v>0</v>
      </c>
      <c r="U22" s="72">
        <f>'SCHOLAR FELLOW 2yr'!V20/'T E&amp;G 2YR'!V20*100</f>
        <v>35.481282518749346</v>
      </c>
      <c r="V22" s="70">
        <f>IF((('All Other 2yr'!V20/'T E&amp;G 2YR'!V20)*100)&gt;=0.05,('All Other 2yr'!V20/'T E&amp;G 2YR'!V20)*100,"*")</f>
        <v>0.55471314611981715</v>
      </c>
      <c r="W22" s="69"/>
      <c r="X22" s="52">
        <f t="shared" si="1"/>
        <v>100</v>
      </c>
      <c r="Y22" s="52">
        <f t="shared" si="8"/>
        <v>99.974212770319468</v>
      </c>
      <c r="Z22" s="1"/>
      <c r="AA22" s="1"/>
      <c r="AB22" s="1"/>
      <c r="AC22" s="2"/>
      <c r="AD22" s="2"/>
    </row>
    <row r="23" spans="1:30">
      <c r="A23" s="99" t="s">
        <v>14</v>
      </c>
      <c r="B23" s="99"/>
      <c r="C23" s="111">
        <f>('INSTRUCTION-2YR'!AA21)/('T E&amp;G 2YR'!AA21)*100</f>
        <v>39.003509679153183</v>
      </c>
      <c r="D23" s="111" t="str">
        <f>IF((('RESEARCH 2yr'!AA21/'T E&amp;G 2YR'!AA21)*100)=0,('RESEARCH 2yr'!AA21/'T E&amp;G 2YR'!AA21)*100,IF((('RESEARCH 2yr'!AA21/'T E&amp;G 2YR'!AA21)*100)&gt;=0.05,('RESEARCH 2yr'!AA21/'T E&amp;G 2YR'!AA21)*100,"*"))</f>
        <v>*</v>
      </c>
      <c r="E23" s="111">
        <f>'PUBLIC SERVICE 2yr'!AA21/'T E&amp;G 2YR'!AA21*100</f>
        <v>1.6860010655243118</v>
      </c>
      <c r="F23" s="111">
        <f>'ASptISptSSv 2yr'!AA21/'T E&amp;G 2YR'!AA21*100</f>
        <v>28.357195770270504</v>
      </c>
      <c r="G23" s="111">
        <f>'SCHOLAR FELLOW 2yr'!AA21/'T E&amp;G 2YR'!AA21*100</f>
        <v>29.879951584315634</v>
      </c>
      <c r="H23" s="111">
        <f>('All Other 2yr'!AA21/'T E&amp;G 2YR'!AA21)*100</f>
        <v>1.0720179412509461</v>
      </c>
      <c r="I23" s="116">
        <f t="shared" si="2"/>
        <v>2.4590203129229238</v>
      </c>
      <c r="J23" s="117">
        <f t="shared" si="3"/>
        <v>0</v>
      </c>
      <c r="K23" s="117">
        <f t="shared" si="4"/>
        <v>-1.4626038058263671</v>
      </c>
      <c r="L23" s="117">
        <f t="shared" si="5"/>
        <v>3.0412998011803865</v>
      </c>
      <c r="M23" s="117">
        <f t="shared" si="6"/>
        <v>-1.7838283773307211</v>
      </c>
      <c r="N23" s="117">
        <f t="shared" si="7"/>
        <v>-2.2552118904316476</v>
      </c>
      <c r="O23" s="43"/>
      <c r="P23" s="71">
        <f>'INSTRUCTION-2YR'!V21/'T E&amp;G 2YR'!V21*100</f>
        <v>36.544489366230259</v>
      </c>
      <c r="Q23" s="72">
        <f>('RESEARCH 2yr'!V21/'T E&amp;G 2YR'!V21)*100</f>
        <v>0</v>
      </c>
      <c r="R23" s="72">
        <f>'PUBLIC SERVICE 2yr'!V21/'T E&amp;G 2YR'!V21*100</f>
        <v>3.1486048713506789</v>
      </c>
      <c r="S23" s="72">
        <f>'ASptISptSSv 2yr'!V21/'T E&amp;G 2YR'!V21*100</f>
        <v>25.315895969090118</v>
      </c>
      <c r="T23" s="73">
        <f>'PLANT OPER MAIN 2yr'!V21/'T E&amp;G 2YR'!V21*100</f>
        <v>0</v>
      </c>
      <c r="U23" s="72">
        <f>'SCHOLAR FELLOW 2yr'!V21/'T E&amp;G 2YR'!V21*100</f>
        <v>31.663779961646355</v>
      </c>
      <c r="V23" s="70">
        <f>IF((('All Other 2yr'!V21/'T E&amp;G 2YR'!V21)*100)&gt;=0.05,('All Other 2yr'!V21/'T E&amp;G 2YR'!V21)*100,"*")</f>
        <v>3.3272298316825939</v>
      </c>
      <c r="W23" s="70"/>
      <c r="X23" s="52">
        <f t="shared" si="1"/>
        <v>100</v>
      </c>
      <c r="Y23" s="52">
        <f t="shared" si="8"/>
        <v>99.998676040514582</v>
      </c>
      <c r="Z23" s="1"/>
      <c r="AA23" s="1"/>
      <c r="AB23" s="1"/>
      <c r="AC23" s="2"/>
      <c r="AD23" s="2"/>
    </row>
    <row r="24" spans="1:30">
      <c r="A24" s="99" t="s">
        <v>15</v>
      </c>
      <c r="B24" s="99"/>
      <c r="C24" s="111">
        <f>('INSTRUCTION-2YR'!AA22)/('T E&amp;G 2YR'!AA22)*100</f>
        <v>40.140863145951251</v>
      </c>
      <c r="D24" s="111" t="str">
        <f>IF((('RESEARCH 2yr'!AA22/'T E&amp;G 2YR'!AA22)*100)=0,('RESEARCH 2yr'!AA22/'T E&amp;G 2YR'!AA22)*100,IF((('RESEARCH 2yr'!AA22/'T E&amp;G 2YR'!AA22)*100)&gt;=0.05,('RESEARCH 2yr'!AA22/'T E&amp;G 2YR'!AA22)*100,"*"))</f>
        <v>*</v>
      </c>
      <c r="E24" s="111">
        <f>'PUBLIC SERVICE 2yr'!AA22/'T E&amp;G 2YR'!AA22*100</f>
        <v>1.8610210982682087</v>
      </c>
      <c r="F24" s="111">
        <f>'ASptISptSSv 2yr'!AA22/'T E&amp;G 2YR'!AA22*100</f>
        <v>32.470433810519381</v>
      </c>
      <c r="G24" s="111">
        <f>'SCHOLAR FELLOW 2yr'!AA22/'T E&amp;G 2YR'!AA22*100</f>
        <v>23.402756112849406</v>
      </c>
      <c r="H24" s="111">
        <f>('All Other 2yr'!AA22/'T E&amp;G 2YR'!AA22)*100</f>
        <v>2.1201511102361001</v>
      </c>
      <c r="I24" s="116">
        <f t="shared" si="2"/>
        <v>-0.70276918162802815</v>
      </c>
      <c r="J24" s="117" t="str">
        <f t="shared" si="3"/>
        <v>*</v>
      </c>
      <c r="K24" s="117">
        <f t="shared" si="4"/>
        <v>-0.31748282553126961</v>
      </c>
      <c r="L24" s="117">
        <f t="shared" si="5"/>
        <v>2.4365315474579177</v>
      </c>
      <c r="M24" s="117">
        <f t="shared" si="6"/>
        <v>-1.4071447545084084</v>
      </c>
      <c r="N24" s="117" t="str">
        <f t="shared" si="7"/>
        <v>*</v>
      </c>
      <c r="O24" s="43"/>
      <c r="P24" s="71">
        <f>'INSTRUCTION-2YR'!V22/'T E&amp;G 2YR'!V22*100</f>
        <v>40.843632327579279</v>
      </c>
      <c r="Q24" s="72">
        <f>('RESEARCH 2yr'!V22/'T E&amp;G 2YR'!V22)*100</f>
        <v>4.8391035347095483E-3</v>
      </c>
      <c r="R24" s="72">
        <f>'PUBLIC SERVICE 2yr'!V22/'T E&amp;G 2YR'!V22*100</f>
        <v>2.1785039237994783</v>
      </c>
      <c r="S24" s="72">
        <f>'ASptISptSSv 2yr'!V22/'T E&amp;G 2YR'!V22*100</f>
        <v>30.033902263061464</v>
      </c>
      <c r="T24" s="73">
        <f>'PLANT OPER MAIN 2yr'!V22/'T E&amp;G 2YR'!V22*100</f>
        <v>0</v>
      </c>
      <c r="U24" s="72">
        <f>'SCHOLAR FELLOW 2yr'!V22/'T E&amp;G 2YR'!V22*100</f>
        <v>24.809900867357815</v>
      </c>
      <c r="V24" s="70">
        <f>IF((('All Other 2yr'!V22/'T E&amp;G 2YR'!V22)*100)&gt;=0.05,('All Other 2yr'!V22/'T E&amp;G 2YR'!V22)*100,"*")</f>
        <v>2.1292215146672531</v>
      </c>
      <c r="W24" s="70"/>
      <c r="X24" s="52">
        <f t="shared" si="1"/>
        <v>99.999999999999986</v>
      </c>
      <c r="Y24" s="52">
        <f t="shared" si="8"/>
        <v>99.995225277824346</v>
      </c>
      <c r="Z24" s="1"/>
      <c r="AA24" s="1"/>
      <c r="AB24" s="1"/>
      <c r="AC24" s="2"/>
      <c r="AD24" s="2"/>
    </row>
    <row r="25" spans="1:30">
      <c r="A25" s="99" t="s">
        <v>16</v>
      </c>
      <c r="B25" s="99"/>
      <c r="C25" s="111">
        <f>('INSTRUCTION-2YR'!AA23)/('T E&amp;G 2YR'!AA23)*100</f>
        <v>42.33780919214734</v>
      </c>
      <c r="D25" s="111">
        <f>IF((('RESEARCH 2yr'!AA23/'T E&amp;G 2YR'!AA23)*100)=0,('RESEARCH 2yr'!AA23/'T E&amp;G 2YR'!AA23)*100,IF((('RESEARCH 2yr'!AA23/'T E&amp;G 2YR'!AA23)*100)&gt;=0.05,('RESEARCH 2yr'!AA23/'T E&amp;G 2YR'!AA23)*100,"*"))</f>
        <v>0</v>
      </c>
      <c r="E25" s="111">
        <f>'PUBLIC SERVICE 2yr'!AA23/'T E&amp;G 2YR'!AA23*100</f>
        <v>0.7844612209378925</v>
      </c>
      <c r="F25" s="111">
        <f>'ASptISptSSv 2yr'!AA23/'T E&amp;G 2YR'!AA23*100</f>
        <v>32.866409493909948</v>
      </c>
      <c r="G25" s="111">
        <f>'SCHOLAR FELLOW 2yr'!AA23/'T E&amp;G 2YR'!AA23*100</f>
        <v>23.59805334918342</v>
      </c>
      <c r="H25" s="111">
        <f>('All Other 2yr'!AA23/'T E&amp;G 2YR'!AA23)*100</f>
        <v>0.41326674382140749</v>
      </c>
      <c r="I25" s="116">
        <f t="shared" si="2"/>
        <v>-3.1684787031462776</v>
      </c>
      <c r="J25" s="117">
        <f t="shared" si="3"/>
        <v>0</v>
      </c>
      <c r="K25" s="117">
        <f t="shared" si="4"/>
        <v>0.17428257824456472</v>
      </c>
      <c r="L25" s="117">
        <f t="shared" si="5"/>
        <v>2.9178807295461482</v>
      </c>
      <c r="M25" s="117">
        <f t="shared" si="6"/>
        <v>-0.18688354561112774</v>
      </c>
      <c r="N25" s="117">
        <f t="shared" si="7"/>
        <v>0.26319894096668933</v>
      </c>
      <c r="O25" s="43"/>
      <c r="P25" s="71">
        <f>'INSTRUCTION-2YR'!V23/'T E&amp;G 2YR'!V23*100</f>
        <v>45.506287895293617</v>
      </c>
      <c r="Q25" s="72">
        <f>('RESEARCH 2yr'!V23/'T E&amp;G 2YR'!V23)*100</f>
        <v>0</v>
      </c>
      <c r="R25" s="72">
        <f>'PUBLIC SERVICE 2yr'!V23/'T E&amp;G 2YR'!V23*100</f>
        <v>0.61017864269332778</v>
      </c>
      <c r="S25" s="72">
        <f>'ASptISptSSv 2yr'!V23/'T E&amp;G 2YR'!V23*100</f>
        <v>29.9485287643638</v>
      </c>
      <c r="T25" s="73">
        <f>'PLANT OPER MAIN 2yr'!V23/'T E&amp;G 2YR'!V23*100</f>
        <v>0</v>
      </c>
      <c r="U25" s="72">
        <f>'SCHOLAR FELLOW 2yr'!V23/'T E&amp;G 2YR'!V23*100</f>
        <v>23.784936894794548</v>
      </c>
      <c r="V25" s="70">
        <f>IF((('All Other 2yr'!V23/'T E&amp;G 2YR'!V23)*100)&gt;=0.05,('All Other 2yr'!V23/'T E&amp;G 2YR'!V23)*100,"*")</f>
        <v>0.15006780285471816</v>
      </c>
      <c r="W25" s="70"/>
      <c r="X25" s="52">
        <f t="shared" si="1"/>
        <v>100.00000000000003</v>
      </c>
      <c r="Y25" s="52">
        <f t="shared" si="8"/>
        <v>100</v>
      </c>
      <c r="Z25" s="1"/>
      <c r="AA25" s="1"/>
      <c r="AB25" s="1"/>
      <c r="AC25" s="2"/>
      <c r="AD25" s="2"/>
    </row>
    <row r="26" spans="1:30">
      <c r="A26" s="100" t="s">
        <v>17</v>
      </c>
      <c r="B26" s="100"/>
      <c r="C26" s="109">
        <f>('INSTRUCTION-2YR'!AA24)/('T E&amp;G 2YR'!AA24)*100</f>
        <v>36.935244988097963</v>
      </c>
      <c r="D26" s="109">
        <f>IF((('RESEARCH 2yr'!AA24/'T E&amp;G 2YR'!AA24)*100)=0,('RESEARCH 2yr'!AA24/'T E&amp;G 2YR'!AA24)*100,IF((('RESEARCH 2yr'!AA24/'T E&amp;G 2YR'!AA24)*100)&gt;=0.05,('RESEARCH 2yr'!AA24/'T E&amp;G 2YR'!AA24)*100,"*"))</f>
        <v>0</v>
      </c>
      <c r="E26" s="109">
        <f>'PUBLIC SERVICE 2yr'!AA24/'T E&amp;G 2YR'!AA24*100</f>
        <v>1.8282804031442421</v>
      </c>
      <c r="F26" s="109">
        <f>'ASptISptSSv 2yr'!AA24/'T E&amp;G 2YR'!AA24*100</f>
        <v>28.105594795202961</v>
      </c>
      <c r="G26" s="109">
        <f>'SCHOLAR FELLOW 2yr'!AA24/'T E&amp;G 2YR'!AA24*100</f>
        <v>27.641239929834249</v>
      </c>
      <c r="H26" s="177">
        <f>('All Other 2yr'!AA24/'T E&amp;G 2YR'!AA24)*100</f>
        <v>5.4896398837205762</v>
      </c>
      <c r="I26" s="119">
        <f t="shared" si="2"/>
        <v>2.790090345550567</v>
      </c>
      <c r="J26" s="118" t="str">
        <f t="shared" si="3"/>
        <v>*</v>
      </c>
      <c r="K26" s="118" t="str">
        <f t="shared" si="4"/>
        <v>*</v>
      </c>
      <c r="L26" s="118">
        <f t="shared" si="5"/>
        <v>1.1154274482312125</v>
      </c>
      <c r="M26" s="118">
        <f t="shared" si="6"/>
        <v>-5.1546209777859033</v>
      </c>
      <c r="N26" s="118">
        <f t="shared" si="7"/>
        <v>1.2401293573328793</v>
      </c>
      <c r="O26" s="44"/>
      <c r="P26" s="71">
        <f>'INSTRUCTION-2YR'!V24/'T E&amp;G 2YR'!V24*100</f>
        <v>34.145154642547396</v>
      </c>
      <c r="Q26" s="72">
        <f>('RESEARCH 2yr'!V24/'T E&amp;G 2YR'!V24)*100</f>
        <v>9.4588849645015072E-3</v>
      </c>
      <c r="R26" s="72">
        <f>'PUBLIC SERVICE 2yr'!V24/'T E&amp;G 2YR'!V24*100</f>
        <v>1.8098476915085142</v>
      </c>
      <c r="S26" s="72">
        <f>'ASptISptSSv 2yr'!V24/'T E&amp;G 2YR'!V24*100</f>
        <v>26.990167346971749</v>
      </c>
      <c r="T26" s="73">
        <f>'PLANT OPER MAIN 2yr'!V24/'T E&amp;G 2YR'!V24*100</f>
        <v>0</v>
      </c>
      <c r="U26" s="72">
        <f>'SCHOLAR FELLOW 2yr'!V24/'T E&amp;G 2YR'!V24*100</f>
        <v>32.795860907620153</v>
      </c>
      <c r="V26" s="70">
        <f>IF((('All Other 2yr'!V24/'T E&amp;G 2YR'!V24)*100)&gt;=0.05,('All Other 2yr'!V24/'T E&amp;G 2YR'!V24)*100,"*")</f>
        <v>4.2495105263876969</v>
      </c>
      <c r="W26" s="70"/>
      <c r="X26" s="52">
        <f t="shared" si="1"/>
        <v>100.00000000000001</v>
      </c>
      <c r="Y26" s="52">
        <f t="shared" si="8"/>
        <v>100</v>
      </c>
      <c r="Z26" s="1"/>
      <c r="AA26" s="1"/>
      <c r="AB26" s="1"/>
      <c r="AC26" s="2"/>
      <c r="AD26" s="2"/>
    </row>
    <row r="27" spans="1:30" s="24" customFormat="1">
      <c r="A27" s="101" t="s">
        <v>120</v>
      </c>
      <c r="B27" s="101"/>
      <c r="C27" s="111">
        <f>('INSTRUCTION-2YR'!AA25)/('T E&amp;G 2YR'!AA25)*100</f>
        <v>39.896086662981638</v>
      </c>
      <c r="D27" s="111">
        <f>IF((('RESEARCH 2yr'!AA25/'T E&amp;G 2YR'!AA25)*100)=0,('RESEARCH 2yr'!AA25/'T E&amp;G 2YR'!AA25)*100,IF((('RESEARCH 2yr'!AA25/'T E&amp;G 2YR'!AA25)*100)&gt;=0.05,('RESEARCH 2yr'!AA25/'T E&amp;G 2YR'!AA25)*100,"*"))</f>
        <v>6.1410665208855728E-2</v>
      </c>
      <c r="E27" s="111">
        <f>'PUBLIC SERVICE 2yr'!AA25/'T E&amp;G 2YR'!AA25*100</f>
        <v>1.4069545416002172</v>
      </c>
      <c r="F27" s="111">
        <f>'ASptISptSSv 2yr'!AA25/'T E&amp;G 2YR'!AA25*100</f>
        <v>31.344634318270259</v>
      </c>
      <c r="G27" s="111">
        <f>'SCHOLAR FELLOW 2yr'!AA25/'T E&amp;G 2YR'!AA25*100</f>
        <v>21.656965950467864</v>
      </c>
      <c r="H27" s="111">
        <f>('All Other 2yr'!AA25/'T E&amp;G 2YR'!AA25)*100</f>
        <v>5.6339478614711567</v>
      </c>
      <c r="I27" s="112">
        <f t="shared" si="2"/>
        <v>-1.0026794617916153</v>
      </c>
      <c r="J27" s="126" t="str">
        <f t="shared" si="3"/>
        <v>*</v>
      </c>
      <c r="K27" s="111">
        <f t="shared" si="4"/>
        <v>-0.18846350564611414</v>
      </c>
      <c r="L27" s="111">
        <f t="shared" si="5"/>
        <v>-9.5773853768900352E-2</v>
      </c>
      <c r="M27" s="111">
        <f t="shared" si="6"/>
        <v>1.4971883123604002</v>
      </c>
      <c r="N27" s="111">
        <f t="shared" si="7"/>
        <v>-0.20868361455526596</v>
      </c>
      <c r="O27" s="41"/>
      <c r="P27" s="71">
        <f>'INSTRUCTION-2YR'!V25/'T E&amp;G 2YR'!V25*100</f>
        <v>40.898766124773253</v>
      </c>
      <c r="Q27" s="72">
        <f>('RESEARCH 2yr'!V25/'T E&amp;G 2YR'!V25)*100</f>
        <v>6.2998541807385178E-2</v>
      </c>
      <c r="R27" s="72">
        <f>'PUBLIC SERVICE 2yr'!V25/'T E&amp;G 2YR'!V25*100</f>
        <v>1.5954180472463313</v>
      </c>
      <c r="S27" s="72">
        <f>'ASptISptSSv 2yr'!V25/'T E&amp;G 2YR'!V25*100</f>
        <v>31.440408172039159</v>
      </c>
      <c r="T27" s="73">
        <f>'PLANT OPER MAIN 2yr'!V25/'T E&amp;G 2YR'!V25*100</f>
        <v>0</v>
      </c>
      <c r="U27" s="72">
        <f>'SCHOLAR FELLOW 2yr'!V25/'T E&amp;G 2YR'!V25*100</f>
        <v>20.159777638107464</v>
      </c>
      <c r="V27" s="70">
        <f>IF((('All Other 2yr'!V25/'T E&amp;G 2YR'!V25)*100)&gt;=0.05,('All Other 2yr'!V25/'T E&amp;G 2YR'!V25)*100,"*")</f>
        <v>5.8426314760264226</v>
      </c>
      <c r="W27" s="41"/>
      <c r="X27" s="52">
        <f t="shared" si="1"/>
        <v>100.00000000000001</v>
      </c>
      <c r="Y27" s="52">
        <f t="shared" si="8"/>
        <v>99.999999999999986</v>
      </c>
      <c r="Z27" s="22"/>
      <c r="AA27" s="22"/>
      <c r="AB27" s="22"/>
      <c r="AC27" s="23"/>
      <c r="AD27" s="23"/>
    </row>
    <row r="28" spans="1:30" s="56" customFormat="1">
      <c r="A28" s="101"/>
      <c r="B28" s="101"/>
      <c r="C28" s="111"/>
      <c r="D28" s="111"/>
      <c r="E28" s="111"/>
      <c r="F28" s="111"/>
      <c r="G28" s="111"/>
      <c r="H28" s="111"/>
      <c r="I28" s="112">
        <f t="shared" si="2"/>
        <v>0</v>
      </c>
      <c r="J28" s="126">
        <f t="shared" si="3"/>
        <v>0</v>
      </c>
      <c r="K28" s="111">
        <f t="shared" si="4"/>
        <v>0</v>
      </c>
      <c r="L28" s="111">
        <f t="shared" si="5"/>
        <v>0</v>
      </c>
      <c r="M28" s="111">
        <f t="shared" si="6"/>
        <v>0</v>
      </c>
      <c r="N28" s="111">
        <f t="shared" si="7"/>
        <v>0</v>
      </c>
      <c r="O28" s="30"/>
      <c r="P28" s="71"/>
      <c r="Q28" s="72"/>
      <c r="R28" s="72"/>
      <c r="S28" s="72"/>
      <c r="T28" s="73"/>
      <c r="U28" s="72"/>
      <c r="V28" s="70"/>
      <c r="W28" s="30"/>
      <c r="X28" s="52"/>
      <c r="Y28" s="52"/>
      <c r="Z28" s="55"/>
    </row>
    <row r="29" spans="1:30" s="56" customFormat="1">
      <c r="A29" s="97" t="s">
        <v>85</v>
      </c>
      <c r="B29" s="97"/>
      <c r="C29" s="113" t="s">
        <v>151</v>
      </c>
      <c r="D29" s="113" t="s">
        <v>151</v>
      </c>
      <c r="E29" s="113" t="s">
        <v>151</v>
      </c>
      <c r="F29" s="113" t="s">
        <v>151</v>
      </c>
      <c r="G29" s="113" t="s">
        <v>151</v>
      </c>
      <c r="H29" s="113" t="s">
        <v>151</v>
      </c>
      <c r="I29" s="114" t="s">
        <v>151</v>
      </c>
      <c r="J29" s="127" t="s">
        <v>151</v>
      </c>
      <c r="K29" s="113" t="s">
        <v>151</v>
      </c>
      <c r="L29" s="113" t="s">
        <v>151</v>
      </c>
      <c r="M29" s="113" t="s">
        <v>151</v>
      </c>
      <c r="N29" s="113" t="s">
        <v>151</v>
      </c>
      <c r="O29" s="30"/>
      <c r="P29" s="71">
        <f>'INSTRUCTION-2YR'!V27/'T E&amp;G 2YR'!V27*100</f>
        <v>40.247582779439057</v>
      </c>
      <c r="Q29" s="72">
        <f>('RESEARCH 2yr'!V27/'T E&amp;G 2YR'!V27)*100</f>
        <v>0</v>
      </c>
      <c r="R29" s="72">
        <f>'PUBLIC SERVICE 2yr'!V27/'T E&amp;G 2YR'!V27*100</f>
        <v>2.1999950144513321</v>
      </c>
      <c r="S29" s="72">
        <f>'ASptISptSSv 2yr'!V27/'T E&amp;G 2YR'!V27*100</f>
        <v>50.316460675727861</v>
      </c>
      <c r="T29" s="73">
        <f>'PLANT OPER MAIN 2yr'!V27/'T E&amp;G 2YR'!V27*100</f>
        <v>0</v>
      </c>
      <c r="U29" s="72">
        <f>'SCHOLAR FELLOW 2yr'!V27/'T E&amp;G 2YR'!V27*100</f>
        <v>3.3124861336048093</v>
      </c>
      <c r="V29" s="70">
        <f>IF((('All Other 2yr'!V27/'T E&amp;G 2YR'!V27)*100)&gt;=0.05,('All Other 2yr'!V27/'T E&amp;G 2YR'!V27)*100,"*")</f>
        <v>3.9234753967769453</v>
      </c>
      <c r="W29" s="30"/>
      <c r="X29" s="52">
        <f t="shared" si="1"/>
        <v>100</v>
      </c>
      <c r="Y29" s="52">
        <f t="shared" ref="Y29:Y42" si="9">SUM(C29:H29)</f>
        <v>0</v>
      </c>
      <c r="Z29" s="55"/>
    </row>
    <row r="30" spans="1:30" s="56" customFormat="1">
      <c r="A30" s="97" t="s">
        <v>86</v>
      </c>
      <c r="B30" s="97"/>
      <c r="C30" s="113">
        <f>('INSTRUCTION-2YR'!AA28)/('T E&amp;G 2YR'!AA28)*100</f>
        <v>41.858142867365629</v>
      </c>
      <c r="D30" s="113">
        <f>IF((('RESEARCH 2yr'!AA28/'T E&amp;G 2YR'!AA28)*100)=0,('RESEARCH 2yr'!AA28/'T E&amp;G 2YR'!AA28)*100,IF((('RESEARCH 2yr'!AA28/'T E&amp;G 2YR'!AA28)*100)&gt;=0.05,('RESEARCH 2yr'!AA28/'T E&amp;G 2YR'!AA28)*100,"*"))</f>
        <v>0.16011799101268956</v>
      </c>
      <c r="E30" s="113">
        <f>'PUBLIC SERVICE 2yr'!AA28/'T E&amp;G 2YR'!AA28*100</f>
        <v>0.69353384664138074</v>
      </c>
      <c r="F30" s="113">
        <f>'ASptISptSSv 2yr'!AA28/'T E&amp;G 2YR'!AA28*100</f>
        <v>34.639175435171062</v>
      </c>
      <c r="G30" s="113">
        <f>'SCHOLAR FELLOW 2yr'!AA28/'T E&amp;G 2YR'!AA28*100</f>
        <v>20.675760980682728</v>
      </c>
      <c r="H30" s="113">
        <f>('All Other 2yr'!AA28/'T E&amp;G 2YR'!AA28)*100</f>
        <v>1.9732688791265121</v>
      </c>
      <c r="I30" s="114">
        <f t="shared" si="2"/>
        <v>0.69661419505316502</v>
      </c>
      <c r="J30" s="127">
        <f t="shared" si="3"/>
        <v>0.1079664625188993</v>
      </c>
      <c r="K30" s="113">
        <f t="shared" si="4"/>
        <v>-0.65333419462756503</v>
      </c>
      <c r="L30" s="113">
        <f t="shared" si="5"/>
        <v>-0.96473267355732162</v>
      </c>
      <c r="M30" s="113">
        <f t="shared" si="6"/>
        <v>-0.37306124496875981</v>
      </c>
      <c r="N30" s="113">
        <f t="shared" si="7"/>
        <v>1.1865474555815885</v>
      </c>
      <c r="O30" s="30"/>
      <c r="P30" s="71">
        <f>'INSTRUCTION-2YR'!V28/'T E&amp;G 2YR'!V28*100</f>
        <v>41.161528672312464</v>
      </c>
      <c r="Q30" s="72">
        <f>('RESEARCH 2yr'!V28/'T E&amp;G 2YR'!V28)*100</f>
        <v>5.2151528493790268E-2</v>
      </c>
      <c r="R30" s="72">
        <f>'PUBLIC SERVICE 2yr'!V28/'T E&amp;G 2YR'!V28*100</f>
        <v>1.3468680412689458</v>
      </c>
      <c r="S30" s="72">
        <f>'ASptISptSSv 2yr'!V28/'T E&amp;G 2YR'!V28*100</f>
        <v>35.603908108728383</v>
      </c>
      <c r="T30" s="73">
        <f>'PLANT OPER MAIN 2yr'!V28/'T E&amp;G 2YR'!V28*100</f>
        <v>0</v>
      </c>
      <c r="U30" s="72">
        <f>'SCHOLAR FELLOW 2yr'!V28/'T E&amp;G 2YR'!V28*100</f>
        <v>21.048822225651488</v>
      </c>
      <c r="V30" s="70">
        <f>IF((('All Other 2yr'!V28/'T E&amp;G 2YR'!V28)*100)&gt;=0.05,('All Other 2yr'!V28/'T E&amp;G 2YR'!V28)*100,"*")</f>
        <v>0.78672142354492358</v>
      </c>
      <c r="W30" s="30"/>
      <c r="X30" s="52">
        <f t="shared" si="1"/>
        <v>100</v>
      </c>
      <c r="Y30" s="52">
        <f t="shared" si="9"/>
        <v>99.999999999999986</v>
      </c>
      <c r="Z30" s="55"/>
    </row>
    <row r="31" spans="1:30" s="56" customFormat="1">
      <c r="A31" s="97" t="s">
        <v>87</v>
      </c>
      <c r="B31" s="97"/>
      <c r="C31" s="113">
        <f>('INSTRUCTION-2YR'!AA29)/('T E&amp;G 2YR'!AA29)*100</f>
        <v>38.326120416465713</v>
      </c>
      <c r="D31" s="113">
        <f>IF((('RESEARCH 2yr'!AA29/'T E&amp;G 2YR'!AA29)*100)=0,('RESEARCH 2yr'!AA29/'T E&amp;G 2YR'!AA29)*100,IF((('RESEARCH 2yr'!AA29/'T E&amp;G 2YR'!AA29)*100)&gt;=0.05,('RESEARCH 2yr'!AA29/'T E&amp;G 2YR'!AA29)*100,"*"))</f>
        <v>6.2864701812160473E-2</v>
      </c>
      <c r="E31" s="113">
        <f>'PUBLIC SERVICE 2yr'!AA29/'T E&amp;G 2YR'!AA29*100</f>
        <v>1.1942938711515336</v>
      </c>
      <c r="F31" s="113">
        <f>'ASptISptSSv 2yr'!AA29/'T E&amp;G 2YR'!AA29*100</f>
        <v>30.606369008501161</v>
      </c>
      <c r="G31" s="113">
        <f>'SCHOLAR FELLOW 2yr'!AA29/'T E&amp;G 2YR'!AA29*100</f>
        <v>22.38625662493984</v>
      </c>
      <c r="H31" s="113">
        <f>('All Other 2yr'!AA29/'T E&amp;G 2YR'!AA29)*100</f>
        <v>7.4240953771295777</v>
      </c>
      <c r="I31" s="114">
        <f t="shared" si="2"/>
        <v>-0.93762488650303055</v>
      </c>
      <c r="J31" s="127" t="str">
        <f t="shared" si="3"/>
        <v>*</v>
      </c>
      <c r="K31" s="113" t="str">
        <f t="shared" si="4"/>
        <v>*</v>
      </c>
      <c r="L31" s="113">
        <f t="shared" si="5"/>
        <v>-1.8962035541790456</v>
      </c>
      <c r="M31" s="113">
        <f t="shared" si="6"/>
        <v>2.8475737420037355</v>
      </c>
      <c r="N31" s="113" t="str">
        <f t="shared" si="7"/>
        <v>*</v>
      </c>
      <c r="O31" s="30"/>
      <c r="P31" s="71">
        <f>'INSTRUCTION-2YR'!V29/'T E&amp;G 2YR'!V29*100</f>
        <v>39.263745302968744</v>
      </c>
      <c r="Q31" s="72">
        <f>('RESEARCH 2yr'!V29/'T E&amp;G 2YR'!V29)*100</f>
        <v>7.2700705666913112E-2</v>
      </c>
      <c r="R31" s="72">
        <f>'PUBLIC SERVICE 2yr'!V29/'T E&amp;G 2YR'!V29*100</f>
        <v>1.1526065989364358</v>
      </c>
      <c r="S31" s="72">
        <f>'ASptISptSSv 2yr'!V29/'T E&amp;G 2YR'!V29*100</f>
        <v>32.502572562680207</v>
      </c>
      <c r="T31" s="73">
        <f>'PLANT OPER MAIN 2yr'!V29/'T E&amp;G 2YR'!V29*100</f>
        <v>0</v>
      </c>
      <c r="U31" s="72">
        <f>'SCHOLAR FELLOW 2yr'!V29/'T E&amp;G 2YR'!V29*100</f>
        <v>19.538682882936104</v>
      </c>
      <c r="V31" s="70">
        <f>IF((('All Other 2yr'!V29/'T E&amp;G 2YR'!V29)*100)&gt;=0.05,('All Other 2yr'!V29/'T E&amp;G 2YR'!V29)*100,"*")</f>
        <v>7.4696919468116034</v>
      </c>
      <c r="W31" s="30"/>
      <c r="X31" s="52">
        <f t="shared" si="1"/>
        <v>100</v>
      </c>
      <c r="Y31" s="52">
        <f t="shared" si="9"/>
        <v>99.999999999999986</v>
      </c>
      <c r="Z31" s="55"/>
    </row>
    <row r="32" spans="1:30" s="56" customFormat="1">
      <c r="A32" s="97" t="s">
        <v>88</v>
      </c>
      <c r="B32" s="97"/>
      <c r="C32" s="113">
        <f>('INSTRUCTION-2YR'!AA30)/('T E&amp;G 2YR'!AA30)*100</f>
        <v>36.202743622740932</v>
      </c>
      <c r="D32" s="113">
        <f>IF((('RESEARCH 2yr'!AA30/'T E&amp;G 2YR'!AA30)*100)=0,('RESEARCH 2yr'!AA30/'T E&amp;G 2YR'!AA30)*100,IF((('RESEARCH 2yr'!AA30/'T E&amp;G 2YR'!AA30)*100)&gt;=0.05,('RESEARCH 2yr'!AA30/'T E&amp;G 2YR'!AA30)*100,"*"))</f>
        <v>0</v>
      </c>
      <c r="E32" s="113">
        <f>'PUBLIC SERVICE 2yr'!AA30/'T E&amp;G 2YR'!AA30*100</f>
        <v>0.44281915346130435</v>
      </c>
      <c r="F32" s="113">
        <f>'ASptISptSSv 2yr'!AA30/'T E&amp;G 2YR'!AA30*100</f>
        <v>34.480668078128659</v>
      </c>
      <c r="G32" s="113">
        <f>'SCHOLAR FELLOW 2yr'!AA30/'T E&amp;G 2YR'!AA30*100</f>
        <v>22.750739568927361</v>
      </c>
      <c r="H32" s="113">
        <f>('All Other 2yr'!AA30/'T E&amp;G 2YR'!AA30)*100</f>
        <v>6.1230295767417529</v>
      </c>
      <c r="I32" s="114">
        <f t="shared" si="2"/>
        <v>-2.1557691820658675</v>
      </c>
      <c r="J32" s="127">
        <f t="shared" si="3"/>
        <v>0</v>
      </c>
      <c r="K32" s="113">
        <f t="shared" si="4"/>
        <v>-0.56104522208029262</v>
      </c>
      <c r="L32" s="113">
        <f t="shared" si="5"/>
        <v>5.6092924876704444</v>
      </c>
      <c r="M32" s="113">
        <f t="shared" si="6"/>
        <v>-2.4130254263989102</v>
      </c>
      <c r="N32" s="113">
        <f t="shared" si="7"/>
        <v>-0.47945265712536145</v>
      </c>
      <c r="O32" s="30"/>
      <c r="P32" s="71">
        <f>'INSTRUCTION-2YR'!V30/'T E&amp;G 2YR'!V30*100</f>
        <v>38.3585128048068</v>
      </c>
      <c r="Q32" s="72">
        <f>('RESEARCH 2yr'!V30/'T E&amp;G 2YR'!V30)*100</f>
        <v>0</v>
      </c>
      <c r="R32" s="72">
        <f>'PUBLIC SERVICE 2yr'!V30/'T E&amp;G 2YR'!V30*100</f>
        <v>1.003864375541597</v>
      </c>
      <c r="S32" s="72">
        <f>'ASptISptSSv 2yr'!V30/'T E&amp;G 2YR'!V30*100</f>
        <v>28.871375590458214</v>
      </c>
      <c r="T32" s="73">
        <f>'PLANT OPER MAIN 2yr'!V30/'T E&amp;G 2YR'!V30*100</f>
        <v>0</v>
      </c>
      <c r="U32" s="72">
        <f>'SCHOLAR FELLOW 2yr'!V30/'T E&amp;G 2YR'!V30*100</f>
        <v>25.163764995326272</v>
      </c>
      <c r="V32" s="70">
        <f>IF((('All Other 2yr'!V30/'T E&amp;G 2YR'!V30)*100)&gt;=0.05,('All Other 2yr'!V30/'T E&amp;G 2YR'!V30)*100,"*")</f>
        <v>6.6024822338671143</v>
      </c>
      <c r="W32" s="30"/>
      <c r="X32" s="52">
        <f t="shared" si="1"/>
        <v>100</v>
      </c>
      <c r="Y32" s="52">
        <f t="shared" si="9"/>
        <v>100.00000000000001</v>
      </c>
      <c r="Z32" s="55"/>
    </row>
    <row r="33" spans="1:26" s="56" customFormat="1">
      <c r="A33" s="98" t="s">
        <v>91</v>
      </c>
      <c r="B33" s="98"/>
      <c r="C33" s="111">
        <f>('INSTRUCTION-2YR'!AA31)/('T E&amp;G 2YR'!AA31)*100</f>
        <v>55.292775156670515</v>
      </c>
      <c r="D33" s="111">
        <f>IF((('RESEARCH 2yr'!AA31/'T E&amp;G 2YR'!AA31)*100)=0,('RESEARCH 2yr'!AA31/'T E&amp;G 2YR'!AA31)*100,IF((('RESEARCH 2yr'!AA31/'T E&amp;G 2YR'!AA31)*100)&gt;=0.05,('RESEARCH 2yr'!AA31/'T E&amp;G 2YR'!AA31)*100,"*"))</f>
        <v>0.15487153429368139</v>
      </c>
      <c r="E33" s="111">
        <f>'PUBLIC SERVICE 2yr'!AA31/'T E&amp;G 2YR'!AA31*100</f>
        <v>3.256678526349202</v>
      </c>
      <c r="F33" s="111">
        <f>'ASptISptSSv 2yr'!AA31/'T E&amp;G 2YR'!AA31*100</f>
        <v>26.519221096638478</v>
      </c>
      <c r="G33" s="111">
        <f>'SCHOLAR FELLOW 2yr'!AA31/'T E&amp;G 2YR'!AA31*100</f>
        <v>14.692500342120814</v>
      </c>
      <c r="H33" s="111">
        <f>('All Other 2yr'!AA31/'T E&amp;G 2YR'!AA31)*100</f>
        <v>8.3953343927299834E-2</v>
      </c>
      <c r="I33" s="116">
        <f t="shared" si="2"/>
        <v>5.1997062092649102</v>
      </c>
      <c r="J33" s="117" t="str">
        <f t="shared" si="3"/>
        <v>*</v>
      </c>
      <c r="K33" s="115">
        <f t="shared" si="4"/>
        <v>-5.2210903193810427</v>
      </c>
      <c r="L33" s="115">
        <f t="shared" si="5"/>
        <v>-3.9660941138368919</v>
      </c>
      <c r="M33" s="115">
        <f t="shared" si="6"/>
        <v>2.2987401848758076</v>
      </c>
      <c r="N33" s="115">
        <f t="shared" si="7"/>
        <v>8.3953343927299834E-2</v>
      </c>
      <c r="O33" s="30"/>
      <c r="P33" s="71">
        <f>'INSTRUCTION-2YR'!V31/'T E&amp;G 2YR'!V31*100</f>
        <v>50.093068947405605</v>
      </c>
      <c r="Q33" s="72">
        <f>('RESEARCH 2yr'!V31/'T E&amp;G 2YR'!V31)*100</f>
        <v>0.14396386396443872</v>
      </c>
      <c r="R33" s="72">
        <f>'PUBLIC SERVICE 2yr'!V31/'T E&amp;G 2YR'!V31*100</f>
        <v>8.4777688457302443</v>
      </c>
      <c r="S33" s="72">
        <f>'ASptISptSSv 2yr'!V31/'T E&amp;G 2YR'!V31*100</f>
        <v>30.48531521047537</v>
      </c>
      <c r="T33" s="73">
        <f>'PLANT OPER MAIN 2yr'!V31/'T E&amp;G 2YR'!V31*100</f>
        <v>0</v>
      </c>
      <c r="U33" s="72">
        <f>'SCHOLAR FELLOW 2yr'!V31/'T E&amp;G 2YR'!V31*100</f>
        <v>12.393760157245007</v>
      </c>
      <c r="V33" s="70" t="str">
        <f>IF((('All Other 2yr'!V31/'T E&amp;G 2YR'!V31)*100)&gt;=0.05,('All Other 2yr'!V31/'T E&amp;G 2YR'!V31)*100,"*")</f>
        <v>*</v>
      </c>
      <c r="W33" s="30"/>
      <c r="X33" s="52">
        <f t="shared" si="1"/>
        <v>101.59387702482067</v>
      </c>
      <c r="Y33" s="52">
        <f t="shared" si="9"/>
        <v>100</v>
      </c>
      <c r="Z33" s="55"/>
    </row>
    <row r="34" spans="1:26" s="56" customFormat="1">
      <c r="A34" s="98" t="s">
        <v>92</v>
      </c>
      <c r="B34" s="98"/>
      <c r="C34" s="111">
        <f>('INSTRUCTION-2YR'!AA32)/('T E&amp;G 2YR'!AA32)*100</f>
        <v>38.122978329937347</v>
      </c>
      <c r="D34" s="111">
        <f>IF((('RESEARCH 2yr'!AA32/'T E&amp;G 2YR'!AA32)*100)=0,('RESEARCH 2yr'!AA32/'T E&amp;G 2YR'!AA32)*100,IF((('RESEARCH 2yr'!AA32/'T E&amp;G 2YR'!AA32)*100)&gt;=0.05,('RESEARCH 2yr'!AA32/'T E&amp;G 2YR'!AA32)*100,"*"))</f>
        <v>0</v>
      </c>
      <c r="E34" s="111">
        <f>'PUBLIC SERVICE 2yr'!AA32/'T E&amp;G 2YR'!AA32*100</f>
        <v>11.147180791796581</v>
      </c>
      <c r="F34" s="111">
        <f>'ASptISptSSv 2yr'!AA32/'T E&amp;G 2YR'!AA32*100</f>
        <v>28.185244633759883</v>
      </c>
      <c r="G34" s="111">
        <f>'SCHOLAR FELLOW 2yr'!AA32/'T E&amp;G 2YR'!AA32*100</f>
        <v>20.624721107667607</v>
      </c>
      <c r="H34" s="111">
        <f>('All Other 2yr'!AA32/'T E&amp;G 2YR'!AA32)*100</f>
        <v>1.9198751368385885</v>
      </c>
      <c r="I34" s="116">
        <f t="shared" si="2"/>
        <v>15.351823028153092</v>
      </c>
      <c r="J34" s="117">
        <f t="shared" si="3"/>
        <v>0</v>
      </c>
      <c r="K34" s="115">
        <f t="shared" si="4"/>
        <v>0.29286702951291588</v>
      </c>
      <c r="L34" s="115">
        <f t="shared" si="5"/>
        <v>6.3561081375953954</v>
      </c>
      <c r="M34" s="115">
        <f t="shared" si="6"/>
        <v>1.5834379866562323</v>
      </c>
      <c r="N34" s="115">
        <f t="shared" si="7"/>
        <v>-23.584236181917625</v>
      </c>
      <c r="O34" s="30"/>
      <c r="P34" s="71">
        <f>'INSTRUCTION-2YR'!V32/'T E&amp;G 2YR'!V32*100</f>
        <v>22.771155301784255</v>
      </c>
      <c r="Q34" s="72">
        <f>('RESEARCH 2yr'!V32/'T E&amp;G 2YR'!V32)*100</f>
        <v>0</v>
      </c>
      <c r="R34" s="72">
        <f>'PUBLIC SERVICE 2yr'!V32/'T E&amp;G 2YR'!V32*100</f>
        <v>10.854313762283665</v>
      </c>
      <c r="S34" s="72">
        <f>'ASptISptSSv 2yr'!V32/'T E&amp;G 2YR'!V32*100</f>
        <v>21.829136496164487</v>
      </c>
      <c r="T34" s="73">
        <f>'PLANT OPER MAIN 2yr'!V32/'T E&amp;G 2YR'!V32*100</f>
        <v>0</v>
      </c>
      <c r="U34" s="72">
        <f>'SCHOLAR FELLOW 2yr'!V32/'T E&amp;G 2YR'!V32*100</f>
        <v>19.041283121011375</v>
      </c>
      <c r="V34" s="70">
        <f>IF((('All Other 2yr'!V32/'T E&amp;G 2YR'!V32)*100)&gt;=0.05,('All Other 2yr'!V32/'T E&amp;G 2YR'!V32)*100,"*")</f>
        <v>25.504111318756213</v>
      </c>
      <c r="W34" s="30"/>
      <c r="X34" s="52">
        <f t="shared" si="1"/>
        <v>100</v>
      </c>
      <c r="Y34" s="52">
        <f t="shared" si="9"/>
        <v>100</v>
      </c>
      <c r="Z34" s="55"/>
    </row>
    <row r="35" spans="1:26" s="56" customFormat="1">
      <c r="A35" s="98" t="s">
        <v>100</v>
      </c>
      <c r="B35" s="98"/>
      <c r="C35" s="111">
        <f>('INSTRUCTION-2YR'!AA33)/('T E&amp;G 2YR'!AA33)*100</f>
        <v>34.461625281536968</v>
      </c>
      <c r="D35" s="111">
        <f>IF((('RESEARCH 2yr'!AA33/'T E&amp;G 2YR'!AA33)*100)=0,('RESEARCH 2yr'!AA33/'T E&amp;G 2YR'!AA33)*100,IF((('RESEARCH 2yr'!AA33/'T E&amp;G 2YR'!AA33)*100)&gt;=0.05,('RESEARCH 2yr'!AA33/'T E&amp;G 2YR'!AA33)*100,"*"))</f>
        <v>0.48197463853918016</v>
      </c>
      <c r="E35" s="111">
        <f>'PUBLIC SERVICE 2yr'!AA33/'T E&amp;G 2YR'!AA33*100</f>
        <v>1.5642926760333016</v>
      </c>
      <c r="F35" s="111">
        <f>'ASptISptSSv 2yr'!AA33/'T E&amp;G 2YR'!AA33*100</f>
        <v>38.033119203806827</v>
      </c>
      <c r="G35" s="111">
        <f>'SCHOLAR FELLOW 2yr'!AA33/'T E&amp;G 2YR'!AA33*100</f>
        <v>16.980317770969027</v>
      </c>
      <c r="H35" s="111">
        <f>('All Other 2yr'!AA33/'T E&amp;G 2YR'!AA33)*100</f>
        <v>8.4786704291147146</v>
      </c>
      <c r="I35" s="116">
        <f t="shared" si="2"/>
        <v>4.4957489581502408</v>
      </c>
      <c r="J35" s="117">
        <f t="shared" si="3"/>
        <v>-0.69627767360142245</v>
      </c>
      <c r="K35" s="115">
        <f t="shared" si="4"/>
        <v>-0.99657944439220247</v>
      </c>
      <c r="L35" s="115">
        <f t="shared" si="5"/>
        <v>5.3476172528342119</v>
      </c>
      <c r="M35" s="115">
        <f t="shared" si="6"/>
        <v>-4.3456217862508026</v>
      </c>
      <c r="N35" s="115">
        <f t="shared" si="7"/>
        <v>-3.8048873067400084</v>
      </c>
      <c r="O35" s="30"/>
      <c r="P35" s="71">
        <f>'INSTRUCTION-2YR'!V33/'T E&amp;G 2YR'!V33*100</f>
        <v>29.965876323386727</v>
      </c>
      <c r="Q35" s="72">
        <f>('RESEARCH 2yr'!V33/'T E&amp;G 2YR'!V33)*100</f>
        <v>1.1782523121406026</v>
      </c>
      <c r="R35" s="72">
        <f>'PUBLIC SERVICE 2yr'!V33/'T E&amp;G 2YR'!V33*100</f>
        <v>2.5608721204255041</v>
      </c>
      <c r="S35" s="72">
        <f>'ASptISptSSv 2yr'!V33/'T E&amp;G 2YR'!V33*100</f>
        <v>32.685501950972615</v>
      </c>
      <c r="T35" s="73">
        <f>'PLANT OPER MAIN 2yr'!V33/'T E&amp;G 2YR'!V33*100</f>
        <v>0</v>
      </c>
      <c r="U35" s="72">
        <f>'SCHOLAR FELLOW 2yr'!V33/'T E&amp;G 2YR'!V33*100</f>
        <v>21.325939557219829</v>
      </c>
      <c r="V35" s="70">
        <f>IF((('All Other 2yr'!V33/'T E&amp;G 2YR'!V33)*100)&gt;=0.05,('All Other 2yr'!V33/'T E&amp;G 2YR'!V33)*100,"*")</f>
        <v>12.283557735854723</v>
      </c>
      <c r="W35" s="30"/>
      <c r="X35" s="52">
        <f t="shared" si="1"/>
        <v>100</v>
      </c>
      <c r="Y35" s="52">
        <f t="shared" si="9"/>
        <v>100.00000000000001</v>
      </c>
      <c r="Z35" s="55"/>
    </row>
    <row r="36" spans="1:26" s="56" customFormat="1">
      <c r="A36" s="98" t="s">
        <v>102</v>
      </c>
      <c r="B36" s="98"/>
      <c r="C36" s="111">
        <f>('INSTRUCTION-2YR'!AA34)/('T E&amp;G 2YR'!AA34)*100</f>
        <v>46.904810288869882</v>
      </c>
      <c r="D36" s="111" t="str">
        <f>IF((('RESEARCH 2yr'!AA34/'T E&amp;G 2YR'!AA34)*100)=0,('RESEARCH 2yr'!AA34/'T E&amp;G 2YR'!AA34)*100,IF((('RESEARCH 2yr'!AA34/'T E&amp;G 2YR'!AA34)*100)&gt;=0.05,('RESEARCH 2yr'!AA34/'T E&amp;G 2YR'!AA34)*100,"*"))</f>
        <v>*</v>
      </c>
      <c r="E36" s="111">
        <f>'PUBLIC SERVICE 2yr'!AA34/'T E&amp;G 2YR'!AA34*100</f>
        <v>0.15529683119032259</v>
      </c>
      <c r="F36" s="111">
        <f>'ASptISptSSv 2yr'!AA34/'T E&amp;G 2YR'!AA34*100</f>
        <v>28.63584624727628</v>
      </c>
      <c r="G36" s="111">
        <f>'SCHOLAR FELLOW 2yr'!AA34/'T E&amp;G 2YR'!AA34*100</f>
        <v>22.786258797234382</v>
      </c>
      <c r="H36" s="111">
        <f>('All Other 2yr'!AA34/'T E&amp;G 2YR'!AA34)*100</f>
        <v>1.4846555373798886</v>
      </c>
      <c r="I36" s="116">
        <f t="shared" si="2"/>
        <v>-1.8410279888496248</v>
      </c>
      <c r="J36" s="117">
        <f t="shared" si="3"/>
        <v>0</v>
      </c>
      <c r="K36" s="115">
        <f t="shared" si="4"/>
        <v>7.6615000606293185E-2</v>
      </c>
      <c r="L36" s="115">
        <f t="shared" si="5"/>
        <v>-1.3898997819957977</v>
      </c>
      <c r="M36" s="115">
        <f t="shared" si="6"/>
        <v>5.5257644132409744</v>
      </c>
      <c r="N36" s="115">
        <f t="shared" si="7"/>
        <v>-2.4045839410510972</v>
      </c>
      <c r="O36" s="30"/>
      <c r="P36" s="71">
        <f>'INSTRUCTION-2YR'!V34/'T E&amp;G 2YR'!V34*100</f>
        <v>48.745838277719507</v>
      </c>
      <c r="Q36" s="72">
        <f>('RESEARCH 2yr'!V34/'T E&amp;G 2YR'!V34)*100</f>
        <v>0</v>
      </c>
      <c r="R36" s="72">
        <f>'PUBLIC SERVICE 2yr'!V34/'T E&amp;G 2YR'!V34*100</f>
        <v>7.8681830584029402E-2</v>
      </c>
      <c r="S36" s="72">
        <f>'ASptISptSSv 2yr'!V34/'T E&amp;G 2YR'!V34*100</f>
        <v>30.025746029272078</v>
      </c>
      <c r="T36" s="73">
        <f>'PLANT OPER MAIN 2yr'!V34/'T E&amp;G 2YR'!V34*100</f>
        <v>0</v>
      </c>
      <c r="U36" s="72">
        <f>'SCHOLAR FELLOW 2yr'!V34/'T E&amp;G 2YR'!V34*100</f>
        <v>17.260494383993407</v>
      </c>
      <c r="V36" s="70">
        <f>IF((('All Other 2yr'!V34/'T E&amp;G 2YR'!V34)*100)&gt;=0.05,('All Other 2yr'!V34/'T E&amp;G 2YR'!V34)*100,"*")</f>
        <v>3.8892394784309858</v>
      </c>
      <c r="W36" s="30"/>
      <c r="X36" s="52">
        <f t="shared" si="1"/>
        <v>100</v>
      </c>
      <c r="Y36" s="52">
        <f t="shared" si="9"/>
        <v>99.966867701950761</v>
      </c>
      <c r="Z36" s="55"/>
    </row>
    <row r="37" spans="1:26" s="56" customFormat="1">
      <c r="A37" s="97" t="s">
        <v>105</v>
      </c>
      <c r="B37" s="97"/>
      <c r="C37" s="113">
        <f>('INSTRUCTION-2YR'!AA35)/('T E&amp;G 2YR'!AA35)*100</f>
        <v>40.266778353164881</v>
      </c>
      <c r="D37" s="113" t="str">
        <f>IF((('RESEARCH 2yr'!AA35/'T E&amp;G 2YR'!AA35)*100)=0,('RESEARCH 2yr'!AA35/'T E&amp;G 2YR'!AA35)*100,IF((('RESEARCH 2yr'!AA35/'T E&amp;G 2YR'!AA35)*100)&gt;=0.05,('RESEARCH 2yr'!AA35/'T E&amp;G 2YR'!AA35)*100,"*"))</f>
        <v>*</v>
      </c>
      <c r="E37" s="113">
        <f>'PUBLIC SERVICE 2yr'!AA35/'T E&amp;G 2YR'!AA35*100</f>
        <v>3.5136381230930458</v>
      </c>
      <c r="F37" s="113">
        <f>'ASptISptSSv 2yr'!AA35/'T E&amp;G 2YR'!AA35*100</f>
        <v>34.40328503585053</v>
      </c>
      <c r="G37" s="113">
        <f>'SCHOLAR FELLOW 2yr'!AA35/'T E&amp;G 2YR'!AA35*100</f>
        <v>18.825504048030769</v>
      </c>
      <c r="H37" s="113">
        <f>('All Other 2yr'!AA35/'T E&amp;G 2YR'!AA35)*100</f>
        <v>2.9490587861828255</v>
      </c>
      <c r="I37" s="114">
        <f t="shared" si="2"/>
        <v>1.2049001220769995</v>
      </c>
      <c r="J37" s="127" t="str">
        <f t="shared" si="3"/>
        <v>*</v>
      </c>
      <c r="K37" s="113">
        <f t="shared" si="4"/>
        <v>-1.719089430434575</v>
      </c>
      <c r="L37" s="113">
        <f t="shared" si="5"/>
        <v>6.689214647364512</v>
      </c>
      <c r="M37" s="113">
        <f t="shared" si="6"/>
        <v>-3.0634327375728354</v>
      </c>
      <c r="N37" s="113">
        <f t="shared" si="7"/>
        <v>-3.1489406126304624</v>
      </c>
      <c r="O37" s="30"/>
      <c r="P37" s="71">
        <f>'INSTRUCTION-2YR'!V35/'T E&amp;G 2YR'!V35*100</f>
        <v>39.061878231087881</v>
      </c>
      <c r="Q37" s="72">
        <f>('RESEARCH 2yr'!V35/'T E&amp;G 2YR'!V35)*100</f>
        <v>4.3876424815922441E-3</v>
      </c>
      <c r="R37" s="72">
        <f>'PUBLIC SERVICE 2yr'!V35/'T E&amp;G 2YR'!V35*100</f>
        <v>5.2327275535276208</v>
      </c>
      <c r="S37" s="72">
        <f>'ASptISptSSv 2yr'!V35/'T E&amp;G 2YR'!V35*100</f>
        <v>27.714070388486018</v>
      </c>
      <c r="T37" s="73">
        <f>'PLANT OPER MAIN 2yr'!V35/'T E&amp;G 2YR'!V35*100</f>
        <v>0</v>
      </c>
      <c r="U37" s="72">
        <f>'SCHOLAR FELLOW 2yr'!V35/'T E&amp;G 2YR'!V35*100</f>
        <v>21.888936785603605</v>
      </c>
      <c r="V37" s="70">
        <f>IF((('All Other 2yr'!V35/'T E&amp;G 2YR'!V35)*100)&gt;=0.05,('All Other 2yr'!V35/'T E&amp;G 2YR'!V35)*100,"*")</f>
        <v>6.0979993988132879</v>
      </c>
      <c r="W37" s="30"/>
      <c r="X37" s="52">
        <f t="shared" si="1"/>
        <v>100</v>
      </c>
      <c r="Y37" s="52">
        <f t="shared" si="9"/>
        <v>99.958264346322053</v>
      </c>
      <c r="Z37" s="55"/>
    </row>
    <row r="38" spans="1:26" s="56" customFormat="1">
      <c r="A38" s="97" t="s">
        <v>109</v>
      </c>
      <c r="B38" s="97"/>
      <c r="C38" s="113">
        <f>('INSTRUCTION-2YR'!AA36)/('T E&amp;G 2YR'!AA36)*100</f>
        <v>41.470115570609828</v>
      </c>
      <c r="D38" s="113">
        <f>IF((('RESEARCH 2yr'!AA36/'T E&amp;G 2YR'!AA36)*100)=0,('RESEARCH 2yr'!AA36/'T E&amp;G 2YR'!AA36)*100,IF((('RESEARCH 2yr'!AA36/'T E&amp;G 2YR'!AA36)*100)&gt;=0.05,('RESEARCH 2yr'!AA36/'T E&amp;G 2YR'!AA36)*100,"*"))</f>
        <v>7.9558703867457226E-2</v>
      </c>
      <c r="E38" s="113">
        <f>'PUBLIC SERVICE 2yr'!AA36/'T E&amp;G 2YR'!AA36*100</f>
        <v>2.5976551273549244</v>
      </c>
      <c r="F38" s="113">
        <f>'ASptISptSSv 2yr'!AA36/'T E&amp;G 2YR'!AA36*100</f>
        <v>32.286444990966189</v>
      </c>
      <c r="G38" s="113">
        <f>'SCHOLAR FELLOW 2yr'!AA36/'T E&amp;G 2YR'!AA36*100</f>
        <v>21.615816557396695</v>
      </c>
      <c r="H38" s="113">
        <f>('All Other 2yr'!AA36/'T E&amp;G 2YR'!AA36)*100</f>
        <v>1.9504090498048996</v>
      </c>
      <c r="I38" s="114">
        <f t="shared" si="2"/>
        <v>0.8383482330418488</v>
      </c>
      <c r="J38" s="127" t="str">
        <f t="shared" si="3"/>
        <v>*</v>
      </c>
      <c r="K38" s="113">
        <f t="shared" si="4"/>
        <v>-1.1487072615172207</v>
      </c>
      <c r="L38" s="113">
        <f t="shared" si="5"/>
        <v>3.1142680026105509</v>
      </c>
      <c r="M38" s="113">
        <f t="shared" si="6"/>
        <v>-1.8657321135803961</v>
      </c>
      <c r="N38" s="113">
        <f t="shared" si="7"/>
        <v>-0.95297045543704262</v>
      </c>
      <c r="O38" s="30"/>
      <c r="P38" s="71">
        <f>'INSTRUCTION-2YR'!V36/'T E&amp;G 2YR'!V36*100</f>
        <v>40.631767337567979</v>
      </c>
      <c r="Q38" s="72">
        <f>('RESEARCH 2yr'!V36/'T E&amp;G 2YR'!V36)*100</f>
        <v>6.4765108985192041E-2</v>
      </c>
      <c r="R38" s="72">
        <f>'PUBLIC SERVICE 2yr'!V36/'T E&amp;G 2YR'!V36*100</f>
        <v>3.7463623888721451</v>
      </c>
      <c r="S38" s="72">
        <f>'ASptISptSSv 2yr'!V36/'T E&amp;G 2YR'!V36*100</f>
        <v>29.172176988355638</v>
      </c>
      <c r="T38" s="73">
        <f>'PLANT OPER MAIN 2yr'!V36/'T E&amp;G 2YR'!V36*100</f>
        <v>0</v>
      </c>
      <c r="U38" s="72">
        <f>'SCHOLAR FELLOW 2yr'!V36/'T E&amp;G 2YR'!V36*100</f>
        <v>23.481548670977091</v>
      </c>
      <c r="V38" s="70">
        <f>IF((('All Other 2yr'!V36/'T E&amp;G 2YR'!V36)*100)&gt;=0.05,('All Other 2yr'!V36/'T E&amp;G 2YR'!V36)*100,"*")</f>
        <v>2.9033795052419422</v>
      </c>
      <c r="W38" s="30"/>
      <c r="X38" s="52">
        <f t="shared" si="1"/>
        <v>99.999999999999986</v>
      </c>
      <c r="Y38" s="52">
        <f t="shared" si="9"/>
        <v>100</v>
      </c>
      <c r="Z38" s="55"/>
    </row>
    <row r="39" spans="1:26" s="56" customFormat="1">
      <c r="A39" s="97" t="s">
        <v>113</v>
      </c>
      <c r="B39" s="97"/>
      <c r="C39" s="113">
        <f>('INSTRUCTION-2YR'!AA37)/('T E&amp;G 2YR'!AA37)*100</f>
        <v>41.515416538872834</v>
      </c>
      <c r="D39" s="113" t="str">
        <f>IF((('RESEARCH 2yr'!AA37/'T E&amp;G 2YR'!AA37)*100)=0,('RESEARCH 2yr'!AA37/'T E&amp;G 2YR'!AA37)*100,IF((('RESEARCH 2yr'!AA37/'T E&amp;G 2YR'!AA37)*100)&gt;=0.05,('RESEARCH 2yr'!AA37/'T E&amp;G 2YR'!AA37)*100,"*"))</f>
        <v>*</v>
      </c>
      <c r="E39" s="113">
        <f>'PUBLIC SERVICE 2yr'!AA37/'T E&amp;G 2YR'!AA37*100</f>
        <v>2.6355519438462522</v>
      </c>
      <c r="F39" s="113">
        <f>'ASptISptSSv 2yr'!AA37/'T E&amp;G 2YR'!AA37*100</f>
        <v>35.668467120491478</v>
      </c>
      <c r="G39" s="113">
        <f>'SCHOLAR FELLOW 2yr'!AA37/'T E&amp;G 2YR'!AA37*100</f>
        <v>16.723656518607207</v>
      </c>
      <c r="H39" s="113">
        <f>('All Other 2yr'!AA37/'T E&amp;G 2YR'!AA37)*100</f>
        <v>3.4159487887950544</v>
      </c>
      <c r="I39" s="114">
        <f t="shared" si="2"/>
        <v>-8.1522218353484774</v>
      </c>
      <c r="J39" s="127">
        <f t="shared" si="3"/>
        <v>-5.3757687820040097E-2</v>
      </c>
      <c r="K39" s="113">
        <f t="shared" si="4"/>
        <v>0.99874880646896846</v>
      </c>
      <c r="L39" s="113">
        <f t="shared" si="5"/>
        <v>7.8778999000624772</v>
      </c>
      <c r="M39" s="113">
        <f t="shared" si="6"/>
        <v>-2.9288841949582149</v>
      </c>
      <c r="N39" s="113">
        <f t="shared" si="7"/>
        <v>2.2172559222081101</v>
      </c>
      <c r="O39" s="30"/>
      <c r="P39" s="71">
        <f>'INSTRUCTION-2YR'!V37/'T E&amp;G 2YR'!V37*100</f>
        <v>49.667638374221312</v>
      </c>
      <c r="Q39" s="72">
        <f>('RESEARCH 2yr'!V37/'T E&amp;G 2YR'!V37)*100</f>
        <v>5.3757687820040097E-2</v>
      </c>
      <c r="R39" s="72">
        <f>'PUBLIC SERVICE 2yr'!V37/'T E&amp;G 2YR'!V37*100</f>
        <v>1.6368031373772838</v>
      </c>
      <c r="S39" s="72">
        <f>'ASptISptSSv 2yr'!V37/'T E&amp;G 2YR'!V37*100</f>
        <v>27.790567220429001</v>
      </c>
      <c r="T39" s="73">
        <f>'PLANT OPER MAIN 2yr'!V37/'T E&amp;G 2YR'!V37*100</f>
        <v>0</v>
      </c>
      <c r="U39" s="72">
        <f>'SCHOLAR FELLOW 2yr'!V37/'T E&amp;G 2YR'!V37*100</f>
        <v>19.652540713565422</v>
      </c>
      <c r="V39" s="70">
        <f>IF((('All Other 2yr'!V37/'T E&amp;G 2YR'!V37)*100)&gt;=0.05,('All Other 2yr'!V37/'T E&amp;G 2YR'!V37)*100,"*")</f>
        <v>1.1986928665869443</v>
      </c>
      <c r="W39" s="30"/>
      <c r="X39" s="52">
        <f t="shared" si="1"/>
        <v>99.999999999999986</v>
      </c>
      <c r="Y39" s="52">
        <f t="shared" si="9"/>
        <v>99.959040910612828</v>
      </c>
      <c r="Z39" s="55"/>
    </row>
    <row r="40" spans="1:26" s="56" customFormat="1">
      <c r="A40" s="97" t="s">
        <v>115</v>
      </c>
      <c r="B40" s="97"/>
      <c r="C40" s="113">
        <f>('INSTRUCTION-2YR'!AA38)/('T E&amp;G 2YR'!AA38)*100</f>
        <v>43.183203801093732</v>
      </c>
      <c r="D40" s="113">
        <f>IF((('RESEARCH 2yr'!AA38/'T E&amp;G 2YR'!AA38)*100)=0,('RESEARCH 2yr'!AA38/'T E&amp;G 2YR'!AA38)*100,IF((('RESEARCH 2yr'!AA38/'T E&amp;G 2YR'!AA38)*100)&gt;=0.05,('RESEARCH 2yr'!AA38/'T E&amp;G 2YR'!AA38)*100,"*"))</f>
        <v>0</v>
      </c>
      <c r="E40" s="113">
        <f>'PUBLIC SERVICE 2yr'!AA38/'T E&amp;G 2YR'!AA38*100</f>
        <v>0</v>
      </c>
      <c r="F40" s="113">
        <f>'ASptISptSSv 2yr'!AA38/'T E&amp;G 2YR'!AA38*100</f>
        <v>32.027511408131829</v>
      </c>
      <c r="G40" s="113">
        <f>'SCHOLAR FELLOW 2yr'!AA38/'T E&amp;G 2YR'!AA38*100</f>
        <v>22.808784443779544</v>
      </c>
      <c r="H40" s="113">
        <f>('All Other 2yr'!AA38/'T E&amp;G 2YR'!AA38)*100</f>
        <v>1.9805003469948832</v>
      </c>
      <c r="I40" s="114">
        <f t="shared" si="2"/>
        <v>-5.9718504885142281</v>
      </c>
      <c r="J40" s="127">
        <f t="shared" si="3"/>
        <v>0</v>
      </c>
      <c r="K40" s="113">
        <f t="shared" si="4"/>
        <v>0</v>
      </c>
      <c r="L40" s="113">
        <f t="shared" si="5"/>
        <v>4.1386182459749818</v>
      </c>
      <c r="M40" s="113">
        <f t="shared" si="6"/>
        <v>1.6378515665969289</v>
      </c>
      <c r="N40" s="113">
        <f t="shared" si="7"/>
        <v>0.19538067594230135</v>
      </c>
      <c r="O40" s="30"/>
      <c r="P40" s="71">
        <f>'INSTRUCTION-2YR'!V38/'T E&amp;G 2YR'!V38*100</f>
        <v>49.155054289607961</v>
      </c>
      <c r="Q40" s="72">
        <f>('RESEARCH 2yr'!V38/'T E&amp;G 2YR'!V38)*100</f>
        <v>0</v>
      </c>
      <c r="R40" s="72">
        <f>'PUBLIC SERVICE 2yr'!V38/'T E&amp;G 2YR'!V38*100</f>
        <v>0</v>
      </c>
      <c r="S40" s="72">
        <f>'ASptISptSSv 2yr'!V38/'T E&amp;G 2YR'!V38*100</f>
        <v>27.888893162156847</v>
      </c>
      <c r="T40" s="73">
        <f>'PLANT OPER MAIN 2yr'!V38/'T E&amp;G 2YR'!V38*100</f>
        <v>0</v>
      </c>
      <c r="U40" s="72">
        <f>'SCHOLAR FELLOW 2yr'!V38/'T E&amp;G 2YR'!V38*100</f>
        <v>21.170932877182615</v>
      </c>
      <c r="V40" s="70">
        <f>IF((('All Other 2yr'!V38/'T E&amp;G 2YR'!V38)*100)&gt;=0.05,('All Other 2yr'!V38/'T E&amp;G 2YR'!V38)*100,"*")</f>
        <v>1.7851196710525818</v>
      </c>
      <c r="W40" s="30"/>
      <c r="X40" s="52">
        <f t="shared" si="1"/>
        <v>100.00000000000001</v>
      </c>
      <c r="Y40" s="52">
        <f t="shared" si="9"/>
        <v>99.999999999999986</v>
      </c>
      <c r="Z40" s="55"/>
    </row>
    <row r="41" spans="1:26" s="56" customFormat="1">
      <c r="A41" s="102" t="s">
        <v>117</v>
      </c>
      <c r="B41" s="102"/>
      <c r="C41" s="120">
        <f>('INSTRUCTION-2YR'!AA39)/('T E&amp;G 2YR'!AA39)*100</f>
        <v>39.339999197451306</v>
      </c>
      <c r="D41" s="120">
        <f>IF((('RESEARCH 2yr'!AA39/'T E&amp;G 2YR'!AA39)*100)=0,('RESEARCH 2yr'!AA39/'T E&amp;G 2YR'!AA39)*100,IF((('RESEARCH 2yr'!AA39/'T E&amp;G 2YR'!AA39)*100)&gt;=0.05,('RESEARCH 2yr'!AA39/'T E&amp;G 2YR'!AA39)*100,"*"))</f>
        <v>0.10495177122371033</v>
      </c>
      <c r="E41" s="120">
        <f>'PUBLIC SERVICE 2yr'!AA39/'T E&amp;G 2YR'!AA39*100</f>
        <v>1.024164974251748</v>
      </c>
      <c r="F41" s="120">
        <f>'ASptISptSSv 2yr'!AA39/'T E&amp;G 2YR'!AA39*100</f>
        <v>36.937826405831217</v>
      </c>
      <c r="G41" s="120">
        <f>'SCHOLAR FELLOW 2yr'!AA39/'T E&amp;G 2YR'!AA39*100</f>
        <v>13.324361476535799</v>
      </c>
      <c r="H41" s="178">
        <f>('All Other 2yr'!AA39/'T E&amp;G 2YR'!AA39)*100</f>
        <v>9.2686961747062178</v>
      </c>
      <c r="I41" s="121">
        <f t="shared" si="2"/>
        <v>-3.2695920642141516</v>
      </c>
      <c r="J41" s="120">
        <f t="shared" si="3"/>
        <v>6.9655236879257135E-2</v>
      </c>
      <c r="K41" s="120">
        <f t="shared" si="4"/>
        <v>-0.14094524939729514</v>
      </c>
      <c r="L41" s="120">
        <f t="shared" si="5"/>
        <v>2.9176257189343744</v>
      </c>
      <c r="M41" s="120">
        <f t="shared" si="6"/>
        <v>-1.1980408705097414</v>
      </c>
      <c r="N41" s="120">
        <f t="shared" si="7"/>
        <v>1.6212972283075562</v>
      </c>
      <c r="O41" s="30"/>
      <c r="P41" s="71">
        <f>'INSTRUCTION-2YR'!V39/'T E&amp;G 2YR'!V39*100</f>
        <v>42.609591261665457</v>
      </c>
      <c r="Q41" s="72">
        <f>('RESEARCH 2yr'!V39/'T E&amp;G 2YR'!V39)*100</f>
        <v>3.5296534344453193E-2</v>
      </c>
      <c r="R41" s="72">
        <f>'PUBLIC SERVICE 2yr'!V39/'T E&amp;G 2YR'!V39*100</f>
        <v>1.1651102236490432</v>
      </c>
      <c r="S41" s="72">
        <f>'ASptISptSSv 2yr'!V39/'T E&amp;G 2YR'!V39*100</f>
        <v>34.020200686896843</v>
      </c>
      <c r="T41" s="73">
        <f>'PLANT OPER MAIN 2yr'!V39/'T E&amp;G 2YR'!V39*100</f>
        <v>0</v>
      </c>
      <c r="U41" s="72">
        <f>'SCHOLAR FELLOW 2yr'!V39/'T E&amp;G 2YR'!V39*100</f>
        <v>14.52240234704554</v>
      </c>
      <c r="V41" s="70">
        <f>IF((('All Other 2yr'!V39/'T E&amp;G 2YR'!V39)*100)&gt;=0.05,('All Other 2yr'!V39/'T E&amp;G 2YR'!V39)*100,"*")</f>
        <v>7.6473989463986616</v>
      </c>
      <c r="W41" s="30"/>
      <c r="X41" s="52">
        <f t="shared" si="1"/>
        <v>100</v>
      </c>
      <c r="Y41" s="52">
        <f t="shared" si="9"/>
        <v>100</v>
      </c>
      <c r="Z41" s="55"/>
    </row>
    <row r="42" spans="1:26" s="56" customFormat="1">
      <c r="A42" s="101" t="s">
        <v>121</v>
      </c>
      <c r="B42" s="101"/>
      <c r="C42" s="111">
        <f>('INSTRUCTION-2YR'!AA40)/('T E&amp;G 2YR'!AA40)*100</f>
        <v>41.62269201315226</v>
      </c>
      <c r="D42" s="111">
        <f>IF((('RESEARCH 2yr'!AA40/'T E&amp;G 2YR'!AA40)*100)=0,('RESEARCH 2yr'!AA40/'T E&amp;G 2YR'!AA40)*100,IF((('RESEARCH 2yr'!AA40/'T E&amp;G 2YR'!AA40)*100)&gt;=0.05,('RESEARCH 2yr'!AA40/'T E&amp;G 2YR'!AA40)*100,"*"))</f>
        <v>5.4898173934252288E-2</v>
      </c>
      <c r="E42" s="111">
        <f>'PUBLIC SERVICE 2yr'!AA40/'T E&amp;G 2YR'!AA40*100</f>
        <v>2.2083584493660493</v>
      </c>
      <c r="F42" s="111">
        <f>'ASptISptSSv 2yr'!AA40/'T E&amp;G 2YR'!AA40*100</f>
        <v>34.6063929117825</v>
      </c>
      <c r="G42" s="111">
        <f>'SCHOLAR FELLOW 2yr'!AA40/'T E&amp;G 2YR'!AA40*100</f>
        <v>19.596855526585788</v>
      </c>
      <c r="H42" s="111">
        <f>('All Other 2yr'!AA40/'T E&amp;G 2YR'!AA40)*100</f>
        <v>1.910802925179141</v>
      </c>
      <c r="I42" s="112">
        <f t="shared" si="2"/>
        <v>0.11017476105282498</v>
      </c>
      <c r="J42" s="126" t="str">
        <f t="shared" si="3"/>
        <v>*</v>
      </c>
      <c r="K42" s="111">
        <f t="shared" si="4"/>
        <v>-0.27443389712014055</v>
      </c>
      <c r="L42" s="111">
        <f t="shared" si="5"/>
        <v>3.0025052716054788</v>
      </c>
      <c r="M42" s="111">
        <f t="shared" si="6"/>
        <v>-1.8380983952524801</v>
      </c>
      <c r="N42" s="111">
        <f t="shared" si="7"/>
        <v>-0.99765025525479456</v>
      </c>
      <c r="O42" s="30"/>
      <c r="P42" s="71">
        <f>'INSTRUCTION-2YR'!V40/'T E&amp;G 2YR'!V40*100</f>
        <v>41.512517252099435</v>
      </c>
      <c r="Q42" s="72">
        <f>('RESEARCH 2yr'!V40/'T E&amp;G 2YR'!V40)*100</f>
        <v>5.7395658965119042E-2</v>
      </c>
      <c r="R42" s="72">
        <f>'PUBLIC SERVICE 2yr'!V40/'T E&amp;G 2YR'!V40*100</f>
        <v>2.4827923464861898</v>
      </c>
      <c r="S42" s="72">
        <f>'ASptISptSSv 2yr'!V40/'T E&amp;G 2YR'!V40*100</f>
        <v>31.603887640177021</v>
      </c>
      <c r="T42" s="73">
        <f>'PLANT OPER MAIN 2yr'!V40/'T E&amp;G 2YR'!V40*100</f>
        <v>0</v>
      </c>
      <c r="U42" s="72">
        <f>'SCHOLAR FELLOW 2yr'!V40/'T E&amp;G 2YR'!V40*100</f>
        <v>21.434953921838268</v>
      </c>
      <c r="V42" s="70">
        <f>IF((('All Other 2yr'!V40/'T E&amp;G 2YR'!V40)*100)&gt;=0.05,('All Other 2yr'!V40/'T E&amp;G 2YR'!V40)*100,"*")</f>
        <v>2.9084531804339355</v>
      </c>
      <c r="W42" s="30"/>
      <c r="X42" s="52">
        <f t="shared" si="1"/>
        <v>99.999999999999972</v>
      </c>
      <c r="Y42" s="52">
        <f t="shared" si="9"/>
        <v>99.999999999999986</v>
      </c>
      <c r="Z42" s="55"/>
    </row>
    <row r="43" spans="1:26" s="56" customFormat="1">
      <c r="A43" s="101"/>
      <c r="B43" s="101"/>
      <c r="C43" s="111"/>
      <c r="D43" s="111"/>
      <c r="E43" s="111"/>
      <c r="F43" s="111"/>
      <c r="G43" s="111"/>
      <c r="H43" s="111"/>
      <c r="I43" s="112">
        <f t="shared" ref="I43:I66" si="10">IF((C43-P43)=0,(C43-P43),IF((C43-P43)&gt;=0.05,(C43-P43),IF((C43-P43&lt;=-0.05),(C43-P43),"*")))</f>
        <v>0</v>
      </c>
      <c r="J43" s="126">
        <f t="shared" ref="J43:J66" si="11">IF((D43-Q43)=0,(D43-Q43),IF((D43-Q43)&gt;=0.05,(D43-Q43),IF((D43-Q43&lt;=-0.05),(D43-Q43),"*")))</f>
        <v>0</v>
      </c>
      <c r="K43" s="111">
        <f t="shared" ref="K43:K66" si="12">IF((E43-R43)=0,(E43-R43),IF((E43-R43)&gt;=0.05,(E43-R43),IF((E43-R43&lt;=-0.05),(E43-R43),"*")))</f>
        <v>0</v>
      </c>
      <c r="L43" s="111">
        <f t="shared" ref="L43:L66" si="13">IF((F43-S43)=0,(F43-S43),IF((F43-S43)&gt;=0.05,(F43-S43),IF((F43-S43&lt;=-0.05),(F43-S43),"*")))</f>
        <v>0</v>
      </c>
      <c r="M43" s="111">
        <f t="shared" ref="M43:M66" si="14">IF((G43-U43)=0,(G43-U43),IF((G43-U43)&gt;=0.05,(G43-U43),IF((G43-U43&lt;=-0.05),(G43-U43),"*")))</f>
        <v>0</v>
      </c>
      <c r="N43" s="111">
        <f t="shared" ref="N43:N66" si="15">IF((H43-V43)=0,(H43-V43),IF((H43-V43)&gt;=0.05,(H43-V43),IF((H43-V43&lt;=-0.05),(H43-V43),"*")))</f>
        <v>0</v>
      </c>
      <c r="O43" s="30"/>
      <c r="P43" s="71"/>
      <c r="Q43" s="72"/>
      <c r="R43" s="72"/>
      <c r="S43" s="72"/>
      <c r="T43" s="73"/>
      <c r="U43" s="72"/>
      <c r="V43" s="70"/>
      <c r="W43" s="30"/>
      <c r="X43" s="52"/>
      <c r="Y43" s="52"/>
      <c r="Z43" s="55"/>
    </row>
    <row r="44" spans="1:26" s="56" customFormat="1">
      <c r="A44" s="97" t="s">
        <v>93</v>
      </c>
      <c r="B44" s="97"/>
      <c r="C44" s="113">
        <f>('INSTRUCTION-2YR'!AA42)/('T E&amp;G 2YR'!AA42)*100</f>
        <v>39.38199008885924</v>
      </c>
      <c r="D44" s="113" t="str">
        <f>IF((('RESEARCH 2yr'!AA42/'T E&amp;G 2YR'!AA42)*100)=0,('RESEARCH 2yr'!AA42/'T E&amp;G 2YR'!AA42)*100,IF((('RESEARCH 2yr'!AA42/'T E&amp;G 2YR'!AA42)*100)&gt;=0.05,('RESEARCH 2yr'!AA42/'T E&amp;G 2YR'!AA42)*100,"*"))</f>
        <v>*</v>
      </c>
      <c r="E44" s="113">
        <f>'PUBLIC SERVICE 2yr'!AA42/'T E&amp;G 2YR'!AA42*100</f>
        <v>3.5918665099098588</v>
      </c>
      <c r="F44" s="113">
        <f>'ASptISptSSv 2yr'!AA42/'T E&amp;G 2YR'!AA42*100</f>
        <v>37.147119488234921</v>
      </c>
      <c r="G44" s="113">
        <f>'SCHOLAR FELLOW 2yr'!AA42/'T E&amp;G 2YR'!AA42*100</f>
        <v>17.281598150296354</v>
      </c>
      <c r="H44" s="113">
        <f>('All Other 2yr'!AA42/'T E&amp;G 2YR'!AA42)*100</f>
        <v>2.5972037331290121</v>
      </c>
      <c r="I44" s="114">
        <f t="shared" si="10"/>
        <v>1.8962636051764861</v>
      </c>
      <c r="J44" s="127" t="str">
        <f t="shared" si="11"/>
        <v>*</v>
      </c>
      <c r="K44" s="113">
        <f t="shared" si="12"/>
        <v>-0.43985115816323717</v>
      </c>
      <c r="L44" s="113">
        <f t="shared" si="13"/>
        <v>2.8140945514781635</v>
      </c>
      <c r="M44" s="113">
        <f t="shared" si="14"/>
        <v>-2.3744673951357633</v>
      </c>
      <c r="N44" s="113">
        <f t="shared" si="15"/>
        <v>-1.8580574710363376</v>
      </c>
      <c r="O44" s="30"/>
      <c r="P44" s="71">
        <f>'INSTRUCTION-2YR'!V42/'T E&amp;G 2YR'!V42*100</f>
        <v>37.485726483682754</v>
      </c>
      <c r="Q44" s="72">
        <f>('RESEARCH 2yr'!V42/'T E&amp;G 2YR'!V42)*100</f>
        <v>3.820416188992766E-2</v>
      </c>
      <c r="R44" s="72">
        <f>'PUBLIC SERVICE 2yr'!V42/'T E&amp;G 2YR'!V42*100</f>
        <v>4.031717668073096</v>
      </c>
      <c r="S44" s="72">
        <f>'ASptISptSSv 2yr'!V42/'T E&amp;G 2YR'!V42*100</f>
        <v>34.333024936756757</v>
      </c>
      <c r="T44" s="73">
        <f>'PLANT OPER MAIN 2yr'!V42/'T E&amp;G 2YR'!V42*100</f>
        <v>0</v>
      </c>
      <c r="U44" s="72">
        <f>'SCHOLAR FELLOW 2yr'!V42/'T E&amp;G 2YR'!V42*100</f>
        <v>19.656065545432117</v>
      </c>
      <c r="V44" s="70">
        <f>IF((('All Other 2yr'!V42/'T E&amp;G 2YR'!V42)*100)&gt;=0.05,('All Other 2yr'!V42/'T E&amp;G 2YR'!V42)*100,"*")</f>
        <v>4.4552612041653497</v>
      </c>
      <c r="W44" s="30"/>
      <c r="X44" s="52">
        <f t="shared" si="1"/>
        <v>100</v>
      </c>
      <c r="Y44" s="52">
        <f t="shared" ref="Y44:Y56" si="16">SUM(C44:H44)</f>
        <v>99.999777970429378</v>
      </c>
      <c r="Z44" s="55"/>
    </row>
    <row r="45" spans="1:26" s="56" customFormat="1">
      <c r="A45" s="97" t="s">
        <v>58</v>
      </c>
      <c r="B45" s="97"/>
      <c r="C45" s="113">
        <f>('INSTRUCTION-2YR'!AA43)/('T E&amp;G 2YR'!AA43)*100</f>
        <v>36.877899571745807</v>
      </c>
      <c r="D45" s="113">
        <f>IF((('RESEARCH 2yr'!AA43/'T E&amp;G 2YR'!AA43)*100)=0,('RESEARCH 2yr'!AA43/'T E&amp;G 2YR'!AA43)*100,IF((('RESEARCH 2yr'!AA43/'T E&amp;G 2YR'!AA43)*100)&gt;=0.05,('RESEARCH 2yr'!AA43/'T E&amp;G 2YR'!AA43)*100,"*"))</f>
        <v>0</v>
      </c>
      <c r="E45" s="113">
        <f>'PUBLIC SERVICE 2yr'!AA43/'T E&amp;G 2YR'!AA43*100</f>
        <v>1.589939553567661</v>
      </c>
      <c r="F45" s="113">
        <f>'ASptISptSSv 2yr'!AA43/'T E&amp;G 2YR'!AA43*100</f>
        <v>30.923017400929893</v>
      </c>
      <c r="G45" s="113">
        <f>'SCHOLAR FELLOW 2yr'!AA43/'T E&amp;G 2YR'!AA43*100</f>
        <v>30.509581029858811</v>
      </c>
      <c r="H45" s="113">
        <f>('All Other 2yr'!AA43/'T E&amp;G 2YR'!AA43)*100</f>
        <v>9.9562443897837416E-2</v>
      </c>
      <c r="I45" s="114">
        <f t="shared" si="10"/>
        <v>-0.68832978469728801</v>
      </c>
      <c r="J45" s="127">
        <f t="shared" si="11"/>
        <v>0</v>
      </c>
      <c r="K45" s="113">
        <f t="shared" si="12"/>
        <v>0.74134381530493032</v>
      </c>
      <c r="L45" s="113">
        <f t="shared" si="13"/>
        <v>7.2764259020022166</v>
      </c>
      <c r="M45" s="113">
        <f t="shared" si="14"/>
        <v>-7.2911459208541025</v>
      </c>
      <c r="N45" s="113" t="str">
        <f t="shared" si="15"/>
        <v>*</v>
      </c>
      <c r="O45" s="30"/>
      <c r="P45" s="71">
        <f>'INSTRUCTION-2YR'!V43/'T E&amp;G 2YR'!V43*100</f>
        <v>37.566229356443095</v>
      </c>
      <c r="Q45" s="72">
        <f>('RESEARCH 2yr'!V43/'T E&amp;G 2YR'!V43)*100</f>
        <v>0</v>
      </c>
      <c r="R45" s="72">
        <f>'PUBLIC SERVICE 2yr'!V43/'T E&amp;G 2YR'!V43*100</f>
        <v>0.84859573826273071</v>
      </c>
      <c r="S45" s="72">
        <f>'ASptISptSSv 2yr'!V43/'T E&amp;G 2YR'!V43*100</f>
        <v>23.646591498927677</v>
      </c>
      <c r="T45" s="73">
        <f>'PLANT OPER MAIN 2yr'!V43/'T E&amp;G 2YR'!V43*100</f>
        <v>0</v>
      </c>
      <c r="U45" s="72">
        <f>'SCHOLAR FELLOW 2yr'!V43/'T E&amp;G 2YR'!V43*100</f>
        <v>37.800726950712914</v>
      </c>
      <c r="V45" s="70">
        <f>IF((('All Other 2yr'!V43/'T E&amp;G 2YR'!V43)*100)&gt;=0.05,('All Other 2yr'!V43/'T E&amp;G 2YR'!V43)*100,"*")</f>
        <v>0.13785645565359089</v>
      </c>
      <c r="W45" s="30"/>
      <c r="X45" s="52">
        <f t="shared" si="1"/>
        <v>100.00000000000001</v>
      </c>
      <c r="Y45" s="52">
        <f t="shared" si="16"/>
        <v>100.00000000000001</v>
      </c>
      <c r="Z45" s="55"/>
    </row>
    <row r="46" spans="1:26" s="56" customFormat="1">
      <c r="A46" s="97" t="s">
        <v>94</v>
      </c>
      <c r="B46" s="97"/>
      <c r="C46" s="113">
        <f>('INSTRUCTION-2YR'!AA44)/('T E&amp;G 2YR'!AA44)*100</f>
        <v>46.011771939734899</v>
      </c>
      <c r="D46" s="113">
        <f>IF((('RESEARCH 2yr'!AA44/'T E&amp;G 2YR'!AA44)*100)=0,('RESEARCH 2yr'!AA44/'T E&amp;G 2YR'!AA44)*100,IF((('RESEARCH 2yr'!AA44/'T E&amp;G 2YR'!AA44)*100)&gt;=0.05,('RESEARCH 2yr'!AA44/'T E&amp;G 2YR'!AA44)*100,"*"))</f>
        <v>0</v>
      </c>
      <c r="E46" s="113">
        <f>'PUBLIC SERVICE 2yr'!AA44/'T E&amp;G 2YR'!AA44*100</f>
        <v>1.9090131360574976</v>
      </c>
      <c r="F46" s="113">
        <f>'ASptISptSSv 2yr'!AA44/'T E&amp;G 2YR'!AA44*100</f>
        <v>31.919816889944798</v>
      </c>
      <c r="G46" s="113">
        <f>'SCHOLAR FELLOW 2yr'!AA44/'T E&amp;G 2YR'!AA44*100</f>
        <v>16.25696437153988</v>
      </c>
      <c r="H46" s="113">
        <f>('All Other 2yr'!AA44/'T E&amp;G 2YR'!AA44)*100</f>
        <v>3.9024336627229359</v>
      </c>
      <c r="I46" s="114">
        <f t="shared" si="10"/>
        <v>3.1753672660076759</v>
      </c>
      <c r="J46" s="127" t="str">
        <f t="shared" si="11"/>
        <v>*</v>
      </c>
      <c r="K46" s="113">
        <f t="shared" si="12"/>
        <v>-1.9338978653446297</v>
      </c>
      <c r="L46" s="113">
        <f t="shared" si="13"/>
        <v>3.8363454019245644</v>
      </c>
      <c r="M46" s="113">
        <f t="shared" si="14"/>
        <v>-6.1901814442899195</v>
      </c>
      <c r="N46" s="113">
        <f t="shared" si="15"/>
        <v>1.1260392573507394</v>
      </c>
      <c r="O46" s="30"/>
      <c r="P46" s="71">
        <f>'INSTRUCTION-2YR'!V44/'T E&amp;G 2YR'!V44*100</f>
        <v>42.836404673727223</v>
      </c>
      <c r="Q46" s="72">
        <f>('RESEARCH 2yr'!V44/'T E&amp;G 2YR'!V44)*100</f>
        <v>1.3672615648415029E-2</v>
      </c>
      <c r="R46" s="72">
        <f>'PUBLIC SERVICE 2yr'!V44/'T E&amp;G 2YR'!V44*100</f>
        <v>3.8429110014021273</v>
      </c>
      <c r="S46" s="72">
        <f>'ASptISptSSv 2yr'!V44/'T E&amp;G 2YR'!V44*100</f>
        <v>28.083471488020233</v>
      </c>
      <c r="T46" s="73">
        <f>'PLANT OPER MAIN 2yr'!V44/'T E&amp;G 2YR'!V44*100</f>
        <v>0</v>
      </c>
      <c r="U46" s="72">
        <f>'SCHOLAR FELLOW 2yr'!V44/'T E&amp;G 2YR'!V44*100</f>
        <v>22.447145815829799</v>
      </c>
      <c r="V46" s="70">
        <f>IF((('All Other 2yr'!V44/'T E&amp;G 2YR'!V44)*100)&gt;=0.05,('All Other 2yr'!V44/'T E&amp;G 2YR'!V44)*100,"*")</f>
        <v>2.7763944053721965</v>
      </c>
      <c r="W46" s="30"/>
      <c r="X46" s="52">
        <f t="shared" si="1"/>
        <v>100</v>
      </c>
      <c r="Y46" s="52">
        <f t="shared" si="16"/>
        <v>100.00000000000001</v>
      </c>
      <c r="Z46" s="55"/>
    </row>
    <row r="47" spans="1:26" s="56" customFormat="1">
      <c r="A47" s="97" t="s">
        <v>95</v>
      </c>
      <c r="B47" s="97"/>
      <c r="C47" s="113">
        <f>('INSTRUCTION-2YR'!AA45)/('T E&amp;G 2YR'!AA45)*100</f>
        <v>39.119824829449286</v>
      </c>
      <c r="D47" s="113" t="str">
        <f>IF((('RESEARCH 2yr'!AA45/'T E&amp;G 2YR'!AA45)*100)=0,('RESEARCH 2yr'!AA45/'T E&amp;G 2YR'!AA45)*100,IF((('RESEARCH 2yr'!AA45/'T E&amp;G 2YR'!AA45)*100)&gt;=0.05,('RESEARCH 2yr'!AA45/'T E&amp;G 2YR'!AA45)*100,"*"))</f>
        <v>*</v>
      </c>
      <c r="E47" s="113">
        <f>'PUBLIC SERVICE 2yr'!AA45/'T E&amp;G 2YR'!AA45*100</f>
        <v>0.97088388910122558</v>
      </c>
      <c r="F47" s="113">
        <f>'ASptISptSSv 2yr'!AA45/'T E&amp;G 2YR'!AA45*100</f>
        <v>39.727818034358926</v>
      </c>
      <c r="G47" s="113">
        <f>'SCHOLAR FELLOW 2yr'!AA45/'T E&amp;G 2YR'!AA45*100</f>
        <v>14.959120371739973</v>
      </c>
      <c r="H47" s="113">
        <f>('All Other 2yr'!AA45/'T E&amp;G 2YR'!AA45)*100</f>
        <v>5.1739193170995232</v>
      </c>
      <c r="I47" s="114">
        <f t="shared" si="10"/>
        <v>-0.98949147423019923</v>
      </c>
      <c r="J47" s="127" t="str">
        <f t="shared" si="11"/>
        <v>*</v>
      </c>
      <c r="K47" s="113" t="str">
        <f t="shared" si="12"/>
        <v>*</v>
      </c>
      <c r="L47" s="113">
        <f t="shared" si="13"/>
        <v>3.7141793958293405</v>
      </c>
      <c r="M47" s="113">
        <f t="shared" si="14"/>
        <v>-2.541554208979198</v>
      </c>
      <c r="N47" s="113">
        <f t="shared" si="15"/>
        <v>-0.23371026774303605</v>
      </c>
      <c r="O47" s="30"/>
      <c r="P47" s="71">
        <f>'INSTRUCTION-2YR'!V45/'T E&amp;G 2YR'!V45*100</f>
        <v>40.109316303679485</v>
      </c>
      <c r="Q47" s="72">
        <f>('RESEARCH 2yr'!V45/'T E&amp;G 2YR'!V45)*100</f>
        <v>2.8947324767243859E-2</v>
      </c>
      <c r="R47" s="72">
        <f>'PUBLIC SERVICE 2yr'!V45/'T E&amp;G 2YR'!V45*100</f>
        <v>0.93979356746194898</v>
      </c>
      <c r="S47" s="72">
        <f>'ASptISptSSv 2yr'!V45/'T E&amp;G 2YR'!V45*100</f>
        <v>36.013638638529585</v>
      </c>
      <c r="T47" s="73">
        <f>'PLANT OPER MAIN 2yr'!V45/'T E&amp;G 2YR'!V45*100</f>
        <v>0</v>
      </c>
      <c r="U47" s="72">
        <f>'SCHOLAR FELLOW 2yr'!V45/'T E&amp;G 2YR'!V45*100</f>
        <v>17.500674580719171</v>
      </c>
      <c r="V47" s="70">
        <f>IF((('All Other 2yr'!V45/'T E&amp;G 2YR'!V45)*100)&gt;=0.05,('All Other 2yr'!V45/'T E&amp;G 2YR'!V45)*100,"*")</f>
        <v>5.4076295848425593</v>
      </c>
      <c r="W47" s="30"/>
      <c r="X47" s="52">
        <f t="shared" si="1"/>
        <v>99.999999999999986</v>
      </c>
      <c r="Y47" s="52">
        <f t="shared" si="16"/>
        <v>99.951566441748923</v>
      </c>
      <c r="Z47" s="55"/>
    </row>
    <row r="48" spans="1:26" s="56" customFormat="1">
      <c r="A48" s="98" t="s">
        <v>98</v>
      </c>
      <c r="B48" s="98"/>
      <c r="C48" s="111">
        <f>('INSTRUCTION-2YR'!AA46)/('T E&amp;G 2YR'!AA46)*100</f>
        <v>41.02090985129054</v>
      </c>
      <c r="D48" s="111" t="str">
        <f>IF((('RESEARCH 2yr'!AA46/'T E&amp;G 2YR'!AA46)*100)=0,('RESEARCH 2yr'!AA46/'T E&amp;G 2YR'!AA46)*100,IF((('RESEARCH 2yr'!AA46/'T E&amp;G 2YR'!AA46)*100)&gt;=0.05,('RESEARCH 2yr'!AA46/'T E&amp;G 2YR'!AA46)*100,"*"))</f>
        <v>*</v>
      </c>
      <c r="E48" s="111">
        <f>'PUBLIC SERVICE 2yr'!AA46/'T E&amp;G 2YR'!AA46*100</f>
        <v>2.1501656167470009</v>
      </c>
      <c r="F48" s="111">
        <f>'ASptISptSSv 2yr'!AA46/'T E&amp;G 2YR'!AA46*100</f>
        <v>36.632734863727968</v>
      </c>
      <c r="G48" s="111">
        <f>'SCHOLAR FELLOW 2yr'!AA46/'T E&amp;G 2YR'!AA46*100</f>
        <v>19.706533951313741</v>
      </c>
      <c r="H48" s="111">
        <f>('All Other 2yr'!AA46/'T E&amp;G 2YR'!AA46)*100</f>
        <v>0.45829025264112389</v>
      </c>
      <c r="I48" s="116">
        <f t="shared" si="10"/>
        <v>3.8391028392043367</v>
      </c>
      <c r="J48" s="117">
        <f t="shared" si="11"/>
        <v>-5.9801796991203034E-2</v>
      </c>
      <c r="K48" s="115">
        <f t="shared" si="12"/>
        <v>-0.101184569358026</v>
      </c>
      <c r="L48" s="115" t="str">
        <f t="shared" si="13"/>
        <v>*</v>
      </c>
      <c r="M48" s="115">
        <f t="shared" si="14"/>
        <v>-3.3298460506847185</v>
      </c>
      <c r="N48" s="115">
        <f t="shared" si="15"/>
        <v>-0.3760008087024701</v>
      </c>
      <c r="O48" s="30"/>
      <c r="P48" s="71">
        <f>'INSTRUCTION-2YR'!V46/'T E&amp;G 2YR'!V46*100</f>
        <v>37.181807012086203</v>
      </c>
      <c r="Q48" s="72">
        <f>('RESEARCH 2yr'!V46/'T E&amp;G 2YR'!V46)*100</f>
        <v>5.9801796991203034E-2</v>
      </c>
      <c r="R48" s="72">
        <f>'PUBLIC SERVICE 2yr'!V46/'T E&amp;G 2YR'!V46*100</f>
        <v>2.2513501861050269</v>
      </c>
      <c r="S48" s="72">
        <f>'ASptISptSSv 2yr'!V46/'T E&amp;G 2YR'!V46*100</f>
        <v>36.636369941475508</v>
      </c>
      <c r="T48" s="73">
        <f>'PLANT OPER MAIN 2yr'!V46/'T E&amp;G 2YR'!V46*100</f>
        <v>0</v>
      </c>
      <c r="U48" s="72">
        <f>'SCHOLAR FELLOW 2yr'!V46/'T E&amp;G 2YR'!V46*100</f>
        <v>23.036380001998459</v>
      </c>
      <c r="V48" s="70">
        <f>IF((('All Other 2yr'!V46/'T E&amp;G 2YR'!V46)*100)&gt;=0.05,('All Other 2yr'!V46/'T E&amp;G 2YR'!V46)*100,"*")</f>
        <v>0.83429106134359399</v>
      </c>
      <c r="W48" s="30"/>
      <c r="X48" s="52">
        <f t="shared" si="1"/>
        <v>99.999999999999986</v>
      </c>
      <c r="Y48" s="52">
        <f t="shared" si="16"/>
        <v>99.968634535720369</v>
      </c>
      <c r="Z48" s="55"/>
    </row>
    <row r="49" spans="1:26" s="56" customFormat="1">
      <c r="A49" s="98" t="s">
        <v>99</v>
      </c>
      <c r="B49" s="98"/>
      <c r="C49" s="111">
        <f>('INSTRUCTION-2YR'!AA47)/('T E&amp;G 2YR'!AA47)*100</f>
        <v>41.72728354480811</v>
      </c>
      <c r="D49" s="111">
        <f>IF((('RESEARCH 2yr'!AA47/'T E&amp;G 2YR'!AA47)*100)=0,('RESEARCH 2yr'!AA47/'T E&amp;G 2YR'!AA47)*100,IF((('RESEARCH 2yr'!AA47/'T E&amp;G 2YR'!AA47)*100)&gt;=0.05,('RESEARCH 2yr'!AA47/'T E&amp;G 2YR'!AA47)*100,"*"))</f>
        <v>0.12924996280857196</v>
      </c>
      <c r="E49" s="111">
        <f>'PUBLIC SERVICE 2yr'!AA47/'T E&amp;G 2YR'!AA47*100</f>
        <v>0.4027926381604956</v>
      </c>
      <c r="F49" s="111">
        <f>'ASptISptSSv 2yr'!AA47/'T E&amp;G 2YR'!AA47*100</f>
        <v>36.26109221328867</v>
      </c>
      <c r="G49" s="111">
        <f>'SCHOLAR FELLOW 2yr'!AA47/'T E&amp;G 2YR'!AA47*100</f>
        <v>21.417554926532432</v>
      </c>
      <c r="H49" s="111">
        <f>('All Other 2yr'!AA47/'T E&amp;G 2YR'!AA47)*100</f>
        <v>6.2026714401718454E-2</v>
      </c>
      <c r="I49" s="116">
        <f t="shared" si="10"/>
        <v>-1.2152702096325356</v>
      </c>
      <c r="J49" s="117">
        <f t="shared" si="11"/>
        <v>-0.10059383311336761</v>
      </c>
      <c r="K49" s="115">
        <f t="shared" si="12"/>
        <v>-0.51979871321722237</v>
      </c>
      <c r="L49" s="115">
        <f t="shared" si="13"/>
        <v>1.1555339731718206</v>
      </c>
      <c r="M49" s="115">
        <f t="shared" si="14"/>
        <v>0.70764934984522654</v>
      </c>
      <c r="N49" s="115" t="str">
        <f t="shared" si="15"/>
        <v>*</v>
      </c>
      <c r="O49" s="30"/>
      <c r="P49" s="71">
        <f>'INSTRUCTION-2YR'!V47/'T E&amp;G 2YR'!V47*100</f>
        <v>42.942553754440645</v>
      </c>
      <c r="Q49" s="72">
        <f>('RESEARCH 2yr'!V47/'T E&amp;G 2YR'!V47)*100</f>
        <v>0.22984379592193957</v>
      </c>
      <c r="R49" s="72">
        <f>'PUBLIC SERVICE 2yr'!V47/'T E&amp;G 2YR'!V47*100</f>
        <v>0.92259135137771797</v>
      </c>
      <c r="S49" s="72">
        <f>'ASptISptSSv 2yr'!V47/'T E&amp;G 2YR'!V47*100</f>
        <v>35.105558240116849</v>
      </c>
      <c r="T49" s="73">
        <f>'PLANT OPER MAIN 2yr'!V47/'T E&amp;G 2YR'!V47*100</f>
        <v>0</v>
      </c>
      <c r="U49" s="72">
        <f>'SCHOLAR FELLOW 2yr'!V47/'T E&amp;G 2YR'!V47*100</f>
        <v>20.709905576687206</v>
      </c>
      <c r="V49" s="70">
        <f>IF((('All Other 2yr'!V47/'T E&amp;G 2YR'!V47)*100)&gt;=0.05,('All Other 2yr'!V47/'T E&amp;G 2YR'!V47)*100,"*")</f>
        <v>8.9547281455646388E-2</v>
      </c>
      <c r="W49" s="30"/>
      <c r="X49" s="52">
        <f t="shared" si="1"/>
        <v>100.00000000000001</v>
      </c>
      <c r="Y49" s="52">
        <f t="shared" si="16"/>
        <v>100</v>
      </c>
      <c r="Z49" s="55"/>
    </row>
    <row r="50" spans="1:26" s="56" customFormat="1">
      <c r="A50" s="98" t="s">
        <v>59</v>
      </c>
      <c r="B50" s="98"/>
      <c r="C50" s="111">
        <f>('INSTRUCTION-2YR'!AA48)/('T E&amp;G 2YR'!AA48)*100</f>
        <v>41.188186686193248</v>
      </c>
      <c r="D50" s="111" t="str">
        <f>IF((('RESEARCH 2yr'!AA48/'T E&amp;G 2YR'!AA48)*100)=0,('RESEARCH 2yr'!AA48/'T E&amp;G 2YR'!AA48)*100,IF((('RESEARCH 2yr'!AA48/'T E&amp;G 2YR'!AA48)*100)&gt;=0.05,('RESEARCH 2yr'!AA48/'T E&amp;G 2YR'!AA48)*100,"*"))</f>
        <v>*</v>
      </c>
      <c r="E50" s="111">
        <f>'PUBLIC SERVICE 2yr'!AA48/'T E&amp;G 2YR'!AA48*100</f>
        <v>1.5680421390247019</v>
      </c>
      <c r="F50" s="111">
        <f>'ASptISptSSv 2yr'!AA48/'T E&amp;G 2YR'!AA48*100</f>
        <v>31.8499575599404</v>
      </c>
      <c r="G50" s="111">
        <f>'SCHOLAR FELLOW 2yr'!AA48/'T E&amp;G 2YR'!AA48*100</f>
        <v>23.730251321423626</v>
      </c>
      <c r="H50" s="111">
        <f>('All Other 2yr'!AA48/'T E&amp;G 2YR'!AA48)*100</f>
        <v>1.6634718910556165</v>
      </c>
      <c r="I50" s="116">
        <f t="shared" si="10"/>
        <v>2.8080535568169296</v>
      </c>
      <c r="J50" s="117">
        <f t="shared" si="11"/>
        <v>0</v>
      </c>
      <c r="K50" s="115">
        <f t="shared" si="12"/>
        <v>1.1236370386925982</v>
      </c>
      <c r="L50" s="115">
        <f t="shared" si="13"/>
        <v>6.4455085712292686</v>
      </c>
      <c r="M50" s="115">
        <f t="shared" si="14"/>
        <v>-4.7232722468025976</v>
      </c>
      <c r="N50" s="115">
        <f t="shared" si="15"/>
        <v>-5.6540173222986088</v>
      </c>
      <c r="O50" s="30"/>
      <c r="P50" s="71">
        <f>'INSTRUCTION-2YR'!V48/'T E&amp;G 2YR'!V48*100</f>
        <v>38.380133129376318</v>
      </c>
      <c r="Q50" s="72">
        <f>('RESEARCH 2yr'!V48/'T E&amp;G 2YR'!V48)*100</f>
        <v>0</v>
      </c>
      <c r="R50" s="72">
        <f>'PUBLIC SERVICE 2yr'!V48/'T E&amp;G 2YR'!V48*100</f>
        <v>0.44440510033210362</v>
      </c>
      <c r="S50" s="72">
        <f>'ASptISptSSv 2yr'!V48/'T E&amp;G 2YR'!V48*100</f>
        <v>25.404448988711131</v>
      </c>
      <c r="T50" s="73">
        <f>'PLANT OPER MAIN 2yr'!V48/'T E&amp;G 2YR'!V48*100</f>
        <v>0</v>
      </c>
      <c r="U50" s="72">
        <f>'SCHOLAR FELLOW 2yr'!V48/'T E&amp;G 2YR'!V48*100</f>
        <v>28.453523568226224</v>
      </c>
      <c r="V50" s="70">
        <f>IF((('All Other 2yr'!V48/'T E&amp;G 2YR'!V48)*100)&gt;=0.05,('All Other 2yr'!V48/'T E&amp;G 2YR'!V48)*100,"*")</f>
        <v>7.3174892133542251</v>
      </c>
      <c r="W50" s="30"/>
      <c r="X50" s="52">
        <f t="shared" si="1"/>
        <v>99.999999999999986</v>
      </c>
      <c r="Y50" s="52">
        <f t="shared" si="16"/>
        <v>99.999909597637597</v>
      </c>
      <c r="Z50" s="55"/>
    </row>
    <row r="51" spans="1:26" s="56" customFormat="1">
      <c r="A51" s="98" t="s">
        <v>101</v>
      </c>
      <c r="B51" s="98"/>
      <c r="C51" s="111">
        <f>('INSTRUCTION-2YR'!AA49)/('T E&amp;G 2YR'!AA49)*100</f>
        <v>44.970295186330127</v>
      </c>
      <c r="D51" s="111">
        <f>IF((('RESEARCH 2yr'!AA49/'T E&amp;G 2YR'!AA49)*100)=0,('RESEARCH 2yr'!AA49/'T E&amp;G 2YR'!AA49)*100,IF((('RESEARCH 2yr'!AA49/'T E&amp;G 2YR'!AA49)*100)&gt;=0.05,('RESEARCH 2yr'!AA49/'T E&amp;G 2YR'!AA49)*100,"*"))</f>
        <v>0</v>
      </c>
      <c r="E51" s="111">
        <f>'PUBLIC SERVICE 2yr'!AA49/'T E&amp;G 2YR'!AA49*100</f>
        <v>7.6432212468794973E-3</v>
      </c>
      <c r="F51" s="111">
        <f>'ASptISptSSv 2yr'!AA49/'T E&amp;G 2YR'!AA49*100</f>
        <v>37.22491629551515</v>
      </c>
      <c r="G51" s="111">
        <f>'SCHOLAR FELLOW 2yr'!AA49/'T E&amp;G 2YR'!AA49*100</f>
        <v>16.864293420016502</v>
      </c>
      <c r="H51" s="111">
        <f>('All Other 2yr'!AA49/'T E&amp;G 2YR'!AA49)*100</f>
        <v>0.93285187689133875</v>
      </c>
      <c r="I51" s="116" t="str">
        <f t="shared" si="10"/>
        <v>*</v>
      </c>
      <c r="J51" s="117" t="str">
        <f t="shared" si="11"/>
        <v>*</v>
      </c>
      <c r="K51" s="115" t="str">
        <f t="shared" si="12"/>
        <v>*</v>
      </c>
      <c r="L51" s="115">
        <f t="shared" si="13"/>
        <v>2.2553484014234257</v>
      </c>
      <c r="M51" s="115">
        <f t="shared" si="14"/>
        <v>-1.9579325962892682</v>
      </c>
      <c r="N51" s="115">
        <f t="shared" si="15"/>
        <v>-0.28037984330025978</v>
      </c>
      <c r="O51" s="30"/>
      <c r="P51" s="71">
        <f>'INSTRUCTION-2YR'!V49/'T E&amp;G 2YR'!V49*100</f>
        <v>44.993184143418716</v>
      </c>
      <c r="Q51" s="72">
        <f>('RESEARCH 2yr'!V49/'T E&amp;G 2YR'!V49)*100</f>
        <v>1.7902259921949008E-3</v>
      </c>
      <c r="R51" s="72">
        <f>'PUBLIC SERVICE 2yr'!V49/'T E&amp;G 2YR'!V49*100</f>
        <v>0</v>
      </c>
      <c r="S51" s="72">
        <f>'ASptISptSSv 2yr'!V49/'T E&amp;G 2YR'!V49*100</f>
        <v>34.969567894091725</v>
      </c>
      <c r="T51" s="73">
        <f>'PLANT OPER MAIN 2yr'!V49/'T E&amp;G 2YR'!V49*100</f>
        <v>0</v>
      </c>
      <c r="U51" s="72">
        <f>'SCHOLAR FELLOW 2yr'!V49/'T E&amp;G 2YR'!V49*100</f>
        <v>18.82222601630577</v>
      </c>
      <c r="V51" s="70">
        <f>IF((('All Other 2yr'!V49/'T E&amp;G 2YR'!V49)*100)&gt;=0.05,('All Other 2yr'!V49/'T E&amp;G 2YR'!V49)*100,"*")</f>
        <v>1.2132317201915985</v>
      </c>
      <c r="W51" s="30"/>
      <c r="X51" s="52">
        <f t="shared" si="1"/>
        <v>100</v>
      </c>
      <c r="Y51" s="52">
        <f t="shared" si="16"/>
        <v>100</v>
      </c>
      <c r="Z51" s="55"/>
    </row>
    <row r="52" spans="1:26" s="56" customFormat="1">
      <c r="A52" s="97" t="s">
        <v>107</v>
      </c>
      <c r="B52" s="97"/>
      <c r="C52" s="113">
        <f>('INSTRUCTION-2YR'!AA50)/('T E&amp;G 2YR'!AA50)*100</f>
        <v>48.757108116785744</v>
      </c>
      <c r="D52" s="113">
        <f>IF((('RESEARCH 2yr'!AA50/'T E&amp;G 2YR'!AA50)*100)=0,('RESEARCH 2yr'!AA50/'T E&amp;G 2YR'!AA50)*100,IF((('RESEARCH 2yr'!AA50/'T E&amp;G 2YR'!AA50)*100)&gt;=0.05,('RESEARCH 2yr'!AA50/'T E&amp;G 2YR'!AA50)*100,"*"))</f>
        <v>0.41601543677745928</v>
      </c>
      <c r="E52" s="113">
        <f>'PUBLIC SERVICE 2yr'!AA50/'T E&amp;G 2YR'!AA50*100</f>
        <v>1.6027063416225358</v>
      </c>
      <c r="F52" s="113">
        <f>'ASptISptSSv 2yr'!AA50/'T E&amp;G 2YR'!AA50*100</f>
        <v>31.616694618230962</v>
      </c>
      <c r="G52" s="113">
        <f>'SCHOLAR FELLOW 2yr'!AA50/'T E&amp;G 2YR'!AA50*100</f>
        <v>10.413970709441465</v>
      </c>
      <c r="H52" s="113">
        <f>('All Other 2yr'!AA50/'T E&amp;G 2YR'!AA50)*100</f>
        <v>7.1935047771418255</v>
      </c>
      <c r="I52" s="114">
        <f t="shared" si="10"/>
        <v>1.6543512978272048</v>
      </c>
      <c r="J52" s="127">
        <f t="shared" si="11"/>
        <v>0.41601543677745928</v>
      </c>
      <c r="K52" s="113">
        <f t="shared" si="12"/>
        <v>1.5868251892240739</v>
      </c>
      <c r="L52" s="113">
        <f t="shared" si="13"/>
        <v>2.4388650814415236</v>
      </c>
      <c r="M52" s="113">
        <f t="shared" si="14"/>
        <v>-6.6590359383981124</v>
      </c>
      <c r="N52" s="113">
        <f t="shared" si="15"/>
        <v>0.56297893312784186</v>
      </c>
      <c r="O52" s="30"/>
      <c r="P52" s="71">
        <f>'INSTRUCTION-2YR'!V50/'T E&amp;G 2YR'!V50*100</f>
        <v>47.102756818958539</v>
      </c>
      <c r="Q52" s="72">
        <f>('RESEARCH 2yr'!V50/'T E&amp;G 2YR'!V50)*100</f>
        <v>0</v>
      </c>
      <c r="R52" s="72">
        <f>'PUBLIC SERVICE 2yr'!V50/'T E&amp;G 2YR'!V50*100</f>
        <v>1.5881152398461971E-2</v>
      </c>
      <c r="S52" s="72">
        <f>'ASptISptSSv 2yr'!V50/'T E&amp;G 2YR'!V50*100</f>
        <v>29.177829536789439</v>
      </c>
      <c r="T52" s="73">
        <f>'PLANT OPER MAIN 2yr'!V50/'T E&amp;G 2YR'!V50*100</f>
        <v>0</v>
      </c>
      <c r="U52" s="72">
        <f>'SCHOLAR FELLOW 2yr'!V50/'T E&amp;G 2YR'!V50*100</f>
        <v>17.073006647839577</v>
      </c>
      <c r="V52" s="70">
        <f>IF((('All Other 2yr'!V50/'T E&amp;G 2YR'!V50)*100)&gt;=0.05,('All Other 2yr'!V50/'T E&amp;G 2YR'!V50)*100,"*")</f>
        <v>6.6305258440139836</v>
      </c>
      <c r="W52" s="30"/>
      <c r="X52" s="52">
        <f t="shared" si="1"/>
        <v>100</v>
      </c>
      <c r="Y52" s="52">
        <f t="shared" si="16"/>
        <v>99.999999999999986</v>
      </c>
      <c r="Z52" s="55"/>
    </row>
    <row r="53" spans="1:26" s="56" customFormat="1">
      <c r="A53" s="97" t="s">
        <v>108</v>
      </c>
      <c r="B53" s="97"/>
      <c r="C53" s="113">
        <f>('INSTRUCTION-2YR'!AA51)/('T E&amp;G 2YR'!AA51)*100</f>
        <v>42.391802954909267</v>
      </c>
      <c r="D53" s="113">
        <f>IF((('RESEARCH 2yr'!AA51/'T E&amp;G 2YR'!AA51)*100)=0,('RESEARCH 2yr'!AA51/'T E&amp;G 2YR'!AA51)*100,IF((('RESEARCH 2yr'!AA51/'T E&amp;G 2YR'!AA51)*100)&gt;=0.05,('RESEARCH 2yr'!AA51/'T E&amp;G 2YR'!AA51)*100,"*"))</f>
        <v>0.15885389309704762</v>
      </c>
      <c r="E53" s="113">
        <f>'PUBLIC SERVICE 2yr'!AA51/'T E&amp;G 2YR'!AA51*100</f>
        <v>3.4021073739022483</v>
      </c>
      <c r="F53" s="113">
        <f>'ASptISptSSv 2yr'!AA51/'T E&amp;G 2YR'!AA51*100</f>
        <v>33.416794823502194</v>
      </c>
      <c r="G53" s="113">
        <f>'SCHOLAR FELLOW 2yr'!AA51/'T E&amp;G 2YR'!AA51*100</f>
        <v>19.677284180041411</v>
      </c>
      <c r="H53" s="113">
        <f>('All Other 2yr'!AA51/'T E&amp;G 2YR'!AA51)*100</f>
        <v>0.95315677454782688</v>
      </c>
      <c r="I53" s="114">
        <f t="shared" si="10"/>
        <v>2.6457174291809835</v>
      </c>
      <c r="J53" s="127">
        <f t="shared" si="11"/>
        <v>6.8662711688484535E-2</v>
      </c>
      <c r="K53" s="113">
        <f t="shared" si="12"/>
        <v>-1.4029136421709008</v>
      </c>
      <c r="L53" s="113">
        <f t="shared" si="13"/>
        <v>4.4465716164835136</v>
      </c>
      <c r="M53" s="113">
        <f t="shared" si="14"/>
        <v>-4.8701377600642104</v>
      </c>
      <c r="N53" s="113">
        <f t="shared" si="15"/>
        <v>-0.88790035511788012</v>
      </c>
      <c r="O53" s="30"/>
      <c r="P53" s="71">
        <f>'INSTRUCTION-2YR'!V51/'T E&amp;G 2YR'!V51*100</f>
        <v>39.746085525728283</v>
      </c>
      <c r="Q53" s="72">
        <f>('RESEARCH 2yr'!V51/'T E&amp;G 2YR'!V51)*100</f>
        <v>9.0191181408563081E-2</v>
      </c>
      <c r="R53" s="72">
        <f>'PUBLIC SERVICE 2yr'!V51/'T E&amp;G 2YR'!V51*100</f>
        <v>4.805021016073149</v>
      </c>
      <c r="S53" s="72">
        <f>'ASptISptSSv 2yr'!V51/'T E&amp;G 2YR'!V51*100</f>
        <v>28.97022320701868</v>
      </c>
      <c r="T53" s="73">
        <f>'PLANT OPER MAIN 2yr'!V51/'T E&amp;G 2YR'!V51*100</f>
        <v>0</v>
      </c>
      <c r="U53" s="72">
        <f>'SCHOLAR FELLOW 2yr'!V51/'T E&amp;G 2YR'!V51*100</f>
        <v>24.547421940105622</v>
      </c>
      <c r="V53" s="70">
        <f>IF((('All Other 2yr'!V51/'T E&amp;G 2YR'!V51)*100)&gt;=0.05,('All Other 2yr'!V51/'T E&amp;G 2YR'!V51)*100,"*")</f>
        <v>1.841057129665707</v>
      </c>
      <c r="W53" s="30"/>
      <c r="X53" s="52">
        <f t="shared" si="1"/>
        <v>100.00000000000001</v>
      </c>
      <c r="Y53" s="52">
        <f t="shared" si="16"/>
        <v>99.999999999999986</v>
      </c>
      <c r="Z53" s="55"/>
    </row>
    <row r="54" spans="1:26" s="56" customFormat="1">
      <c r="A54" s="97" t="s">
        <v>112</v>
      </c>
      <c r="B54" s="97"/>
      <c r="C54" s="113">
        <f>('INSTRUCTION-2YR'!AA52)/('T E&amp;G 2YR'!AA52)*100</f>
        <v>41.597228668371592</v>
      </c>
      <c r="D54" s="113" t="str">
        <f>IF((('RESEARCH 2yr'!AA52/'T E&amp;G 2YR'!AA52)*100)=0,('RESEARCH 2yr'!AA52/'T E&amp;G 2YR'!AA52)*100,IF((('RESEARCH 2yr'!AA52/'T E&amp;G 2YR'!AA52)*100)&gt;=0.05,('RESEARCH 2yr'!AA52/'T E&amp;G 2YR'!AA52)*100,"*"))</f>
        <v>*</v>
      </c>
      <c r="E54" s="113">
        <f>'PUBLIC SERVICE 2yr'!AA52/'T E&amp;G 2YR'!AA52*100</f>
        <v>4.9542502175413912</v>
      </c>
      <c r="F54" s="113">
        <f>'ASptISptSSv 2yr'!AA52/'T E&amp;G 2YR'!AA52*100</f>
        <v>27.387322026812743</v>
      </c>
      <c r="G54" s="113">
        <f>'SCHOLAR FELLOW 2yr'!AA52/'T E&amp;G 2YR'!AA52*100</f>
        <v>17.937295366091082</v>
      </c>
      <c r="H54" s="113">
        <f>('All Other 2yr'!AA52/'T E&amp;G 2YR'!AA52)*100</f>
        <v>8.0803767587519335</v>
      </c>
      <c r="I54" s="114">
        <f t="shared" si="10"/>
        <v>6.117125061888288</v>
      </c>
      <c r="J54" s="127">
        <f t="shared" si="11"/>
        <v>0</v>
      </c>
      <c r="K54" s="113">
        <f t="shared" si="12"/>
        <v>4.9542502175413912</v>
      </c>
      <c r="L54" s="113">
        <f t="shared" si="13"/>
        <v>3.0167970392637464</v>
      </c>
      <c r="M54" s="113">
        <f t="shared" si="14"/>
        <v>-0.57974874357912043</v>
      </c>
      <c r="N54" s="113">
        <f t="shared" si="15"/>
        <v>-13.55195053754556</v>
      </c>
      <c r="O54" s="30"/>
      <c r="P54" s="71">
        <f>'INSTRUCTION-2YR'!V52/'T E&amp;G 2YR'!V52*100</f>
        <v>35.480103606483304</v>
      </c>
      <c r="Q54" s="72">
        <f>('RESEARCH 2yr'!V52/'T E&amp;G 2YR'!V52)*100</f>
        <v>0</v>
      </c>
      <c r="R54" s="72">
        <f>'PUBLIC SERVICE 2yr'!V52/'T E&amp;G 2YR'!V52*100</f>
        <v>0</v>
      </c>
      <c r="S54" s="72">
        <f>'ASptISptSSv 2yr'!V52/'T E&amp;G 2YR'!V52*100</f>
        <v>24.370524987548997</v>
      </c>
      <c r="T54" s="73">
        <f>'PLANT OPER MAIN 2yr'!V52/'T E&amp;G 2YR'!V52*100</f>
        <v>0</v>
      </c>
      <c r="U54" s="72">
        <f>'SCHOLAR FELLOW 2yr'!V52/'T E&amp;G 2YR'!V52*100</f>
        <v>18.517044109670202</v>
      </c>
      <c r="V54" s="70">
        <f>IF((('All Other 2yr'!V52/'T E&amp;G 2YR'!V52)*100)&gt;=0.05,('All Other 2yr'!V52/'T E&amp;G 2YR'!V52)*100,"*")</f>
        <v>21.632327296297493</v>
      </c>
      <c r="W54" s="30"/>
      <c r="X54" s="52">
        <f t="shared" si="1"/>
        <v>100</v>
      </c>
      <c r="Y54" s="52">
        <f t="shared" si="16"/>
        <v>99.956473037568742</v>
      </c>
      <c r="Z54" s="55"/>
    </row>
    <row r="55" spans="1:26" s="56" customFormat="1">
      <c r="A55" s="97" t="s">
        <v>116</v>
      </c>
      <c r="B55" s="97"/>
      <c r="C55" s="120">
        <f>('INSTRUCTION-2YR'!AA53)/('T E&amp;G 2YR'!AA53)*100</f>
        <v>50.154209630698674</v>
      </c>
      <c r="D55" s="120">
        <f>IF((('RESEARCH 2yr'!AA53/'T E&amp;G 2YR'!AA53)*100)=0,('RESEARCH 2yr'!AA53/'T E&amp;G 2YR'!AA53)*100,IF((('RESEARCH 2yr'!AA53/'T E&amp;G 2YR'!AA53)*100)&gt;=0.05,('RESEARCH 2yr'!AA53/'T E&amp;G 2YR'!AA53)*100,"*"))</f>
        <v>5.2133071665773315E-2</v>
      </c>
      <c r="E55" s="120">
        <f>'PUBLIC SERVICE 2yr'!AA53/'T E&amp;G 2YR'!AA53*100</f>
        <v>0.99461438167075134</v>
      </c>
      <c r="F55" s="120">
        <f>'ASptISptSSv 2yr'!AA53/'T E&amp;G 2YR'!AA53*100</f>
        <v>26.803292539065382</v>
      </c>
      <c r="G55" s="120">
        <f>'SCHOLAR FELLOW 2yr'!AA53/'T E&amp;G 2YR'!AA53*100</f>
        <v>16.217188629092334</v>
      </c>
      <c r="H55" s="178">
        <f>('All Other 2yr'!AA53/'T E&amp;G 2YR'!AA53)*100</f>
        <v>5.7785617478070916</v>
      </c>
      <c r="I55" s="114">
        <f t="shared" si="10"/>
        <v>-7.4733009967426867</v>
      </c>
      <c r="J55" s="127" t="str">
        <f t="shared" si="11"/>
        <v>*</v>
      </c>
      <c r="K55" s="113">
        <f t="shared" si="12"/>
        <v>0.69688759029806246</v>
      </c>
      <c r="L55" s="113">
        <f t="shared" si="13"/>
        <v>1.6825900011420032</v>
      </c>
      <c r="M55" s="113">
        <f t="shared" si="14"/>
        <v>3.7344973124424339</v>
      </c>
      <c r="N55" s="113">
        <f t="shared" si="15"/>
        <v>1.3198201864306016</v>
      </c>
      <c r="O55" s="30"/>
      <c r="P55" s="71">
        <f>'INSTRUCTION-2YR'!V53/'T E&amp;G 2YR'!V53*100</f>
        <v>57.62751062744136</v>
      </c>
      <c r="Q55" s="72">
        <f>('RESEARCH 2yr'!V53/'T E&amp;G 2YR'!V53)*100</f>
        <v>1.2627165236185792E-2</v>
      </c>
      <c r="R55" s="72">
        <f>'PUBLIC SERVICE 2yr'!V53/'T E&amp;G 2YR'!V53*100</f>
        <v>0.29772679137268887</v>
      </c>
      <c r="S55" s="72">
        <f>'ASptISptSSv 2yr'!V53/'T E&amp;G 2YR'!V53*100</f>
        <v>25.120702537923378</v>
      </c>
      <c r="T55" s="73">
        <f>'PLANT OPER MAIN 2yr'!V53/'T E&amp;G 2YR'!V53*100</f>
        <v>0</v>
      </c>
      <c r="U55" s="72">
        <f>'SCHOLAR FELLOW 2yr'!V53/'T E&amp;G 2YR'!V53*100</f>
        <v>12.4826913166499</v>
      </c>
      <c r="V55" s="70">
        <f>IF((('All Other 2yr'!V53/'T E&amp;G 2YR'!V53)*100)&gt;=0.05,('All Other 2yr'!V53/'T E&amp;G 2YR'!V53)*100,"*")</f>
        <v>4.45874156137649</v>
      </c>
      <c r="W55" s="30"/>
      <c r="X55" s="52">
        <f t="shared" si="1"/>
        <v>100.00000000000001</v>
      </c>
      <c r="Y55" s="52">
        <f t="shared" si="16"/>
        <v>100</v>
      </c>
      <c r="Z55" s="55"/>
    </row>
    <row r="56" spans="1:26" s="56" customFormat="1">
      <c r="A56" s="103" t="s">
        <v>122</v>
      </c>
      <c r="B56" s="103"/>
      <c r="C56" s="111">
        <f>('INSTRUCTION-2YR'!AA54)/('T E&amp;G 2YR'!AA54)*100</f>
        <v>40.840299002936149</v>
      </c>
      <c r="D56" s="111">
        <f>IF((('RESEARCH 2yr'!AA54/'T E&amp;G 2YR'!AA54)*100)=0,('RESEARCH 2yr'!AA54/'T E&amp;G 2YR'!AA54)*100,IF((('RESEARCH 2yr'!AA54/'T E&amp;G 2YR'!AA54)*100)&gt;=0.05,('RESEARCH 2yr'!AA54/'T E&amp;G 2YR'!AA54)*100,"*"))</f>
        <v>8.4060578401251904E-2</v>
      </c>
      <c r="E56" s="111">
        <f>'PUBLIC SERVICE 2yr'!AA54/'T E&amp;G 2YR'!AA54*100</f>
        <v>1.0299450011746984</v>
      </c>
      <c r="F56" s="111">
        <f>'ASptISptSSv 2yr'!AA54/'T E&amp;G 2YR'!AA54*100</f>
        <v>32.958313687339761</v>
      </c>
      <c r="G56" s="111">
        <f>'SCHOLAR FELLOW 2yr'!AA54/'T E&amp;G 2YR'!AA54*100</f>
        <v>22.298792012313527</v>
      </c>
      <c r="H56" s="111">
        <f>('All Other 2yr'!AA54/'T E&amp;G 2YR'!AA54)*100</f>
        <v>2.7885897178346082</v>
      </c>
      <c r="I56" s="123">
        <f t="shared" si="10"/>
        <v>0.66246287133514414</v>
      </c>
      <c r="J56" s="122" t="str">
        <f t="shared" si="11"/>
        <v>*</v>
      </c>
      <c r="K56" s="122" t="str">
        <f t="shared" si="12"/>
        <v>*</v>
      </c>
      <c r="L56" s="122">
        <f t="shared" si="13"/>
        <v>-0.80506595232682088</v>
      </c>
      <c r="M56" s="122">
        <f t="shared" si="14"/>
        <v>0.52465738259551387</v>
      </c>
      <c r="N56" s="122">
        <f t="shared" si="15"/>
        <v>-0.3805072955428459</v>
      </c>
      <c r="O56" s="30"/>
      <c r="P56" s="71">
        <f>'INSTRUCTION-2YR'!V54/'T E&amp;G 2YR'!V54*100</f>
        <v>40.177836131601005</v>
      </c>
      <c r="Q56" s="72">
        <f>('RESEARCH 2yr'!V54/'T E&amp;G 2YR'!V54)*100</f>
        <v>7.1989539542073516E-2</v>
      </c>
      <c r="R56" s="72">
        <f>'PUBLIC SERVICE 2yr'!V54/'T E&amp;G 2YR'!V54*100</f>
        <v>1.0435630460948837</v>
      </c>
      <c r="S56" s="72">
        <f>'ASptISptSSv 2yr'!V54/'T E&amp;G 2YR'!V54*100</f>
        <v>33.763379639666582</v>
      </c>
      <c r="T56" s="73">
        <f>'PLANT OPER MAIN 2yr'!V54/'T E&amp;G 2YR'!V54*100</f>
        <v>0</v>
      </c>
      <c r="U56" s="72">
        <f>'SCHOLAR FELLOW 2yr'!V54/'T E&amp;G 2YR'!V54*100</f>
        <v>21.774134629718013</v>
      </c>
      <c r="V56" s="70">
        <f>IF((('All Other 2yr'!V54/'T E&amp;G 2YR'!V54)*100)&gt;=0.05,('All Other 2yr'!V54/'T E&amp;G 2YR'!V54)*100,"*")</f>
        <v>3.1690970133774541</v>
      </c>
      <c r="W56" s="30"/>
      <c r="X56" s="52">
        <f t="shared" si="1"/>
        <v>100.00000000000001</v>
      </c>
      <c r="Y56" s="52">
        <f t="shared" si="16"/>
        <v>100</v>
      </c>
      <c r="Z56" s="55"/>
    </row>
    <row r="57" spans="1:26" s="56" customFormat="1">
      <c r="A57" s="98"/>
      <c r="B57" s="98"/>
      <c r="C57" s="115"/>
      <c r="D57" s="111"/>
      <c r="E57" s="111"/>
      <c r="F57" s="111"/>
      <c r="G57" s="111"/>
      <c r="H57" s="111"/>
      <c r="I57" s="116">
        <f t="shared" si="10"/>
        <v>0</v>
      </c>
      <c r="J57" s="126">
        <f t="shared" si="11"/>
        <v>0</v>
      </c>
      <c r="K57" s="111">
        <f t="shared" si="12"/>
        <v>0</v>
      </c>
      <c r="L57" s="111">
        <f t="shared" si="13"/>
        <v>0</v>
      </c>
      <c r="M57" s="111">
        <f t="shared" si="14"/>
        <v>0</v>
      </c>
      <c r="N57" s="111">
        <f t="shared" si="15"/>
        <v>0</v>
      </c>
      <c r="O57" s="30"/>
      <c r="P57" s="71"/>
      <c r="Q57" s="72"/>
      <c r="R57" s="72"/>
      <c r="S57" s="72"/>
      <c r="T57" s="73"/>
      <c r="U57" s="72"/>
      <c r="V57" s="70"/>
      <c r="W57" s="30"/>
      <c r="X57" s="52"/>
      <c r="Y57" s="52"/>
      <c r="Z57" s="55"/>
    </row>
    <row r="58" spans="1:26" s="56" customFormat="1">
      <c r="A58" s="97" t="s">
        <v>89</v>
      </c>
      <c r="B58" s="97"/>
      <c r="C58" s="113">
        <f>('INSTRUCTION-2YR'!AA56)/('T E&amp;G 2YR'!AA56)*100</f>
        <v>41.71302882552817</v>
      </c>
      <c r="D58" s="113">
        <f>IF((('RESEARCH 2yr'!AA56/'T E&amp;G 2YR'!AA56)*100)=0,('RESEARCH 2yr'!AA56/'T E&amp;G 2YR'!AA56)*100,IF((('RESEARCH 2yr'!AA56/'T E&amp;G 2YR'!AA56)*100)&gt;=0.05,('RESEARCH 2yr'!AA56/'T E&amp;G 2YR'!AA56)*100,"*"))</f>
        <v>0</v>
      </c>
      <c r="E58" s="113">
        <f>'PUBLIC SERVICE 2yr'!AA56/'T E&amp;G 2YR'!AA56*100</f>
        <v>0.26778012346227231</v>
      </c>
      <c r="F58" s="113">
        <f>'ASptISptSSv 2yr'!AA56/'T E&amp;G 2YR'!AA56*100</f>
        <v>38.493874194387928</v>
      </c>
      <c r="G58" s="113">
        <f>'SCHOLAR FELLOW 2yr'!AA56/'T E&amp;G 2YR'!AA56*100</f>
        <v>19.399185118810642</v>
      </c>
      <c r="H58" s="113">
        <f>('All Other 2yr'!AA56/'T E&amp;G 2YR'!AA56)*100</f>
        <v>0.12613173781097728</v>
      </c>
      <c r="I58" s="114">
        <f t="shared" si="10"/>
        <v>2.0237621916163562</v>
      </c>
      <c r="J58" s="127">
        <f t="shared" si="11"/>
        <v>0</v>
      </c>
      <c r="K58" s="113">
        <f t="shared" si="12"/>
        <v>0.16771706161360445</v>
      </c>
      <c r="L58" s="113">
        <f t="shared" si="13"/>
        <v>-1.1700013690227706</v>
      </c>
      <c r="M58" s="113">
        <f t="shared" si="14"/>
        <v>0.2766439978460653</v>
      </c>
      <c r="N58" s="113">
        <f t="shared" si="15"/>
        <v>-1.2981218820532723</v>
      </c>
      <c r="O58" s="30"/>
      <c r="P58" s="71">
        <f>'INSTRUCTION-2YR'!V56/'T E&amp;G 2YR'!V56*100</f>
        <v>39.689266633911814</v>
      </c>
      <c r="Q58" s="72">
        <f>('RESEARCH 2yr'!V56/'T E&amp;G 2YR'!V56)*100</f>
        <v>0</v>
      </c>
      <c r="R58" s="72">
        <f>'PUBLIC SERVICE 2yr'!V56/'T E&amp;G 2YR'!V56*100</f>
        <v>0.10006306184866787</v>
      </c>
      <c r="S58" s="72">
        <f>'ASptISptSSv 2yr'!V56/'T E&amp;G 2YR'!V56*100</f>
        <v>39.663875563410699</v>
      </c>
      <c r="T58" s="73">
        <f>'PLANT OPER MAIN 2yr'!V56/'T E&amp;G 2YR'!V56*100</f>
        <v>0</v>
      </c>
      <c r="U58" s="72">
        <f>'SCHOLAR FELLOW 2yr'!V56/'T E&amp;G 2YR'!V56*100</f>
        <v>19.122541120964577</v>
      </c>
      <c r="V58" s="70">
        <f>IF((('All Other 2yr'!V56/'T E&amp;G 2YR'!V56)*100)&gt;=0.05,('All Other 2yr'!V56/'T E&amp;G 2YR'!V56)*100,"*")</f>
        <v>1.4242536198642495</v>
      </c>
      <c r="W58" s="30"/>
      <c r="X58" s="52">
        <f t="shared" si="1"/>
        <v>99.999999999999986</v>
      </c>
      <c r="Y58" s="52">
        <f t="shared" ref="Y58:Y66" si="17">SUM(C58:H58)</f>
        <v>99.999999999999986</v>
      </c>
      <c r="Z58" s="55"/>
    </row>
    <row r="59" spans="1:26" s="56" customFormat="1">
      <c r="A59" s="97" t="s">
        <v>96</v>
      </c>
      <c r="B59" s="97"/>
      <c r="C59" s="113">
        <f>('INSTRUCTION-2YR'!AA57)/('T E&amp;G 2YR'!AA57)*100</f>
        <v>43.693151591218545</v>
      </c>
      <c r="D59" s="113">
        <f>IF((('RESEARCH 2yr'!AA57/'T E&amp;G 2YR'!AA57)*100)=0,('RESEARCH 2yr'!AA57/'T E&amp;G 2YR'!AA57)*100,IF((('RESEARCH 2yr'!AA57/'T E&amp;G 2YR'!AA57)*100)&gt;=0.05,('RESEARCH 2yr'!AA57/'T E&amp;G 2YR'!AA57)*100,"*"))</f>
        <v>0.40369739896205964</v>
      </c>
      <c r="E59" s="113">
        <f>'PUBLIC SERVICE 2yr'!AA57/'T E&amp;G 2YR'!AA57*100</f>
        <v>0.74985387963620409</v>
      </c>
      <c r="F59" s="113">
        <f>'ASptISptSSv 2yr'!AA57/'T E&amp;G 2YR'!AA57*100</f>
        <v>29.8480953450645</v>
      </c>
      <c r="G59" s="113">
        <f>'SCHOLAR FELLOW 2yr'!AA57/'T E&amp;G 2YR'!AA57*100</f>
        <v>25.237869801012376</v>
      </c>
      <c r="H59" s="113">
        <f>('All Other 2yr'!AA57/'T E&amp;G 2YR'!AA57)*100</f>
        <v>6.7331984106327347E-2</v>
      </c>
      <c r="I59" s="114">
        <f t="shared" si="10"/>
        <v>-1.0091986823480354</v>
      </c>
      <c r="J59" s="127">
        <f t="shared" si="11"/>
        <v>0.40369739896205964</v>
      </c>
      <c r="K59" s="113">
        <f t="shared" si="12"/>
        <v>0.40325624306573071</v>
      </c>
      <c r="L59" s="113">
        <f t="shared" si="13"/>
        <v>-8.6576800672578003E-2</v>
      </c>
      <c r="M59" s="113">
        <f t="shared" si="14"/>
        <v>0.22148985688651024</v>
      </c>
      <c r="N59" s="113">
        <f t="shared" si="15"/>
        <v>6.7331984106327347E-2</v>
      </c>
      <c r="O59" s="30"/>
      <c r="P59" s="71">
        <f>'INSTRUCTION-2YR'!V57/'T E&amp;G 2YR'!V57*100</f>
        <v>44.70235027356658</v>
      </c>
      <c r="Q59" s="72">
        <f>('RESEARCH 2yr'!V57/'T E&amp;G 2YR'!V57)*100</f>
        <v>0</v>
      </c>
      <c r="R59" s="72">
        <f>'PUBLIC SERVICE 2yr'!V57/'T E&amp;G 2YR'!V57*100</f>
        <v>0.34659763657047338</v>
      </c>
      <c r="S59" s="72">
        <f>'ASptISptSSv 2yr'!V57/'T E&amp;G 2YR'!V57*100</f>
        <v>29.934672145737078</v>
      </c>
      <c r="T59" s="73">
        <f>'PLANT OPER MAIN 2yr'!V57/'T E&amp;G 2YR'!V57*100</f>
        <v>0</v>
      </c>
      <c r="U59" s="72">
        <f>'SCHOLAR FELLOW 2yr'!V57/'T E&amp;G 2YR'!V57*100</f>
        <v>25.016379944125866</v>
      </c>
      <c r="V59" s="70" t="str">
        <f>IF((('All Other 2yr'!V57/'T E&amp;G 2YR'!V57)*100)&gt;=0.05,('All Other 2yr'!V57/'T E&amp;G 2YR'!V57)*100,"*")</f>
        <v>*</v>
      </c>
      <c r="W59" s="30"/>
      <c r="X59" s="52">
        <f t="shared" si="1"/>
        <v>100</v>
      </c>
      <c r="Y59" s="52">
        <f t="shared" si="17"/>
        <v>100.00000000000001</v>
      </c>
      <c r="Z59" s="55"/>
    </row>
    <row r="60" spans="1:26" s="56" customFormat="1">
      <c r="A60" s="97" t="s">
        <v>97</v>
      </c>
      <c r="B60" s="97"/>
      <c r="C60" s="113">
        <f>('INSTRUCTION-2YR'!AA58)/('T E&amp;G 2YR'!AA58)*100</f>
        <v>38.373478316491742</v>
      </c>
      <c r="D60" s="113" t="str">
        <f>IF((('RESEARCH 2yr'!AA58/'T E&amp;G 2YR'!AA58)*100)=0,('RESEARCH 2yr'!AA58/'T E&amp;G 2YR'!AA58)*100,IF((('RESEARCH 2yr'!AA58/'T E&amp;G 2YR'!AA58)*100)&gt;=0.05,('RESEARCH 2yr'!AA58/'T E&amp;G 2YR'!AA58)*100,"*"))</f>
        <v>*</v>
      </c>
      <c r="E60" s="113">
        <f>'PUBLIC SERVICE 2yr'!AA58/'T E&amp;G 2YR'!AA58*100</f>
        <v>1.112540302731734</v>
      </c>
      <c r="F60" s="113">
        <f>'ASptISptSSv 2yr'!AA58/'T E&amp;G 2YR'!AA58*100</f>
        <v>38.362343111291523</v>
      </c>
      <c r="G60" s="113">
        <f>'SCHOLAR FELLOW 2yr'!AA58/'T E&amp;G 2YR'!AA58*100</f>
        <v>21.599774256076635</v>
      </c>
      <c r="H60" s="113">
        <f>('All Other 2yr'!AA58/'T E&amp;G 2YR'!AA58)*100</f>
        <v>0.55125172330550787</v>
      </c>
      <c r="I60" s="114">
        <f t="shared" si="10"/>
        <v>-0.60091108766251722</v>
      </c>
      <c r="J60" s="127" t="str">
        <f t="shared" si="11"/>
        <v>*</v>
      </c>
      <c r="K60" s="113" t="str">
        <f t="shared" si="12"/>
        <v>*</v>
      </c>
      <c r="L60" s="113">
        <f t="shared" si="13"/>
        <v>1.8406479793992077</v>
      </c>
      <c r="M60" s="113" t="str">
        <f t="shared" si="14"/>
        <v>*</v>
      </c>
      <c r="N60" s="113">
        <f t="shared" si="15"/>
        <v>-1.1761909696442459</v>
      </c>
      <c r="O60" s="30"/>
      <c r="P60" s="71">
        <f>'INSTRUCTION-2YR'!V58/'T E&amp;G 2YR'!V58*100</f>
        <v>38.974389404154259</v>
      </c>
      <c r="Q60" s="72">
        <f>('RESEARCH 2yr'!V58/'T E&amp;G 2YR'!V58)*100</f>
        <v>1.6123675817148547E-2</v>
      </c>
      <c r="R60" s="72">
        <f>'PUBLIC SERVICE 2yr'!V58/'T E&amp;G 2YR'!V58*100</f>
        <v>1.127152617668379</v>
      </c>
      <c r="S60" s="72">
        <f>'ASptISptSSv 2yr'!V58/'T E&amp;G 2YR'!V58*100</f>
        <v>36.521695131892315</v>
      </c>
      <c r="T60" s="73">
        <f>'PLANT OPER MAIN 2yr'!V58/'T E&amp;G 2YR'!V58*100</f>
        <v>0</v>
      </c>
      <c r="U60" s="72">
        <f>'SCHOLAR FELLOW 2yr'!V58/'T E&amp;G 2YR'!V58*100</f>
        <v>21.633196477518148</v>
      </c>
      <c r="V60" s="70">
        <f>IF((('All Other 2yr'!V58/'T E&amp;G 2YR'!V58)*100)&gt;=0.05,('All Other 2yr'!V58/'T E&amp;G 2YR'!V58)*100,"*")</f>
        <v>1.7274426929497537</v>
      </c>
      <c r="W60" s="30"/>
      <c r="X60" s="52">
        <f t="shared" si="1"/>
        <v>100</v>
      </c>
      <c r="Y60" s="52">
        <f t="shared" si="17"/>
        <v>99.99938770989715</v>
      </c>
      <c r="Z60" s="55"/>
    </row>
    <row r="61" spans="1:26" s="56" customFormat="1">
      <c r="A61" s="97" t="s">
        <v>103</v>
      </c>
      <c r="B61" s="97"/>
      <c r="C61" s="113">
        <f>('INSTRUCTION-2YR'!AA59)/('T E&amp;G 2YR'!AA59)*100</f>
        <v>41.601817320203146</v>
      </c>
      <c r="D61" s="113">
        <f>IF((('RESEARCH 2yr'!AA59/'T E&amp;G 2YR'!AA59)*100)=0,('RESEARCH 2yr'!AA59/'T E&amp;G 2YR'!AA59)*100,IF((('RESEARCH 2yr'!AA59/'T E&amp;G 2YR'!AA59)*100)&gt;=0.05,('RESEARCH 2yr'!AA59/'T E&amp;G 2YR'!AA59)*100,"*"))</f>
        <v>0.37090810072343938</v>
      </c>
      <c r="E61" s="113">
        <f>'PUBLIC SERVICE 2yr'!AA59/'T E&amp;G 2YR'!AA59*100</f>
        <v>0.13139089973661916</v>
      </c>
      <c r="F61" s="113">
        <f>'ASptISptSSv 2yr'!AA59/'T E&amp;G 2YR'!AA59*100</f>
        <v>41.474059284838148</v>
      </c>
      <c r="G61" s="113">
        <f>'SCHOLAR FELLOW 2yr'!AA59/'T E&amp;G 2YR'!AA59*100</f>
        <v>16.421824394498646</v>
      </c>
      <c r="H61" s="113">
        <f>('All Other 2yr'!AA59/'T E&amp;G 2YR'!AA59)*100</f>
        <v>0</v>
      </c>
      <c r="I61" s="114">
        <f t="shared" si="10"/>
        <v>11.260576347846914</v>
      </c>
      <c r="J61" s="127">
        <f t="shared" si="11"/>
        <v>0.32719701770139198</v>
      </c>
      <c r="K61" s="113" t="str">
        <f t="shared" si="12"/>
        <v>*</v>
      </c>
      <c r="L61" s="113">
        <f t="shared" si="13"/>
        <v>-12.108244645829771</v>
      </c>
      <c r="M61" s="113">
        <f t="shared" si="14"/>
        <v>0.32314049856288918</v>
      </c>
      <c r="N61" s="113">
        <f t="shared" si="15"/>
        <v>0</v>
      </c>
      <c r="O61" s="30"/>
      <c r="P61" s="71">
        <f>'INSTRUCTION-2YR'!V59/'T E&amp;G 2YR'!V59*100</f>
        <v>30.341240972356232</v>
      </c>
      <c r="Q61" s="72">
        <f>('RESEARCH 2yr'!V59/'T E&amp;G 2YR'!V59)*100</f>
        <v>4.3711083022047389E-2</v>
      </c>
      <c r="R61" s="72">
        <f>'PUBLIC SERVICE 2yr'!V59/'T E&amp;G 2YR'!V59*100</f>
        <v>0.10561485313654272</v>
      </c>
      <c r="S61" s="72">
        <f>'ASptISptSSv 2yr'!V59/'T E&amp;G 2YR'!V59*100</f>
        <v>53.582303930667919</v>
      </c>
      <c r="T61" s="73">
        <f>'PLANT OPER MAIN 2yr'!V59/'T E&amp;G 2YR'!V59*100</f>
        <v>0</v>
      </c>
      <c r="U61" s="72">
        <f>'SCHOLAR FELLOW 2yr'!V59/'T E&amp;G 2YR'!V59*100</f>
        <v>16.098683895935757</v>
      </c>
      <c r="V61" s="70" t="str">
        <f>IF((('All Other 2yr'!V59/'T E&amp;G 2YR'!V59)*100)&gt;=0.05,('All Other 2yr'!V59/'T E&amp;G 2YR'!V59)*100,"*")</f>
        <v>*</v>
      </c>
      <c r="W61" s="30"/>
      <c r="X61" s="52">
        <f t="shared" si="1"/>
        <v>100.17155473511849</v>
      </c>
      <c r="Y61" s="52">
        <f t="shared" si="17"/>
        <v>100</v>
      </c>
      <c r="Z61" s="55"/>
    </row>
    <row r="62" spans="1:26" s="56" customFormat="1">
      <c r="A62" s="98" t="s">
        <v>104</v>
      </c>
      <c r="B62" s="98"/>
      <c r="C62" s="111">
        <f>('INSTRUCTION-2YR'!AA60)/('T E&amp;G 2YR'!AA60)*100</f>
        <v>36.406005452745219</v>
      </c>
      <c r="D62" s="111">
        <f>IF((('RESEARCH 2yr'!AA60/'T E&amp;G 2YR'!AA60)*100)=0,('RESEARCH 2yr'!AA60/'T E&amp;G 2YR'!AA60)*100,IF((('RESEARCH 2yr'!AA60/'T E&amp;G 2YR'!AA60)*100)&gt;=0.05,('RESEARCH 2yr'!AA60/'T E&amp;G 2YR'!AA60)*100,"*"))</f>
        <v>0.15058349797846873</v>
      </c>
      <c r="E62" s="111">
        <f>'PUBLIC SERVICE 2yr'!AA60/'T E&amp;G 2YR'!AA60*100</f>
        <v>2.2659754552552975</v>
      </c>
      <c r="F62" s="111">
        <f>'ASptISptSSv 2yr'!AA60/'T E&amp;G 2YR'!AA60*100</f>
        <v>32.228455172150944</v>
      </c>
      <c r="G62" s="111">
        <f>'SCHOLAR FELLOW 2yr'!AA60/'T E&amp;G 2YR'!AA60*100</f>
        <v>22.999024657383004</v>
      </c>
      <c r="H62" s="111">
        <f>('All Other 2yr'!AA60/'T E&amp;G 2YR'!AA60)*100</f>
        <v>5.9499557644870666</v>
      </c>
      <c r="I62" s="116">
        <f t="shared" si="10"/>
        <v>0.71195855131783503</v>
      </c>
      <c r="J62" s="117" t="str">
        <f t="shared" si="11"/>
        <v>*</v>
      </c>
      <c r="K62" s="115">
        <f t="shared" si="12"/>
        <v>-0.16877891890486385</v>
      </c>
      <c r="L62" s="115">
        <f t="shared" si="13"/>
        <v>-1.0037816842203142</v>
      </c>
      <c r="M62" s="115">
        <f t="shared" si="14"/>
        <v>-1.1269198368077902</v>
      </c>
      <c r="N62" s="115">
        <f t="shared" si="15"/>
        <v>1.6175136744323702</v>
      </c>
      <c r="O62" s="30"/>
      <c r="P62" s="71">
        <f>'INSTRUCTION-2YR'!V60/'T E&amp;G 2YR'!V60*100</f>
        <v>35.694046901427384</v>
      </c>
      <c r="Q62" s="72">
        <f>('RESEARCH 2yr'!V60/'T E&amp;G 2YR'!V60)*100</f>
        <v>0.1805752837957055</v>
      </c>
      <c r="R62" s="72">
        <f>'PUBLIC SERVICE 2yr'!V60/'T E&amp;G 2YR'!V60*100</f>
        <v>2.4347543741601614</v>
      </c>
      <c r="S62" s="72">
        <f>'ASptISptSSv 2yr'!V60/'T E&amp;G 2YR'!V60*100</f>
        <v>33.232236856371259</v>
      </c>
      <c r="T62" s="73">
        <f>'PLANT OPER MAIN 2yr'!V60/'T E&amp;G 2YR'!V60*100</f>
        <v>0</v>
      </c>
      <c r="U62" s="72">
        <f>'SCHOLAR FELLOW 2yr'!V60/'T E&amp;G 2YR'!V60*100</f>
        <v>24.125944494190794</v>
      </c>
      <c r="V62" s="70">
        <f>IF((('All Other 2yr'!V60/'T E&amp;G 2YR'!V60)*100)&gt;=0.05,('All Other 2yr'!V60/'T E&amp;G 2YR'!V60)*100,"*")</f>
        <v>4.3324420900546965</v>
      </c>
      <c r="W62" s="30"/>
      <c r="X62" s="52">
        <f t="shared" si="1"/>
        <v>100</v>
      </c>
      <c r="Y62" s="52">
        <f t="shared" si="17"/>
        <v>100</v>
      </c>
      <c r="Z62" s="55"/>
    </row>
    <row r="63" spans="1:26" s="56" customFormat="1">
      <c r="A63" s="98" t="s">
        <v>106</v>
      </c>
      <c r="B63" s="98"/>
      <c r="C63" s="111">
        <f>('INSTRUCTION-2YR'!AA61)/('T E&amp;G 2YR'!AA61)*100</f>
        <v>43.15015984362465</v>
      </c>
      <c r="D63" s="111">
        <f>IF((('RESEARCH 2yr'!AA61/'T E&amp;G 2YR'!AA61)*100)=0,('RESEARCH 2yr'!AA61/'T E&amp;G 2YR'!AA61)*100,IF((('RESEARCH 2yr'!AA61/'T E&amp;G 2YR'!AA61)*100)&gt;=0.05,('RESEARCH 2yr'!AA61/'T E&amp;G 2YR'!AA61)*100,"*"))</f>
        <v>0.10079037258143196</v>
      </c>
      <c r="E63" s="111">
        <f>'PUBLIC SERVICE 2yr'!AA61/'T E&amp;G 2YR'!AA61*100</f>
        <v>0.77969314320435812</v>
      </c>
      <c r="F63" s="111">
        <f>'ASptISptSSv 2yr'!AA61/'T E&amp;G 2YR'!AA61*100</f>
        <v>30.413486999957335</v>
      </c>
      <c r="G63" s="111">
        <f>'SCHOLAR FELLOW 2yr'!AA61/'T E&amp;G 2YR'!AA61*100</f>
        <v>23.292409591532078</v>
      </c>
      <c r="H63" s="111">
        <f>('All Other 2yr'!AA61/'T E&amp;G 2YR'!AA61)*100</f>
        <v>2.26346004910015</v>
      </c>
      <c r="I63" s="116">
        <f t="shared" si="10"/>
        <v>0.95681120410421272</v>
      </c>
      <c r="J63" s="117" t="str">
        <f t="shared" si="11"/>
        <v>*</v>
      </c>
      <c r="K63" s="115">
        <f t="shared" si="12"/>
        <v>-0.11413250853320256</v>
      </c>
      <c r="L63" s="115">
        <f t="shared" si="13"/>
        <v>-1.6041631567190748</v>
      </c>
      <c r="M63" s="115">
        <f t="shared" si="14"/>
        <v>1.4156727094670387</v>
      </c>
      <c r="N63" s="115">
        <f t="shared" si="15"/>
        <v>-0.67629962599777826</v>
      </c>
      <c r="O63" s="30"/>
      <c r="P63" s="71">
        <f>'INSTRUCTION-2YR'!V61/'T E&amp;G 2YR'!V61*100</f>
        <v>42.193348639520437</v>
      </c>
      <c r="Q63" s="72">
        <f>('RESEARCH 2yr'!V61/'T E&amp;G 2YR'!V61)*100</f>
        <v>7.8678994902633942E-2</v>
      </c>
      <c r="R63" s="72">
        <f>'PUBLIC SERVICE 2yr'!V61/'T E&amp;G 2YR'!V61*100</f>
        <v>0.89382565173756068</v>
      </c>
      <c r="S63" s="72">
        <f>'ASptISptSSv 2yr'!V61/'T E&amp;G 2YR'!V61*100</f>
        <v>32.01765015667641</v>
      </c>
      <c r="T63" s="73">
        <f>'PLANT OPER MAIN 2yr'!V61/'T E&amp;G 2YR'!V61*100</f>
        <v>0</v>
      </c>
      <c r="U63" s="72">
        <f>'SCHOLAR FELLOW 2yr'!V61/'T E&amp;G 2YR'!V61*100</f>
        <v>21.876736882065039</v>
      </c>
      <c r="V63" s="70">
        <f>IF((('All Other 2yr'!V61/'T E&amp;G 2YR'!V61)*100)&gt;=0.05,('All Other 2yr'!V61/'T E&amp;G 2YR'!V61)*100,"*")</f>
        <v>2.9397596750979282</v>
      </c>
      <c r="W63" s="30"/>
      <c r="X63" s="52">
        <f t="shared" si="1"/>
        <v>100.00000000000001</v>
      </c>
      <c r="Y63" s="52">
        <f t="shared" si="17"/>
        <v>99.999999999999986</v>
      </c>
      <c r="Z63" s="55"/>
    </row>
    <row r="64" spans="1:26" s="56" customFormat="1">
      <c r="A64" s="98" t="s">
        <v>110</v>
      </c>
      <c r="B64" s="98"/>
      <c r="C64" s="111">
        <f>('INSTRUCTION-2YR'!AA62)/('T E&amp;G 2YR'!AA62)*100</f>
        <v>39.893765000939915</v>
      </c>
      <c r="D64" s="111" t="str">
        <f>IF((('RESEARCH 2yr'!AA62/'T E&amp;G 2YR'!AA62)*100)=0,('RESEARCH 2yr'!AA62/'T E&amp;G 2YR'!AA62)*100,IF((('RESEARCH 2yr'!AA62/'T E&amp;G 2YR'!AA62)*100)&gt;=0.05,('RESEARCH 2yr'!AA62/'T E&amp;G 2YR'!AA62)*100,"*"))</f>
        <v>*</v>
      </c>
      <c r="E64" s="111">
        <f>'PUBLIC SERVICE 2yr'!AA62/'T E&amp;G 2YR'!AA62*100</f>
        <v>0.23299345574793054</v>
      </c>
      <c r="F64" s="111">
        <f>'ASptISptSSv 2yr'!AA62/'T E&amp;G 2YR'!AA62*100</f>
        <v>34.167314251488563</v>
      </c>
      <c r="G64" s="111">
        <f>'SCHOLAR FELLOW 2yr'!AA62/'T E&amp;G 2YR'!AA62*100</f>
        <v>20.90745041586861</v>
      </c>
      <c r="H64" s="111">
        <f>('All Other 2yr'!AA62/'T E&amp;G 2YR'!AA62)*100</f>
        <v>4.7964801414218075</v>
      </c>
      <c r="I64" s="116">
        <f t="shared" si="10"/>
        <v>-1.250786904128411</v>
      </c>
      <c r="J64" s="117" t="str">
        <f t="shared" si="11"/>
        <v>*</v>
      </c>
      <c r="K64" s="115" t="str">
        <f t="shared" si="12"/>
        <v>*</v>
      </c>
      <c r="L64" s="115">
        <f t="shared" si="13"/>
        <v>1.1145148514458114</v>
      </c>
      <c r="M64" s="115">
        <f t="shared" si="14"/>
        <v>0.56030768965227296</v>
      </c>
      <c r="N64" s="115">
        <f t="shared" si="15"/>
        <v>-0.38633393040578934</v>
      </c>
      <c r="O64" s="30"/>
      <c r="P64" s="71">
        <f>'INSTRUCTION-2YR'!V62/'T E&amp;G 2YR'!V62*100</f>
        <v>41.144551905068326</v>
      </c>
      <c r="Q64" s="72">
        <f>('RESEARCH 2yr'!V62/'T E&amp;G 2YR'!V62)*100</f>
        <v>9.76399058641058E-3</v>
      </c>
      <c r="R64" s="72">
        <f>'PUBLIC SERVICE 2yr'!V62/'T E&amp;G 2YR'!V62*100</f>
        <v>0.26292790625856322</v>
      </c>
      <c r="S64" s="72">
        <f>'ASptISptSSv 2yr'!V62/'T E&amp;G 2YR'!V62*100</f>
        <v>33.052799400042751</v>
      </c>
      <c r="T64" s="73">
        <f>'PLANT OPER MAIN 2yr'!V62/'T E&amp;G 2YR'!V62*100</f>
        <v>0</v>
      </c>
      <c r="U64" s="72">
        <f>'SCHOLAR FELLOW 2yr'!V62/'T E&amp;G 2YR'!V62*100</f>
        <v>20.347142726216337</v>
      </c>
      <c r="V64" s="70">
        <f>IF((('All Other 2yr'!V62/'T E&amp;G 2YR'!V62)*100)&gt;=0.05,('All Other 2yr'!V62/'T E&amp;G 2YR'!V62)*100,"*")</f>
        <v>5.1828140718275968</v>
      </c>
      <c r="W64" s="30"/>
      <c r="X64" s="52">
        <f t="shared" si="1"/>
        <v>99.999999999999972</v>
      </c>
      <c r="Y64" s="52">
        <f t="shared" si="17"/>
        <v>99.998003265466821</v>
      </c>
      <c r="Z64" s="55"/>
    </row>
    <row r="65" spans="1:30" s="56" customFormat="1">
      <c r="A65" s="98" t="s">
        <v>111</v>
      </c>
      <c r="B65" s="98"/>
      <c r="C65" s="111">
        <f>('INSTRUCTION-2YR'!AA63)/('T E&amp;G 2YR'!AA63)*100</f>
        <v>43.779024425945714</v>
      </c>
      <c r="D65" s="111">
        <f>IF((('RESEARCH 2yr'!AA63/'T E&amp;G 2YR'!AA63)*100)=0,('RESEARCH 2yr'!AA63/'T E&amp;G 2YR'!AA63)*100,IF((('RESEARCH 2yr'!AA63/'T E&amp;G 2YR'!AA63)*100)&gt;=0.05,('RESEARCH 2yr'!AA63/'T E&amp;G 2YR'!AA63)*100,"*"))</f>
        <v>0</v>
      </c>
      <c r="E65" s="111">
        <f>'PUBLIC SERVICE 2yr'!AA63/'T E&amp;G 2YR'!AA63*100</f>
        <v>0.87247386644888802</v>
      </c>
      <c r="F65" s="111">
        <f>'ASptISptSSv 2yr'!AA63/'T E&amp;G 2YR'!AA63*100</f>
        <v>32.822205886386527</v>
      </c>
      <c r="G65" s="111">
        <f>'SCHOLAR FELLOW 2yr'!AA63/'T E&amp;G 2YR'!AA63*100</f>
        <v>22.526295821218888</v>
      </c>
      <c r="H65" s="111">
        <f>('All Other 2yr'!AA63/'T E&amp;G 2YR'!AA63)*100</f>
        <v>0</v>
      </c>
      <c r="I65" s="116">
        <f t="shared" si="10"/>
        <v>-3.1545902819111404</v>
      </c>
      <c r="J65" s="117">
        <f t="shared" si="11"/>
        <v>0</v>
      </c>
      <c r="K65" s="115">
        <f t="shared" si="12"/>
        <v>-0.33067001672729956</v>
      </c>
      <c r="L65" s="115">
        <f t="shared" si="13"/>
        <v>-0.93939515316656497</v>
      </c>
      <c r="M65" s="115">
        <f t="shared" si="14"/>
        <v>4.5286187653725101</v>
      </c>
      <c r="N65" s="115">
        <f t="shared" si="15"/>
        <v>-0.10396331356747951</v>
      </c>
      <c r="O65" s="30"/>
      <c r="P65" s="71">
        <f>'INSTRUCTION-2YR'!V63/'T E&amp;G 2YR'!V63*100</f>
        <v>46.933614707856854</v>
      </c>
      <c r="Q65" s="72">
        <f>('RESEARCH 2yr'!V63/'T E&amp;G 2YR'!V63)*100</f>
        <v>0</v>
      </c>
      <c r="R65" s="72">
        <f>'PUBLIC SERVICE 2yr'!V63/'T E&amp;G 2YR'!V63*100</f>
        <v>1.2031438831761876</v>
      </c>
      <c r="S65" s="72">
        <f>'ASptISptSSv 2yr'!V63/'T E&amp;G 2YR'!V63*100</f>
        <v>33.761601039553092</v>
      </c>
      <c r="T65" s="73">
        <f>'PLANT OPER MAIN 2yr'!V63/'T E&amp;G 2YR'!V63*100</f>
        <v>0</v>
      </c>
      <c r="U65" s="72">
        <f>'SCHOLAR FELLOW 2yr'!V63/'T E&amp;G 2YR'!V63*100</f>
        <v>17.997677055846378</v>
      </c>
      <c r="V65" s="70">
        <f>IF((('All Other 2yr'!V63/'T E&amp;G 2YR'!V63)*100)&gt;=0.05,('All Other 2yr'!V63/'T E&amp;G 2YR'!V63)*100,"*")</f>
        <v>0.10396331356747951</v>
      </c>
      <c r="W65" s="30"/>
      <c r="X65" s="52">
        <f t="shared" si="1"/>
        <v>99.999999999999986</v>
      </c>
      <c r="Y65" s="52">
        <f t="shared" si="17"/>
        <v>100.00000000000003</v>
      </c>
      <c r="Z65" s="55"/>
    </row>
    <row r="66" spans="1:30" s="56" customFormat="1">
      <c r="A66" s="104" t="s">
        <v>114</v>
      </c>
      <c r="B66" s="104"/>
      <c r="C66" s="111">
        <f>('INSTRUCTION-2YR'!AA64)/('T E&amp;G 2YR'!AA64)*100</f>
        <v>36.329613546289856</v>
      </c>
      <c r="D66" s="111" t="str">
        <f>IF((('RESEARCH 2yr'!AA64/'T E&amp;G 2YR'!AA64)*100)=0,('RESEARCH 2yr'!AA64/'T E&amp;G 2YR'!AA64)*100,IF((('RESEARCH 2yr'!AA64/'T E&amp;G 2YR'!AA64)*100)&gt;=0.05,('RESEARCH 2yr'!AA64/'T E&amp;G 2YR'!AA64)*100,"*"))</f>
        <v>*</v>
      </c>
      <c r="E66" s="111">
        <f>'PUBLIC SERVICE 2yr'!AA64/'T E&amp;G 2YR'!AA64*100</f>
        <v>9.4745215822579869</v>
      </c>
      <c r="F66" s="111">
        <f>'ASptISptSSv 2yr'!AA64/'T E&amp;G 2YR'!AA64*100</f>
        <v>37.953717897979935</v>
      </c>
      <c r="G66" s="111">
        <f>'SCHOLAR FELLOW 2yr'!AA64/'T E&amp;G 2YR'!AA64*100</f>
        <v>16.221776421258827</v>
      </c>
      <c r="H66" s="111">
        <f>('All Other 2yr'!AA64/'T E&amp;G 2YR'!AA64)*100</f>
        <v>0</v>
      </c>
      <c r="I66" s="110">
        <f t="shared" si="10"/>
        <v>8.331413610746317</v>
      </c>
      <c r="J66" s="109">
        <f t="shared" si="11"/>
        <v>0</v>
      </c>
      <c r="K66" s="109">
        <f t="shared" si="12"/>
        <v>8.2179403422310511</v>
      </c>
      <c r="L66" s="109">
        <f t="shared" si="13"/>
        <v>-9.2736561826639914</v>
      </c>
      <c r="M66" s="109">
        <f t="shared" si="14"/>
        <v>-7.2960683225267573</v>
      </c>
      <c r="N66" s="109">
        <f t="shared" si="15"/>
        <v>0</v>
      </c>
      <c r="O66" s="30"/>
      <c r="P66" s="71">
        <f>'INSTRUCTION-2YR'!V64/'T E&amp;G 2YR'!V64*100</f>
        <v>27.998199935543539</v>
      </c>
      <c r="Q66" s="72">
        <f>('RESEARCH 2yr'!V64/'T E&amp;G 2YR'!V64)*100</f>
        <v>0</v>
      </c>
      <c r="R66" s="72">
        <f>'PUBLIC SERVICE 2yr'!V64/'T E&amp;G 2YR'!V64*100</f>
        <v>1.2565812400269354</v>
      </c>
      <c r="S66" s="72">
        <f>'ASptISptSSv 2yr'!V64/'T E&amp;G 2YR'!V64*100</f>
        <v>47.227374080643926</v>
      </c>
      <c r="T66" s="73">
        <f>'PLANT OPER MAIN 2yr'!V64/'T E&amp;G 2YR'!V64*100</f>
        <v>0</v>
      </c>
      <c r="U66" s="72">
        <f>'SCHOLAR FELLOW 2yr'!V64/'T E&amp;G 2YR'!V64*100</f>
        <v>23.517844743785584</v>
      </c>
      <c r="V66" s="70" t="str">
        <f>IF((('All Other 2yr'!V64/'T E&amp;G 2YR'!V64)*100)&gt;=0.05,('All Other 2yr'!V64/'T E&amp;G 2YR'!V64)*100,"*")</f>
        <v>*</v>
      </c>
      <c r="W66" s="30"/>
      <c r="X66" s="52">
        <f t="shared" si="1"/>
        <v>99.999999999999986</v>
      </c>
      <c r="Y66" s="52">
        <f t="shared" si="17"/>
        <v>99.979629447786607</v>
      </c>
      <c r="Z66" s="55"/>
    </row>
    <row r="67" spans="1:30" s="56" customFormat="1">
      <c r="A67" s="88" t="s">
        <v>90</v>
      </c>
      <c r="B67" s="88"/>
      <c r="C67" s="124" t="s">
        <v>123</v>
      </c>
      <c r="D67" s="124" t="s">
        <v>123</v>
      </c>
      <c r="E67" s="124" t="s">
        <v>123</v>
      </c>
      <c r="F67" s="124" t="s">
        <v>123</v>
      </c>
      <c r="G67" s="124" t="s">
        <v>123</v>
      </c>
      <c r="H67" s="124" t="s">
        <v>123</v>
      </c>
      <c r="I67" s="125" t="s">
        <v>123</v>
      </c>
      <c r="J67" s="124" t="s">
        <v>123</v>
      </c>
      <c r="K67" s="124" t="s">
        <v>123</v>
      </c>
      <c r="L67" s="124" t="s">
        <v>123</v>
      </c>
      <c r="M67" s="124" t="s">
        <v>123</v>
      </c>
      <c r="N67" s="124" t="s">
        <v>123</v>
      </c>
      <c r="O67" s="30"/>
      <c r="P67" s="71"/>
      <c r="Q67" s="72"/>
      <c r="R67" s="72"/>
      <c r="S67" s="72"/>
      <c r="T67" s="73"/>
      <c r="U67" s="72"/>
      <c r="V67" s="70"/>
      <c r="W67" s="30"/>
      <c r="X67" s="52"/>
      <c r="Y67" s="52"/>
      <c r="Z67" s="55"/>
    </row>
    <row r="68" spans="1:30" s="56" customFormat="1">
      <c r="A68" s="42"/>
      <c r="B68" s="24"/>
      <c r="C68" s="24"/>
      <c r="D68" s="24"/>
      <c r="E68" s="24"/>
      <c r="F68" s="24"/>
      <c r="G68" s="53"/>
      <c r="H68" s="24"/>
      <c r="I68" s="24"/>
      <c r="L68" s="53"/>
      <c r="M68" s="53"/>
      <c r="N68" s="53"/>
      <c r="O68" s="30"/>
      <c r="P68" s="30"/>
      <c r="Q68" s="30"/>
      <c r="R68" s="30"/>
      <c r="S68" s="30"/>
      <c r="T68" s="30"/>
      <c r="U68" s="30"/>
      <c r="V68" s="30"/>
      <c r="W68" s="30"/>
      <c r="X68" s="54"/>
      <c r="Y68" s="54"/>
      <c r="Z68" s="55"/>
    </row>
    <row r="69" spans="1:30" ht="27.75" customHeight="1">
      <c r="A69" s="42" t="s">
        <v>125</v>
      </c>
      <c r="I69" s="184" t="s">
        <v>152</v>
      </c>
      <c r="J69" s="185"/>
      <c r="K69" s="185"/>
      <c r="L69" s="185"/>
      <c r="M69" s="185"/>
      <c r="N69" s="185"/>
      <c r="O69" s="31"/>
      <c r="P69" s="31"/>
      <c r="Q69" s="31"/>
      <c r="R69" s="31"/>
      <c r="S69" s="31"/>
      <c r="T69" s="31"/>
      <c r="U69" s="31"/>
      <c r="V69" s="31"/>
      <c r="W69" s="31"/>
      <c r="X69" s="13"/>
      <c r="Y69" s="26"/>
      <c r="Z69" s="1"/>
      <c r="AA69" s="1"/>
      <c r="AB69" s="1"/>
      <c r="AC69" s="2"/>
      <c r="AD69" s="2"/>
    </row>
    <row r="70" spans="1:30" ht="18" customHeight="1">
      <c r="A70" s="42" t="s">
        <v>124</v>
      </c>
      <c r="K70" s="57"/>
      <c r="L70" s="57"/>
      <c r="M70" s="57"/>
      <c r="N70" s="57"/>
      <c r="O70" s="31"/>
      <c r="P70" s="31"/>
      <c r="Q70" s="31"/>
      <c r="R70" s="31"/>
      <c r="S70" s="31"/>
      <c r="T70" s="31"/>
      <c r="U70" s="31"/>
      <c r="V70" s="31"/>
      <c r="W70" s="31"/>
      <c r="X70" s="13"/>
      <c r="Y70" s="26"/>
      <c r="Z70" s="1"/>
      <c r="AA70" s="1"/>
      <c r="AB70" s="1"/>
      <c r="AC70" s="2"/>
      <c r="AD70" s="2"/>
    </row>
    <row r="71" spans="1:30" ht="115.5" customHeight="1">
      <c r="A71" s="184" t="s">
        <v>139</v>
      </c>
      <c r="B71" s="183"/>
      <c r="C71" s="183"/>
      <c r="D71" s="183"/>
      <c r="E71" s="183"/>
      <c r="F71" s="183"/>
      <c r="G71" s="183"/>
      <c r="H71" s="53"/>
      <c r="I71" s="53"/>
      <c r="J71" s="53"/>
      <c r="K71" s="53"/>
      <c r="L71" s="53"/>
      <c r="M71" s="53"/>
      <c r="N71" s="53"/>
      <c r="O71" s="31"/>
      <c r="P71" s="31"/>
      <c r="Q71" s="31"/>
      <c r="R71" s="31"/>
      <c r="S71" s="31"/>
      <c r="T71" s="31"/>
      <c r="U71" s="31"/>
      <c r="V71" s="31"/>
      <c r="W71" s="31"/>
      <c r="X71" s="13"/>
      <c r="Y71" s="26"/>
      <c r="Z71" s="1"/>
      <c r="AA71" s="1"/>
      <c r="AB71" s="1"/>
      <c r="AC71" s="2"/>
      <c r="AD71" s="2"/>
    </row>
    <row r="72" spans="1:30" ht="48.75" customHeight="1">
      <c r="A72" s="184" t="s">
        <v>153</v>
      </c>
      <c r="B72" s="183"/>
      <c r="C72" s="183"/>
      <c r="D72" s="183"/>
      <c r="E72" s="183"/>
      <c r="F72" s="183"/>
      <c r="G72" s="183"/>
      <c r="H72" s="183"/>
      <c r="I72" s="53"/>
      <c r="J72" s="53"/>
      <c r="K72" s="53"/>
      <c r="L72" s="53"/>
      <c r="M72" s="53"/>
      <c r="N72" s="53"/>
      <c r="O72" s="31"/>
      <c r="P72" s="31"/>
      <c r="Q72" s="31"/>
      <c r="R72" s="31"/>
      <c r="S72" s="31"/>
      <c r="T72" s="31"/>
      <c r="U72" s="31"/>
      <c r="V72" s="31"/>
      <c r="W72" s="31"/>
      <c r="X72" s="13"/>
      <c r="Y72" s="26"/>
      <c r="Z72" s="1"/>
      <c r="AA72" s="1"/>
      <c r="AB72" s="1"/>
      <c r="AC72" s="2"/>
      <c r="AD72" s="2"/>
    </row>
    <row r="73" spans="1:30" ht="48.75" customHeight="1">
      <c r="A73" s="184" t="s">
        <v>140</v>
      </c>
      <c r="B73" s="183"/>
      <c r="C73" s="183"/>
      <c r="D73" s="183"/>
      <c r="E73" s="183"/>
      <c r="F73" s="183"/>
      <c r="G73" s="183"/>
      <c r="H73" s="50"/>
      <c r="I73" s="51"/>
      <c r="J73" s="50"/>
      <c r="K73" s="50"/>
      <c r="L73" s="50"/>
      <c r="M73" s="50"/>
      <c r="N73" s="135"/>
      <c r="O73"/>
      <c r="P73"/>
      <c r="Q73"/>
      <c r="R73"/>
      <c r="S73"/>
      <c r="T73"/>
      <c r="U73"/>
      <c r="V73"/>
      <c r="W73"/>
    </row>
    <row r="74" spans="1:30">
      <c r="A74" s="58"/>
      <c r="B74" s="57"/>
      <c r="C74" s="1"/>
      <c r="D74" s="1"/>
      <c r="E74" s="1"/>
      <c r="F74" s="1"/>
      <c r="G74" s="1"/>
      <c r="H74" s="1"/>
      <c r="I74" s="1"/>
      <c r="J74" s="1"/>
      <c r="K74" s="1"/>
      <c r="L74" s="1"/>
      <c r="M74" s="1"/>
      <c r="N74" s="1" t="s">
        <v>150</v>
      </c>
      <c r="O74" s="28"/>
      <c r="P74" s="28"/>
      <c r="Q74" s="28"/>
      <c r="R74" s="28"/>
      <c r="S74" s="28"/>
      <c r="T74" s="28"/>
      <c r="U74" s="28"/>
      <c r="V74" s="28"/>
      <c r="W74" s="28"/>
      <c r="X74" s="1"/>
      <c r="Y74" s="1"/>
      <c r="Z74" s="1"/>
      <c r="AA74" s="1"/>
      <c r="AB74" s="1"/>
      <c r="AC74" s="2"/>
      <c r="AD74" s="2"/>
    </row>
    <row r="75" spans="1:30">
      <c r="A75" s="1"/>
      <c r="B75" s="1"/>
      <c r="C75" s="1"/>
      <c r="D75" s="1"/>
      <c r="E75" s="1"/>
      <c r="F75" s="1"/>
      <c r="G75" s="1"/>
      <c r="H75" s="1"/>
      <c r="I75" s="1"/>
      <c r="J75" s="1"/>
      <c r="K75" s="1"/>
      <c r="L75" s="1"/>
      <c r="M75" s="1"/>
      <c r="N75" s="1"/>
      <c r="O75" s="28"/>
      <c r="P75" s="28"/>
      <c r="Q75" s="28"/>
      <c r="R75" s="28"/>
      <c r="S75" s="28"/>
      <c r="T75" s="28"/>
      <c r="U75" s="28"/>
      <c r="V75" s="28"/>
      <c r="W75" s="28"/>
      <c r="X75" s="1"/>
      <c r="Y75" s="1"/>
      <c r="Z75" s="1"/>
      <c r="AA75" s="1"/>
      <c r="AB75" s="1"/>
      <c r="AC75" s="2"/>
      <c r="AD75" s="2"/>
    </row>
    <row r="76" spans="1:30">
      <c r="A76" s="1"/>
      <c r="B76" s="1"/>
      <c r="C76" s="1"/>
      <c r="D76" s="1"/>
      <c r="E76" s="1"/>
      <c r="F76" s="1"/>
      <c r="G76" s="1"/>
      <c r="H76" s="1"/>
      <c r="I76" s="1"/>
      <c r="J76" s="1"/>
      <c r="K76" s="1"/>
      <c r="L76" s="1"/>
      <c r="M76" s="1"/>
      <c r="N76" s="1"/>
      <c r="O76" s="28"/>
      <c r="P76" s="28"/>
      <c r="Q76" s="28"/>
      <c r="R76" s="28"/>
      <c r="S76" s="28"/>
      <c r="T76" s="28"/>
      <c r="U76" s="28"/>
      <c r="V76" s="28"/>
      <c r="W76" s="28"/>
      <c r="X76" s="1"/>
      <c r="Y76" s="1"/>
      <c r="Z76" s="1"/>
      <c r="AA76" s="1"/>
      <c r="AB76" s="1"/>
      <c r="AC76" s="2"/>
      <c r="AD76" s="2"/>
    </row>
    <row r="77" spans="1:30">
      <c r="A77" s="1"/>
      <c r="B77" s="1"/>
      <c r="C77" s="1"/>
      <c r="D77" s="1"/>
      <c r="E77" s="1"/>
      <c r="F77" s="1"/>
      <c r="G77" s="1"/>
      <c r="H77" s="1"/>
      <c r="I77" s="1"/>
      <c r="J77" s="1"/>
      <c r="K77" s="1"/>
      <c r="L77" s="1"/>
      <c r="M77" s="1"/>
      <c r="N77" s="1"/>
      <c r="O77" s="28"/>
      <c r="P77" s="28"/>
      <c r="Q77" s="28"/>
      <c r="R77" s="28"/>
      <c r="S77" s="28"/>
      <c r="T77" s="28"/>
      <c r="U77" s="28"/>
      <c r="V77" s="28"/>
      <c r="W77" s="28"/>
      <c r="X77" s="1"/>
      <c r="Y77" s="1"/>
      <c r="Z77" s="1"/>
      <c r="AA77" s="1"/>
      <c r="AB77" s="1"/>
      <c r="AC77" s="2"/>
      <c r="AD77" s="2"/>
    </row>
    <row r="78" spans="1:30">
      <c r="A78" s="1"/>
      <c r="B78" s="1"/>
      <c r="C78" s="1"/>
      <c r="D78" s="1"/>
      <c r="E78" s="1"/>
      <c r="F78" s="1"/>
      <c r="G78" s="1"/>
      <c r="H78" s="1"/>
      <c r="I78" s="1"/>
      <c r="J78" s="1"/>
      <c r="K78" s="1"/>
      <c r="L78" s="1"/>
      <c r="M78" s="1"/>
      <c r="N78" s="1"/>
      <c r="O78" s="28"/>
      <c r="P78" s="28"/>
      <c r="Q78" s="28"/>
      <c r="R78" s="28"/>
      <c r="S78" s="28"/>
      <c r="T78" s="28"/>
      <c r="U78" s="28"/>
      <c r="V78" s="28"/>
      <c r="W78" s="28"/>
      <c r="X78" s="1"/>
      <c r="Y78" s="1"/>
      <c r="Z78" s="1"/>
      <c r="AA78" s="1"/>
      <c r="AB78" s="1"/>
      <c r="AC78" s="2"/>
      <c r="AD78" s="2"/>
    </row>
    <row r="79" spans="1:30">
      <c r="A79" s="1"/>
      <c r="B79" s="1"/>
      <c r="C79" s="1"/>
      <c r="D79" s="1"/>
      <c r="E79" s="1"/>
      <c r="F79" s="1"/>
      <c r="G79" s="1"/>
      <c r="H79" s="1"/>
      <c r="I79" s="1"/>
      <c r="J79" s="1"/>
      <c r="K79" s="1"/>
      <c r="L79" s="1"/>
      <c r="M79" s="1"/>
      <c r="N79" s="1"/>
      <c r="O79" s="28"/>
      <c r="P79" s="28"/>
      <c r="Q79" s="28"/>
      <c r="R79" s="28"/>
      <c r="S79" s="28"/>
      <c r="T79" s="28"/>
      <c r="U79" s="28"/>
      <c r="V79" s="28"/>
      <c r="W79" s="28"/>
      <c r="X79" s="1"/>
      <c r="Y79" s="1"/>
      <c r="Z79" s="1"/>
      <c r="AA79" s="1"/>
      <c r="AB79" s="1"/>
      <c r="AC79" s="2"/>
      <c r="AD79" s="2"/>
    </row>
    <row r="80" spans="1:30">
      <c r="A80" s="1"/>
      <c r="B80" s="1"/>
      <c r="C80" s="1"/>
      <c r="D80" s="1"/>
      <c r="E80" s="1"/>
      <c r="F80" s="1"/>
      <c r="G80" s="1"/>
      <c r="H80" s="1"/>
      <c r="I80" s="1"/>
      <c r="J80" s="1"/>
      <c r="K80" s="1"/>
      <c r="L80" s="1"/>
      <c r="M80" s="1"/>
      <c r="N80" s="1"/>
      <c r="O80" s="28"/>
      <c r="P80" s="28"/>
      <c r="Q80" s="28"/>
      <c r="R80" s="28"/>
      <c r="S80" s="28"/>
      <c r="T80" s="28"/>
      <c r="U80" s="28"/>
      <c r="V80" s="28"/>
      <c r="W80" s="28"/>
      <c r="X80" s="1"/>
      <c r="Y80" s="1"/>
      <c r="Z80" s="1"/>
      <c r="AA80" s="1"/>
      <c r="AB80" s="1"/>
      <c r="AC80" s="2"/>
      <c r="AD80" s="2"/>
    </row>
    <row r="81" spans="1:30">
      <c r="A81" s="1"/>
      <c r="B81" s="1"/>
      <c r="C81" s="1"/>
      <c r="D81" s="1"/>
      <c r="E81" s="1"/>
      <c r="F81" s="1"/>
      <c r="G81" s="1"/>
      <c r="H81" s="1"/>
      <c r="I81" s="1"/>
      <c r="J81" s="1"/>
      <c r="K81" s="1"/>
      <c r="L81" s="1"/>
      <c r="M81" s="1"/>
      <c r="N81" s="1"/>
      <c r="O81" s="28"/>
      <c r="P81" s="28"/>
      <c r="Q81" s="28"/>
      <c r="R81" s="28"/>
      <c r="S81" s="28"/>
      <c r="T81" s="28"/>
      <c r="U81" s="28"/>
      <c r="V81" s="28"/>
      <c r="W81" s="28"/>
      <c r="X81" s="1"/>
      <c r="Y81" s="1"/>
      <c r="Z81" s="1"/>
      <c r="AA81" s="1"/>
      <c r="AB81" s="1"/>
      <c r="AC81" s="2"/>
      <c r="AD81" s="2"/>
    </row>
    <row r="82" spans="1:30">
      <c r="A82" s="1"/>
      <c r="B82" s="1"/>
      <c r="C82" s="1"/>
      <c r="D82" s="1"/>
      <c r="E82" s="1"/>
      <c r="F82" s="1"/>
      <c r="G82" s="1"/>
      <c r="H82" s="1"/>
      <c r="I82" s="1"/>
      <c r="J82" s="1"/>
      <c r="K82" s="1"/>
      <c r="L82" s="1"/>
      <c r="M82" s="1"/>
      <c r="N82" s="1"/>
      <c r="O82" s="28"/>
      <c r="P82" s="28"/>
      <c r="Q82" s="28"/>
      <c r="R82" s="28"/>
      <c r="S82" s="28"/>
      <c r="T82" s="28"/>
      <c r="U82" s="28"/>
      <c r="V82" s="28"/>
      <c r="W82" s="28"/>
      <c r="X82" s="1"/>
      <c r="Y82" s="1"/>
      <c r="Z82" s="1"/>
      <c r="AA82" s="1"/>
      <c r="AB82" s="1"/>
      <c r="AC82" s="2"/>
      <c r="AD82" s="2"/>
    </row>
    <row r="83" spans="1:30">
      <c r="A83" s="1"/>
      <c r="B83" s="1"/>
      <c r="C83" s="2"/>
      <c r="D83" s="2"/>
      <c r="E83" s="2"/>
      <c r="F83" s="2"/>
      <c r="G83" s="2"/>
      <c r="H83" s="2"/>
      <c r="I83" s="2"/>
      <c r="J83" s="2"/>
      <c r="K83" s="2"/>
      <c r="L83" s="2"/>
      <c r="M83" s="2"/>
      <c r="N83" s="2"/>
      <c r="O83" s="32"/>
      <c r="P83" s="32"/>
      <c r="Q83" s="32"/>
      <c r="R83" s="32"/>
      <c r="S83" s="32"/>
      <c r="T83" s="32"/>
      <c r="U83" s="32"/>
      <c r="V83" s="32"/>
      <c r="W83" s="32"/>
      <c r="X83" s="2"/>
      <c r="Y83" s="2"/>
      <c r="Z83" s="2"/>
      <c r="AA83" s="2"/>
      <c r="AB83" s="2"/>
      <c r="AC83" s="2"/>
      <c r="AD83" s="2"/>
    </row>
    <row r="84" spans="1:30">
      <c r="A84" s="1"/>
      <c r="B84" s="1"/>
      <c r="C84" s="2"/>
      <c r="D84" s="2"/>
      <c r="E84" s="2"/>
      <c r="F84" s="2"/>
      <c r="G84" s="2"/>
      <c r="H84" s="2"/>
      <c r="I84" s="2"/>
      <c r="J84" s="2"/>
      <c r="K84" s="2"/>
      <c r="L84" s="2"/>
      <c r="M84" s="2"/>
      <c r="N84" s="2"/>
      <c r="O84" s="32"/>
      <c r="P84" s="32"/>
      <c r="Q84" s="32"/>
      <c r="R84" s="32"/>
      <c r="S84" s="32"/>
      <c r="T84" s="32"/>
      <c r="U84" s="32"/>
      <c r="V84" s="32"/>
      <c r="W84" s="32"/>
      <c r="X84" s="2"/>
      <c r="Y84" s="2"/>
      <c r="Z84" s="2"/>
      <c r="AA84" s="2"/>
      <c r="AB84" s="2"/>
      <c r="AC84" s="2"/>
      <c r="AD84" s="2"/>
    </row>
  </sheetData>
  <mergeCells count="4">
    <mergeCell ref="A73:G73"/>
    <mergeCell ref="A71:G71"/>
    <mergeCell ref="A72:H72"/>
    <mergeCell ref="I69:N69"/>
  </mergeCells>
  <phoneticPr fontId="6" type="noConversion"/>
  <pageMargins left="0.5" right="0.5" top="0.75" bottom="0.55000000000000004" header="0.5" footer="0.5"/>
  <pageSetup scale="57" orientation="portrait" verticalDpi="300" r:id="rId1"/>
  <headerFooter alignWithMargins="0">
    <oddFooter>&amp;L&amp;"Arial,Regular"SREB Fact Book&amp;R&amp;"Arial,Regular"&amp;D</oddFooter>
  </headerFooter>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codeName="Sheet11">
    <tabColor indexed="62"/>
  </sheetPr>
  <dimension ref="A1:AC70"/>
  <sheetViews>
    <sheetView showZeros="0" zoomScale="80" zoomScaleNormal="80" workbookViewId="0">
      <pane xSplit="1" ySplit="5" topLeftCell="T6" activePane="bottomRight" state="frozen"/>
      <selection activeCell="B52" sqref="B52"/>
      <selection pane="topRight" activeCell="B52" sqref="B52"/>
      <selection pane="bottomLeft" activeCell="B52" sqref="B52"/>
      <selection pane="bottomRight" activeCell="Z1" sqref="Z1"/>
    </sheetView>
  </sheetViews>
  <sheetFormatPr defaultColWidth="9.7109375" defaultRowHeight="12.75"/>
  <cols>
    <col min="1" max="1" width="23.42578125" style="80" customWidth="1"/>
    <col min="2" max="22" width="12.42578125" style="14" customWidth="1"/>
    <col min="23" max="23" width="10.85546875" style="14" bestFit="1" customWidth="1"/>
    <col min="24" max="29" width="10.7109375" style="2" customWidth="1"/>
    <col min="30" max="16384" width="9.7109375" style="2"/>
  </cols>
  <sheetData>
    <row r="1" spans="1:27">
      <c r="A1" s="8" t="s">
        <v>39</v>
      </c>
      <c r="B1"/>
      <c r="C1"/>
      <c r="D1"/>
      <c r="E1"/>
      <c r="F1"/>
      <c r="G1"/>
      <c r="H1"/>
      <c r="I1"/>
      <c r="J1"/>
      <c r="K1"/>
      <c r="L1"/>
      <c r="M1"/>
      <c r="N1"/>
      <c r="O1" s="46"/>
      <c r="P1" s="46"/>
      <c r="Q1" s="46"/>
      <c r="R1" s="46"/>
      <c r="S1"/>
      <c r="T1"/>
      <c r="U1"/>
      <c r="V1"/>
      <c r="W1"/>
    </row>
    <row r="2" spans="1:27">
      <c r="A2" s="11"/>
      <c r="B2"/>
      <c r="C2"/>
      <c r="D2"/>
      <c r="E2"/>
      <c r="F2"/>
      <c r="G2"/>
      <c r="H2"/>
      <c r="I2"/>
      <c r="J2"/>
      <c r="K2"/>
      <c r="L2"/>
      <c r="M2"/>
      <c r="N2"/>
      <c r="O2" s="46"/>
      <c r="P2" s="46"/>
      <c r="Q2" s="46"/>
      <c r="R2" s="46"/>
      <c r="S2"/>
      <c r="T2"/>
      <c r="U2"/>
      <c r="V2"/>
      <c r="W2"/>
    </row>
    <row r="3" spans="1:27">
      <c r="A3" s="1" t="s">
        <v>25</v>
      </c>
      <c r="B3"/>
      <c r="C3"/>
      <c r="D3"/>
      <c r="E3"/>
      <c r="F3"/>
      <c r="G3"/>
      <c r="H3"/>
      <c r="I3"/>
      <c r="J3"/>
      <c r="K3"/>
      <c r="L3"/>
      <c r="M3"/>
      <c r="N3"/>
      <c r="O3" s="46"/>
      <c r="P3" s="46"/>
      <c r="Q3" s="46"/>
      <c r="R3" s="46"/>
      <c r="S3"/>
      <c r="T3"/>
      <c r="U3"/>
      <c r="V3"/>
      <c r="W3"/>
    </row>
    <row r="4" spans="1:27" s="65"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60">
        <v>2005</v>
      </c>
      <c r="R4" s="60">
        <v>2006</v>
      </c>
      <c r="S4" s="74">
        <v>2007</v>
      </c>
      <c r="T4" s="74">
        <v>2008</v>
      </c>
      <c r="U4" s="74">
        <v>2009</v>
      </c>
      <c r="V4" s="74">
        <v>2010</v>
      </c>
      <c r="W4" s="74">
        <v>2011</v>
      </c>
      <c r="X4" s="173" t="s">
        <v>142</v>
      </c>
      <c r="Y4" s="173" t="s">
        <v>144</v>
      </c>
      <c r="Z4" s="173" t="s">
        <v>145</v>
      </c>
      <c r="AA4" s="173" t="s">
        <v>146</v>
      </c>
    </row>
    <row r="5" spans="1:27" s="19" customFormat="1">
      <c r="B5" s="15" t="s">
        <v>2</v>
      </c>
      <c r="C5" s="15" t="s">
        <v>2</v>
      </c>
      <c r="D5" s="15" t="s">
        <v>2</v>
      </c>
      <c r="E5" s="15" t="s">
        <v>2</v>
      </c>
      <c r="F5" s="15" t="s">
        <v>2</v>
      </c>
      <c r="G5" s="15" t="s">
        <v>2</v>
      </c>
      <c r="H5" s="15" t="s">
        <v>2</v>
      </c>
      <c r="I5" s="15" t="s">
        <v>2</v>
      </c>
      <c r="J5" s="15" t="s">
        <v>2</v>
      </c>
      <c r="K5" s="15" t="s">
        <v>2</v>
      </c>
      <c r="L5" s="15" t="s">
        <v>2</v>
      </c>
      <c r="M5" s="15" t="s">
        <v>2</v>
      </c>
      <c r="N5" s="15" t="s">
        <v>2</v>
      </c>
      <c r="O5" s="15" t="s">
        <v>2</v>
      </c>
      <c r="P5" s="15" t="s">
        <v>2</v>
      </c>
      <c r="Q5" s="15" t="s">
        <v>2</v>
      </c>
      <c r="R5" s="15" t="s">
        <v>2</v>
      </c>
      <c r="S5" s="15" t="s">
        <v>2</v>
      </c>
      <c r="T5" s="15" t="s">
        <v>2</v>
      </c>
      <c r="U5" s="15" t="s">
        <v>2</v>
      </c>
      <c r="V5" s="15" t="s">
        <v>2</v>
      </c>
      <c r="W5" s="15" t="s">
        <v>2</v>
      </c>
      <c r="X5" s="19" t="s">
        <v>2</v>
      </c>
      <c r="Y5" s="19" t="s">
        <v>2</v>
      </c>
      <c r="Z5" s="19" t="s">
        <v>2</v>
      </c>
      <c r="AA5" s="19" t="s">
        <v>2</v>
      </c>
    </row>
    <row r="6" spans="1:27" s="23" customFormat="1">
      <c r="A6" s="63" t="s">
        <v>118</v>
      </c>
      <c r="B6" s="13">
        <v>694410</v>
      </c>
      <c r="C6" s="13">
        <v>763698</v>
      </c>
      <c r="D6" s="13">
        <v>885136</v>
      </c>
      <c r="E6" s="13">
        <v>1435323.699</v>
      </c>
      <c r="F6" s="91">
        <f>+F7+F25+F40+F54+F65</f>
        <v>1773660.1069999998</v>
      </c>
      <c r="G6" s="13">
        <v>2101296.2680000002</v>
      </c>
      <c r="H6" s="13">
        <v>2311420.4649999999</v>
      </c>
      <c r="I6" s="91">
        <f>+I7+I25+I40+I54+I65</f>
        <v>2335860.0559999999</v>
      </c>
      <c r="J6" s="14">
        <v>2477585.2919999999</v>
      </c>
      <c r="K6" s="91">
        <f t="shared" ref="K6:U6" si="0">+K7+K25+K40+K54+K65</f>
        <v>2647293.9116399996</v>
      </c>
      <c r="L6" s="91">
        <f t="shared" si="0"/>
        <v>3057930.676</v>
      </c>
      <c r="M6" s="91">
        <f t="shared" si="0"/>
        <v>3533544.0219999999</v>
      </c>
      <c r="N6" s="91">
        <f t="shared" si="0"/>
        <v>4366969.1610000003</v>
      </c>
      <c r="O6" s="91">
        <f t="shared" si="0"/>
        <v>5040671.8440000005</v>
      </c>
      <c r="P6" s="91">
        <f t="shared" si="0"/>
        <v>5435649.4619999994</v>
      </c>
      <c r="Q6" s="91">
        <f t="shared" si="0"/>
        <v>6021221.1129999999</v>
      </c>
      <c r="R6" s="91">
        <f t="shared" si="0"/>
        <v>5967951.1890000002</v>
      </c>
      <c r="S6" s="91">
        <f t="shared" si="0"/>
        <v>6170157.4250000007</v>
      </c>
      <c r="T6" s="91">
        <f t="shared" si="0"/>
        <v>6887167.2840000009</v>
      </c>
      <c r="U6" s="91">
        <f t="shared" si="0"/>
        <v>8520485.2290000003</v>
      </c>
      <c r="V6" s="91">
        <f t="shared" ref="V6:W6" si="1">+V7+V25+V40+V54+V65</f>
        <v>13146436.210999999</v>
      </c>
      <c r="W6" s="91">
        <f t="shared" si="1"/>
        <v>15770226.175000001</v>
      </c>
      <c r="X6" s="91">
        <f t="shared" ref="X6:Y6" si="2">+X7+X25+X40+X54+X65</f>
        <v>15412232.215</v>
      </c>
      <c r="Y6" s="91">
        <f t="shared" si="2"/>
        <v>12907964.525000002</v>
      </c>
      <c r="Z6" s="91">
        <f t="shared" ref="Z6:AA6" si="3">+Z7+Z25+Z40+Z54+Z65</f>
        <v>12669846.027000001</v>
      </c>
      <c r="AA6" s="91">
        <f t="shared" si="3"/>
        <v>12295775.229</v>
      </c>
    </row>
    <row r="7" spans="1:27" s="23" customFormat="1">
      <c r="A7" s="22" t="s">
        <v>56</v>
      </c>
      <c r="B7" s="89">
        <f>SUM(B8:B24)</f>
        <v>190107</v>
      </c>
      <c r="C7" s="89">
        <f t="shared" ref="C7:U7" si="4">SUM(C8:C24)</f>
        <v>204551</v>
      </c>
      <c r="D7" s="89">
        <f t="shared" si="4"/>
        <v>240466</v>
      </c>
      <c r="E7" s="89">
        <f t="shared" si="4"/>
        <v>454621.98700000002</v>
      </c>
      <c r="F7" s="89">
        <f t="shared" si="4"/>
        <v>595184.18400000001</v>
      </c>
      <c r="G7" s="89">
        <f t="shared" si="4"/>
        <v>688804.21100000001</v>
      </c>
      <c r="H7" s="89">
        <f t="shared" si="4"/>
        <v>765393.78300000005</v>
      </c>
      <c r="I7" s="89">
        <f t="shared" si="4"/>
        <v>813069.16599999997</v>
      </c>
      <c r="J7" s="89">
        <f t="shared" si="4"/>
        <v>836198.91600000008</v>
      </c>
      <c r="K7" s="89">
        <f t="shared" si="4"/>
        <v>905062.56397000013</v>
      </c>
      <c r="L7" s="89">
        <f t="shared" si="4"/>
        <v>1225051.8990000002</v>
      </c>
      <c r="M7" s="89">
        <f t="shared" si="4"/>
        <v>1466478.4680000003</v>
      </c>
      <c r="N7" s="89">
        <f t="shared" si="4"/>
        <v>1768942.3410000002</v>
      </c>
      <c r="O7" s="89">
        <f t="shared" si="4"/>
        <v>1986237.7479999999</v>
      </c>
      <c r="P7" s="89">
        <f t="shared" si="4"/>
        <v>2148808.1159999999</v>
      </c>
      <c r="Q7" s="89">
        <f t="shared" si="4"/>
        <v>2292604.3289999999</v>
      </c>
      <c r="R7" s="89">
        <f t="shared" si="4"/>
        <v>2272462.835</v>
      </c>
      <c r="S7" s="89">
        <f t="shared" si="4"/>
        <v>2418775.8489999999</v>
      </c>
      <c r="T7" s="89">
        <f t="shared" si="4"/>
        <v>2730982.1140000005</v>
      </c>
      <c r="U7" s="89">
        <f t="shared" si="4"/>
        <v>3363589.5979999998</v>
      </c>
      <c r="V7" s="89">
        <f t="shared" ref="V7:W7" si="5">SUM(V8:V24)</f>
        <v>5478723.1980000008</v>
      </c>
      <c r="W7" s="89">
        <f t="shared" si="5"/>
        <v>6466681.7600000007</v>
      </c>
      <c r="X7" s="89">
        <f t="shared" ref="X7:Y7" si="6">SUM(X8:X24)</f>
        <v>6235614.0489999996</v>
      </c>
      <c r="Y7" s="89">
        <f t="shared" si="6"/>
        <v>5573972.620000001</v>
      </c>
      <c r="Z7" s="89">
        <f t="shared" ref="Z7:AA7" si="7">SUM(Z8:Z24)</f>
        <v>5451425.9970000014</v>
      </c>
      <c r="AA7" s="89">
        <f t="shared" si="7"/>
        <v>5240980.0320000006</v>
      </c>
    </row>
    <row r="8" spans="1:27">
      <c r="A8" s="79" t="s">
        <v>119</v>
      </c>
      <c r="T8" s="2"/>
      <c r="U8" s="2"/>
      <c r="V8" s="2"/>
      <c r="W8" s="2"/>
    </row>
    <row r="9" spans="1:27">
      <c r="A9" s="22" t="s">
        <v>3</v>
      </c>
      <c r="B9" s="13">
        <v>11272</v>
      </c>
      <c r="C9" s="13">
        <v>15279</v>
      </c>
      <c r="D9" s="13">
        <v>18379</v>
      </c>
      <c r="E9" s="13">
        <v>38871.222000000002</v>
      </c>
      <c r="F9" s="76">
        <v>51533.711000000003</v>
      </c>
      <c r="G9" s="13">
        <v>59383.186999999998</v>
      </c>
      <c r="H9" s="13">
        <v>62560.535000000003</v>
      </c>
      <c r="I9" s="13">
        <v>62385.919000000002</v>
      </c>
      <c r="J9" s="13">
        <v>64004.004999999997</v>
      </c>
      <c r="K9" s="13">
        <v>71537.768460000007</v>
      </c>
      <c r="L9" s="14">
        <v>81907.55</v>
      </c>
      <c r="M9" s="14">
        <v>94453.804999999993</v>
      </c>
      <c r="N9" s="14">
        <v>124759.59600000001</v>
      </c>
      <c r="O9" s="14">
        <v>136844.45600000001</v>
      </c>
      <c r="P9" s="14">
        <v>142728.277</v>
      </c>
      <c r="Q9" s="14">
        <v>130403.128</v>
      </c>
      <c r="R9" s="14">
        <v>129835.13800000001</v>
      </c>
      <c r="S9" s="14">
        <v>127901.164</v>
      </c>
      <c r="T9" s="2">
        <v>149247.61199999999</v>
      </c>
      <c r="U9" s="2">
        <v>180239.111</v>
      </c>
      <c r="V9" s="2">
        <v>289560.66499999998</v>
      </c>
      <c r="W9" s="2">
        <v>307700.00799999997</v>
      </c>
      <c r="X9" s="2">
        <v>271626.06900000002</v>
      </c>
      <c r="Y9" s="2">
        <v>234771.67300000001</v>
      </c>
      <c r="Z9" s="2">
        <v>221322.764</v>
      </c>
      <c r="AA9" s="2">
        <v>213087.21900000001</v>
      </c>
    </row>
    <row r="10" spans="1:27">
      <c r="A10" s="22" t="s">
        <v>4</v>
      </c>
      <c r="B10" s="13">
        <v>3905</v>
      </c>
      <c r="C10" s="13">
        <v>4090</v>
      </c>
      <c r="D10" s="13">
        <v>4806</v>
      </c>
      <c r="E10" s="13">
        <v>8870.5759999999991</v>
      </c>
      <c r="F10" s="76">
        <v>11183.953</v>
      </c>
      <c r="G10" s="13">
        <v>12149.671</v>
      </c>
      <c r="H10" s="13">
        <v>12450.862999999999</v>
      </c>
      <c r="I10" s="14">
        <v>13321.242</v>
      </c>
      <c r="J10" s="14">
        <v>20069.496999999999</v>
      </c>
      <c r="K10" s="14">
        <v>18144.254000000001</v>
      </c>
      <c r="L10" s="14">
        <v>30155.54</v>
      </c>
      <c r="M10" s="14">
        <v>35273.786</v>
      </c>
      <c r="N10" s="14">
        <v>50500.944000000003</v>
      </c>
      <c r="O10" s="14">
        <v>64678.779000000002</v>
      </c>
      <c r="P10" s="14">
        <v>69455.615000000005</v>
      </c>
      <c r="Q10" s="14">
        <v>70153.349000000002</v>
      </c>
      <c r="R10" s="14">
        <v>69313.509999999995</v>
      </c>
      <c r="S10" s="14">
        <v>82721.857999999993</v>
      </c>
      <c r="T10" s="2">
        <v>95674.740999999995</v>
      </c>
      <c r="U10" s="2">
        <v>98123.182000000001</v>
      </c>
      <c r="V10" s="2">
        <v>151165.87599999999</v>
      </c>
      <c r="W10" s="2">
        <v>184539.84299999999</v>
      </c>
      <c r="X10" s="2">
        <v>177875.745</v>
      </c>
      <c r="Y10" s="2">
        <v>164982.70000000001</v>
      </c>
      <c r="Z10" s="2">
        <v>153448.01999999999</v>
      </c>
      <c r="AA10" s="2">
        <v>140854.85999999999</v>
      </c>
    </row>
    <row r="11" spans="1:27">
      <c r="A11" s="22" t="s">
        <v>52</v>
      </c>
      <c r="B11" s="13"/>
      <c r="C11" s="13"/>
      <c r="D11" s="13">
        <v>1262</v>
      </c>
      <c r="E11" s="13">
        <v>2720.7150000000001</v>
      </c>
      <c r="F11" s="76">
        <v>3103.1619999999998</v>
      </c>
      <c r="G11" s="13"/>
      <c r="H11" s="13"/>
      <c r="I11" s="14">
        <v>3716.723</v>
      </c>
      <c r="J11" s="14">
        <v>4021.0250000000001</v>
      </c>
      <c r="K11" s="14">
        <v>4011.942</v>
      </c>
      <c r="L11" s="14">
        <v>5071.3620000000001</v>
      </c>
      <c r="M11" s="14">
        <v>5930.3419999999996</v>
      </c>
      <c r="N11" s="14">
        <v>6869.3639999999996</v>
      </c>
      <c r="O11" s="14">
        <v>8399.2000000000007</v>
      </c>
      <c r="P11" s="14">
        <v>8193.0409999999993</v>
      </c>
      <c r="Q11" s="14">
        <v>8382.3459999999995</v>
      </c>
      <c r="R11" s="14">
        <v>7782.0569999999998</v>
      </c>
      <c r="S11" s="14">
        <v>8766.4750000000004</v>
      </c>
      <c r="T11" s="2">
        <v>9731.3539999999994</v>
      </c>
      <c r="U11" s="2">
        <v>11970.163</v>
      </c>
      <c r="V11" s="2">
        <v>19506.274000000001</v>
      </c>
      <c r="W11" s="2">
        <v>23732.991999999998</v>
      </c>
      <c r="X11" s="2">
        <v>25068.235000000001</v>
      </c>
      <c r="Y11" s="2">
        <v>23951.530999999999</v>
      </c>
      <c r="Z11" s="2">
        <v>24199.888999999999</v>
      </c>
      <c r="AA11" s="2">
        <v>23810.464</v>
      </c>
    </row>
    <row r="12" spans="1:27">
      <c r="A12" s="22" t="s">
        <v>5</v>
      </c>
      <c r="B12" s="13">
        <v>35109</v>
      </c>
      <c r="C12" s="13">
        <v>37345</v>
      </c>
      <c r="D12" s="13">
        <v>41989</v>
      </c>
      <c r="E12" s="13">
        <v>77750.070999999996</v>
      </c>
      <c r="F12" s="76">
        <v>109772.659</v>
      </c>
      <c r="G12" s="13">
        <v>129834.893</v>
      </c>
      <c r="H12" s="13">
        <v>135374.45699999999</v>
      </c>
      <c r="I12" s="14">
        <v>145776.02299999999</v>
      </c>
      <c r="J12" s="14">
        <v>150289.12700000001</v>
      </c>
      <c r="K12" s="14">
        <v>160912.62100000001</v>
      </c>
      <c r="L12" s="14">
        <v>205456.163</v>
      </c>
      <c r="M12" s="14">
        <v>270898.96799999999</v>
      </c>
      <c r="N12" s="14">
        <v>310373.65000000002</v>
      </c>
      <c r="O12" s="14">
        <v>258232.14199999999</v>
      </c>
      <c r="P12" s="14">
        <v>264218.47700000001</v>
      </c>
      <c r="Q12" s="14">
        <v>269900.53399999999</v>
      </c>
      <c r="R12" s="14">
        <v>258267.16200000001</v>
      </c>
      <c r="S12" s="14">
        <v>359817.24200000003</v>
      </c>
      <c r="T12" s="2">
        <v>413525.54200000002</v>
      </c>
      <c r="U12" s="2">
        <v>614002.21200000006</v>
      </c>
      <c r="V12" s="2">
        <v>966326.31599999999</v>
      </c>
      <c r="W12" s="2">
        <v>1199192.3970000001</v>
      </c>
      <c r="X12" s="2">
        <v>1150470.7120000001</v>
      </c>
      <c r="Y12" s="2">
        <v>1075078.54</v>
      </c>
      <c r="Z12" s="2">
        <v>1061258.0660000001</v>
      </c>
      <c r="AA12" s="2">
        <v>1037116.8050000001</v>
      </c>
    </row>
    <row r="13" spans="1:27">
      <c r="A13" s="22" t="s">
        <v>6</v>
      </c>
      <c r="B13" s="13">
        <v>6108</v>
      </c>
      <c r="C13" s="13">
        <v>6214</v>
      </c>
      <c r="D13" s="13">
        <v>6787</v>
      </c>
      <c r="E13" s="13">
        <v>18596.808000000001</v>
      </c>
      <c r="F13" s="76">
        <v>30746.016</v>
      </c>
      <c r="G13" s="13">
        <v>38889.250999999997</v>
      </c>
      <c r="H13" s="13">
        <v>52755.243999999999</v>
      </c>
      <c r="I13" s="14">
        <v>70265.55</v>
      </c>
      <c r="J13" s="14">
        <v>57296.622000000003</v>
      </c>
      <c r="K13" s="14">
        <v>61339.072770000013</v>
      </c>
      <c r="L13" s="14">
        <v>108372.683</v>
      </c>
      <c r="M13" s="14">
        <v>150701.541</v>
      </c>
      <c r="N13" s="14">
        <v>140632.67800000001</v>
      </c>
      <c r="O13" s="14">
        <v>115032.874</v>
      </c>
      <c r="P13" s="14">
        <v>133355.09099999999</v>
      </c>
      <c r="Q13" s="14">
        <v>135435.67000000001</v>
      </c>
      <c r="R13" s="14">
        <v>132926.76300000001</v>
      </c>
      <c r="S13" s="14">
        <v>149713.06200000001</v>
      </c>
      <c r="T13" s="2">
        <v>156282.21400000001</v>
      </c>
      <c r="U13" s="2">
        <v>140915.32699999999</v>
      </c>
      <c r="V13" s="2">
        <v>414772.89</v>
      </c>
      <c r="W13" s="2">
        <v>499074.95</v>
      </c>
      <c r="X13" s="2">
        <v>490157.00300000003</v>
      </c>
      <c r="Y13" s="2">
        <v>183268.65100000001</v>
      </c>
      <c r="Z13" s="2">
        <v>178138.61600000001</v>
      </c>
      <c r="AA13" s="2">
        <v>174471.63500000001</v>
      </c>
    </row>
    <row r="14" spans="1:27">
      <c r="A14" s="22" t="s">
        <v>7</v>
      </c>
      <c r="B14" s="13">
        <v>5592</v>
      </c>
      <c r="C14" s="13">
        <v>6118</v>
      </c>
      <c r="D14" s="13">
        <v>7292</v>
      </c>
      <c r="E14" s="13">
        <v>19831.214</v>
      </c>
      <c r="F14" s="76">
        <v>24679.010999999999</v>
      </c>
      <c r="G14" s="13">
        <v>28069.867999999999</v>
      </c>
      <c r="H14" s="13">
        <v>31017.784</v>
      </c>
      <c r="I14" s="14">
        <v>30887.18</v>
      </c>
      <c r="J14" s="14">
        <v>30269.835999999999</v>
      </c>
      <c r="K14" s="14">
        <v>33598.620000000003</v>
      </c>
      <c r="L14" s="14">
        <v>59045.889000000003</v>
      </c>
      <c r="M14" s="14">
        <v>61842.642</v>
      </c>
      <c r="N14" s="14">
        <v>8664.8580000000002</v>
      </c>
      <c r="O14" s="14">
        <v>10231.117</v>
      </c>
      <c r="P14" s="14">
        <v>11871.932000000001</v>
      </c>
      <c r="Q14" s="14">
        <v>109498.42600000001</v>
      </c>
      <c r="R14" s="14">
        <v>124285.592</v>
      </c>
      <c r="S14" s="14">
        <v>126523.808</v>
      </c>
      <c r="T14" s="2">
        <v>140793.81</v>
      </c>
      <c r="U14" s="2">
        <v>146432.90400000001</v>
      </c>
      <c r="V14" s="2">
        <v>232572.26800000001</v>
      </c>
      <c r="W14" s="2">
        <v>270675.76799999998</v>
      </c>
      <c r="X14" s="2">
        <v>262011.07699999999</v>
      </c>
      <c r="Y14" s="2">
        <v>220573.67800000001</v>
      </c>
      <c r="Z14" s="2">
        <v>214650.99</v>
      </c>
      <c r="AA14" s="2">
        <v>206276.81200000001</v>
      </c>
    </row>
    <row r="15" spans="1:27">
      <c r="A15" s="22" t="s">
        <v>8</v>
      </c>
      <c r="B15" s="36">
        <v>2535</v>
      </c>
      <c r="C15" s="36">
        <v>2715</v>
      </c>
      <c r="D15" s="36">
        <v>3470</v>
      </c>
      <c r="E15" s="36">
        <v>9039.0769999999993</v>
      </c>
      <c r="F15" s="77">
        <v>11885.078</v>
      </c>
      <c r="G15" s="36">
        <v>13209.562</v>
      </c>
      <c r="H15" s="36">
        <v>16253.806</v>
      </c>
      <c r="I15" s="37">
        <v>18273.353999999999</v>
      </c>
      <c r="J15" s="37">
        <v>23903.897000000001</v>
      </c>
      <c r="K15" s="37">
        <v>23901.448960000005</v>
      </c>
      <c r="L15" s="37">
        <v>35729.866999999998</v>
      </c>
      <c r="M15" s="37">
        <v>41633.326000000001</v>
      </c>
      <c r="N15" s="37">
        <v>56207.002</v>
      </c>
      <c r="O15" s="37">
        <v>67608.271999999997</v>
      </c>
      <c r="P15" s="37">
        <v>80173.221999999994</v>
      </c>
      <c r="Q15" s="37">
        <v>84773.534</v>
      </c>
      <c r="R15" s="37">
        <v>69014.967000000004</v>
      </c>
      <c r="S15" s="37">
        <v>72365.743000000002</v>
      </c>
      <c r="T15" s="23">
        <v>113298.08</v>
      </c>
      <c r="U15" s="23">
        <v>70510.221999999994</v>
      </c>
      <c r="V15" s="23">
        <v>154057.84400000001</v>
      </c>
      <c r="W15" s="23">
        <v>187321.981</v>
      </c>
      <c r="X15" s="2">
        <v>180431.66099999999</v>
      </c>
      <c r="Y15" s="2">
        <v>133896.18299999999</v>
      </c>
      <c r="Z15" s="2">
        <v>140410.40100000001</v>
      </c>
      <c r="AA15" s="2">
        <v>140932.92300000001</v>
      </c>
    </row>
    <row r="16" spans="1:27">
      <c r="A16" s="22" t="s">
        <v>9</v>
      </c>
      <c r="B16" s="36">
        <v>16189</v>
      </c>
      <c r="C16" s="36">
        <v>16336</v>
      </c>
      <c r="D16" s="36">
        <v>17490</v>
      </c>
      <c r="E16" s="36">
        <v>21718.335999999999</v>
      </c>
      <c r="F16" s="77">
        <v>24682.43</v>
      </c>
      <c r="G16" s="36">
        <v>37624.667000000001</v>
      </c>
      <c r="H16" s="36">
        <v>41166.095999999998</v>
      </c>
      <c r="I16" s="37">
        <v>36555.303</v>
      </c>
      <c r="J16" s="37">
        <v>44147.362000000001</v>
      </c>
      <c r="K16" s="37">
        <v>45904.349000000002</v>
      </c>
      <c r="L16" s="37">
        <v>56583.462</v>
      </c>
      <c r="M16" s="37">
        <v>58525.998</v>
      </c>
      <c r="N16" s="37">
        <v>77800.485000000001</v>
      </c>
      <c r="O16" s="37">
        <v>81674.430999999997</v>
      </c>
      <c r="P16" s="37">
        <v>87718.540999999997</v>
      </c>
      <c r="Q16" s="37">
        <v>94881.365999999995</v>
      </c>
      <c r="R16" s="37">
        <v>95926.462</v>
      </c>
      <c r="S16" s="37">
        <v>100513.90700000001</v>
      </c>
      <c r="T16" s="23">
        <v>110908.52800000001</v>
      </c>
      <c r="U16" s="23">
        <v>130607.64</v>
      </c>
      <c r="V16" s="23">
        <v>189603.88699999999</v>
      </c>
      <c r="W16" s="23">
        <v>223344.51199999999</v>
      </c>
      <c r="X16" s="2">
        <v>230147.14799999999</v>
      </c>
      <c r="Y16" s="2">
        <v>217129.22700000001</v>
      </c>
      <c r="Z16" s="2">
        <v>212661.95</v>
      </c>
      <c r="AA16" s="2">
        <v>208021.783</v>
      </c>
    </row>
    <row r="17" spans="1:27">
      <c r="A17" s="22" t="s">
        <v>10</v>
      </c>
      <c r="B17" s="36">
        <v>16742</v>
      </c>
      <c r="C17" s="36">
        <v>17690</v>
      </c>
      <c r="D17" s="36">
        <v>20472</v>
      </c>
      <c r="E17" s="36">
        <v>34609.661999999997</v>
      </c>
      <c r="F17" s="77">
        <v>39486.661999999997</v>
      </c>
      <c r="G17" s="36">
        <v>42582.809000000001</v>
      </c>
      <c r="H17" s="36">
        <v>45466.201000000001</v>
      </c>
      <c r="I17" s="37">
        <v>45153.351999999999</v>
      </c>
      <c r="J17" s="37">
        <v>48051.758999999998</v>
      </c>
      <c r="K17" s="37">
        <v>54369.701999999997</v>
      </c>
      <c r="L17" s="37">
        <v>73230.218999999997</v>
      </c>
      <c r="M17" s="37">
        <v>81794.990999999995</v>
      </c>
      <c r="N17" s="37">
        <v>109279.577</v>
      </c>
      <c r="O17" s="37">
        <v>139361.351</v>
      </c>
      <c r="P17" s="37">
        <v>140792.538</v>
      </c>
      <c r="Q17" s="37">
        <v>149189.859</v>
      </c>
      <c r="R17" s="37">
        <v>154687.93700000001</v>
      </c>
      <c r="S17" s="37">
        <v>154647.47099999999</v>
      </c>
      <c r="T17" s="23">
        <v>157619.96</v>
      </c>
      <c r="U17" s="23">
        <v>185513.31700000001</v>
      </c>
      <c r="V17" s="23">
        <v>283981.10600000003</v>
      </c>
      <c r="W17" s="23">
        <v>330066.891</v>
      </c>
      <c r="X17" s="2">
        <v>291680.35499999998</v>
      </c>
      <c r="Y17" s="2">
        <v>262928.91800000001</v>
      </c>
      <c r="Z17" s="2">
        <v>258876.20499999999</v>
      </c>
      <c r="AA17" s="2">
        <v>252464.234</v>
      </c>
    </row>
    <row r="18" spans="1:27">
      <c r="A18" s="22" t="s">
        <v>11</v>
      </c>
      <c r="B18" s="36">
        <v>11897</v>
      </c>
      <c r="C18" s="36">
        <v>12230</v>
      </c>
      <c r="D18" s="36">
        <v>13926</v>
      </c>
      <c r="E18" s="36">
        <v>23471.014999999999</v>
      </c>
      <c r="F18" s="77">
        <v>33941.438999999998</v>
      </c>
      <c r="G18" s="36">
        <v>39479.300999999999</v>
      </c>
      <c r="H18" s="36">
        <v>46531.201999999997</v>
      </c>
      <c r="I18" s="37">
        <v>53306.985000000001</v>
      </c>
      <c r="J18" s="37">
        <v>53547.277000000002</v>
      </c>
      <c r="K18" s="37">
        <v>56248.849679999992</v>
      </c>
      <c r="L18" s="37">
        <v>95805.475999999995</v>
      </c>
      <c r="M18" s="37">
        <v>118431.31</v>
      </c>
      <c r="N18" s="37">
        <v>152274.83100000001</v>
      </c>
      <c r="O18" s="37">
        <v>187580.065</v>
      </c>
      <c r="P18" s="37">
        <v>219817.44200000001</v>
      </c>
      <c r="Q18" s="37">
        <v>219658.185</v>
      </c>
      <c r="R18" s="37">
        <v>211599.81200000001</v>
      </c>
      <c r="S18" s="37">
        <v>207278.43900000001</v>
      </c>
      <c r="T18" s="23">
        <v>239787.67499999999</v>
      </c>
      <c r="U18" s="23">
        <v>323007.53600000002</v>
      </c>
      <c r="V18" s="23">
        <v>527836.06099999999</v>
      </c>
      <c r="W18" s="23">
        <v>601732.58799999999</v>
      </c>
      <c r="X18" s="2">
        <v>585638.31000000006</v>
      </c>
      <c r="Y18" s="2">
        <v>573221.21200000006</v>
      </c>
      <c r="Z18" s="2">
        <v>555744.11199999996</v>
      </c>
      <c r="AA18" s="2">
        <v>517938.88500000001</v>
      </c>
    </row>
    <row r="19" spans="1:27">
      <c r="A19" s="22" t="s">
        <v>12</v>
      </c>
      <c r="B19" s="36">
        <v>7782</v>
      </c>
      <c r="C19" s="36">
        <v>10374</v>
      </c>
      <c r="D19" s="37">
        <v>11757</v>
      </c>
      <c r="E19" s="36">
        <v>24818.971000000001</v>
      </c>
      <c r="F19" s="77">
        <v>30446.995999999999</v>
      </c>
      <c r="G19" s="36">
        <v>32011.55</v>
      </c>
      <c r="H19" s="36">
        <v>34463.928999999996</v>
      </c>
      <c r="I19" s="37">
        <v>34421.160000000003</v>
      </c>
      <c r="J19" s="37">
        <v>33681.758000000002</v>
      </c>
      <c r="K19" s="37">
        <v>35256.687639999996</v>
      </c>
      <c r="L19" s="37">
        <v>43098.156000000003</v>
      </c>
      <c r="M19" s="37">
        <v>48357.631999999998</v>
      </c>
      <c r="N19" s="37">
        <v>73339.226999999999</v>
      </c>
      <c r="O19" s="37">
        <v>90770.656000000003</v>
      </c>
      <c r="P19" s="37">
        <v>91738.409</v>
      </c>
      <c r="Q19" s="37">
        <v>78859.930999999997</v>
      </c>
      <c r="R19" s="37">
        <v>77546.222999999998</v>
      </c>
      <c r="S19" s="37">
        <v>66247.160999999993</v>
      </c>
      <c r="T19" s="23">
        <v>77335.813999999998</v>
      </c>
      <c r="U19" s="23">
        <v>99967.551999999996</v>
      </c>
      <c r="V19" s="23">
        <v>156219.609</v>
      </c>
      <c r="W19" s="23">
        <v>180433.56299999999</v>
      </c>
      <c r="X19" s="2">
        <v>179546.53400000001</v>
      </c>
      <c r="Y19" s="2">
        <v>166905.72500000001</v>
      </c>
      <c r="Z19" s="2">
        <v>152703.15100000001</v>
      </c>
      <c r="AA19" s="2">
        <v>148974.09700000001</v>
      </c>
    </row>
    <row r="20" spans="1:27">
      <c r="A20" s="22" t="s">
        <v>13</v>
      </c>
      <c r="B20" s="36">
        <v>8610</v>
      </c>
      <c r="C20" s="36">
        <v>8351</v>
      </c>
      <c r="D20" s="36">
        <v>9402</v>
      </c>
      <c r="E20" s="36">
        <v>15803.347</v>
      </c>
      <c r="F20" s="77">
        <v>22292.577000000001</v>
      </c>
      <c r="G20" s="36">
        <v>26854.834999999999</v>
      </c>
      <c r="H20" s="36">
        <v>28480.642</v>
      </c>
      <c r="I20" s="37">
        <v>28295.339</v>
      </c>
      <c r="J20" s="37">
        <v>28936.149000000001</v>
      </c>
      <c r="K20" s="37">
        <v>35279.660000000003</v>
      </c>
      <c r="L20" s="37">
        <v>50347.794999999998</v>
      </c>
      <c r="M20" s="37">
        <v>60220.677000000003</v>
      </c>
      <c r="N20" s="37">
        <v>90991.062999999995</v>
      </c>
      <c r="O20" s="37">
        <v>149443.03099999999</v>
      </c>
      <c r="P20" s="37">
        <v>170305.25899999999</v>
      </c>
      <c r="Q20" s="37">
        <v>165918.103</v>
      </c>
      <c r="R20" s="37">
        <v>167190.43700000001</v>
      </c>
      <c r="S20" s="37">
        <v>174365.63200000001</v>
      </c>
      <c r="T20" s="23">
        <v>189487.75200000001</v>
      </c>
      <c r="U20" s="23">
        <v>227619.32</v>
      </c>
      <c r="V20" s="23">
        <v>320172.44799999997</v>
      </c>
      <c r="W20" s="23">
        <v>345249.33799999999</v>
      </c>
      <c r="X20" s="2">
        <v>348154.56199999998</v>
      </c>
      <c r="Y20" s="2">
        <v>340856.71299999999</v>
      </c>
      <c r="Z20" s="2">
        <v>337369.228</v>
      </c>
      <c r="AA20" s="2">
        <v>319943.82299999997</v>
      </c>
    </row>
    <row r="21" spans="1:27" s="17" customFormat="1">
      <c r="A21" s="22" t="s">
        <v>14</v>
      </c>
      <c r="B21" s="36">
        <v>8783</v>
      </c>
      <c r="C21" s="36">
        <v>7974</v>
      </c>
      <c r="D21" s="36">
        <v>8705</v>
      </c>
      <c r="E21" s="36">
        <v>21404.844000000001</v>
      </c>
      <c r="F21" s="77">
        <v>29748.718000000001</v>
      </c>
      <c r="G21" s="36">
        <v>32089.714</v>
      </c>
      <c r="H21" s="36">
        <v>34107.881000000001</v>
      </c>
      <c r="I21" s="37">
        <v>33227.946000000004</v>
      </c>
      <c r="J21" s="37">
        <v>33085.42</v>
      </c>
      <c r="K21" s="37">
        <v>36134.078999999998</v>
      </c>
      <c r="L21" s="37">
        <v>41125.222000000002</v>
      </c>
      <c r="M21" s="37">
        <v>48852.747000000003</v>
      </c>
      <c r="N21" s="37">
        <v>65039.87</v>
      </c>
      <c r="O21" s="37">
        <v>76604.244999999995</v>
      </c>
      <c r="P21" s="37">
        <v>84213.774999999994</v>
      </c>
      <c r="Q21" s="37">
        <v>98457.934999999998</v>
      </c>
      <c r="R21" s="37">
        <v>96422.843999999997</v>
      </c>
      <c r="S21" s="37">
        <v>104897.758</v>
      </c>
      <c r="T21" s="23">
        <v>118022.28</v>
      </c>
      <c r="U21" s="23">
        <v>146572.435</v>
      </c>
      <c r="V21" s="23">
        <v>230716.932</v>
      </c>
      <c r="W21" s="23">
        <v>267773.29399999999</v>
      </c>
      <c r="X21" s="23">
        <v>252804.25700000001</v>
      </c>
      <c r="Y21" s="2">
        <v>242448.745</v>
      </c>
      <c r="Z21" s="2">
        <v>228141.68700000001</v>
      </c>
      <c r="AA21" s="2">
        <v>222616.965</v>
      </c>
    </row>
    <row r="22" spans="1:27">
      <c r="A22" s="22" t="s">
        <v>15</v>
      </c>
      <c r="B22" s="36">
        <v>40488</v>
      </c>
      <c r="C22" s="36">
        <v>44295</v>
      </c>
      <c r="D22" s="36">
        <v>55524</v>
      </c>
      <c r="E22" s="36">
        <v>108784.04399999999</v>
      </c>
      <c r="F22" s="77">
        <v>132007.913</v>
      </c>
      <c r="G22" s="36">
        <v>147700.46</v>
      </c>
      <c r="H22" s="36">
        <v>171233.196</v>
      </c>
      <c r="I22" s="37">
        <v>182646.41200000001</v>
      </c>
      <c r="J22" s="37">
        <v>190693.277</v>
      </c>
      <c r="K22" s="37">
        <v>211470.302</v>
      </c>
      <c r="L22" s="37">
        <v>270650.81</v>
      </c>
      <c r="M22" s="37">
        <v>313705.799</v>
      </c>
      <c r="N22" s="37">
        <v>408602.13900000002</v>
      </c>
      <c r="O22" s="37">
        <v>491671.86099999998</v>
      </c>
      <c r="P22" s="37">
        <v>529134.50100000005</v>
      </c>
      <c r="Q22" s="37">
        <v>553897.652</v>
      </c>
      <c r="R22" s="37">
        <v>553297.76399999997</v>
      </c>
      <c r="S22" s="37">
        <v>551536.80299999996</v>
      </c>
      <c r="T22" s="23">
        <v>606148.98100000003</v>
      </c>
      <c r="U22" s="23">
        <v>792070.75199999998</v>
      </c>
      <c r="V22" s="23">
        <v>1223441.861</v>
      </c>
      <c r="W22" s="23">
        <v>1451803.851</v>
      </c>
      <c r="X22" s="2">
        <v>1388935.2779999999</v>
      </c>
      <c r="Y22" s="2">
        <v>1341469.42</v>
      </c>
      <c r="Z22" s="2">
        <v>1327134.415</v>
      </c>
      <c r="AA22" s="2">
        <v>1263337.1259999999</v>
      </c>
    </row>
    <row r="23" spans="1:27">
      <c r="A23" s="22" t="s">
        <v>16</v>
      </c>
      <c r="B23" s="36">
        <v>13328</v>
      </c>
      <c r="C23" s="36">
        <v>13421</v>
      </c>
      <c r="D23" s="36">
        <v>16744</v>
      </c>
      <c r="E23" s="36">
        <v>24928.477999999999</v>
      </c>
      <c r="F23" s="77">
        <v>35587.277000000002</v>
      </c>
      <c r="G23" s="36">
        <v>44424.557000000001</v>
      </c>
      <c r="H23" s="36">
        <v>48394.326000000001</v>
      </c>
      <c r="I23" s="37">
        <v>49553.235000000001</v>
      </c>
      <c r="J23" s="37">
        <v>48906.879999999997</v>
      </c>
      <c r="K23" s="37">
        <v>51658.347999999998</v>
      </c>
      <c r="L23" s="37">
        <v>62833.752</v>
      </c>
      <c r="M23" s="37">
        <v>68621.58</v>
      </c>
      <c r="N23" s="37">
        <v>85518.259000000005</v>
      </c>
      <c r="O23" s="37">
        <v>97473.822</v>
      </c>
      <c r="P23" s="37">
        <v>105944.099</v>
      </c>
      <c r="Q23" s="37">
        <v>103282.868</v>
      </c>
      <c r="R23" s="37">
        <v>105993.228</v>
      </c>
      <c r="S23" s="37">
        <v>107079.79700000001</v>
      </c>
      <c r="T23" s="23">
        <v>126013.21</v>
      </c>
      <c r="U23" s="23">
        <v>159528.16099999999</v>
      </c>
      <c r="V23" s="23">
        <v>253016.34700000001</v>
      </c>
      <c r="W23" s="23">
        <v>316290.03700000001</v>
      </c>
      <c r="X23" s="2">
        <v>329305.24599999998</v>
      </c>
      <c r="Y23" s="2">
        <v>324932.065</v>
      </c>
      <c r="Z23" s="2">
        <v>320768.58</v>
      </c>
      <c r="AA23" s="2">
        <v>315851.929</v>
      </c>
    </row>
    <row r="24" spans="1:27">
      <c r="A24" s="83" t="s">
        <v>17</v>
      </c>
      <c r="B24" s="66">
        <v>1767</v>
      </c>
      <c r="C24" s="66">
        <v>2119</v>
      </c>
      <c r="D24" s="66">
        <v>2461</v>
      </c>
      <c r="E24" s="66">
        <v>3403.607</v>
      </c>
      <c r="F24" s="82">
        <v>4086.5819999999999</v>
      </c>
      <c r="G24" s="66">
        <v>4499.8860000000004</v>
      </c>
      <c r="H24" s="66">
        <v>5137.6210000000001</v>
      </c>
      <c r="I24" s="63">
        <v>5283.4430000000002</v>
      </c>
      <c r="J24" s="63">
        <v>5295.0249999999996</v>
      </c>
      <c r="K24" s="63">
        <v>5294.859459999996</v>
      </c>
      <c r="L24" s="63">
        <v>5637.9530000000004</v>
      </c>
      <c r="M24" s="63">
        <v>7233.3239999999996</v>
      </c>
      <c r="N24" s="63">
        <v>8088.7979999999998</v>
      </c>
      <c r="O24" s="63">
        <v>10631.446</v>
      </c>
      <c r="P24" s="63">
        <v>9147.8970000000008</v>
      </c>
      <c r="Q24" s="63">
        <v>19911.442999999999</v>
      </c>
      <c r="R24" s="63">
        <v>18372.938999999998</v>
      </c>
      <c r="S24" s="63">
        <v>24399.528999999999</v>
      </c>
      <c r="T24" s="45">
        <v>27104.561000000002</v>
      </c>
      <c r="U24" s="45">
        <v>36509.764000000003</v>
      </c>
      <c r="V24" s="45">
        <v>65772.813999999998</v>
      </c>
      <c r="W24" s="45">
        <v>77749.747000000003</v>
      </c>
      <c r="X24" s="45">
        <v>71761.857000000004</v>
      </c>
      <c r="Y24" s="45">
        <v>67557.638999999996</v>
      </c>
      <c r="Z24" s="45">
        <v>64597.923000000003</v>
      </c>
      <c r="AA24" s="45">
        <v>55280.472000000002</v>
      </c>
    </row>
    <row r="25" spans="1:27" s="23" customFormat="1">
      <c r="A25" s="79" t="s">
        <v>120</v>
      </c>
      <c r="B25" s="90">
        <f>SUM(B27:B39)</f>
        <v>0</v>
      </c>
      <c r="C25" s="90">
        <f t="shared" ref="C25:AA25" si="8">SUM(C27:C39)</f>
        <v>0</v>
      </c>
      <c r="D25" s="90">
        <f t="shared" si="8"/>
        <v>0</v>
      </c>
      <c r="E25" s="90">
        <f t="shared" si="8"/>
        <v>0</v>
      </c>
      <c r="F25" s="90">
        <f t="shared" si="8"/>
        <v>370257.65400000004</v>
      </c>
      <c r="G25" s="90">
        <f t="shared" si="8"/>
        <v>0</v>
      </c>
      <c r="H25" s="90">
        <f t="shared" si="8"/>
        <v>0</v>
      </c>
      <c r="I25" s="90">
        <f t="shared" si="8"/>
        <v>570763.05700000003</v>
      </c>
      <c r="J25" s="90">
        <f t="shared" si="8"/>
        <v>0</v>
      </c>
      <c r="K25" s="90">
        <f t="shared" si="8"/>
        <v>729444.51222999999</v>
      </c>
      <c r="L25" s="90">
        <f t="shared" si="8"/>
        <v>737486.19799999997</v>
      </c>
      <c r="M25" s="90">
        <f t="shared" si="8"/>
        <v>826311.47600000002</v>
      </c>
      <c r="N25" s="90">
        <f t="shared" si="8"/>
        <v>1020374.6900000001</v>
      </c>
      <c r="O25" s="90">
        <f t="shared" si="8"/>
        <v>1254967.2289999998</v>
      </c>
      <c r="P25" s="90">
        <f t="shared" si="8"/>
        <v>1319092.33</v>
      </c>
      <c r="Q25" s="90">
        <f t="shared" si="8"/>
        <v>1638609.4070000001</v>
      </c>
      <c r="R25" s="90">
        <f t="shared" si="8"/>
        <v>1618669.165</v>
      </c>
      <c r="S25" s="90">
        <f t="shared" si="8"/>
        <v>1584081.84</v>
      </c>
      <c r="T25" s="90">
        <f t="shared" si="8"/>
        <v>1752808.915</v>
      </c>
      <c r="U25" s="90">
        <f t="shared" si="8"/>
        <v>2221171.9220000003</v>
      </c>
      <c r="V25" s="90">
        <f t="shared" si="8"/>
        <v>3310693.5529999998</v>
      </c>
      <c r="W25" s="90">
        <f t="shared" si="8"/>
        <v>4168972.3839999996</v>
      </c>
      <c r="X25" s="90">
        <f t="shared" si="8"/>
        <v>4134340.824</v>
      </c>
      <c r="Y25" s="90">
        <f t="shared" si="8"/>
        <v>3005393.8330000001</v>
      </c>
      <c r="Z25" s="90">
        <f t="shared" si="8"/>
        <v>3005202.0489999992</v>
      </c>
      <c r="AA25" s="90">
        <f t="shared" si="8"/>
        <v>2989498.9350000001</v>
      </c>
    </row>
    <row r="26" spans="1:27">
      <c r="A26" s="79" t="s">
        <v>119</v>
      </c>
      <c r="B26" s="37"/>
      <c r="C26" s="37"/>
      <c r="D26" s="37"/>
      <c r="E26" s="37"/>
      <c r="F26" s="37"/>
      <c r="G26" s="37"/>
      <c r="H26" s="37"/>
      <c r="I26" s="37"/>
      <c r="J26" s="37"/>
      <c r="K26" s="37"/>
      <c r="L26" s="37"/>
      <c r="M26" s="37"/>
      <c r="N26" s="37"/>
      <c r="O26" s="37"/>
      <c r="P26" s="37"/>
      <c r="Q26" s="37"/>
      <c r="R26" s="37"/>
      <c r="S26" s="37"/>
      <c r="T26" s="23"/>
      <c r="U26" s="23"/>
      <c r="V26" s="23"/>
      <c r="W26" s="23"/>
      <c r="X26" s="2">
        <v>0</v>
      </c>
      <c r="Y26" s="2" t="e">
        <f>#REF!/1000</f>
        <v>#REF!</v>
      </c>
    </row>
    <row r="27" spans="1:27">
      <c r="A27" s="23" t="s">
        <v>85</v>
      </c>
      <c r="B27" s="36"/>
      <c r="C27" s="36"/>
      <c r="D27" s="37"/>
      <c r="E27" s="36"/>
      <c r="F27" s="77">
        <v>0</v>
      </c>
      <c r="G27" s="36"/>
      <c r="H27" s="36"/>
      <c r="I27" s="37">
        <v>17.291</v>
      </c>
      <c r="J27" s="37"/>
      <c r="K27" s="37">
        <v>38.072000000000003</v>
      </c>
      <c r="L27" s="37">
        <v>339.88900000000001</v>
      </c>
      <c r="M27" s="37">
        <v>15.497</v>
      </c>
      <c r="N27" s="37">
        <v>44.228000000000002</v>
      </c>
      <c r="O27" s="37">
        <v>268.26400000000001</v>
      </c>
      <c r="P27" s="37">
        <v>143.548</v>
      </c>
      <c r="Q27" s="37">
        <v>81.465999999999994</v>
      </c>
      <c r="R27" s="37">
        <v>242.91800000000001</v>
      </c>
      <c r="S27" s="37">
        <v>387.721</v>
      </c>
      <c r="T27" s="23">
        <v>398.363</v>
      </c>
      <c r="U27" s="23">
        <v>476.31099999999998</v>
      </c>
      <c r="V27" s="23">
        <v>612.59299999999996</v>
      </c>
      <c r="W27" s="23">
        <v>72.067999999999998</v>
      </c>
      <c r="X27" s="2">
        <v>216.404</v>
      </c>
      <c r="Y27" s="2">
        <v>40.767000000000003</v>
      </c>
    </row>
    <row r="28" spans="1:27">
      <c r="A28" s="23" t="s">
        <v>86</v>
      </c>
      <c r="B28" s="36"/>
      <c r="C28" s="36"/>
      <c r="D28" s="36"/>
      <c r="E28" s="36"/>
      <c r="F28" s="77">
        <v>37675.502999999997</v>
      </c>
      <c r="G28" s="36"/>
      <c r="H28" s="36"/>
      <c r="I28" s="37">
        <v>53057.68</v>
      </c>
      <c r="J28" s="37"/>
      <c r="K28" s="37">
        <v>56800.047760000001</v>
      </c>
      <c r="L28" s="37">
        <v>68855.868000000002</v>
      </c>
      <c r="M28" s="37">
        <v>72683.346000000005</v>
      </c>
      <c r="N28" s="37">
        <v>91249.460999999996</v>
      </c>
      <c r="O28" s="37">
        <v>107098.14599999999</v>
      </c>
      <c r="P28" s="37">
        <v>120915.67</v>
      </c>
      <c r="Q28" s="37">
        <v>128890.889</v>
      </c>
      <c r="R28" s="37">
        <v>119896.439</v>
      </c>
      <c r="S28" s="37">
        <v>116484.333</v>
      </c>
      <c r="T28" s="23">
        <v>128218.348</v>
      </c>
      <c r="U28" s="23">
        <v>157357.63200000001</v>
      </c>
      <c r="V28" s="23">
        <v>270358.24400000001</v>
      </c>
      <c r="W28" s="23">
        <v>360312.685</v>
      </c>
      <c r="X28" s="2">
        <v>381454.321</v>
      </c>
      <c r="Y28" s="2">
        <v>76374.614000000001</v>
      </c>
      <c r="Z28" s="2">
        <v>73130.914999999994</v>
      </c>
      <c r="AA28" s="2">
        <v>70874.898000000001</v>
      </c>
    </row>
    <row r="29" spans="1:27">
      <c r="A29" s="23" t="s">
        <v>87</v>
      </c>
      <c r="B29" s="36"/>
      <c r="C29" s="36"/>
      <c r="D29" s="36"/>
      <c r="E29" s="36"/>
      <c r="F29" s="77">
        <v>145873.90900000001</v>
      </c>
      <c r="G29" s="36"/>
      <c r="H29" s="36"/>
      <c r="I29" s="37">
        <v>279424.80300000001</v>
      </c>
      <c r="J29" s="37"/>
      <c r="K29" s="37">
        <v>396679.08927</v>
      </c>
      <c r="L29" s="37">
        <v>338929.00300000003</v>
      </c>
      <c r="M29" s="37">
        <v>388086.78</v>
      </c>
      <c r="N29" s="37">
        <v>483653.77899999998</v>
      </c>
      <c r="O29" s="37">
        <v>625124.42299999995</v>
      </c>
      <c r="P29" s="37">
        <v>671103.696</v>
      </c>
      <c r="Q29" s="37">
        <v>944307.98100000003</v>
      </c>
      <c r="R29" s="37">
        <v>935601.72699999996</v>
      </c>
      <c r="S29" s="37">
        <v>935430.25699999998</v>
      </c>
      <c r="T29" s="23">
        <v>1047550.09</v>
      </c>
      <c r="U29" s="23">
        <v>1282186.4269999999</v>
      </c>
      <c r="V29" s="23">
        <v>1859580.2590000001</v>
      </c>
      <c r="W29" s="23">
        <v>2341256.4539999999</v>
      </c>
      <c r="X29" s="2">
        <v>2345992.0430000001</v>
      </c>
      <c r="Y29" s="2">
        <v>1778198.719</v>
      </c>
      <c r="Z29" s="2">
        <v>1860565.23</v>
      </c>
      <c r="AA29" s="2">
        <v>1893845.3419999999</v>
      </c>
    </row>
    <row r="30" spans="1:27">
      <c r="A30" s="23" t="s">
        <v>88</v>
      </c>
      <c r="B30" s="36"/>
      <c r="C30" s="36"/>
      <c r="D30" s="36"/>
      <c r="E30" s="36"/>
      <c r="F30" s="77">
        <v>31378.411</v>
      </c>
      <c r="G30" s="36"/>
      <c r="H30" s="36"/>
      <c r="I30" s="37">
        <v>35062.796999999999</v>
      </c>
      <c r="J30" s="37"/>
      <c r="K30" s="37">
        <v>39873.201000000001</v>
      </c>
      <c r="L30" s="37">
        <v>48143.97</v>
      </c>
      <c r="M30" s="37">
        <v>52392.097000000002</v>
      </c>
      <c r="N30" s="37">
        <v>63258.084999999999</v>
      </c>
      <c r="O30" s="37">
        <v>74128.759000000005</v>
      </c>
      <c r="P30" s="37">
        <v>77442.755000000005</v>
      </c>
      <c r="Q30" s="37">
        <v>80992.085999999996</v>
      </c>
      <c r="R30" s="37">
        <v>82464.506999999998</v>
      </c>
      <c r="S30" s="37">
        <v>80318.587</v>
      </c>
      <c r="T30" s="23">
        <v>88299.179000000004</v>
      </c>
      <c r="U30" s="23">
        <v>101242.651</v>
      </c>
      <c r="V30" s="23">
        <v>155933.37100000001</v>
      </c>
      <c r="W30" s="23">
        <v>198647.33</v>
      </c>
      <c r="X30" s="2">
        <v>215597.158</v>
      </c>
      <c r="Y30" s="2">
        <v>90746.479000000007</v>
      </c>
      <c r="Z30" s="2">
        <v>80964.399999999994</v>
      </c>
      <c r="AA30" s="2">
        <v>81164.274000000005</v>
      </c>
    </row>
    <row r="31" spans="1:27">
      <c r="A31" s="23" t="s">
        <v>91</v>
      </c>
      <c r="B31" s="36"/>
      <c r="C31" s="36"/>
      <c r="D31" s="36"/>
      <c r="E31" s="36"/>
      <c r="F31" s="77">
        <v>2590.5569999999998</v>
      </c>
      <c r="G31" s="36"/>
      <c r="H31" s="36"/>
      <c r="I31" s="37">
        <v>5207.7240000000002</v>
      </c>
      <c r="J31" s="37"/>
      <c r="K31" s="37">
        <v>5598.9620000000004</v>
      </c>
      <c r="L31" s="37">
        <v>7967.7489999999998</v>
      </c>
      <c r="M31" s="37">
        <v>8107.9930000000004</v>
      </c>
      <c r="N31" s="37">
        <v>16341.263000000001</v>
      </c>
      <c r="O31" s="37">
        <v>15265.324000000001</v>
      </c>
      <c r="P31" s="37">
        <v>13590.232</v>
      </c>
      <c r="Q31" s="37">
        <v>11106.868</v>
      </c>
      <c r="R31" s="37">
        <v>8884.3189999999995</v>
      </c>
      <c r="S31" s="37">
        <v>9462.1389999999992</v>
      </c>
      <c r="T31" s="23">
        <v>11850.972</v>
      </c>
      <c r="U31" s="23">
        <v>19311.594000000001</v>
      </c>
      <c r="V31" s="23">
        <v>32483.418000000001</v>
      </c>
      <c r="W31" s="23">
        <v>44655.51</v>
      </c>
      <c r="X31" s="2">
        <v>48952.154000000002</v>
      </c>
      <c r="Y31" s="2">
        <v>49220.421999999999</v>
      </c>
      <c r="Z31" s="2">
        <v>49643.055</v>
      </c>
      <c r="AA31" s="2">
        <v>48418.741999999998</v>
      </c>
    </row>
    <row r="32" spans="1:27">
      <c r="A32" s="23" t="s">
        <v>92</v>
      </c>
      <c r="B32" s="36"/>
      <c r="C32" s="36"/>
      <c r="D32" s="36"/>
      <c r="E32" s="36"/>
      <c r="F32" s="77">
        <v>4395.0140000000001</v>
      </c>
      <c r="G32" s="36"/>
      <c r="H32" s="36"/>
      <c r="I32" s="37">
        <v>5801.3310000000001</v>
      </c>
      <c r="J32" s="37"/>
      <c r="K32" s="37">
        <v>10005.544</v>
      </c>
      <c r="L32" s="37">
        <v>8373.2309999999998</v>
      </c>
      <c r="M32" s="37">
        <v>9625.4390000000003</v>
      </c>
      <c r="N32" s="37">
        <v>12168.311</v>
      </c>
      <c r="O32" s="37">
        <v>19496.616000000002</v>
      </c>
      <c r="P32" s="37">
        <v>22016.081999999999</v>
      </c>
      <c r="Q32" s="37">
        <v>22189.907999999999</v>
      </c>
      <c r="R32" s="37">
        <v>20509.118999999999</v>
      </c>
      <c r="S32" s="37">
        <v>17956.433000000001</v>
      </c>
      <c r="T32" s="23">
        <v>19698.782999999999</v>
      </c>
      <c r="U32" s="23">
        <v>25394.713</v>
      </c>
      <c r="V32" s="23">
        <v>37505.849000000002</v>
      </c>
      <c r="W32" s="23">
        <v>45597.605000000003</v>
      </c>
      <c r="X32" s="2">
        <v>53496.35</v>
      </c>
      <c r="Y32" s="2">
        <v>53638.527000000002</v>
      </c>
      <c r="Z32" s="2">
        <v>48604.065999999999</v>
      </c>
      <c r="AA32" s="2">
        <v>41554.705000000002</v>
      </c>
    </row>
    <row r="33" spans="1:29">
      <c r="A33" s="23" t="s">
        <v>100</v>
      </c>
      <c r="B33" s="37"/>
      <c r="C33" s="37"/>
      <c r="D33" s="37"/>
      <c r="E33" s="37"/>
      <c r="F33" s="77">
        <v>6660.9</v>
      </c>
      <c r="G33" s="37"/>
      <c r="H33" s="37"/>
      <c r="I33" s="37">
        <v>7913.8440000000001</v>
      </c>
      <c r="J33" s="37"/>
      <c r="K33" s="37">
        <v>7504.4747099999977</v>
      </c>
      <c r="L33" s="37">
        <v>8993.33</v>
      </c>
      <c r="M33" s="37">
        <v>10808.96</v>
      </c>
      <c r="N33" s="37">
        <v>12038.391</v>
      </c>
      <c r="O33" s="37">
        <v>12559.411</v>
      </c>
      <c r="P33" s="37">
        <v>13873.222</v>
      </c>
      <c r="Q33" s="37">
        <v>14580.882</v>
      </c>
      <c r="R33" s="37">
        <v>13513.212</v>
      </c>
      <c r="S33" s="37">
        <v>13457.985000000001</v>
      </c>
      <c r="T33" s="23">
        <v>15125.352000000001</v>
      </c>
      <c r="U33" s="23">
        <v>18109.391</v>
      </c>
      <c r="V33" s="23">
        <v>24994.657999999999</v>
      </c>
      <c r="W33" s="23">
        <v>27813.191999999999</v>
      </c>
      <c r="X33" s="2">
        <v>27078.343000000001</v>
      </c>
      <c r="Y33" s="2">
        <v>22823.238000000001</v>
      </c>
      <c r="Z33" s="2">
        <v>21062.401999999998</v>
      </c>
      <c r="AA33" s="2">
        <v>19162.698</v>
      </c>
    </row>
    <row r="34" spans="1:29">
      <c r="A34" s="23" t="s">
        <v>102</v>
      </c>
      <c r="B34" s="37"/>
      <c r="C34" s="37"/>
      <c r="D34" s="37"/>
      <c r="E34" s="37"/>
      <c r="F34" s="77">
        <v>3715.431</v>
      </c>
      <c r="G34" s="37"/>
      <c r="H34" s="37"/>
      <c r="I34" s="37">
        <v>4769.067</v>
      </c>
      <c r="J34" s="37"/>
      <c r="K34" s="37">
        <v>6596</v>
      </c>
      <c r="L34" s="37">
        <v>10428.904</v>
      </c>
      <c r="M34" s="37">
        <v>12880</v>
      </c>
      <c r="N34" s="37">
        <v>18718</v>
      </c>
      <c r="O34" s="37">
        <v>23113</v>
      </c>
      <c r="P34" s="37">
        <v>7589.2169999999996</v>
      </c>
      <c r="Q34" s="37">
        <v>8185.0029999999997</v>
      </c>
      <c r="R34" s="37">
        <v>7678.8159999999998</v>
      </c>
      <c r="S34" s="37">
        <v>4854</v>
      </c>
      <c r="T34" s="23">
        <v>6006</v>
      </c>
      <c r="U34" s="23">
        <v>31579.172999999999</v>
      </c>
      <c r="V34" s="23">
        <v>57394.196000000004</v>
      </c>
      <c r="W34" s="23">
        <v>74403.312000000005</v>
      </c>
      <c r="X34" s="2">
        <v>78197.368000000002</v>
      </c>
      <c r="Y34" s="2">
        <v>77530</v>
      </c>
      <c r="Z34" s="2">
        <v>78256</v>
      </c>
      <c r="AA34" s="2">
        <v>83216</v>
      </c>
    </row>
    <row r="35" spans="1:29">
      <c r="A35" s="23" t="s">
        <v>105</v>
      </c>
      <c r="B35" s="37"/>
      <c r="C35" s="37"/>
      <c r="D35" s="37"/>
      <c r="E35" s="37"/>
      <c r="F35" s="77">
        <v>11917.04</v>
      </c>
      <c r="G35" s="37"/>
      <c r="H35" s="37"/>
      <c r="I35" s="37">
        <v>23122.144</v>
      </c>
      <c r="J35" s="37"/>
      <c r="K35" s="37">
        <v>27826.215889999999</v>
      </c>
      <c r="L35" s="37">
        <v>36008.963000000003</v>
      </c>
      <c r="M35" s="37">
        <v>38497.555999999997</v>
      </c>
      <c r="N35" s="37">
        <v>46315.764999999999</v>
      </c>
      <c r="O35" s="37">
        <v>58959.713000000003</v>
      </c>
      <c r="P35" s="37">
        <v>62468.472999999998</v>
      </c>
      <c r="Q35" s="37">
        <v>71131.273000000001</v>
      </c>
      <c r="R35" s="37">
        <v>66918.856</v>
      </c>
      <c r="S35" s="37">
        <v>65543.323999999993</v>
      </c>
      <c r="T35" s="23">
        <v>70850.069000000003</v>
      </c>
      <c r="U35" s="23">
        <v>96483.797000000006</v>
      </c>
      <c r="V35" s="23">
        <v>134312.64000000001</v>
      </c>
      <c r="W35" s="23">
        <v>160676.584</v>
      </c>
      <c r="X35" s="2">
        <v>161689.57199999999</v>
      </c>
      <c r="Y35" s="2">
        <v>94953.93</v>
      </c>
      <c r="Z35" s="2">
        <v>89339.134999999995</v>
      </c>
      <c r="AA35" s="2">
        <v>80671.671000000002</v>
      </c>
    </row>
    <row r="36" spans="1:29">
      <c r="A36" s="23" t="s">
        <v>109</v>
      </c>
      <c r="B36" s="37"/>
      <c r="C36" s="37"/>
      <c r="D36" s="37"/>
      <c r="E36" s="37"/>
      <c r="F36" s="77">
        <v>34042.978000000003</v>
      </c>
      <c r="G36" s="37"/>
      <c r="H36" s="37"/>
      <c r="I36" s="37">
        <v>34815.010999999999</v>
      </c>
      <c r="J36" s="37"/>
      <c r="K36" s="37">
        <v>36559.004739999997</v>
      </c>
      <c r="L36" s="37">
        <v>48315.076999999997</v>
      </c>
      <c r="M36" s="37">
        <v>55184.428999999996</v>
      </c>
      <c r="N36" s="37">
        <v>71054.964000000007</v>
      </c>
      <c r="O36" s="37">
        <v>79958.491999999998</v>
      </c>
      <c r="P36" s="37">
        <v>91294.406000000003</v>
      </c>
      <c r="Q36" s="37">
        <v>92553.752999999997</v>
      </c>
      <c r="R36" s="37">
        <v>91321.186000000002</v>
      </c>
      <c r="S36" s="37">
        <v>91681.850999999995</v>
      </c>
      <c r="T36" s="23">
        <v>101010.355</v>
      </c>
      <c r="U36" s="23">
        <v>147044.15299999999</v>
      </c>
      <c r="V36" s="23">
        <v>259562.677</v>
      </c>
      <c r="W36" s="23">
        <v>360922.46100000001</v>
      </c>
      <c r="X36" s="2">
        <v>267137.98800000001</v>
      </c>
      <c r="Y36" s="2">
        <v>261999.10800000001</v>
      </c>
      <c r="Z36" s="2">
        <v>240115.89</v>
      </c>
      <c r="AA36" s="2">
        <v>219902.13200000001</v>
      </c>
    </row>
    <row r="37" spans="1:29">
      <c r="A37" s="23" t="s">
        <v>113</v>
      </c>
      <c r="B37" s="37"/>
      <c r="C37" s="37"/>
      <c r="D37" s="37"/>
      <c r="E37" s="37"/>
      <c r="F37" s="77">
        <v>20107.417000000001</v>
      </c>
      <c r="G37" s="37"/>
      <c r="H37" s="37"/>
      <c r="I37" s="37">
        <v>15070.585999999999</v>
      </c>
      <c r="J37" s="37"/>
      <c r="K37" s="37">
        <v>15103.471</v>
      </c>
      <c r="L37" s="37">
        <v>15104.151</v>
      </c>
      <c r="M37" s="37">
        <v>16789.447</v>
      </c>
      <c r="N37" s="37">
        <v>21617.975999999999</v>
      </c>
      <c r="O37" s="37">
        <v>23284.128000000001</v>
      </c>
      <c r="P37" s="37">
        <v>28291.036</v>
      </c>
      <c r="Q37" s="37">
        <v>31461.557000000001</v>
      </c>
      <c r="R37" s="37">
        <v>28706.698</v>
      </c>
      <c r="S37" s="37">
        <v>25941.855</v>
      </c>
      <c r="T37" s="23">
        <v>25396.742999999999</v>
      </c>
      <c r="U37" s="23">
        <v>29846.776999999998</v>
      </c>
      <c r="V37" s="23">
        <v>63110.180999999997</v>
      </c>
      <c r="W37" s="23">
        <v>66267.486000000004</v>
      </c>
      <c r="X37" s="2">
        <v>56216.989000000001</v>
      </c>
      <c r="Y37" s="2">
        <v>79979.520000000004</v>
      </c>
      <c r="Z37" s="2">
        <v>64037.822999999997</v>
      </c>
      <c r="AA37" s="2">
        <v>58774.997000000003</v>
      </c>
    </row>
    <row r="38" spans="1:29">
      <c r="A38" s="23" t="s">
        <v>115</v>
      </c>
      <c r="B38" s="37"/>
      <c r="C38" s="37"/>
      <c r="D38" s="37"/>
      <c r="E38" s="37"/>
      <c r="F38" s="77">
        <v>62941.292000000001</v>
      </c>
      <c r="G38" s="37"/>
      <c r="H38" s="37"/>
      <c r="I38" s="37">
        <v>97187.994000000006</v>
      </c>
      <c r="J38" s="37"/>
      <c r="K38" s="37">
        <v>117579.56786</v>
      </c>
      <c r="L38" s="37">
        <v>135148.5</v>
      </c>
      <c r="M38" s="37">
        <v>149781.834</v>
      </c>
      <c r="N38" s="37">
        <v>170460.13800000001</v>
      </c>
      <c r="O38" s="37">
        <v>200695.76</v>
      </c>
      <c r="P38" s="37">
        <v>192977.32</v>
      </c>
      <c r="Q38" s="37">
        <v>214728.46299999999</v>
      </c>
      <c r="R38" s="37">
        <v>226161.77600000001</v>
      </c>
      <c r="S38" s="37">
        <v>203829.598</v>
      </c>
      <c r="T38" s="23">
        <v>215684.38500000001</v>
      </c>
      <c r="U38" s="23">
        <v>285259.603</v>
      </c>
      <c r="V38" s="23">
        <v>380708.299</v>
      </c>
      <c r="W38" s="23">
        <v>446118.01699999999</v>
      </c>
      <c r="X38" s="2">
        <v>458905.364</v>
      </c>
      <c r="Y38" s="2">
        <v>381940.00099999999</v>
      </c>
      <c r="Z38" s="2">
        <v>363357.30099999998</v>
      </c>
      <c r="AA38" s="2">
        <v>353515.07900000003</v>
      </c>
    </row>
    <row r="39" spans="1:29">
      <c r="A39" s="45" t="s">
        <v>117</v>
      </c>
      <c r="B39" s="63"/>
      <c r="C39" s="63"/>
      <c r="D39" s="63"/>
      <c r="E39" s="63"/>
      <c r="F39" s="82">
        <v>8959.2019999999993</v>
      </c>
      <c r="G39" s="63"/>
      <c r="H39" s="63"/>
      <c r="I39" s="63">
        <v>9312.7849999999999</v>
      </c>
      <c r="J39" s="63"/>
      <c r="K39" s="63">
        <v>9280.8619999999992</v>
      </c>
      <c r="L39" s="63">
        <v>10877.563</v>
      </c>
      <c r="M39" s="63">
        <v>11458.098</v>
      </c>
      <c r="N39" s="63">
        <v>13454.329</v>
      </c>
      <c r="O39" s="63">
        <v>15015.192999999999</v>
      </c>
      <c r="P39" s="63">
        <v>17386.672999999999</v>
      </c>
      <c r="Q39" s="63">
        <v>18399.277999999998</v>
      </c>
      <c r="R39" s="63">
        <v>16769.592000000001</v>
      </c>
      <c r="S39" s="63">
        <v>18733.757000000001</v>
      </c>
      <c r="T39" s="45">
        <v>22720.276000000002</v>
      </c>
      <c r="U39" s="45">
        <v>26879.7</v>
      </c>
      <c r="V39" s="45">
        <v>34137.167999999998</v>
      </c>
      <c r="W39" s="45">
        <v>42229.68</v>
      </c>
      <c r="X39" s="45">
        <v>39406.769999999997</v>
      </c>
      <c r="Y39" s="45">
        <v>37948.508000000002</v>
      </c>
      <c r="Z39" s="45">
        <v>36125.832000000002</v>
      </c>
      <c r="AA39" s="45">
        <v>38398.396999999997</v>
      </c>
      <c r="AB39" s="23"/>
      <c r="AC39" s="23"/>
    </row>
    <row r="40" spans="1:29" s="23" customFormat="1">
      <c r="A40" s="79" t="s">
        <v>121</v>
      </c>
      <c r="B40" s="90">
        <f>SUM(B42:B53)</f>
        <v>0</v>
      </c>
      <c r="C40" s="90">
        <f t="shared" ref="C40:AA40" si="9">SUM(C42:C53)</f>
        <v>0</v>
      </c>
      <c r="D40" s="90">
        <f t="shared" si="9"/>
        <v>0</v>
      </c>
      <c r="E40" s="90">
        <f t="shared" si="9"/>
        <v>0</v>
      </c>
      <c r="F40" s="90">
        <f t="shared" si="9"/>
        <v>458137.32299999997</v>
      </c>
      <c r="G40" s="90">
        <f t="shared" si="9"/>
        <v>0</v>
      </c>
      <c r="H40" s="90">
        <f t="shared" si="9"/>
        <v>0</v>
      </c>
      <c r="I40" s="90">
        <f t="shared" si="9"/>
        <v>482772.12400000001</v>
      </c>
      <c r="J40" s="90">
        <f t="shared" si="9"/>
        <v>0</v>
      </c>
      <c r="K40" s="90">
        <f t="shared" si="9"/>
        <v>520565.47435000003</v>
      </c>
      <c r="L40" s="90">
        <f t="shared" si="9"/>
        <v>603348.48300000001</v>
      </c>
      <c r="M40" s="90">
        <f t="shared" si="9"/>
        <v>683996.13300000003</v>
      </c>
      <c r="N40" s="90">
        <f t="shared" si="9"/>
        <v>874506.59399999992</v>
      </c>
      <c r="O40" s="90">
        <f t="shared" si="9"/>
        <v>1030548.6199999999</v>
      </c>
      <c r="P40" s="90">
        <f t="shared" si="9"/>
        <v>1112065.9139999999</v>
      </c>
      <c r="Q40" s="90">
        <f t="shared" si="9"/>
        <v>1187643.138</v>
      </c>
      <c r="R40" s="90">
        <f t="shared" si="9"/>
        <v>1189204.774</v>
      </c>
      <c r="S40" s="90">
        <f t="shared" si="9"/>
        <v>1257824.4779999999</v>
      </c>
      <c r="T40" s="90">
        <f t="shared" si="9"/>
        <v>1399190.1700000002</v>
      </c>
      <c r="U40" s="90">
        <f t="shared" si="9"/>
        <v>1756970.0340000002</v>
      </c>
      <c r="V40" s="90">
        <f t="shared" si="9"/>
        <v>2675056.7649999997</v>
      </c>
      <c r="W40" s="90">
        <f t="shared" si="9"/>
        <v>3235147.9779999997</v>
      </c>
      <c r="X40" s="90">
        <f t="shared" si="9"/>
        <v>3058836.8170000003</v>
      </c>
      <c r="Y40" s="90">
        <f t="shared" si="9"/>
        <v>2340113.6529999999</v>
      </c>
      <c r="Z40" s="90">
        <f t="shared" si="9"/>
        <v>2213070.4910000004</v>
      </c>
      <c r="AA40" s="90">
        <f t="shared" si="9"/>
        <v>2064604.8979999996</v>
      </c>
    </row>
    <row r="41" spans="1:29">
      <c r="A41" s="79" t="s">
        <v>119</v>
      </c>
      <c r="B41" s="37"/>
      <c r="C41" s="37"/>
      <c r="D41" s="37"/>
      <c r="E41" s="37"/>
      <c r="F41" s="37"/>
      <c r="G41" s="37"/>
      <c r="H41" s="37"/>
      <c r="I41" s="37"/>
      <c r="J41" s="37"/>
      <c r="K41" s="37"/>
      <c r="L41" s="37"/>
      <c r="M41" s="37"/>
      <c r="N41" s="37"/>
      <c r="O41" s="37"/>
      <c r="P41" s="37"/>
      <c r="Q41" s="37"/>
      <c r="R41" s="37"/>
      <c r="S41" s="37"/>
      <c r="T41" s="23"/>
      <c r="U41" s="23"/>
      <c r="V41" s="23"/>
      <c r="W41" s="23"/>
      <c r="X41" s="2">
        <v>0</v>
      </c>
      <c r="Y41" s="2" t="e">
        <f>#REF!/1000</f>
        <v>#REF!</v>
      </c>
    </row>
    <row r="42" spans="1:29">
      <c r="A42" s="23" t="s">
        <v>93</v>
      </c>
      <c r="B42" s="36"/>
      <c r="C42" s="36"/>
      <c r="D42" s="36"/>
      <c r="E42" s="36"/>
      <c r="F42" s="77">
        <v>81541.101999999999</v>
      </c>
      <c r="G42" s="36"/>
      <c r="H42" s="36"/>
      <c r="I42" s="37">
        <v>92195.679000000004</v>
      </c>
      <c r="J42" s="37"/>
      <c r="K42" s="37">
        <v>106955.26203</v>
      </c>
      <c r="L42" s="37">
        <v>132167.41500000001</v>
      </c>
      <c r="M42" s="37">
        <v>146743.864</v>
      </c>
      <c r="N42" s="37">
        <v>196031.15299999999</v>
      </c>
      <c r="O42" s="37">
        <v>226262.603</v>
      </c>
      <c r="P42" s="37">
        <v>249814.29300000001</v>
      </c>
      <c r="Q42" s="37">
        <v>270560.65899999999</v>
      </c>
      <c r="R42" s="37">
        <v>273057.93099999998</v>
      </c>
      <c r="S42" s="37">
        <v>283880.821</v>
      </c>
      <c r="T42" s="23">
        <v>310747.93900000001</v>
      </c>
      <c r="U42" s="23">
        <v>372080.56699999998</v>
      </c>
      <c r="V42" s="23">
        <v>534901.61399999994</v>
      </c>
      <c r="W42" s="23">
        <v>652052.90700000001</v>
      </c>
      <c r="X42" s="2">
        <v>626175.47900000005</v>
      </c>
      <c r="Y42" s="2">
        <v>354526.42099999997</v>
      </c>
      <c r="Z42" s="2">
        <v>340380.27299999999</v>
      </c>
      <c r="AA42" s="2">
        <v>325271.08199999999</v>
      </c>
    </row>
    <row r="43" spans="1:29">
      <c r="A43" s="23" t="s">
        <v>58</v>
      </c>
      <c r="B43" s="36"/>
      <c r="C43" s="36"/>
      <c r="D43" s="36"/>
      <c r="E43" s="36"/>
      <c r="F43" s="77">
        <v>35894.133000000002</v>
      </c>
      <c r="G43" s="36"/>
      <c r="H43" s="36"/>
      <c r="I43" s="37">
        <v>31162.965</v>
      </c>
      <c r="J43" s="37"/>
      <c r="K43" s="37">
        <v>32957.919000000002</v>
      </c>
      <c r="L43" s="37">
        <v>41785.059000000001</v>
      </c>
      <c r="M43" s="37">
        <v>46877.142999999996</v>
      </c>
      <c r="N43" s="37">
        <v>63728.273999999998</v>
      </c>
      <c r="O43" s="37">
        <v>79299.035999999993</v>
      </c>
      <c r="P43" s="37">
        <v>80908.767999999996</v>
      </c>
      <c r="Q43" s="37">
        <v>84272.368000000002</v>
      </c>
      <c r="R43" s="37">
        <v>83251.353000000003</v>
      </c>
      <c r="S43" s="37">
        <v>90076.712</v>
      </c>
      <c r="T43" s="23">
        <v>97441.001000000004</v>
      </c>
      <c r="U43" s="23">
        <v>126133.518</v>
      </c>
      <c r="V43" s="23">
        <v>233632.65100000001</v>
      </c>
      <c r="W43" s="23">
        <v>285832.00699999998</v>
      </c>
      <c r="X43" s="2">
        <v>286446.87900000002</v>
      </c>
      <c r="Y43" s="2">
        <v>291052.15600000002</v>
      </c>
      <c r="Z43" s="2">
        <v>264328.11599999998</v>
      </c>
      <c r="AA43" s="2">
        <v>241829.073</v>
      </c>
    </row>
    <row r="44" spans="1:29">
      <c r="A44" s="23" t="s">
        <v>94</v>
      </c>
      <c r="B44" s="36"/>
      <c r="C44" s="36"/>
      <c r="D44" s="36"/>
      <c r="E44" s="36"/>
      <c r="F44" s="77">
        <v>36690.879999999997</v>
      </c>
      <c r="G44" s="36"/>
      <c r="H44" s="36"/>
      <c r="I44" s="37">
        <v>33635.659</v>
      </c>
      <c r="J44" s="37"/>
      <c r="K44" s="37">
        <v>33614.815000000002</v>
      </c>
      <c r="L44" s="37">
        <v>39550.008999999998</v>
      </c>
      <c r="M44" s="37">
        <v>44458.81</v>
      </c>
      <c r="N44" s="37">
        <v>57127.116000000002</v>
      </c>
      <c r="O44" s="37">
        <v>76810.228000000003</v>
      </c>
      <c r="P44" s="37">
        <v>84453.762000000002</v>
      </c>
      <c r="Q44" s="37">
        <v>88417.676999999996</v>
      </c>
      <c r="R44" s="37">
        <v>85232.896999999997</v>
      </c>
      <c r="S44" s="37">
        <v>78837.088000000003</v>
      </c>
      <c r="T44" s="23">
        <v>88969.206999999995</v>
      </c>
      <c r="U44" s="23">
        <v>118130.77499999999</v>
      </c>
      <c r="V44" s="23">
        <v>194689.685</v>
      </c>
      <c r="W44" s="23">
        <v>224373.905</v>
      </c>
      <c r="X44" s="2">
        <v>183433.17199999999</v>
      </c>
      <c r="Y44" s="2">
        <v>161394.39000000001</v>
      </c>
      <c r="Z44" s="2">
        <v>148655.671</v>
      </c>
      <c r="AA44" s="2">
        <v>145110.55600000001</v>
      </c>
    </row>
    <row r="45" spans="1:29">
      <c r="A45" s="23" t="s">
        <v>95</v>
      </c>
      <c r="B45" s="36"/>
      <c r="C45" s="36"/>
      <c r="D45" s="36"/>
      <c r="E45" s="36"/>
      <c r="F45" s="77">
        <v>22111.895</v>
      </c>
      <c r="G45" s="36"/>
      <c r="H45" s="36"/>
      <c r="I45" s="37">
        <v>26670.175999999999</v>
      </c>
      <c r="J45" s="37"/>
      <c r="K45" s="37">
        <v>30049.691569999999</v>
      </c>
      <c r="L45" s="37">
        <v>31947.821</v>
      </c>
      <c r="M45" s="37">
        <v>36669.658000000003</v>
      </c>
      <c r="N45" s="37">
        <v>45194.972000000002</v>
      </c>
      <c r="O45" s="37">
        <v>52233.298999999999</v>
      </c>
      <c r="P45" s="37">
        <v>58148.451000000001</v>
      </c>
      <c r="Q45" s="37">
        <v>61489.440999999999</v>
      </c>
      <c r="R45" s="37">
        <v>61142.400000000001</v>
      </c>
      <c r="S45" s="37">
        <v>60714.108999999997</v>
      </c>
      <c r="T45" s="23">
        <v>63582.250999999997</v>
      </c>
      <c r="U45" s="23">
        <v>73454.153000000006</v>
      </c>
      <c r="V45" s="23">
        <v>117473.32799999999</v>
      </c>
      <c r="W45" s="23">
        <v>144123.33300000001</v>
      </c>
      <c r="X45" s="2">
        <v>138621.26300000001</v>
      </c>
      <c r="Y45" s="2">
        <v>96735.505000000005</v>
      </c>
      <c r="Z45" s="2">
        <v>89448.634999999995</v>
      </c>
      <c r="AA45" s="2">
        <v>87433.542000000001</v>
      </c>
    </row>
    <row r="46" spans="1:29">
      <c r="A46" s="23" t="s">
        <v>98</v>
      </c>
      <c r="B46" s="36"/>
      <c r="C46" s="36"/>
      <c r="D46" s="36"/>
      <c r="E46" s="37"/>
      <c r="F46" s="77">
        <v>82606.460999999996</v>
      </c>
      <c r="G46" s="36"/>
      <c r="H46" s="36"/>
      <c r="I46" s="37">
        <v>85294.850999999995</v>
      </c>
      <c r="J46" s="37"/>
      <c r="K46" s="37">
        <v>74542.26535999999</v>
      </c>
      <c r="L46" s="37">
        <v>80980.663</v>
      </c>
      <c r="M46" s="37">
        <v>96499.462</v>
      </c>
      <c r="N46" s="37">
        <v>128685.734</v>
      </c>
      <c r="O46" s="37">
        <v>151484.94200000001</v>
      </c>
      <c r="P46" s="37">
        <v>157522.83199999999</v>
      </c>
      <c r="Q46" s="37">
        <v>183310.65100000001</v>
      </c>
      <c r="R46" s="37">
        <v>186858.81599999999</v>
      </c>
      <c r="S46" s="37">
        <v>206674.652</v>
      </c>
      <c r="T46" s="23">
        <v>240143.48499999999</v>
      </c>
      <c r="U46" s="23">
        <v>301316.04300000001</v>
      </c>
      <c r="V46" s="23">
        <v>482813.76299999998</v>
      </c>
      <c r="W46" s="23">
        <v>550504.29099999997</v>
      </c>
      <c r="X46" s="2">
        <v>516788.35800000001</v>
      </c>
      <c r="Y46" s="2">
        <v>445175.71</v>
      </c>
      <c r="Z46" s="2">
        <v>409076.88199999998</v>
      </c>
      <c r="AA46" s="2">
        <v>373434.076</v>
      </c>
    </row>
    <row r="47" spans="1:29">
      <c r="A47" s="23" t="s">
        <v>99</v>
      </c>
      <c r="B47" s="37"/>
      <c r="C47" s="37"/>
      <c r="D47" s="37"/>
      <c r="E47" s="37"/>
      <c r="F47" s="77">
        <v>45284.364999999998</v>
      </c>
      <c r="G47" s="37"/>
      <c r="H47" s="37"/>
      <c r="I47" s="37">
        <v>63437.224999999999</v>
      </c>
      <c r="J47" s="37"/>
      <c r="K47" s="37">
        <v>71957.903519999993</v>
      </c>
      <c r="L47" s="37">
        <v>67900.914000000004</v>
      </c>
      <c r="M47" s="37">
        <v>76642.358999999997</v>
      </c>
      <c r="N47" s="37">
        <v>89599.914000000004</v>
      </c>
      <c r="O47" s="37">
        <v>101265.879</v>
      </c>
      <c r="P47" s="37">
        <v>104961.989</v>
      </c>
      <c r="Q47" s="37">
        <v>109522.75199999999</v>
      </c>
      <c r="R47" s="37">
        <v>107044.651</v>
      </c>
      <c r="S47" s="37">
        <v>125578.56600000001</v>
      </c>
      <c r="T47" s="23">
        <v>137863.565</v>
      </c>
      <c r="U47" s="23">
        <v>157846.28</v>
      </c>
      <c r="V47" s="23">
        <v>239136.71100000001</v>
      </c>
      <c r="W47" s="23">
        <v>263847</v>
      </c>
      <c r="X47" s="2">
        <v>262850.78499999997</v>
      </c>
      <c r="Y47" s="2">
        <v>207846.2</v>
      </c>
      <c r="Z47" s="2">
        <v>199549.837</v>
      </c>
      <c r="AA47" s="2">
        <v>193710.86199999999</v>
      </c>
    </row>
    <row r="48" spans="1:29">
      <c r="A48" s="23" t="s">
        <v>59</v>
      </c>
      <c r="B48" s="37"/>
      <c r="C48" s="37"/>
      <c r="D48" s="37"/>
      <c r="E48" s="37"/>
      <c r="F48" s="77">
        <v>28591.628000000001</v>
      </c>
      <c r="G48" s="37"/>
      <c r="H48" s="37"/>
      <c r="I48" s="37">
        <v>15336.77</v>
      </c>
      <c r="J48" s="37"/>
      <c r="K48" s="37">
        <v>31438.546999999999</v>
      </c>
      <c r="L48" s="37">
        <v>25617.631000000001</v>
      </c>
      <c r="M48" s="37">
        <v>36554.216</v>
      </c>
      <c r="N48" s="37">
        <v>38315.629000000001</v>
      </c>
      <c r="O48" s="37">
        <v>44693.875</v>
      </c>
      <c r="P48" s="37">
        <v>50962.451000000001</v>
      </c>
      <c r="Q48" s="37">
        <v>52300.667000000001</v>
      </c>
      <c r="R48" s="37">
        <v>51090.375999999997</v>
      </c>
      <c r="S48" s="37">
        <v>53856.423000000003</v>
      </c>
      <c r="T48" s="23">
        <v>65060.512000000002</v>
      </c>
      <c r="U48" s="23">
        <v>73773.379000000001</v>
      </c>
      <c r="V48" s="23">
        <v>122326.274</v>
      </c>
      <c r="W48" s="23">
        <v>201163.372</v>
      </c>
      <c r="X48" s="2">
        <v>201715.076</v>
      </c>
      <c r="Y48" s="2">
        <v>187883.128</v>
      </c>
      <c r="Z48" s="2">
        <v>209317.56899999999</v>
      </c>
      <c r="AA48" s="2">
        <v>191097.03</v>
      </c>
    </row>
    <row r="49" spans="1:29">
      <c r="A49" s="23" t="s">
        <v>101</v>
      </c>
      <c r="B49" s="37"/>
      <c r="C49" s="37"/>
      <c r="D49" s="37"/>
      <c r="E49" s="37"/>
      <c r="F49" s="77">
        <v>10745.26</v>
      </c>
      <c r="G49" s="37"/>
      <c r="H49" s="37"/>
      <c r="I49" s="37">
        <v>9636.6020000000008</v>
      </c>
      <c r="J49" s="37"/>
      <c r="K49" s="37">
        <v>16791.222000000002</v>
      </c>
      <c r="L49" s="37">
        <v>20308.251</v>
      </c>
      <c r="M49" s="37">
        <v>21569.381000000001</v>
      </c>
      <c r="N49" s="37">
        <v>26458.186000000002</v>
      </c>
      <c r="O49" s="37">
        <v>26645.143</v>
      </c>
      <c r="P49" s="37">
        <v>30146.323</v>
      </c>
      <c r="Q49" s="37">
        <v>29337.643</v>
      </c>
      <c r="R49" s="37">
        <v>26737.457999999999</v>
      </c>
      <c r="S49" s="37">
        <v>28825.766</v>
      </c>
      <c r="T49" s="23">
        <v>32558.187000000002</v>
      </c>
      <c r="U49" s="23">
        <v>39238.834000000003</v>
      </c>
      <c r="V49" s="23">
        <v>64513.184000000001</v>
      </c>
      <c r="W49" s="23">
        <v>79830.998999999996</v>
      </c>
      <c r="X49" s="2">
        <v>78720.432000000001</v>
      </c>
      <c r="Y49" s="2">
        <v>62018.667999999998</v>
      </c>
      <c r="Z49" s="2">
        <v>58576.832000000002</v>
      </c>
      <c r="AA49" s="2">
        <v>57907.964</v>
      </c>
    </row>
    <row r="50" spans="1:29">
      <c r="A50" s="23" t="s">
        <v>107</v>
      </c>
      <c r="B50" s="37"/>
      <c r="C50" s="37"/>
      <c r="D50" s="37"/>
      <c r="E50" s="37"/>
      <c r="F50" s="77">
        <v>7381.9229999999998</v>
      </c>
      <c r="G50" s="37"/>
      <c r="H50" s="37"/>
      <c r="I50" s="37">
        <v>6487.7039999999997</v>
      </c>
      <c r="J50" s="37"/>
      <c r="K50" s="37">
        <v>7065.6201900000005</v>
      </c>
      <c r="L50" s="37">
        <v>10671.605</v>
      </c>
      <c r="M50" s="37">
        <v>9923.7430000000004</v>
      </c>
      <c r="N50" s="37">
        <v>9555.8369999999995</v>
      </c>
      <c r="O50" s="37">
        <v>11104.59</v>
      </c>
      <c r="P50" s="37">
        <v>11166.844999999999</v>
      </c>
      <c r="Q50" s="37">
        <v>12148.177</v>
      </c>
      <c r="R50" s="37">
        <v>11159.550999999999</v>
      </c>
      <c r="S50" s="37">
        <v>10875.76</v>
      </c>
      <c r="T50" s="23">
        <v>8118.6840000000002</v>
      </c>
      <c r="U50" s="23">
        <v>14572.871999999999</v>
      </c>
      <c r="V50" s="23">
        <v>19878.719000000001</v>
      </c>
      <c r="W50" s="23">
        <v>22236.569</v>
      </c>
      <c r="X50" s="2">
        <v>22295.571</v>
      </c>
      <c r="Y50" s="2">
        <v>19891.511999999999</v>
      </c>
      <c r="Z50" s="2">
        <v>19272.128000000001</v>
      </c>
      <c r="AA50" s="2">
        <v>16864.223999999998</v>
      </c>
    </row>
    <row r="51" spans="1:29">
      <c r="A51" s="23" t="s">
        <v>108</v>
      </c>
      <c r="B51" s="37"/>
      <c r="C51" s="37"/>
      <c r="D51" s="37"/>
      <c r="E51" s="37"/>
      <c r="F51" s="77">
        <v>68779.13</v>
      </c>
      <c r="G51" s="37"/>
      <c r="H51" s="37"/>
      <c r="I51" s="37">
        <v>82086.381999999998</v>
      </c>
      <c r="J51" s="37"/>
      <c r="K51" s="37">
        <v>79961.206000000006</v>
      </c>
      <c r="L51" s="37">
        <v>102357.57</v>
      </c>
      <c r="M51" s="37">
        <v>109754.853</v>
      </c>
      <c r="N51" s="37">
        <v>139560.47899999999</v>
      </c>
      <c r="O51" s="37">
        <v>169262.29800000001</v>
      </c>
      <c r="P51" s="37">
        <v>186309.677</v>
      </c>
      <c r="Q51" s="37">
        <v>200161.98499999999</v>
      </c>
      <c r="R51" s="37">
        <v>208250.43100000001</v>
      </c>
      <c r="S51" s="37">
        <v>227639.71900000001</v>
      </c>
      <c r="T51" s="23">
        <v>250081.53400000001</v>
      </c>
      <c r="U51" s="23">
        <v>347395.17300000001</v>
      </c>
      <c r="V51" s="23">
        <v>465184.29100000003</v>
      </c>
      <c r="W51" s="23">
        <v>559818.91500000004</v>
      </c>
      <c r="X51" s="2">
        <v>490696.11099999998</v>
      </c>
      <c r="Y51" s="2">
        <v>423455.83100000001</v>
      </c>
      <c r="Z51" s="2">
        <v>384183.77100000001</v>
      </c>
      <c r="AA51" s="2">
        <v>347426.67099999997</v>
      </c>
    </row>
    <row r="52" spans="1:29">
      <c r="A52" s="23" t="s">
        <v>112</v>
      </c>
      <c r="B52" s="37"/>
      <c r="C52" s="37"/>
      <c r="D52" s="37"/>
      <c r="E52" s="37"/>
      <c r="F52" s="77">
        <v>264.49700000000001</v>
      </c>
      <c r="G52" s="37"/>
      <c r="H52" s="37"/>
      <c r="I52" s="37">
        <v>427.13099999999997</v>
      </c>
      <c r="J52" s="37"/>
      <c r="K52" s="37">
        <v>4629.1546799999996</v>
      </c>
      <c r="L52" s="37">
        <v>5889.25</v>
      </c>
      <c r="M52" s="37">
        <v>6424.7479999999996</v>
      </c>
      <c r="N52" s="37">
        <v>11024.703</v>
      </c>
      <c r="O52" s="37">
        <v>6497.0159999999996</v>
      </c>
      <c r="P52" s="37">
        <v>7854.915</v>
      </c>
      <c r="Q52" s="37">
        <v>7611.1260000000002</v>
      </c>
      <c r="R52" s="37">
        <v>7319.1890000000003</v>
      </c>
      <c r="S52" s="37">
        <v>7854.21</v>
      </c>
      <c r="T52" s="23">
        <v>8069.42</v>
      </c>
      <c r="U52" s="23">
        <v>16910.744999999999</v>
      </c>
      <c r="V52" s="23">
        <v>14960.049000000001</v>
      </c>
      <c r="W52" s="23">
        <v>15783.316999999999</v>
      </c>
      <c r="X52" s="2">
        <v>15395.504000000001</v>
      </c>
      <c r="Y52" s="2">
        <v>22655.613000000001</v>
      </c>
      <c r="Z52" s="2">
        <v>23487.544000000002</v>
      </c>
      <c r="AA52" s="2">
        <v>22560.617999999999</v>
      </c>
    </row>
    <row r="53" spans="1:29">
      <c r="A53" s="45" t="s">
        <v>116</v>
      </c>
      <c r="B53" s="63"/>
      <c r="C53" s="63"/>
      <c r="D53" s="63"/>
      <c r="E53" s="63"/>
      <c r="F53" s="82">
        <v>38246.048999999999</v>
      </c>
      <c r="G53" s="63"/>
      <c r="H53" s="63"/>
      <c r="I53" s="63">
        <v>36400.980000000003</v>
      </c>
      <c r="J53" s="63"/>
      <c r="K53" s="63">
        <v>30601.867999999999</v>
      </c>
      <c r="L53" s="63">
        <v>44172.294999999998</v>
      </c>
      <c r="M53" s="63">
        <v>51877.896000000001</v>
      </c>
      <c r="N53" s="63">
        <v>69224.596999999994</v>
      </c>
      <c r="O53" s="63">
        <v>84989.710999999996</v>
      </c>
      <c r="P53" s="63">
        <v>89815.607999999993</v>
      </c>
      <c r="Q53" s="63">
        <v>88509.991999999998</v>
      </c>
      <c r="R53" s="63">
        <v>88059.721000000005</v>
      </c>
      <c r="S53" s="63">
        <v>83010.652000000002</v>
      </c>
      <c r="T53" s="45">
        <v>96554.384999999995</v>
      </c>
      <c r="U53" s="45">
        <v>116117.69500000001</v>
      </c>
      <c r="V53" s="45">
        <v>185546.49600000001</v>
      </c>
      <c r="W53" s="45">
        <v>235581.36300000001</v>
      </c>
      <c r="X53" s="45">
        <v>235698.18700000001</v>
      </c>
      <c r="Y53" s="45">
        <v>67478.519</v>
      </c>
      <c r="Z53" s="45">
        <v>66793.232999999993</v>
      </c>
      <c r="AA53" s="45">
        <v>61959.199999999997</v>
      </c>
    </row>
    <row r="54" spans="1:29" s="23" customFormat="1">
      <c r="A54" s="79" t="s">
        <v>122</v>
      </c>
      <c r="B54" s="90">
        <f>SUM(B56:B64)</f>
        <v>0</v>
      </c>
      <c r="C54" s="90">
        <f t="shared" ref="C54:AA54" si="10">SUM(C56:C64)</f>
        <v>0</v>
      </c>
      <c r="D54" s="90">
        <f t="shared" si="10"/>
        <v>0</v>
      </c>
      <c r="E54" s="90">
        <f t="shared" si="10"/>
        <v>0</v>
      </c>
      <c r="F54" s="90">
        <f t="shared" si="10"/>
        <v>350080.946</v>
      </c>
      <c r="G54" s="90">
        <f t="shared" si="10"/>
        <v>0</v>
      </c>
      <c r="H54" s="90">
        <f t="shared" si="10"/>
        <v>0</v>
      </c>
      <c r="I54" s="90">
        <f t="shared" si="10"/>
        <v>469255.70899999997</v>
      </c>
      <c r="J54" s="90">
        <f t="shared" si="10"/>
        <v>0</v>
      </c>
      <c r="K54" s="90">
        <f t="shared" si="10"/>
        <v>492221.36109000002</v>
      </c>
      <c r="L54" s="90">
        <f t="shared" si="10"/>
        <v>492044.09600000002</v>
      </c>
      <c r="M54" s="90">
        <f t="shared" si="10"/>
        <v>556757.94499999995</v>
      </c>
      <c r="N54" s="90">
        <f t="shared" si="10"/>
        <v>703145.53599999996</v>
      </c>
      <c r="O54" s="90">
        <f t="shared" si="10"/>
        <v>768918.24699999997</v>
      </c>
      <c r="P54" s="90">
        <f t="shared" si="10"/>
        <v>855683.10200000007</v>
      </c>
      <c r="Q54" s="90">
        <f t="shared" si="10"/>
        <v>902364.23899999994</v>
      </c>
      <c r="R54" s="90">
        <f t="shared" si="10"/>
        <v>887614.41500000015</v>
      </c>
      <c r="S54" s="90">
        <f t="shared" si="10"/>
        <v>909475.25800000015</v>
      </c>
      <c r="T54" s="90">
        <f t="shared" si="10"/>
        <v>1004186.085</v>
      </c>
      <c r="U54" s="90">
        <f t="shared" si="10"/>
        <v>1178753.675</v>
      </c>
      <c r="V54" s="90">
        <f t="shared" si="10"/>
        <v>1681962.6950000001</v>
      </c>
      <c r="W54" s="90">
        <f t="shared" si="10"/>
        <v>1899424.0530000003</v>
      </c>
      <c r="X54" s="90">
        <f t="shared" si="10"/>
        <v>1983440.5249999999</v>
      </c>
      <c r="Y54" s="90">
        <f t="shared" si="10"/>
        <v>1988484.4190000002</v>
      </c>
      <c r="Z54" s="90">
        <f t="shared" si="10"/>
        <v>2000147.4900000002</v>
      </c>
      <c r="AA54" s="90">
        <f t="shared" si="10"/>
        <v>2000691.3639999998</v>
      </c>
    </row>
    <row r="55" spans="1:29">
      <c r="A55" s="79" t="s">
        <v>119</v>
      </c>
      <c r="B55" s="37"/>
      <c r="C55" s="37"/>
      <c r="D55" s="37"/>
      <c r="E55" s="37"/>
      <c r="F55" s="37"/>
      <c r="G55" s="37"/>
      <c r="H55" s="37"/>
      <c r="I55" s="37"/>
      <c r="J55" s="37"/>
      <c r="K55" s="37"/>
      <c r="L55" s="37"/>
      <c r="M55" s="37"/>
      <c r="N55" s="37"/>
      <c r="O55" s="37"/>
      <c r="P55" s="37"/>
      <c r="Q55" s="37"/>
      <c r="R55" s="37"/>
      <c r="S55" s="37"/>
      <c r="T55" s="23"/>
      <c r="U55" s="23"/>
      <c r="V55" s="23"/>
      <c r="W55" s="23"/>
      <c r="X55" s="2">
        <v>0</v>
      </c>
      <c r="Y55" s="2" t="e">
        <f>#REF!/1000</f>
        <v>#REF!</v>
      </c>
    </row>
    <row r="56" spans="1:29" s="23" customFormat="1">
      <c r="A56" s="23" t="s">
        <v>89</v>
      </c>
      <c r="B56" s="36"/>
      <c r="C56" s="36"/>
      <c r="D56" s="36"/>
      <c r="E56" s="36"/>
      <c r="F56" s="77">
        <v>10352.684999999999</v>
      </c>
      <c r="G56" s="36"/>
      <c r="H56" s="36"/>
      <c r="I56" s="37">
        <v>20086.994999999999</v>
      </c>
      <c r="J56" s="37"/>
      <c r="K56" s="37">
        <v>22395.585749999995</v>
      </c>
      <c r="L56" s="37">
        <v>22884.227999999999</v>
      </c>
      <c r="M56" s="37">
        <v>27945.898000000001</v>
      </c>
      <c r="N56" s="37">
        <v>30618.280999999999</v>
      </c>
      <c r="O56" s="37">
        <v>35176.105000000003</v>
      </c>
      <c r="P56" s="37">
        <v>38590.362999999998</v>
      </c>
      <c r="Q56" s="37">
        <v>41638.222000000002</v>
      </c>
      <c r="R56" s="37">
        <v>44179.421999999999</v>
      </c>
      <c r="S56" s="37">
        <v>45862.161</v>
      </c>
      <c r="T56" s="23">
        <v>56003.580999999998</v>
      </c>
      <c r="U56" s="23">
        <v>67398.293999999994</v>
      </c>
      <c r="V56" s="23">
        <v>93789.888000000006</v>
      </c>
      <c r="W56" s="23">
        <v>112810.609</v>
      </c>
      <c r="X56" s="2">
        <v>116112.789</v>
      </c>
      <c r="Y56" s="2">
        <v>114378.068</v>
      </c>
      <c r="Z56" s="2">
        <v>112925.88800000001</v>
      </c>
      <c r="AA56" s="2">
        <v>113033.417</v>
      </c>
      <c r="AB56" s="2"/>
      <c r="AC56" s="2"/>
    </row>
    <row r="57" spans="1:29" s="23" customFormat="1">
      <c r="A57" s="23" t="s">
        <v>96</v>
      </c>
      <c r="B57" s="36"/>
      <c r="C57" s="36"/>
      <c r="D57" s="36"/>
      <c r="E57" s="36"/>
      <c r="F57" s="77">
        <v>2890.732</v>
      </c>
      <c r="G57" s="36"/>
      <c r="H57" s="36"/>
      <c r="I57" s="37">
        <v>3576.1840000000002</v>
      </c>
      <c r="J57" s="37"/>
      <c r="K57" s="37">
        <v>4207.3310000000001</v>
      </c>
      <c r="L57" s="37">
        <v>6463.7290000000003</v>
      </c>
      <c r="M57" s="37">
        <v>7232.9949999999999</v>
      </c>
      <c r="N57" s="37">
        <v>8739.2350000000006</v>
      </c>
      <c r="O57" s="37">
        <v>10764.989</v>
      </c>
      <c r="P57" s="37">
        <v>12450.057000000001</v>
      </c>
      <c r="Q57" s="37">
        <v>13668.038</v>
      </c>
      <c r="R57" s="37">
        <v>14432.06</v>
      </c>
      <c r="S57" s="37">
        <v>15709.299000000001</v>
      </c>
      <c r="T57" s="23">
        <v>17573.492999999999</v>
      </c>
      <c r="U57" s="23">
        <v>20800.847000000002</v>
      </c>
      <c r="V57" s="23">
        <v>32325.916000000001</v>
      </c>
      <c r="W57" s="23">
        <v>40916.656999999999</v>
      </c>
      <c r="X57" s="2">
        <v>41952.811000000002</v>
      </c>
      <c r="Y57" s="2">
        <v>43535.764000000003</v>
      </c>
      <c r="Z57" s="2">
        <v>41706.186999999998</v>
      </c>
      <c r="AA57" s="2">
        <v>40448.370000000003</v>
      </c>
      <c r="AB57" s="2"/>
      <c r="AC57" s="2"/>
    </row>
    <row r="58" spans="1:29" s="17" customFormat="1">
      <c r="A58" s="23" t="s">
        <v>97</v>
      </c>
      <c r="B58" s="36"/>
      <c r="C58" s="36"/>
      <c r="D58" s="36"/>
      <c r="E58" s="37"/>
      <c r="F58" s="77">
        <v>38282.154000000002</v>
      </c>
      <c r="G58" s="36"/>
      <c r="H58" s="36"/>
      <c r="I58" s="37">
        <v>48136.161</v>
      </c>
      <c r="J58" s="37"/>
      <c r="K58" s="37">
        <v>44314.383000000002</v>
      </c>
      <c r="L58" s="37">
        <v>63029.008000000002</v>
      </c>
      <c r="M58" s="37">
        <v>67820.525999999998</v>
      </c>
      <c r="N58" s="37">
        <v>76300.654999999999</v>
      </c>
      <c r="O58" s="37">
        <v>85574.767999999996</v>
      </c>
      <c r="P58" s="37">
        <v>87726.025999999998</v>
      </c>
      <c r="Q58" s="37">
        <v>90101.862999999998</v>
      </c>
      <c r="R58" s="37">
        <v>87453.365000000005</v>
      </c>
      <c r="S58" s="37">
        <v>89182.104000000007</v>
      </c>
      <c r="T58" s="23">
        <v>102870.068</v>
      </c>
      <c r="U58" s="23">
        <v>120771.931</v>
      </c>
      <c r="V58" s="23">
        <v>177500.69899999999</v>
      </c>
      <c r="W58" s="23">
        <v>207389.698</v>
      </c>
      <c r="X58" s="23">
        <v>223952.13</v>
      </c>
      <c r="Y58" s="2">
        <v>215401.12400000001</v>
      </c>
      <c r="Z58" s="2">
        <v>221853.00099999999</v>
      </c>
      <c r="AA58" s="2">
        <v>218682.288</v>
      </c>
    </row>
    <row r="59" spans="1:29">
      <c r="A59" s="23" t="s">
        <v>103</v>
      </c>
      <c r="B59" s="37"/>
      <c r="C59" s="37"/>
      <c r="D59" s="37"/>
      <c r="E59" s="37"/>
      <c r="F59" s="77">
        <v>3334.6550000000002</v>
      </c>
      <c r="G59" s="37"/>
      <c r="H59" s="37"/>
      <c r="I59" s="37">
        <v>4371.2870000000003</v>
      </c>
      <c r="J59" s="37"/>
      <c r="K59" s="37">
        <v>5598.6363399999973</v>
      </c>
      <c r="L59" s="37">
        <v>3988.5140000000001</v>
      </c>
      <c r="M59" s="37">
        <v>4132.0919999999996</v>
      </c>
      <c r="N59" s="37">
        <v>5173.826</v>
      </c>
      <c r="O59" s="37">
        <v>6381.32</v>
      </c>
      <c r="P59" s="37">
        <v>6813.58</v>
      </c>
      <c r="Q59" s="37">
        <v>7213.2579999999998</v>
      </c>
      <c r="R59" s="37">
        <v>5847.85</v>
      </c>
      <c r="S59" s="37">
        <v>7323.0309999999999</v>
      </c>
      <c r="T59" s="23">
        <v>7661.5640000000003</v>
      </c>
      <c r="U59" s="23">
        <v>9855.3410000000003</v>
      </c>
      <c r="V59" s="23">
        <v>18934.175999999999</v>
      </c>
      <c r="W59" s="23">
        <v>23462.859</v>
      </c>
      <c r="X59" s="2">
        <v>21773.437999999998</v>
      </c>
      <c r="Y59" s="2">
        <v>20753.016</v>
      </c>
      <c r="Z59" s="2">
        <v>20753.030999999999</v>
      </c>
      <c r="AA59" s="2">
        <v>22561.075000000001</v>
      </c>
    </row>
    <row r="60" spans="1:29">
      <c r="A60" s="23" t="s">
        <v>104</v>
      </c>
      <c r="B60" s="37"/>
      <c r="C60" s="37"/>
      <c r="D60" s="37"/>
      <c r="E60" s="37"/>
      <c r="F60" s="77">
        <v>48836.508999999998</v>
      </c>
      <c r="G60" s="37"/>
      <c r="H60" s="37"/>
      <c r="I60" s="37">
        <v>62369.902000000002</v>
      </c>
      <c r="J60" s="37"/>
      <c r="K60" s="37">
        <v>72368.998999999996</v>
      </c>
      <c r="L60" s="37">
        <v>79147.426999999996</v>
      </c>
      <c r="M60" s="37">
        <v>87293.539000000004</v>
      </c>
      <c r="N60" s="37">
        <v>132703.92300000001</v>
      </c>
      <c r="O60" s="37">
        <v>134186.51500000001</v>
      </c>
      <c r="P60" s="37">
        <v>152317.91</v>
      </c>
      <c r="Q60" s="37">
        <v>157771.12599999999</v>
      </c>
      <c r="R60" s="37">
        <v>159968.15299999999</v>
      </c>
      <c r="S60" s="37">
        <v>175450.9</v>
      </c>
      <c r="T60" s="23">
        <v>196408.75</v>
      </c>
      <c r="U60" s="23">
        <v>234372.204</v>
      </c>
      <c r="V60" s="23">
        <v>348121.033</v>
      </c>
      <c r="W60" s="23">
        <v>369434.81300000002</v>
      </c>
      <c r="X60" s="2">
        <v>381218.924</v>
      </c>
      <c r="Y60" s="2">
        <v>353712.96500000003</v>
      </c>
      <c r="Z60" s="2">
        <v>358294.48700000002</v>
      </c>
      <c r="AA60" s="2">
        <v>345613.33500000002</v>
      </c>
    </row>
    <row r="61" spans="1:29">
      <c r="A61" s="23" t="s">
        <v>106</v>
      </c>
      <c r="B61" s="37"/>
      <c r="C61" s="37"/>
      <c r="D61" s="37"/>
      <c r="E61" s="37"/>
      <c r="F61" s="77">
        <v>191751.94399999999</v>
      </c>
      <c r="G61" s="37"/>
      <c r="H61" s="37"/>
      <c r="I61" s="37">
        <v>266958.44199999998</v>
      </c>
      <c r="J61" s="37"/>
      <c r="K61" s="37">
        <v>277960.53000000003</v>
      </c>
      <c r="L61" s="37">
        <v>247100.997</v>
      </c>
      <c r="M61" s="37">
        <v>284518.84600000002</v>
      </c>
      <c r="N61" s="37">
        <v>351107.61700000003</v>
      </c>
      <c r="O61" s="37">
        <v>384139.67099999997</v>
      </c>
      <c r="P61" s="37">
        <v>431195.17800000001</v>
      </c>
      <c r="Q61" s="37">
        <v>452219.46799999999</v>
      </c>
      <c r="R61" s="37">
        <v>439950.386</v>
      </c>
      <c r="S61" s="37">
        <v>434522.66700000002</v>
      </c>
      <c r="T61" s="23">
        <v>467157.24699999997</v>
      </c>
      <c r="U61" s="23">
        <v>543429.64300000004</v>
      </c>
      <c r="V61" s="23">
        <v>738163.28599999996</v>
      </c>
      <c r="W61" s="23">
        <v>829066.49300000002</v>
      </c>
      <c r="X61" s="2">
        <v>877610.73</v>
      </c>
      <c r="Y61" s="2">
        <v>912728.89399999997</v>
      </c>
      <c r="Z61" s="2">
        <v>922198.85499999998</v>
      </c>
      <c r="AA61" s="2">
        <v>941071.57200000004</v>
      </c>
    </row>
    <row r="62" spans="1:29">
      <c r="A62" s="23" t="s">
        <v>110</v>
      </c>
      <c r="B62" s="37"/>
      <c r="C62" s="37"/>
      <c r="D62" s="37"/>
      <c r="E62" s="37"/>
      <c r="F62" s="77">
        <v>43840.81</v>
      </c>
      <c r="G62" s="37"/>
      <c r="H62" s="37"/>
      <c r="I62" s="37">
        <v>53620.792000000001</v>
      </c>
      <c r="J62" s="37"/>
      <c r="K62" s="37">
        <v>55571.451999999997</v>
      </c>
      <c r="L62" s="37">
        <v>60404.692999999999</v>
      </c>
      <c r="M62" s="37">
        <v>67475.053</v>
      </c>
      <c r="N62" s="37">
        <v>85784.173999999999</v>
      </c>
      <c r="O62" s="37">
        <v>98524.150999999998</v>
      </c>
      <c r="P62" s="37">
        <v>110531.336</v>
      </c>
      <c r="Q62" s="37">
        <v>123353.961</v>
      </c>
      <c r="R62" s="37">
        <v>122039.042</v>
      </c>
      <c r="S62" s="37">
        <v>127541.891</v>
      </c>
      <c r="T62" s="23">
        <v>140058.364</v>
      </c>
      <c r="U62" s="23">
        <v>158608.302</v>
      </c>
      <c r="V62" s="23">
        <v>243465.75899999999</v>
      </c>
      <c r="W62" s="23">
        <v>278712.30099999998</v>
      </c>
      <c r="X62" s="2">
        <v>280382.87199999997</v>
      </c>
      <c r="Y62" s="2">
        <v>281894.36099999998</v>
      </c>
      <c r="Z62" s="2">
        <v>275772.78999999998</v>
      </c>
      <c r="AA62" s="2">
        <v>274230.80900000001</v>
      </c>
    </row>
    <row r="63" spans="1:29">
      <c r="A63" s="23" t="s">
        <v>111</v>
      </c>
      <c r="B63" s="37"/>
      <c r="C63" s="37"/>
      <c r="D63" s="37"/>
      <c r="E63" s="37"/>
      <c r="F63" s="77">
        <v>8152.2079999999996</v>
      </c>
      <c r="G63" s="37"/>
      <c r="H63" s="37"/>
      <c r="I63" s="37">
        <v>6944.5079999999998</v>
      </c>
      <c r="J63" s="37"/>
      <c r="K63" s="37">
        <v>6341.89</v>
      </c>
      <c r="L63" s="37">
        <v>5259.9660000000003</v>
      </c>
      <c r="M63" s="37">
        <v>6512.9769999999999</v>
      </c>
      <c r="N63" s="37">
        <v>8128.73</v>
      </c>
      <c r="O63" s="37">
        <v>8608.8960000000006</v>
      </c>
      <c r="P63" s="37">
        <v>10350.325999999999</v>
      </c>
      <c r="Q63" s="37">
        <v>11247.188</v>
      </c>
      <c r="R63" s="37">
        <v>8682.6630000000005</v>
      </c>
      <c r="S63" s="37">
        <v>9367.8439999999991</v>
      </c>
      <c r="T63" s="23">
        <v>11568.453</v>
      </c>
      <c r="U63" s="23">
        <v>14718.976000000001</v>
      </c>
      <c r="V63" s="23">
        <v>20686.281999999999</v>
      </c>
      <c r="W63" s="23">
        <v>26078.377</v>
      </c>
      <c r="X63" s="23">
        <v>29893.620999999999</v>
      </c>
      <c r="Y63" s="2">
        <v>30652.724999999999</v>
      </c>
      <c r="Z63" s="2">
        <v>31234.982</v>
      </c>
      <c r="AA63" s="2">
        <v>30658.342000000001</v>
      </c>
    </row>
    <row r="64" spans="1:29">
      <c r="A64" s="45" t="s">
        <v>114</v>
      </c>
      <c r="B64" s="63"/>
      <c r="C64" s="63"/>
      <c r="D64" s="63"/>
      <c r="E64" s="63"/>
      <c r="F64" s="82">
        <v>2639.2489999999998</v>
      </c>
      <c r="G64" s="63"/>
      <c r="H64" s="63"/>
      <c r="I64" s="63">
        <v>3191.4380000000001</v>
      </c>
      <c r="J64" s="63"/>
      <c r="K64" s="63">
        <v>3462.5540000000001</v>
      </c>
      <c r="L64" s="63">
        <v>3765.5340000000001</v>
      </c>
      <c r="M64" s="63">
        <v>3826.0189999999998</v>
      </c>
      <c r="N64" s="63">
        <v>4589.0950000000003</v>
      </c>
      <c r="O64" s="63">
        <v>5561.8320000000003</v>
      </c>
      <c r="P64" s="63">
        <v>5708.326</v>
      </c>
      <c r="Q64" s="63">
        <v>5151.1149999999998</v>
      </c>
      <c r="R64" s="63">
        <v>5061.4740000000002</v>
      </c>
      <c r="S64" s="63">
        <v>4515.3609999999999</v>
      </c>
      <c r="T64" s="45">
        <v>4884.5649999999996</v>
      </c>
      <c r="U64" s="45">
        <v>8798.1370000000006</v>
      </c>
      <c r="V64" s="45">
        <v>8975.6560000000009</v>
      </c>
      <c r="W64" s="45">
        <v>11552.245999999999</v>
      </c>
      <c r="X64" s="45">
        <v>10543.21</v>
      </c>
      <c r="Y64" s="45">
        <v>15427.502</v>
      </c>
      <c r="Z64" s="45">
        <v>15408.269</v>
      </c>
      <c r="AA64" s="45">
        <v>14392.156000000001</v>
      </c>
    </row>
    <row r="65" spans="1:29">
      <c r="A65" s="88" t="s">
        <v>90</v>
      </c>
      <c r="B65" s="84"/>
      <c r="C65" s="84"/>
      <c r="D65" s="84"/>
      <c r="E65" s="84"/>
      <c r="F65" s="85">
        <v>0</v>
      </c>
      <c r="G65" s="84"/>
      <c r="H65" s="84"/>
      <c r="I65" s="86">
        <v>0</v>
      </c>
      <c r="J65" s="86"/>
      <c r="K65" s="86">
        <v>0</v>
      </c>
      <c r="L65" s="86">
        <v>0</v>
      </c>
      <c r="M65" s="86">
        <v>0</v>
      </c>
      <c r="N65" s="86">
        <v>0</v>
      </c>
      <c r="O65" s="86">
        <v>0</v>
      </c>
      <c r="P65" s="86">
        <v>0</v>
      </c>
      <c r="Q65" s="86">
        <v>0</v>
      </c>
      <c r="R65" s="86">
        <v>0</v>
      </c>
      <c r="S65" s="86">
        <v>0</v>
      </c>
      <c r="T65" s="87">
        <v>0</v>
      </c>
      <c r="U65" s="87"/>
      <c r="V65" s="87">
        <v>0</v>
      </c>
      <c r="W65" s="87">
        <v>0</v>
      </c>
      <c r="X65" s="45"/>
      <c r="Y65" s="45"/>
      <c r="Z65" s="45"/>
      <c r="AA65" s="45"/>
      <c r="AB65" s="23"/>
      <c r="AC65" s="23"/>
    </row>
    <row r="67" spans="1:29">
      <c r="I67" s="34" t="s">
        <v>78</v>
      </c>
      <c r="J67" s="34" t="s">
        <v>75</v>
      </c>
      <c r="K67" s="34"/>
      <c r="L67" s="34" t="s">
        <v>69</v>
      </c>
      <c r="M67" s="34"/>
      <c r="N67" s="34"/>
      <c r="O67" s="34" t="s">
        <v>78</v>
      </c>
      <c r="P67" s="34" t="s">
        <v>78</v>
      </c>
      <c r="Q67" s="34" t="s">
        <v>78</v>
      </c>
      <c r="R67" s="34" t="s">
        <v>78</v>
      </c>
      <c r="S67" s="34"/>
      <c r="T67" s="34"/>
      <c r="U67" s="34"/>
      <c r="V67" s="34"/>
      <c r="W67" s="34"/>
    </row>
    <row r="68" spans="1:29">
      <c r="I68" s="14" t="s">
        <v>79</v>
      </c>
      <c r="J68" s="14" t="s">
        <v>72</v>
      </c>
      <c r="L68" s="14" t="s">
        <v>70</v>
      </c>
      <c r="O68" s="14" t="s">
        <v>79</v>
      </c>
      <c r="P68" s="14" t="s">
        <v>79</v>
      </c>
      <c r="Q68" s="14" t="s">
        <v>79</v>
      </c>
      <c r="R68" s="14" t="s">
        <v>79</v>
      </c>
    </row>
    <row r="69" spans="1:29">
      <c r="I69" s="14" t="s">
        <v>80</v>
      </c>
      <c r="J69" s="14" t="s">
        <v>73</v>
      </c>
      <c r="O69" s="14" t="s">
        <v>80</v>
      </c>
      <c r="P69" s="14" t="s">
        <v>80</v>
      </c>
      <c r="Q69" s="14" t="s">
        <v>80</v>
      </c>
      <c r="R69" s="14" t="s">
        <v>80</v>
      </c>
    </row>
    <row r="70" spans="1:29">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tabColor indexed="62"/>
  </sheetPr>
  <dimension ref="A1:BE102"/>
  <sheetViews>
    <sheetView showZeros="0" zoomScale="80" zoomScaleNormal="80" workbookViewId="0">
      <pane xSplit="1" ySplit="5" topLeftCell="Q6" activePane="bottomRight" state="frozen"/>
      <selection activeCell="B52" sqref="B52"/>
      <selection pane="topRight" activeCell="B52" sqref="B52"/>
      <selection pane="bottomLeft" activeCell="B52" sqref="B52"/>
      <selection pane="bottomRight" activeCell="AA22" sqref="AA22"/>
    </sheetView>
  </sheetViews>
  <sheetFormatPr defaultColWidth="9.7109375" defaultRowHeight="12.75"/>
  <cols>
    <col min="1" max="1" width="23.42578125" style="80" customWidth="1"/>
    <col min="2" max="21" width="12.42578125" style="14" customWidth="1"/>
    <col min="22" max="23" width="12.42578125" style="147" customWidth="1"/>
    <col min="24" max="57" width="10.7109375" style="2" customWidth="1"/>
    <col min="58" max="16384" width="9.7109375" style="2"/>
  </cols>
  <sheetData>
    <row r="1" spans="1:47">
      <c r="A1" s="8" t="s">
        <v>39</v>
      </c>
      <c r="B1"/>
      <c r="C1"/>
      <c r="D1"/>
      <c r="E1"/>
      <c r="F1"/>
      <c r="G1"/>
      <c r="H1"/>
      <c r="I1"/>
      <c r="J1"/>
      <c r="K1"/>
      <c r="L1"/>
      <c r="M1" s="46"/>
      <c r="N1" s="46"/>
      <c r="O1" s="46"/>
      <c r="P1" s="46"/>
      <c r="Q1" s="46"/>
      <c r="R1" s="46"/>
      <c r="S1" s="46"/>
      <c r="T1"/>
      <c r="U1"/>
      <c r="V1" s="138"/>
      <c r="W1" s="138"/>
    </row>
    <row r="2" spans="1:47">
      <c r="A2" s="11"/>
      <c r="B2"/>
      <c r="C2"/>
      <c r="D2"/>
      <c r="E2"/>
      <c r="F2"/>
      <c r="G2"/>
      <c r="H2"/>
      <c r="I2"/>
      <c r="J2"/>
      <c r="K2"/>
      <c r="L2"/>
      <c r="M2" s="46"/>
      <c r="N2" s="46"/>
      <c r="O2" s="46"/>
      <c r="P2" s="46"/>
      <c r="Q2" s="46"/>
      <c r="R2" s="46"/>
      <c r="S2" s="46"/>
      <c r="T2"/>
      <c r="U2"/>
      <c r="V2" s="138"/>
      <c r="W2" s="138"/>
    </row>
    <row r="3" spans="1:47">
      <c r="A3" s="1" t="s">
        <v>26</v>
      </c>
      <c r="B3"/>
      <c r="C3"/>
      <c r="D3"/>
      <c r="E3"/>
      <c r="F3"/>
      <c r="G3"/>
      <c r="H3"/>
      <c r="I3"/>
      <c r="J3"/>
      <c r="K3"/>
      <c r="L3"/>
      <c r="M3" s="46"/>
      <c r="N3" s="46"/>
      <c r="O3" s="46"/>
      <c r="P3" s="46"/>
      <c r="Q3" s="46"/>
      <c r="R3" s="46"/>
      <c r="S3" s="46"/>
      <c r="T3"/>
      <c r="U3"/>
      <c r="V3" s="138"/>
      <c r="W3" s="138"/>
    </row>
    <row r="4" spans="1:47" s="61"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60">
        <v>2005</v>
      </c>
      <c r="R4" s="60">
        <v>2006</v>
      </c>
      <c r="S4" s="74">
        <v>2007</v>
      </c>
      <c r="T4" s="74">
        <v>2008</v>
      </c>
      <c r="U4" s="74">
        <v>2009</v>
      </c>
      <c r="V4" s="139">
        <v>2010</v>
      </c>
      <c r="W4" s="139">
        <v>2011</v>
      </c>
      <c r="X4" s="174" t="s">
        <v>142</v>
      </c>
      <c r="Y4" s="174" t="s">
        <v>144</v>
      </c>
      <c r="Z4" s="174" t="s">
        <v>145</v>
      </c>
      <c r="AA4" s="174" t="s">
        <v>146</v>
      </c>
      <c r="AB4" s="59"/>
      <c r="AC4" s="59"/>
      <c r="AD4" s="59"/>
      <c r="AE4" s="59"/>
      <c r="AF4" s="59"/>
      <c r="AG4" s="59"/>
      <c r="AH4" s="59"/>
      <c r="AI4" s="59"/>
      <c r="AJ4" s="59"/>
      <c r="AK4" s="59"/>
      <c r="AL4" s="59"/>
      <c r="AM4" s="59"/>
      <c r="AN4" s="59"/>
      <c r="AO4" s="59"/>
      <c r="AP4" s="59"/>
      <c r="AQ4" s="59"/>
      <c r="AR4" s="59"/>
      <c r="AS4" s="59"/>
      <c r="AT4" s="59"/>
      <c r="AU4" s="59"/>
    </row>
    <row r="5" spans="1:47" s="19" customFormat="1">
      <c r="B5" s="15" t="s">
        <v>1</v>
      </c>
      <c r="C5" s="15" t="s">
        <v>1</v>
      </c>
      <c r="D5" s="15" t="s">
        <v>1</v>
      </c>
      <c r="E5" s="15" t="s">
        <v>1</v>
      </c>
      <c r="F5" s="15" t="s">
        <v>1</v>
      </c>
      <c r="G5" s="15" t="s">
        <v>1</v>
      </c>
      <c r="H5" s="15" t="s">
        <v>1</v>
      </c>
      <c r="I5" s="15" t="s">
        <v>1</v>
      </c>
      <c r="J5" s="15" t="s">
        <v>1</v>
      </c>
      <c r="K5" s="15" t="s">
        <v>1</v>
      </c>
      <c r="L5" s="15" t="s">
        <v>1</v>
      </c>
      <c r="M5" s="15" t="s">
        <v>1</v>
      </c>
      <c r="N5" s="15" t="s">
        <v>1</v>
      </c>
      <c r="O5" s="15" t="s">
        <v>1</v>
      </c>
      <c r="P5" s="15" t="s">
        <v>1</v>
      </c>
      <c r="Q5" s="15" t="s">
        <v>1</v>
      </c>
      <c r="R5" s="15" t="s">
        <v>1</v>
      </c>
      <c r="S5" s="15" t="s">
        <v>1</v>
      </c>
      <c r="T5" s="15" t="s">
        <v>1</v>
      </c>
      <c r="U5" s="15" t="s">
        <v>1</v>
      </c>
      <c r="V5" s="139" t="s">
        <v>1</v>
      </c>
      <c r="W5" s="139" t="s">
        <v>1</v>
      </c>
      <c r="X5" s="139" t="s">
        <v>1</v>
      </c>
      <c r="Y5" s="139" t="s">
        <v>1</v>
      </c>
      <c r="Z5" s="139" t="s">
        <v>1</v>
      </c>
      <c r="AA5" s="139" t="s">
        <v>1</v>
      </c>
    </row>
    <row r="6" spans="1:47" s="23" customFormat="1">
      <c r="A6" s="63" t="s">
        <v>118</v>
      </c>
      <c r="B6" s="13">
        <f>139510+320704</f>
        <v>460214</v>
      </c>
      <c r="C6" s="13">
        <f>137127+322654</f>
        <v>459781</v>
      </c>
      <c r="D6" s="13">
        <f>206028+390847</f>
        <v>596875</v>
      </c>
      <c r="E6" s="13">
        <f>873535.984+815009.936</f>
        <v>1688545.92</v>
      </c>
      <c r="F6" s="91">
        <f>+F7+F25+F40+F54+F65</f>
        <v>2469830.5260000001</v>
      </c>
      <c r="G6" s="13">
        <f>1033064.189+1151686.646+198775.876</f>
        <v>2383526.7110000001</v>
      </c>
      <c r="H6" s="13">
        <f>1071150.183+1477700.791</f>
        <v>2548850.9739999999</v>
      </c>
      <c r="I6" s="91">
        <f>+I7+I25+I40+I54+I65</f>
        <v>2473567.3259999999</v>
      </c>
      <c r="J6" s="14">
        <f>1266198.778+1639842.742</f>
        <v>2906041.52</v>
      </c>
      <c r="K6" s="91">
        <f t="shared" ref="K6:U6" si="0">+K7+K25+K40+K54+K65</f>
        <v>3121292.3624499999</v>
      </c>
      <c r="L6" s="91">
        <f t="shared" si="0"/>
        <v>3440453.8459999999</v>
      </c>
      <c r="M6" s="91">
        <f t="shared" si="0"/>
        <v>3919988.0130000003</v>
      </c>
      <c r="N6" s="91">
        <f t="shared" si="0"/>
        <v>9941163.188000001</v>
      </c>
      <c r="O6" s="91">
        <f t="shared" si="0"/>
        <v>10489420.162</v>
      </c>
      <c r="P6" s="91">
        <f t="shared" si="0"/>
        <v>12040545.375</v>
      </c>
      <c r="Q6" s="91">
        <f t="shared" si="0"/>
        <v>12290086.002999999</v>
      </c>
      <c r="R6" s="91">
        <f t="shared" si="0"/>
        <v>12824068.991</v>
      </c>
      <c r="S6" s="91">
        <f t="shared" si="0"/>
        <v>14286515.348999999</v>
      </c>
      <c r="T6" s="91">
        <f t="shared" si="0"/>
        <v>14655069.877000002</v>
      </c>
      <c r="U6" s="91">
        <f t="shared" si="0"/>
        <v>11234963.261999998</v>
      </c>
      <c r="V6" s="140">
        <f t="shared" ref="V6:W6" si="1">+V7+V25+V40+V54+V65</f>
        <v>2860185.6950000003</v>
      </c>
      <c r="W6" s="140">
        <f t="shared" si="1"/>
        <v>3354121.1599999997</v>
      </c>
      <c r="X6" s="140">
        <f t="shared" ref="X6:Y6" si="2">+X7+X25+X40+X54+X65</f>
        <v>3163493.3810000005</v>
      </c>
      <c r="Y6" s="140">
        <f t="shared" si="2"/>
        <v>2742308.2409999999</v>
      </c>
      <c r="Z6" s="140">
        <f t="shared" ref="Z6:AA6" si="3">+Z7+Z25+Z40+Z54+Z65</f>
        <v>3180302.7119999998</v>
      </c>
      <c r="AA6" s="140">
        <f t="shared" si="3"/>
        <v>2801078.7950000004</v>
      </c>
    </row>
    <row r="7" spans="1:47" s="23" customFormat="1">
      <c r="A7" s="22" t="s">
        <v>56</v>
      </c>
      <c r="B7" s="89">
        <f>SUM(B8:B24)</f>
        <v>155981</v>
      </c>
      <c r="C7" s="89">
        <f t="shared" ref="C7:U7" si="4">SUM(C8:C24)</f>
        <v>121173</v>
      </c>
      <c r="D7" s="89">
        <f t="shared" si="4"/>
        <v>190288</v>
      </c>
      <c r="E7" s="89">
        <f t="shared" si="4"/>
        <v>625365.74600000004</v>
      </c>
      <c r="F7" s="89">
        <f t="shared" si="4"/>
        <v>646159.40300000005</v>
      </c>
      <c r="G7" s="89">
        <f t="shared" si="4"/>
        <v>671347.55700000003</v>
      </c>
      <c r="H7" s="89">
        <f t="shared" si="4"/>
        <v>630170.55599999998</v>
      </c>
      <c r="I7" s="89">
        <f t="shared" si="4"/>
        <v>763446.95</v>
      </c>
      <c r="J7" s="89">
        <f t="shared" si="4"/>
        <v>996976.20100000012</v>
      </c>
      <c r="K7" s="89">
        <f t="shared" si="4"/>
        <v>1081000.1402699999</v>
      </c>
      <c r="L7" s="89">
        <f t="shared" si="4"/>
        <v>1053774.4479999999</v>
      </c>
      <c r="M7" s="89">
        <f t="shared" si="4"/>
        <v>993035.08600000001</v>
      </c>
      <c r="N7" s="89">
        <f t="shared" si="4"/>
        <v>3669364.0920000002</v>
      </c>
      <c r="O7" s="89">
        <f t="shared" si="4"/>
        <v>3448998.8880000003</v>
      </c>
      <c r="P7" s="89">
        <f t="shared" si="4"/>
        <v>3989679.4249999998</v>
      </c>
      <c r="Q7" s="89">
        <f t="shared" si="4"/>
        <v>4231126.2929999996</v>
      </c>
      <c r="R7" s="89">
        <f t="shared" si="4"/>
        <v>4053995.71</v>
      </c>
      <c r="S7" s="89">
        <f t="shared" si="4"/>
        <v>4528694.2209999999</v>
      </c>
      <c r="T7" s="89">
        <f t="shared" si="4"/>
        <v>4770529.3660000004</v>
      </c>
      <c r="U7" s="89">
        <f t="shared" si="4"/>
        <v>4126490.1279999996</v>
      </c>
      <c r="V7" s="141">
        <f t="shared" ref="V7:W7" si="5">SUM(V8:V24)</f>
        <v>1282832.807</v>
      </c>
      <c r="W7" s="141">
        <f t="shared" si="5"/>
        <v>1478250.9029999999</v>
      </c>
      <c r="X7" s="141">
        <f t="shared" ref="X7:Y7" si="6">SUM(X8:X24)</f>
        <v>1693401.7680000004</v>
      </c>
      <c r="Y7" s="141">
        <f t="shared" si="6"/>
        <v>1481073.273</v>
      </c>
      <c r="Z7" s="141">
        <f t="shared" ref="Z7:AA7" si="7">SUM(Z8:Z24)</f>
        <v>1442746.2020000003</v>
      </c>
      <c r="AA7" s="141">
        <f t="shared" si="7"/>
        <v>1509383.9830000002</v>
      </c>
    </row>
    <row r="8" spans="1:47">
      <c r="A8" s="79" t="s">
        <v>119</v>
      </c>
      <c r="T8" s="2"/>
      <c r="U8" s="2"/>
      <c r="V8" s="142"/>
      <c r="W8" s="142"/>
    </row>
    <row r="9" spans="1:47">
      <c r="A9" s="22" t="s">
        <v>3</v>
      </c>
      <c r="B9" s="148">
        <f>2618+6972</f>
        <v>9590</v>
      </c>
      <c r="C9" s="148">
        <f>3145+6550</f>
        <v>9695</v>
      </c>
      <c r="D9" s="148">
        <f>4493+7242</f>
        <v>11735</v>
      </c>
      <c r="E9" s="148">
        <f>26373.854+27078.472</f>
        <v>53452.326000000001</v>
      </c>
      <c r="F9" s="149">
        <v>59985.256999999998</v>
      </c>
      <c r="G9" s="148">
        <f>29031.542+31495.057</f>
        <v>60526.599000000002</v>
      </c>
      <c r="H9" s="148">
        <f>28330.162+37127.276</f>
        <v>65457.437999999995</v>
      </c>
      <c r="I9" s="148">
        <v>74937.37</v>
      </c>
      <c r="J9" s="148">
        <f>34650.388+62128.575</f>
        <v>96778.962999999989</v>
      </c>
      <c r="K9" s="148">
        <v>74889.264999999999</v>
      </c>
      <c r="L9" s="147">
        <v>104605.75999999999</v>
      </c>
      <c r="M9" s="147">
        <v>83015.157000000007</v>
      </c>
      <c r="N9" s="147">
        <v>239170.92600000001</v>
      </c>
      <c r="O9" s="147">
        <v>225273.36499999999</v>
      </c>
      <c r="P9" s="147">
        <v>253348.16699999999</v>
      </c>
      <c r="Q9" s="147">
        <v>303165.897</v>
      </c>
      <c r="R9" s="147">
        <v>314447.11099999998</v>
      </c>
      <c r="S9" s="147">
        <v>324777.22600000002</v>
      </c>
      <c r="T9" s="142">
        <v>299966.10800000001</v>
      </c>
      <c r="U9" s="142">
        <v>229134.851</v>
      </c>
      <c r="V9" s="142">
        <v>73749.327999999994</v>
      </c>
      <c r="W9" s="142">
        <v>47164.377</v>
      </c>
      <c r="X9" s="2">
        <v>34296.440999999999</v>
      </c>
      <c r="Y9" s="2">
        <v>41360.152999999998</v>
      </c>
      <c r="Z9" s="2">
        <v>32964.173999999999</v>
      </c>
      <c r="AA9" s="2">
        <v>27588.072</v>
      </c>
    </row>
    <row r="10" spans="1:47">
      <c r="A10" s="22" t="s">
        <v>4</v>
      </c>
      <c r="B10" s="148">
        <f>2416+3003</f>
        <v>5419</v>
      </c>
      <c r="C10" s="148">
        <f>2997+3139</f>
        <v>6136</v>
      </c>
      <c r="D10" s="148">
        <f>3130+3171</f>
        <v>6301</v>
      </c>
      <c r="E10" s="148">
        <f>13602.273+23441.01+0</f>
        <v>37043.282999999996</v>
      </c>
      <c r="F10" s="149">
        <v>27118.651999999998</v>
      </c>
      <c r="G10" s="148">
        <f>13413.237+18153.547</f>
        <v>31566.784</v>
      </c>
      <c r="H10" s="148">
        <f>10921.293+22272.673</f>
        <v>33193.966</v>
      </c>
      <c r="I10" s="147">
        <v>52852.290999999997</v>
      </c>
      <c r="J10" s="147">
        <f>12203.91+29780.226</f>
        <v>41984.135999999999</v>
      </c>
      <c r="K10" s="147">
        <v>43295.675999999999</v>
      </c>
      <c r="L10" s="147">
        <v>31106.238000000001</v>
      </c>
      <c r="M10" s="147">
        <v>51608.53</v>
      </c>
      <c r="N10" s="147">
        <v>160068.49600000001</v>
      </c>
      <c r="O10" s="147">
        <v>131600.416</v>
      </c>
      <c r="P10" s="147">
        <v>131058.12699999999</v>
      </c>
      <c r="Q10" s="147">
        <v>147771.68700000001</v>
      </c>
      <c r="R10" s="147">
        <v>175402.14499999999</v>
      </c>
      <c r="S10" s="147">
        <v>191038.954</v>
      </c>
      <c r="T10" s="142">
        <v>203614.39199999999</v>
      </c>
      <c r="U10" s="142">
        <v>168742.247</v>
      </c>
      <c r="V10" s="142">
        <v>37624.216</v>
      </c>
      <c r="W10" s="142">
        <v>40365.682000000001</v>
      </c>
      <c r="X10" s="2">
        <v>40505.623</v>
      </c>
      <c r="Y10" s="2">
        <v>45834.428</v>
      </c>
      <c r="Z10" s="2">
        <v>47612.66</v>
      </c>
      <c r="AA10" s="2">
        <v>55279.923000000003</v>
      </c>
    </row>
    <row r="11" spans="1:47">
      <c r="A11" s="22" t="s">
        <v>52</v>
      </c>
      <c r="B11" s="148"/>
      <c r="C11" s="148"/>
      <c r="D11" s="148">
        <f>2601+0</f>
        <v>2601</v>
      </c>
      <c r="E11" s="148">
        <v>23107.506000000001</v>
      </c>
      <c r="F11" s="149">
        <v>23412.978999999999</v>
      </c>
      <c r="G11" s="148"/>
      <c r="H11" s="148"/>
      <c r="I11" s="147">
        <v>19629.350999999999</v>
      </c>
      <c r="J11" s="147">
        <f>2157.529+12937.172</f>
        <v>15094.701000000001</v>
      </c>
      <c r="K11" s="147">
        <v>11732.259</v>
      </c>
      <c r="L11" s="147">
        <v>15782.645</v>
      </c>
      <c r="M11" s="147">
        <v>0</v>
      </c>
      <c r="N11" s="147">
        <v>6300.8789999999999</v>
      </c>
      <c r="O11" s="147">
        <v>7585.2280000000001</v>
      </c>
      <c r="P11" s="147">
        <v>8432.6170000000002</v>
      </c>
      <c r="Q11" s="147">
        <v>10091.314</v>
      </c>
      <c r="R11" s="147">
        <v>7743.7730000000001</v>
      </c>
      <c r="S11" s="147">
        <v>6094.6360000000004</v>
      </c>
      <c r="T11" s="142">
        <v>9405.9419999999991</v>
      </c>
      <c r="U11" s="142">
        <v>12699.620999999999</v>
      </c>
      <c r="V11" s="142">
        <v>1203.116</v>
      </c>
      <c r="W11" s="142">
        <v>6906.3329999999996</v>
      </c>
      <c r="X11" s="2">
        <v>64824.699000000001</v>
      </c>
      <c r="Y11" s="2">
        <v>0</v>
      </c>
      <c r="Z11" s="2">
        <v>3379.625</v>
      </c>
      <c r="AA11" s="2">
        <v>4306.2370000000001</v>
      </c>
    </row>
    <row r="12" spans="1:47">
      <c r="A12" s="22" t="s">
        <v>5</v>
      </c>
      <c r="B12" s="148">
        <f>383+1119</f>
        <v>1502</v>
      </c>
      <c r="C12" s="148">
        <f>0+929</f>
        <v>929</v>
      </c>
      <c r="D12" s="148">
        <f>194+1441</f>
        <v>1635</v>
      </c>
      <c r="E12" s="148">
        <f>1976.954+20396.517+0</f>
        <v>22373.471000000001</v>
      </c>
      <c r="F12" s="149">
        <v>8542.1620000000003</v>
      </c>
      <c r="G12" s="148">
        <f>1129.336+5724.632</f>
        <v>6853.9679999999998</v>
      </c>
      <c r="H12" s="148">
        <f>479.047+3318.708</f>
        <v>3797.7550000000001</v>
      </c>
      <c r="I12" s="147">
        <v>16049.128000000001</v>
      </c>
      <c r="J12" s="147">
        <f>1608.655+16368.577</f>
        <v>17977.232</v>
      </c>
      <c r="K12" s="147">
        <v>11424.467000000001</v>
      </c>
      <c r="L12" s="147">
        <v>-1906.933</v>
      </c>
      <c r="M12" s="147">
        <v>23273.379000000001</v>
      </c>
      <c r="N12" s="147">
        <v>518723.326</v>
      </c>
      <c r="O12" s="147">
        <v>547206.51199999999</v>
      </c>
      <c r="P12" s="147">
        <v>496717.33399999997</v>
      </c>
      <c r="Q12" s="147">
        <v>491263.49800000002</v>
      </c>
      <c r="R12" s="147">
        <v>501446.99400000001</v>
      </c>
      <c r="S12" s="147">
        <v>516074.092</v>
      </c>
      <c r="T12" s="142">
        <v>543494.79</v>
      </c>
      <c r="U12" s="142">
        <v>444252.96500000003</v>
      </c>
      <c r="V12" s="142">
        <v>120428.125</v>
      </c>
      <c r="W12" s="142">
        <v>134169.65</v>
      </c>
      <c r="X12" s="2">
        <v>319317.83799999999</v>
      </c>
      <c r="Y12" s="2">
        <v>269136.87199999997</v>
      </c>
      <c r="Z12" s="2">
        <v>188761.86300000001</v>
      </c>
      <c r="AA12" s="2">
        <v>170537.08900000001</v>
      </c>
    </row>
    <row r="13" spans="1:47">
      <c r="A13" s="22" t="s">
        <v>6</v>
      </c>
      <c r="B13" s="148">
        <v>28</v>
      </c>
      <c r="C13" s="148">
        <v>0</v>
      </c>
      <c r="D13" s="148">
        <f>0+8</f>
        <v>8</v>
      </c>
      <c r="E13" s="148">
        <f>326.509+529.623+0</f>
        <v>856.13200000000006</v>
      </c>
      <c r="F13" s="149">
        <v>0</v>
      </c>
      <c r="G13" s="148">
        <f>114.245+381.767</f>
        <v>496.012</v>
      </c>
      <c r="H13" s="148">
        <f>1.871+488.499</f>
        <v>490.37</v>
      </c>
      <c r="I13" s="147">
        <v>-521.31200000000001</v>
      </c>
      <c r="J13" s="147">
        <f>81.357+424.44</f>
        <v>505.79700000000003</v>
      </c>
      <c r="K13" s="147">
        <v>1453.6089999999999</v>
      </c>
      <c r="L13" s="147">
        <v>-3268.7719999999999</v>
      </c>
      <c r="M13" s="147">
        <v>550.63800000000003</v>
      </c>
      <c r="N13" s="147">
        <v>83873.345000000001</v>
      </c>
      <c r="O13" s="147">
        <v>42323.964999999997</v>
      </c>
      <c r="P13" s="147">
        <v>87085.839000000007</v>
      </c>
      <c r="Q13" s="147">
        <v>85998.217999999993</v>
      </c>
      <c r="R13" s="147">
        <v>107209.284</v>
      </c>
      <c r="S13" s="147">
        <v>125418.923</v>
      </c>
      <c r="T13" s="142">
        <v>84578.258000000002</v>
      </c>
      <c r="U13" s="142">
        <v>135961.27799999999</v>
      </c>
      <c r="V13" s="142">
        <v>30971.863000000001</v>
      </c>
      <c r="W13" s="142">
        <v>30485.423999999999</v>
      </c>
      <c r="X13" s="2">
        <v>28541.196</v>
      </c>
      <c r="Y13" s="2">
        <v>14374.092000000001</v>
      </c>
      <c r="Z13" s="2">
        <v>29192.637999999999</v>
      </c>
      <c r="AA13" s="2">
        <v>25749.984</v>
      </c>
    </row>
    <row r="14" spans="1:47">
      <c r="A14" s="22" t="s">
        <v>7</v>
      </c>
      <c r="B14" s="148">
        <f>17275+10814</f>
        <v>28089</v>
      </c>
      <c r="C14" s="148">
        <f>21555+11120</f>
        <v>32675</v>
      </c>
      <c r="D14" s="148">
        <f>23411+11755</f>
        <v>35166</v>
      </c>
      <c r="E14" s="148">
        <f>47727.043+15632.715+0</f>
        <v>63359.758000000002</v>
      </c>
      <c r="F14" s="149">
        <v>65733.835000000006</v>
      </c>
      <c r="G14" s="148">
        <f>64639.523+13919.07</f>
        <v>78558.592999999993</v>
      </c>
      <c r="H14" s="148">
        <f>64196.825+18536.2</f>
        <v>82733.024999999994</v>
      </c>
      <c r="I14" s="147">
        <v>80651.142999999996</v>
      </c>
      <c r="J14" s="147">
        <f>58061.303+15000.84</f>
        <v>73062.142999999996</v>
      </c>
      <c r="K14" s="147">
        <v>94575.377999999997</v>
      </c>
      <c r="L14" s="147">
        <v>91058.21</v>
      </c>
      <c r="M14" s="147">
        <v>83444.370999999999</v>
      </c>
      <c r="N14" s="147">
        <v>144793.55300000001</v>
      </c>
      <c r="O14" s="147">
        <v>150028.78400000001</v>
      </c>
      <c r="P14" s="147">
        <v>163121.76500000001</v>
      </c>
      <c r="Q14" s="147">
        <v>175115.99900000001</v>
      </c>
      <c r="R14" s="147">
        <v>172523.38800000001</v>
      </c>
      <c r="S14" s="147">
        <v>191596.679</v>
      </c>
      <c r="T14" s="142">
        <v>197651.524</v>
      </c>
      <c r="U14" s="142">
        <v>234510.02</v>
      </c>
      <c r="V14" s="142">
        <v>15515.602000000001</v>
      </c>
      <c r="W14" s="142">
        <v>13169.796</v>
      </c>
      <c r="X14" s="2">
        <v>20010.253000000001</v>
      </c>
      <c r="Y14" s="2">
        <v>20531.905999999999</v>
      </c>
      <c r="Z14" s="2">
        <v>16710.169999999998</v>
      </c>
      <c r="AA14" s="2">
        <v>15194.678</v>
      </c>
    </row>
    <row r="15" spans="1:47">
      <c r="A15" s="22" t="s">
        <v>8</v>
      </c>
      <c r="B15" s="150">
        <f>1789+2582</f>
        <v>4371</v>
      </c>
      <c r="C15" s="150">
        <f>1655+1018</f>
        <v>2673</v>
      </c>
      <c r="D15" s="150">
        <f>3676+863</f>
        <v>4539</v>
      </c>
      <c r="E15" s="150">
        <f>2458.931+10651.723+0</f>
        <v>13110.654</v>
      </c>
      <c r="F15" s="151">
        <v>4612.7610000000004</v>
      </c>
      <c r="G15" s="150">
        <f>2099.201+14874.151</f>
        <v>16973.351999999999</v>
      </c>
      <c r="H15" s="150">
        <f>3019.534+11187.7</f>
        <v>14207.234</v>
      </c>
      <c r="I15" s="152">
        <v>47968.286</v>
      </c>
      <c r="J15" s="152">
        <f>5476.2+12701.492</f>
        <v>18177.691999999999</v>
      </c>
      <c r="K15" s="152">
        <v>22117.074000000001</v>
      </c>
      <c r="L15" s="152">
        <v>19235.145</v>
      </c>
      <c r="M15" s="152">
        <v>21108.478999999999</v>
      </c>
      <c r="N15" s="152">
        <v>68666.335000000006</v>
      </c>
      <c r="O15" s="152">
        <v>95158.706999999995</v>
      </c>
      <c r="P15" s="152">
        <v>121900.78200000001</v>
      </c>
      <c r="Q15" s="152">
        <v>105427.76300000001</v>
      </c>
      <c r="R15" s="152">
        <v>108662.65</v>
      </c>
      <c r="S15" s="152">
        <v>127806.64200000001</v>
      </c>
      <c r="T15" s="143">
        <v>148647.65900000001</v>
      </c>
      <c r="U15" s="143">
        <v>102510.08100000001</v>
      </c>
      <c r="V15" s="143">
        <v>40287.796000000002</v>
      </c>
      <c r="W15" s="143">
        <v>50921.256000000001</v>
      </c>
      <c r="X15" s="2">
        <v>50693.142</v>
      </c>
      <c r="Y15" s="2">
        <v>85231.438999999998</v>
      </c>
      <c r="Z15" s="2">
        <v>76531.243000000002</v>
      </c>
      <c r="AA15" s="2">
        <v>33662.578000000001</v>
      </c>
    </row>
    <row r="16" spans="1:47">
      <c r="A16" s="22" t="s">
        <v>9</v>
      </c>
      <c r="B16" s="150">
        <v>2714</v>
      </c>
      <c r="C16" s="150">
        <f>0+2456</f>
        <v>2456</v>
      </c>
      <c r="D16" s="150">
        <v>4474</v>
      </c>
      <c r="E16" s="150">
        <f>8991.102+115367.608+0</f>
        <v>124358.70999999999</v>
      </c>
      <c r="F16" s="151">
        <v>64875.127</v>
      </c>
      <c r="G16" s="150">
        <f>23741.496+25348.964+1181.129</f>
        <v>50271.589</v>
      </c>
      <c r="H16" s="150">
        <f>25625.297+32787.496</f>
        <v>58412.792999999998</v>
      </c>
      <c r="I16" s="152">
        <v>53558.995999999999</v>
      </c>
      <c r="J16" s="152">
        <f>25818.844+32977.355</f>
        <v>58796.199000000008</v>
      </c>
      <c r="K16" s="152">
        <v>61572.336859999996</v>
      </c>
      <c r="L16" s="152">
        <v>76481.482999999993</v>
      </c>
      <c r="M16" s="152">
        <v>57868.023000000001</v>
      </c>
      <c r="N16" s="152">
        <v>86907.554999999993</v>
      </c>
      <c r="O16" s="152">
        <v>58168.512000000002</v>
      </c>
      <c r="P16" s="152">
        <v>62588.654999999999</v>
      </c>
      <c r="Q16" s="152">
        <v>81252.293999999994</v>
      </c>
      <c r="R16" s="152">
        <v>59471.716</v>
      </c>
      <c r="S16" s="152">
        <v>71765.159</v>
      </c>
      <c r="T16" s="143">
        <v>83587.819000000003</v>
      </c>
      <c r="U16" s="143">
        <v>47667.364000000001</v>
      </c>
      <c r="V16" s="143">
        <v>23543.127</v>
      </c>
      <c r="W16" s="143">
        <v>45584.421000000002</v>
      </c>
      <c r="X16" s="2">
        <v>51454.718999999997</v>
      </c>
      <c r="Y16" s="2">
        <v>26376.871999999999</v>
      </c>
      <c r="Z16" s="2">
        <v>70360.039000000004</v>
      </c>
      <c r="AA16" s="2">
        <v>33306.398999999998</v>
      </c>
    </row>
    <row r="17" spans="1:27">
      <c r="A17" s="22" t="s">
        <v>10</v>
      </c>
      <c r="B17" s="150">
        <f>10+1956+968</f>
        <v>2934</v>
      </c>
      <c r="C17" s="150">
        <f>479+2629</f>
        <v>3108</v>
      </c>
      <c r="D17" s="150">
        <f>502+2589</f>
        <v>3091</v>
      </c>
      <c r="E17" s="150">
        <f>5345.816+7149.766</f>
        <v>12495.581999999999</v>
      </c>
      <c r="F17" s="151">
        <v>11428.174000000001</v>
      </c>
      <c r="G17" s="150">
        <f>7265.143+10788.515+1375.083</f>
        <v>19428.740999999998</v>
      </c>
      <c r="H17" s="150">
        <f>9024.19+6521.925</f>
        <v>15546.115000000002</v>
      </c>
      <c r="I17" s="152">
        <v>36171.748</v>
      </c>
      <c r="J17" s="152">
        <f>10843.949+21840.909</f>
        <v>32684.858</v>
      </c>
      <c r="K17" s="152">
        <v>25410.331999999999</v>
      </c>
      <c r="L17" s="152">
        <v>40729.012999999999</v>
      </c>
      <c r="M17" s="152">
        <v>44873.514999999999</v>
      </c>
      <c r="N17" s="152">
        <v>124120.558</v>
      </c>
      <c r="O17" s="152">
        <v>151415.48499999999</v>
      </c>
      <c r="P17" s="152">
        <v>152071.038</v>
      </c>
      <c r="Q17" s="152">
        <v>178457.234</v>
      </c>
      <c r="R17" s="152">
        <v>142057.53200000001</v>
      </c>
      <c r="S17" s="152">
        <v>149998.46599999999</v>
      </c>
      <c r="T17" s="143">
        <v>136198.326</v>
      </c>
      <c r="U17" s="143">
        <v>96172.873999999996</v>
      </c>
      <c r="V17" s="143">
        <v>36462.446000000004</v>
      </c>
      <c r="W17" s="143">
        <v>46535.156000000003</v>
      </c>
      <c r="X17" s="2">
        <v>62448.815999999999</v>
      </c>
      <c r="Y17" s="2">
        <v>18097.921999999999</v>
      </c>
      <c r="Z17" s="2">
        <v>16144.821</v>
      </c>
      <c r="AA17" s="2">
        <v>17691.047999999999</v>
      </c>
    </row>
    <row r="18" spans="1:27">
      <c r="A18" s="22" t="s">
        <v>11</v>
      </c>
      <c r="B18" s="150">
        <f>734+20480+323+1859</f>
        <v>23396</v>
      </c>
      <c r="C18" s="150">
        <f>951+494</f>
        <v>1445</v>
      </c>
      <c r="D18" s="150">
        <v>1695</v>
      </c>
      <c r="E18" s="150">
        <f>4802.398+0</f>
        <v>4802.3980000000001</v>
      </c>
      <c r="F18" s="151">
        <v>23137.257000000001</v>
      </c>
      <c r="G18" s="150">
        <f>6915.632+10041.652+12395.03</f>
        <v>29352.313999999998</v>
      </c>
      <c r="H18" s="150">
        <f>8729.648+8522.857</f>
        <v>17252.504999999997</v>
      </c>
      <c r="I18" s="152">
        <v>12320.513999999999</v>
      </c>
      <c r="J18" s="152">
        <f>5181.517+16679.313</f>
        <v>21860.829999999998</v>
      </c>
      <c r="K18" s="152">
        <v>29607.871999999999</v>
      </c>
      <c r="L18" s="152">
        <v>24452.421999999999</v>
      </c>
      <c r="M18" s="152">
        <v>-7735.6610000000001</v>
      </c>
      <c r="N18" s="152">
        <v>200899.82699999999</v>
      </c>
      <c r="O18" s="152">
        <v>207088.46400000001</v>
      </c>
      <c r="P18" s="152">
        <v>234691.234</v>
      </c>
      <c r="Q18" s="152">
        <v>251905.01199999999</v>
      </c>
      <c r="R18" s="152">
        <v>297994.592</v>
      </c>
      <c r="S18" s="152">
        <v>343161.88500000001</v>
      </c>
      <c r="T18" s="143">
        <v>356240.39500000002</v>
      </c>
      <c r="U18" s="143">
        <v>403163.53399999999</v>
      </c>
      <c r="V18" s="143">
        <v>41058.944000000003</v>
      </c>
      <c r="W18" s="143">
        <v>45905.446000000004</v>
      </c>
      <c r="X18" s="2">
        <v>43854.811000000002</v>
      </c>
      <c r="Y18" s="2">
        <v>21712.556</v>
      </c>
      <c r="Z18" s="2">
        <v>40903.622000000003</v>
      </c>
      <c r="AA18" s="2">
        <v>47043.133999999998</v>
      </c>
    </row>
    <row r="19" spans="1:27">
      <c r="A19" s="22" t="s">
        <v>12</v>
      </c>
      <c r="B19" s="150">
        <v>225</v>
      </c>
      <c r="C19" s="150">
        <f>0+234</f>
        <v>234</v>
      </c>
      <c r="D19" s="152">
        <v>254</v>
      </c>
      <c r="E19" s="150">
        <f>5030.557+5011.255</f>
        <v>10041.812</v>
      </c>
      <c r="F19" s="151">
        <v>12284.870999999999</v>
      </c>
      <c r="G19" s="150">
        <f>6757.301+639.19+56306.441</f>
        <v>63702.932000000001</v>
      </c>
      <c r="H19" s="150">
        <f>6713.507+-7419.903</f>
        <v>-706.39600000000064</v>
      </c>
      <c r="I19" s="152">
        <v>4735.6530000000002</v>
      </c>
      <c r="J19" s="152">
        <f>3615.003+1254.056</f>
        <v>4869.0590000000002</v>
      </c>
      <c r="K19" s="152">
        <v>-2798.1750000000002</v>
      </c>
      <c r="L19" s="152">
        <v>8817.1080000000002</v>
      </c>
      <c r="M19" s="152">
        <v>5753.335</v>
      </c>
      <c r="N19" s="152">
        <v>104123.80100000001</v>
      </c>
      <c r="O19" s="152">
        <v>134400.856</v>
      </c>
      <c r="P19" s="152">
        <v>136199.36600000001</v>
      </c>
      <c r="Q19" s="152">
        <v>134195.68700000001</v>
      </c>
      <c r="R19" s="152">
        <v>153268.95199999999</v>
      </c>
      <c r="S19" s="152">
        <v>169268.61</v>
      </c>
      <c r="T19" s="143">
        <v>148740.902</v>
      </c>
      <c r="U19" s="143">
        <v>114824.95699999999</v>
      </c>
      <c r="V19" s="143">
        <v>14453.154</v>
      </c>
      <c r="W19" s="143">
        <v>8867.5679999999993</v>
      </c>
      <c r="X19" s="2">
        <v>6140.92</v>
      </c>
      <c r="Y19" s="2">
        <v>6354.5569999999998</v>
      </c>
      <c r="Z19" s="2">
        <v>8308.8799999999992</v>
      </c>
      <c r="AA19" s="2">
        <v>20139.548999999999</v>
      </c>
    </row>
    <row r="20" spans="1:27">
      <c r="A20" s="22" t="s">
        <v>13</v>
      </c>
      <c r="B20" s="150">
        <f>345+2288</f>
        <v>2633</v>
      </c>
      <c r="C20" s="150">
        <f>219+6957</f>
        <v>7176</v>
      </c>
      <c r="D20" s="150">
        <f>212+4600</f>
        <v>4812</v>
      </c>
      <c r="E20" s="150">
        <f>7266.975+(-631.75)</f>
        <v>6635.2250000000004</v>
      </c>
      <c r="F20" s="151">
        <v>8670.973</v>
      </c>
      <c r="G20" s="150">
        <f>9685.121+2848.413</f>
        <v>12533.534</v>
      </c>
      <c r="H20" s="150">
        <f>6867.347+8168.518</f>
        <v>15035.865</v>
      </c>
      <c r="I20" s="152">
        <v>25650.865000000002</v>
      </c>
      <c r="J20" s="152">
        <f>5597.852+5550.959</f>
        <v>11148.811</v>
      </c>
      <c r="K20" s="152">
        <v>21358.992999999999</v>
      </c>
      <c r="L20" s="152">
        <v>24072.507000000001</v>
      </c>
      <c r="M20" s="152">
        <v>14088.707</v>
      </c>
      <c r="N20" s="152">
        <v>98323.161999999997</v>
      </c>
      <c r="O20" s="152">
        <v>110396.905</v>
      </c>
      <c r="P20" s="152">
        <v>116647.391</v>
      </c>
      <c r="Q20" s="152">
        <v>129615.72900000001</v>
      </c>
      <c r="R20" s="152">
        <v>141382.565</v>
      </c>
      <c r="S20" s="152">
        <v>155563.416</v>
      </c>
      <c r="T20" s="143">
        <v>148724.12599999999</v>
      </c>
      <c r="U20" s="143">
        <v>113014.88800000001</v>
      </c>
      <c r="V20" s="143">
        <v>14053.531999999999</v>
      </c>
      <c r="W20" s="143">
        <v>16800.859</v>
      </c>
      <c r="X20" s="2">
        <v>14180.745000000001</v>
      </c>
      <c r="Y20" s="2">
        <v>32193.424999999999</v>
      </c>
      <c r="Z20" s="2">
        <v>15218.449000000001</v>
      </c>
      <c r="AA20" s="2">
        <v>18060.965</v>
      </c>
    </row>
    <row r="21" spans="1:27" s="17" customFormat="1">
      <c r="A21" s="22" t="s">
        <v>14</v>
      </c>
      <c r="B21" s="150">
        <v>2225</v>
      </c>
      <c r="C21" s="150">
        <f>1055+2319</f>
        <v>3374</v>
      </c>
      <c r="D21" s="150">
        <f>2195+908</f>
        <v>3103</v>
      </c>
      <c r="E21" s="150">
        <f>5573.744+5182.374</f>
        <v>10756.117999999999</v>
      </c>
      <c r="F21" s="151">
        <v>21967.646000000001</v>
      </c>
      <c r="G21" s="150">
        <f>3313.658+6180.627</f>
        <v>9494.2849999999999</v>
      </c>
      <c r="H21" s="150">
        <f>2490.234+8695.559</f>
        <v>11185.793</v>
      </c>
      <c r="I21" s="152">
        <v>12621.532999999999</v>
      </c>
      <c r="J21" s="152">
        <f>2734.973-613.996</f>
        <v>2120.9769999999999</v>
      </c>
      <c r="K21" s="152">
        <v>14452.046279999999</v>
      </c>
      <c r="L21" s="152">
        <v>42999.277999999998</v>
      </c>
      <c r="M21" s="152">
        <v>-7325.9849999999997</v>
      </c>
      <c r="N21" s="152">
        <v>114964.27899999999</v>
      </c>
      <c r="O21" s="152">
        <v>56352.512000000002</v>
      </c>
      <c r="P21" s="152">
        <v>162504.228</v>
      </c>
      <c r="Q21" s="152">
        <v>166077.307</v>
      </c>
      <c r="R21" s="152">
        <v>167403.69899999999</v>
      </c>
      <c r="S21" s="152">
        <v>150518.47899999999</v>
      </c>
      <c r="T21" s="143">
        <v>161678.34</v>
      </c>
      <c r="U21" s="143">
        <v>175166.28400000001</v>
      </c>
      <c r="V21" s="143">
        <v>10089.815000000001</v>
      </c>
      <c r="W21" s="143">
        <v>634.91800000000001</v>
      </c>
      <c r="X21" s="23">
        <v>257.39100000000002</v>
      </c>
      <c r="Y21" s="2">
        <v>3451.2689999999998</v>
      </c>
      <c r="Z21" s="2">
        <v>615.05499999999995</v>
      </c>
      <c r="AA21" s="2">
        <v>3988</v>
      </c>
    </row>
    <row r="22" spans="1:27">
      <c r="A22" s="22" t="s">
        <v>15</v>
      </c>
      <c r="B22" s="150">
        <f>25042+25346</f>
        <v>50388</v>
      </c>
      <c r="C22" s="150">
        <f>16809+24265</f>
        <v>41074</v>
      </c>
      <c r="D22" s="150">
        <f>56514+45498</f>
        <v>102012</v>
      </c>
      <c r="E22" s="150">
        <f>90600.104+112646.57</f>
        <v>203246.674</v>
      </c>
      <c r="F22" s="151">
        <v>271274.522</v>
      </c>
      <c r="G22" s="150">
        <f>93450.362+138880.092</f>
        <v>232330.454</v>
      </c>
      <c r="H22" s="150">
        <f>106875.733+166590.12</f>
        <v>273465.853</v>
      </c>
      <c r="I22" s="152">
        <v>270594.85800000001</v>
      </c>
      <c r="J22" s="152">
        <f>163257.133+391819.731</f>
        <v>555076.86400000006</v>
      </c>
      <c r="K22" s="152">
        <v>596007.03099999996</v>
      </c>
      <c r="L22" s="152">
        <v>532553.70200000005</v>
      </c>
      <c r="M22" s="152">
        <v>576507.196</v>
      </c>
      <c r="N22" s="152">
        <v>1303992.5209999999</v>
      </c>
      <c r="O22" s="152">
        <v>1149106.33</v>
      </c>
      <c r="P22" s="152">
        <v>1458486.797</v>
      </c>
      <c r="Q22" s="152">
        <v>1555000.693</v>
      </c>
      <c r="R22" s="152">
        <v>1255260.855</v>
      </c>
      <c r="S22" s="152">
        <v>1524960.175</v>
      </c>
      <c r="T22" s="143">
        <v>1691759.48</v>
      </c>
      <c r="U22" s="143">
        <v>1263210.831</v>
      </c>
      <c r="V22" s="143">
        <v>719021.90800000005</v>
      </c>
      <c r="W22" s="143">
        <v>965490.11399999994</v>
      </c>
      <c r="X22" s="2">
        <v>885167.16</v>
      </c>
      <c r="Y22" s="2">
        <v>833358.55799999996</v>
      </c>
      <c r="Z22" s="2">
        <v>837689.42700000003</v>
      </c>
      <c r="AA22" s="2">
        <v>962844.69400000002</v>
      </c>
    </row>
    <row r="23" spans="1:27">
      <c r="A23" s="22" t="s">
        <v>16</v>
      </c>
      <c r="B23" s="150">
        <f>843+1100+717</f>
        <v>2660</v>
      </c>
      <c r="C23" s="150">
        <f>2115+3858</f>
        <v>5973</v>
      </c>
      <c r="D23" s="150">
        <f>2116+2172</f>
        <v>4288</v>
      </c>
      <c r="E23" s="150">
        <f>5169.946+24592.226</f>
        <v>29762.171999999999</v>
      </c>
      <c r="F23" s="151">
        <v>6960.3090000000002</v>
      </c>
      <c r="G23" s="150">
        <f>9825.084+17952.76+314.598</f>
        <v>28092.441999999999</v>
      </c>
      <c r="H23" s="150">
        <f>8510.019+-3187.69</f>
        <v>5322.3289999999997</v>
      </c>
      <c r="I23" s="152">
        <v>28434.585999999999</v>
      </c>
      <c r="J23" s="152">
        <f>6469.053+16035.937</f>
        <v>22504.989999999998</v>
      </c>
      <c r="K23" s="152">
        <v>42244.004000000001</v>
      </c>
      <c r="L23" s="152">
        <v>12235.732</v>
      </c>
      <c r="M23" s="152">
        <v>4797.7550000000001</v>
      </c>
      <c r="N23" s="152">
        <v>292489.39600000001</v>
      </c>
      <c r="O23" s="152">
        <v>281056.30800000002</v>
      </c>
      <c r="P23" s="152">
        <v>305178.05599999998</v>
      </c>
      <c r="Q23" s="152">
        <v>317077.55099999998</v>
      </c>
      <c r="R23" s="152">
        <v>344404.46100000001</v>
      </c>
      <c r="S23" s="152">
        <v>374119.85600000003</v>
      </c>
      <c r="T23" s="143">
        <v>447272.49900000001</v>
      </c>
      <c r="U23" s="143">
        <v>473328.23499999999</v>
      </c>
      <c r="V23" s="143">
        <v>82574.803</v>
      </c>
      <c r="W23" s="143">
        <v>5532.1840000000002</v>
      </c>
      <c r="X23" s="2">
        <v>31221.897000000001</v>
      </c>
      <c r="Y23" s="2">
        <v>39168.161999999997</v>
      </c>
      <c r="Z23" s="2">
        <v>34980.684999999998</v>
      </c>
      <c r="AA23" s="2">
        <v>49385.631000000001</v>
      </c>
    </row>
    <row r="24" spans="1:27">
      <c r="A24" s="83" t="s">
        <v>17</v>
      </c>
      <c r="B24" s="153">
        <f>15445+4362</f>
        <v>19807</v>
      </c>
      <c r="C24" s="153">
        <f>0+4225</f>
        <v>4225</v>
      </c>
      <c r="D24" s="153">
        <v>4574</v>
      </c>
      <c r="E24" s="153">
        <f>9751.004+212.921+0</f>
        <v>9963.9250000000011</v>
      </c>
      <c r="F24" s="154">
        <v>36154.877999999997</v>
      </c>
      <c r="G24" s="153">
        <f>15898.841+15267.117</f>
        <v>31165.957999999999</v>
      </c>
      <c r="H24" s="153">
        <f>12740.762+22035.149</f>
        <v>34775.911</v>
      </c>
      <c r="I24" s="155">
        <v>27791.94</v>
      </c>
      <c r="J24" s="155">
        <f>11799.014+12533.935</f>
        <v>24332.949000000001</v>
      </c>
      <c r="K24" s="155">
        <v>33657.972130000002</v>
      </c>
      <c r="L24" s="155">
        <v>34820.910000000003</v>
      </c>
      <c r="M24" s="155">
        <v>41207.646999999997</v>
      </c>
      <c r="N24" s="155">
        <v>121946.133</v>
      </c>
      <c r="O24" s="155">
        <v>101836.539</v>
      </c>
      <c r="P24" s="155">
        <v>99648.028999999995</v>
      </c>
      <c r="Q24" s="155">
        <v>98710.41</v>
      </c>
      <c r="R24" s="155">
        <v>105315.993</v>
      </c>
      <c r="S24" s="155">
        <v>106531.023</v>
      </c>
      <c r="T24" s="144">
        <v>108968.806</v>
      </c>
      <c r="U24" s="144">
        <v>112130.098</v>
      </c>
      <c r="V24" s="144">
        <v>21795.031999999999</v>
      </c>
      <c r="W24" s="144">
        <v>19717.719000000001</v>
      </c>
      <c r="X24" s="45">
        <v>40486.116999999998</v>
      </c>
      <c r="Y24" s="45">
        <v>23891.062000000002</v>
      </c>
      <c r="Z24" s="45">
        <v>23372.850999999999</v>
      </c>
      <c r="AA24" s="45">
        <v>24606.002</v>
      </c>
    </row>
    <row r="25" spans="1:27" s="23" customFormat="1">
      <c r="A25" s="79" t="s">
        <v>120</v>
      </c>
      <c r="B25" s="145">
        <f>SUM(B27:B39)</f>
        <v>0</v>
      </c>
      <c r="C25" s="145">
        <f t="shared" ref="C25:AA25" si="8">SUM(C27:C39)</f>
        <v>0</v>
      </c>
      <c r="D25" s="145">
        <f t="shared" si="8"/>
        <v>0</v>
      </c>
      <c r="E25" s="145">
        <f t="shared" si="8"/>
        <v>0</v>
      </c>
      <c r="F25" s="145">
        <f t="shared" si="8"/>
        <v>428782.60999999993</v>
      </c>
      <c r="G25" s="145">
        <f t="shared" si="8"/>
        <v>0</v>
      </c>
      <c r="H25" s="145">
        <f t="shared" si="8"/>
        <v>0</v>
      </c>
      <c r="I25" s="145">
        <f t="shared" si="8"/>
        <v>590864.63800000015</v>
      </c>
      <c r="J25" s="145">
        <f t="shared" si="8"/>
        <v>0</v>
      </c>
      <c r="K25" s="145">
        <f t="shared" si="8"/>
        <v>585961.24126000004</v>
      </c>
      <c r="L25" s="145">
        <f t="shared" si="8"/>
        <v>850975.01100000006</v>
      </c>
      <c r="M25" s="145">
        <f t="shared" si="8"/>
        <v>956937.8550000001</v>
      </c>
      <c r="N25" s="145">
        <f t="shared" si="8"/>
        <v>2373069.2050000001</v>
      </c>
      <c r="O25" s="145">
        <f t="shared" si="8"/>
        <v>2804058.6120000002</v>
      </c>
      <c r="P25" s="145">
        <f t="shared" si="8"/>
        <v>2847720.3679999993</v>
      </c>
      <c r="Q25" s="145">
        <f t="shared" si="8"/>
        <v>3057400.9870000002</v>
      </c>
      <c r="R25" s="145">
        <f t="shared" si="8"/>
        <v>3351770.6989999996</v>
      </c>
      <c r="S25" s="145">
        <f t="shared" si="8"/>
        <v>3927651.2889999994</v>
      </c>
      <c r="T25" s="145">
        <f t="shared" si="8"/>
        <v>3235640.0880000005</v>
      </c>
      <c r="U25" s="145">
        <f t="shared" si="8"/>
        <v>2881221.1860000002</v>
      </c>
      <c r="V25" s="145">
        <f t="shared" si="8"/>
        <v>613416.84299999999</v>
      </c>
      <c r="W25" s="145">
        <f t="shared" si="8"/>
        <v>801255.00399999996</v>
      </c>
      <c r="X25" s="145">
        <f t="shared" si="8"/>
        <v>566152.34500000009</v>
      </c>
      <c r="Y25" s="145">
        <f t="shared" si="8"/>
        <v>563017.19200000004</v>
      </c>
      <c r="Z25" s="145">
        <f t="shared" si="8"/>
        <v>741962.40399999998</v>
      </c>
      <c r="AA25" s="145">
        <f t="shared" si="8"/>
        <v>477942.26300000004</v>
      </c>
    </row>
    <row r="26" spans="1:27">
      <c r="A26" s="79" t="s">
        <v>119</v>
      </c>
      <c r="B26" s="152"/>
      <c r="C26" s="152"/>
      <c r="D26" s="152"/>
      <c r="E26" s="152"/>
      <c r="F26" s="152"/>
      <c r="G26" s="152"/>
      <c r="H26" s="152"/>
      <c r="I26" s="152"/>
      <c r="J26" s="152"/>
      <c r="K26" s="152"/>
      <c r="L26" s="152"/>
      <c r="M26" s="152"/>
      <c r="N26" s="152"/>
      <c r="O26" s="152"/>
      <c r="P26" s="152"/>
      <c r="Q26" s="152"/>
      <c r="R26" s="152"/>
      <c r="S26" s="152"/>
      <c r="T26" s="143"/>
      <c r="U26" s="143"/>
      <c r="V26" s="143"/>
      <c r="W26" s="143"/>
      <c r="X26" s="2">
        <v>0</v>
      </c>
      <c r="Y26" s="2">
        <v>0</v>
      </c>
    </row>
    <row r="27" spans="1:27">
      <c r="A27" s="23" t="s">
        <v>85</v>
      </c>
      <c r="B27" s="150"/>
      <c r="C27" s="150"/>
      <c r="D27" s="152"/>
      <c r="E27" s="150"/>
      <c r="F27" s="151">
        <v>1751.7239999999999</v>
      </c>
      <c r="G27" s="150"/>
      <c r="H27" s="150"/>
      <c r="I27" s="152">
        <v>3150.183</v>
      </c>
      <c r="J27" s="152"/>
      <c r="K27" s="152">
        <v>6390.7860000000001</v>
      </c>
      <c r="L27" s="152">
        <v>7029.0959999999995</v>
      </c>
      <c r="M27" s="152">
        <v>7347.5230000000001</v>
      </c>
      <c r="N27" s="152">
        <v>6368.6350000000002</v>
      </c>
      <c r="O27" s="152">
        <v>63735.3</v>
      </c>
      <c r="P27" s="152">
        <v>64468.09</v>
      </c>
      <c r="Q27" s="152">
        <v>80866.502999999997</v>
      </c>
      <c r="R27" s="152">
        <v>76781.919999999998</v>
      </c>
      <c r="S27" s="152">
        <v>64113.042999999998</v>
      </c>
      <c r="T27" s="143">
        <v>89500.743000000002</v>
      </c>
      <c r="U27" s="143">
        <v>4931.2950000000001</v>
      </c>
      <c r="V27" s="143">
        <v>4479.1809999999996</v>
      </c>
      <c r="W27" s="143">
        <v>7275.8590000000004</v>
      </c>
      <c r="X27" s="2">
        <v>15349.705</v>
      </c>
      <c r="Y27" s="2">
        <v>13310.278</v>
      </c>
      <c r="Z27" s="2">
        <v>10549.563</v>
      </c>
      <c r="AA27" s="2">
        <v>152.74199999999999</v>
      </c>
    </row>
    <row r="28" spans="1:27">
      <c r="A28" s="23" t="s">
        <v>86</v>
      </c>
      <c r="B28" s="150"/>
      <c r="C28" s="150"/>
      <c r="D28" s="150"/>
      <c r="E28" s="150"/>
      <c r="F28" s="151">
        <v>38398.534</v>
      </c>
      <c r="G28" s="150"/>
      <c r="H28" s="150"/>
      <c r="I28" s="152">
        <v>73610.955000000002</v>
      </c>
      <c r="J28" s="152"/>
      <c r="K28" s="152">
        <v>73294.493000000002</v>
      </c>
      <c r="L28" s="152">
        <v>70269.967999999993</v>
      </c>
      <c r="M28" s="152">
        <v>67784.010999999999</v>
      </c>
      <c r="N28" s="152">
        <v>194121.32500000001</v>
      </c>
      <c r="O28" s="152">
        <v>201318.12700000001</v>
      </c>
      <c r="P28" s="152">
        <v>224302.451</v>
      </c>
      <c r="Q28" s="152">
        <v>234875.367</v>
      </c>
      <c r="R28" s="152">
        <v>259300.758</v>
      </c>
      <c r="S28" s="152">
        <v>285741.109</v>
      </c>
      <c r="T28" s="143">
        <v>329515.12900000002</v>
      </c>
      <c r="U28" s="143">
        <v>314218.66600000003</v>
      </c>
      <c r="V28" s="143">
        <v>11563.308000000001</v>
      </c>
      <c r="W28" s="143">
        <v>9678.7960000000003</v>
      </c>
      <c r="X28" s="2">
        <v>10038.035</v>
      </c>
      <c r="Y28" s="2">
        <v>16542.839</v>
      </c>
      <c r="Z28" s="2">
        <v>10396.897000000001</v>
      </c>
      <c r="AA28" s="2">
        <v>9825.1869999999999</v>
      </c>
    </row>
    <row r="29" spans="1:27">
      <c r="A29" s="23" t="s">
        <v>87</v>
      </c>
      <c r="B29" s="150"/>
      <c r="C29" s="150"/>
      <c r="D29" s="150"/>
      <c r="E29" s="150"/>
      <c r="F29" s="151">
        <v>220160.71100000001</v>
      </c>
      <c r="G29" s="150"/>
      <c r="H29" s="150"/>
      <c r="I29" s="152">
        <v>367771.66600000003</v>
      </c>
      <c r="J29" s="152"/>
      <c r="K29" s="152">
        <v>361362.47200000001</v>
      </c>
      <c r="L29" s="152">
        <v>567797.48899999994</v>
      </c>
      <c r="M29" s="152">
        <v>726701.549</v>
      </c>
      <c r="N29" s="152">
        <v>1115166.774</v>
      </c>
      <c r="O29" s="152">
        <v>1268958.8559999999</v>
      </c>
      <c r="P29" s="152">
        <v>1426446.01</v>
      </c>
      <c r="Q29" s="152">
        <v>1442094.602</v>
      </c>
      <c r="R29" s="152">
        <v>1516817.99</v>
      </c>
      <c r="S29" s="152">
        <v>2064797.6529999999</v>
      </c>
      <c r="T29" s="143">
        <v>1378285.399</v>
      </c>
      <c r="U29" s="143">
        <v>1229389.3370000001</v>
      </c>
      <c r="V29" s="143">
        <v>197746.788</v>
      </c>
      <c r="W29" s="143">
        <v>311714.38400000002</v>
      </c>
      <c r="X29" s="2">
        <v>216079.45699999999</v>
      </c>
      <c r="Y29" s="2">
        <v>198007.78</v>
      </c>
      <c r="Z29" s="2">
        <v>345322.72499999998</v>
      </c>
      <c r="AA29" s="2">
        <v>159991.856</v>
      </c>
    </row>
    <row r="30" spans="1:27">
      <c r="A30" s="23" t="s">
        <v>88</v>
      </c>
      <c r="B30" s="150"/>
      <c r="C30" s="150"/>
      <c r="D30" s="150"/>
      <c r="E30" s="150"/>
      <c r="F30" s="151">
        <v>67407.687999999995</v>
      </c>
      <c r="G30" s="150"/>
      <c r="H30" s="150"/>
      <c r="I30" s="152">
        <v>37908.542999999998</v>
      </c>
      <c r="J30" s="152"/>
      <c r="K30" s="152">
        <v>41415.106</v>
      </c>
      <c r="L30" s="152">
        <v>88085.37</v>
      </c>
      <c r="M30" s="152">
        <v>86452.842999999993</v>
      </c>
      <c r="N30" s="152">
        <v>-126661.238</v>
      </c>
      <c r="O30" s="152">
        <v>167544.34700000001</v>
      </c>
      <c r="P30" s="152">
        <v>145567.954</v>
      </c>
      <c r="Q30" s="152">
        <v>211191.07699999999</v>
      </c>
      <c r="R30" s="152">
        <v>230976.285</v>
      </c>
      <c r="S30" s="152">
        <v>251063.209</v>
      </c>
      <c r="T30" s="143">
        <v>261334.47</v>
      </c>
      <c r="U30" s="143">
        <v>275532.37</v>
      </c>
      <c r="V30" s="143">
        <v>138306.228</v>
      </c>
      <c r="W30" s="143">
        <v>151840.04500000001</v>
      </c>
      <c r="X30" s="2">
        <v>18301.147000000001</v>
      </c>
      <c r="Y30" s="2">
        <v>18034.13</v>
      </c>
      <c r="Z30" s="2">
        <v>27968.741999999998</v>
      </c>
      <c r="AA30" s="2">
        <v>13813.288</v>
      </c>
    </row>
    <row r="31" spans="1:27">
      <c r="A31" s="23" t="s">
        <v>91</v>
      </c>
      <c r="B31" s="150"/>
      <c r="C31" s="150"/>
      <c r="D31" s="150"/>
      <c r="E31" s="150"/>
      <c r="F31" s="151">
        <v>3938.5810000000001</v>
      </c>
      <c r="G31" s="150"/>
      <c r="H31" s="150"/>
      <c r="I31" s="152">
        <v>1569.8150000000001</v>
      </c>
      <c r="J31" s="152"/>
      <c r="K31" s="152">
        <v>1264.626</v>
      </c>
      <c r="L31" s="152">
        <v>1069.3579999999999</v>
      </c>
      <c r="M31" s="152">
        <v>1504.9390000000001</v>
      </c>
      <c r="N31" s="152">
        <v>114676.83</v>
      </c>
      <c r="O31" s="152">
        <v>50197.803999999996</v>
      </c>
      <c r="P31" s="152">
        <v>50188.493999999999</v>
      </c>
      <c r="Q31" s="152">
        <v>47807.680999999997</v>
      </c>
      <c r="R31" s="152">
        <v>65325.326999999997</v>
      </c>
      <c r="S31" s="152">
        <v>82746.460000000006</v>
      </c>
      <c r="T31" s="143">
        <v>95815.483999999997</v>
      </c>
      <c r="U31" s="143">
        <v>99541.370999999999</v>
      </c>
      <c r="V31" s="143">
        <v>-17585.931</v>
      </c>
      <c r="W31" s="143">
        <v>2010.4659999999999</v>
      </c>
      <c r="X31" s="2">
        <v>21583.532999999999</v>
      </c>
      <c r="Y31" s="2">
        <v>17230.315999999999</v>
      </c>
      <c r="Z31" s="2">
        <v>32452.36</v>
      </c>
      <c r="AA31" s="2">
        <v>23602.202000000001</v>
      </c>
    </row>
    <row r="32" spans="1:27">
      <c r="A32" s="23" t="s">
        <v>92</v>
      </c>
      <c r="B32" s="150"/>
      <c r="C32" s="150"/>
      <c r="D32" s="150"/>
      <c r="E32" s="150"/>
      <c r="F32" s="151">
        <v>3922.6489999999999</v>
      </c>
      <c r="G32" s="150"/>
      <c r="H32" s="150"/>
      <c r="I32" s="152">
        <v>2758.7440000000001</v>
      </c>
      <c r="J32" s="152"/>
      <c r="K32" s="152">
        <v>11163.925999999999</v>
      </c>
      <c r="L32" s="152">
        <v>9880.0630000000001</v>
      </c>
      <c r="M32" s="152">
        <v>19199.971000000001</v>
      </c>
      <c r="N32" s="152">
        <v>45997.184999999998</v>
      </c>
      <c r="O32" s="152">
        <v>20866.732</v>
      </c>
      <c r="P32" s="152">
        <v>27732.438999999998</v>
      </c>
      <c r="Q32" s="152">
        <v>59446.680999999997</v>
      </c>
      <c r="R32" s="152">
        <v>57030.557000000001</v>
      </c>
      <c r="S32" s="152">
        <v>53783.504000000001</v>
      </c>
      <c r="T32" s="143">
        <v>66598.837</v>
      </c>
      <c r="U32" s="143">
        <v>69441.664999999994</v>
      </c>
      <c r="V32" s="143">
        <v>20966.594000000001</v>
      </c>
      <c r="W32" s="143">
        <v>15694.442999999999</v>
      </c>
      <c r="X32" s="2">
        <v>17986.904999999999</v>
      </c>
      <c r="Y32" s="2">
        <v>22595.231</v>
      </c>
      <c r="Z32" s="2">
        <v>21363.580999999998</v>
      </c>
      <c r="AA32" s="2">
        <v>18870.396000000001</v>
      </c>
    </row>
    <row r="33" spans="1:57">
      <c r="A33" s="23" t="s">
        <v>100</v>
      </c>
      <c r="B33" s="152"/>
      <c r="C33" s="152"/>
      <c r="D33" s="152"/>
      <c r="E33" s="152"/>
      <c r="F33" s="151">
        <v>2352.627</v>
      </c>
      <c r="G33" s="152"/>
      <c r="H33" s="152"/>
      <c r="I33" s="152">
        <v>1883.377</v>
      </c>
      <c r="J33" s="152"/>
      <c r="K33" s="152">
        <v>161.17099999999999</v>
      </c>
      <c r="L33" s="152">
        <v>2894.52</v>
      </c>
      <c r="M33" s="152">
        <v>6117.5640000000003</v>
      </c>
      <c r="N33" s="152">
        <v>24438.981</v>
      </c>
      <c r="O33" s="152">
        <v>49025.207999999999</v>
      </c>
      <c r="P33" s="152">
        <v>49702.283000000003</v>
      </c>
      <c r="Q33" s="152">
        <v>49968.650999999998</v>
      </c>
      <c r="R33" s="152">
        <v>53715.038999999997</v>
      </c>
      <c r="S33" s="152">
        <v>53959.516000000003</v>
      </c>
      <c r="T33" s="143">
        <v>53557.188000000002</v>
      </c>
      <c r="U33" s="143">
        <v>27238.966</v>
      </c>
      <c r="V33" s="143">
        <v>3327.3009999999999</v>
      </c>
      <c r="W33" s="143">
        <v>5426.866</v>
      </c>
      <c r="X33" s="2">
        <v>3658.9569999999999</v>
      </c>
      <c r="Y33" s="2">
        <v>4318.3209999999999</v>
      </c>
      <c r="Z33" s="2">
        <v>4398.393</v>
      </c>
      <c r="AA33" s="2">
        <v>3800.0920000000001</v>
      </c>
    </row>
    <row r="34" spans="1:57">
      <c r="A34" s="23" t="s">
        <v>102</v>
      </c>
      <c r="B34" s="152"/>
      <c r="C34" s="152"/>
      <c r="D34" s="152"/>
      <c r="E34" s="152"/>
      <c r="F34" s="151">
        <v>2122.1869999999999</v>
      </c>
      <c r="G34" s="152"/>
      <c r="H34" s="152"/>
      <c r="I34" s="152">
        <v>166.203</v>
      </c>
      <c r="J34" s="152"/>
      <c r="K34" s="152">
        <v>1325.095</v>
      </c>
      <c r="L34" s="152">
        <v>-357.351</v>
      </c>
      <c r="M34" s="152">
        <v>-3427.549</v>
      </c>
      <c r="N34" s="152">
        <v>50169.762999999999</v>
      </c>
      <c r="O34" s="152">
        <v>60813.968999999997</v>
      </c>
      <c r="P34" s="152">
        <v>71201.471000000005</v>
      </c>
      <c r="Q34" s="152">
        <v>78723.22</v>
      </c>
      <c r="R34" s="152">
        <v>95087.793999999994</v>
      </c>
      <c r="S34" s="152">
        <v>110911.658</v>
      </c>
      <c r="T34" s="143">
        <v>89411.423999999999</v>
      </c>
      <c r="U34" s="143">
        <v>115499.052</v>
      </c>
      <c r="V34" s="143">
        <v>31495.127</v>
      </c>
      <c r="W34" s="143">
        <v>39981.048000000003</v>
      </c>
      <c r="X34" s="2">
        <v>12745.449000000001</v>
      </c>
      <c r="Y34" s="2">
        <v>30060.080999999998</v>
      </c>
      <c r="Z34" s="2">
        <v>37456.714</v>
      </c>
      <c r="AA34" s="2">
        <v>3209.9229999999998</v>
      </c>
    </row>
    <row r="35" spans="1:57">
      <c r="A35" s="23" t="s">
        <v>105</v>
      </c>
      <c r="B35" s="152"/>
      <c r="C35" s="152"/>
      <c r="D35" s="152"/>
      <c r="E35" s="152"/>
      <c r="F35" s="151">
        <v>17802.794999999998</v>
      </c>
      <c r="G35" s="152"/>
      <c r="H35" s="152"/>
      <c r="I35" s="152">
        <v>25629.412</v>
      </c>
      <c r="J35" s="152"/>
      <c r="K35" s="152">
        <v>2341.8052599999996</v>
      </c>
      <c r="L35" s="152">
        <v>5913.6210000000001</v>
      </c>
      <c r="M35" s="152">
        <v>-21327.036</v>
      </c>
      <c r="N35" s="152">
        <v>165174.52600000001</v>
      </c>
      <c r="O35" s="152">
        <v>137034.99</v>
      </c>
      <c r="P35" s="152">
        <v>131773.72700000001</v>
      </c>
      <c r="Q35" s="152">
        <v>184222.152</v>
      </c>
      <c r="R35" s="152">
        <v>223918.48800000001</v>
      </c>
      <c r="S35" s="152">
        <v>187696.155</v>
      </c>
      <c r="T35" s="143">
        <v>227952.99100000001</v>
      </c>
      <c r="U35" s="143">
        <v>203346.245</v>
      </c>
      <c r="V35" s="143">
        <v>146603.908</v>
      </c>
      <c r="W35" s="143">
        <v>161178.33100000001</v>
      </c>
      <c r="X35" s="2">
        <v>131787.99</v>
      </c>
      <c r="Y35" s="2">
        <v>128535.535</v>
      </c>
      <c r="Z35" s="2">
        <v>132200.36900000001</v>
      </c>
      <c r="AA35" s="2">
        <v>136108.81899999999</v>
      </c>
    </row>
    <row r="36" spans="1:57">
      <c r="A36" s="23" t="s">
        <v>109</v>
      </c>
      <c r="B36" s="152"/>
      <c r="C36" s="152"/>
      <c r="D36" s="152"/>
      <c r="E36" s="152"/>
      <c r="F36" s="151">
        <v>7618.3770000000004</v>
      </c>
      <c r="G36" s="152"/>
      <c r="H36" s="152"/>
      <c r="I36" s="152">
        <v>10235.164000000001</v>
      </c>
      <c r="J36" s="152"/>
      <c r="K36" s="152">
        <v>25655.098999999998</v>
      </c>
      <c r="L36" s="152">
        <v>17138.856</v>
      </c>
      <c r="M36" s="152">
        <v>2882.0909999999999</v>
      </c>
      <c r="N36" s="152">
        <v>168081.26199999999</v>
      </c>
      <c r="O36" s="152">
        <v>181499.26199999999</v>
      </c>
      <c r="P36" s="152">
        <v>184165.01300000001</v>
      </c>
      <c r="Q36" s="152">
        <v>188172.70600000001</v>
      </c>
      <c r="R36" s="152">
        <v>224389.84299999999</v>
      </c>
      <c r="S36" s="152">
        <v>242018.06599999999</v>
      </c>
      <c r="T36" s="143">
        <v>186128.712</v>
      </c>
      <c r="U36" s="143">
        <v>105696.989</v>
      </c>
      <c r="V36" s="143">
        <v>34796.856</v>
      </c>
      <c r="W36" s="143">
        <v>36041.165000000001</v>
      </c>
      <c r="X36" s="2">
        <v>46664.654000000002</v>
      </c>
      <c r="Y36" s="2">
        <v>45910.964</v>
      </c>
      <c r="Z36" s="2">
        <v>74573.604999999996</v>
      </c>
      <c r="AA36" s="2">
        <v>70698.154999999999</v>
      </c>
    </row>
    <row r="37" spans="1:57">
      <c r="A37" s="23" t="s">
        <v>113</v>
      </c>
      <c r="B37" s="152"/>
      <c r="C37" s="152"/>
      <c r="D37" s="152"/>
      <c r="E37" s="152"/>
      <c r="F37" s="151">
        <v>16746.885999999999</v>
      </c>
      <c r="G37" s="152"/>
      <c r="H37" s="152"/>
      <c r="I37" s="152">
        <v>12397.204</v>
      </c>
      <c r="J37" s="152"/>
      <c r="K37" s="152">
        <v>28874.077000000001</v>
      </c>
      <c r="L37" s="152">
        <v>12967.609</v>
      </c>
      <c r="M37" s="152">
        <v>10102.757</v>
      </c>
      <c r="N37" s="152">
        <v>308576.26</v>
      </c>
      <c r="O37" s="152">
        <v>308014.59600000002</v>
      </c>
      <c r="P37" s="152">
        <v>135869.91399999999</v>
      </c>
      <c r="Q37" s="152">
        <v>105377.942</v>
      </c>
      <c r="R37" s="152">
        <v>128265.985</v>
      </c>
      <c r="S37" s="152">
        <v>123269.61199999999</v>
      </c>
      <c r="T37" s="143">
        <v>80766.186000000002</v>
      </c>
      <c r="U37" s="143">
        <v>79292.917000000001</v>
      </c>
      <c r="V37" s="143">
        <v>40439.639000000003</v>
      </c>
      <c r="W37" s="143">
        <v>47186.587</v>
      </c>
      <c r="X37" s="2">
        <v>49857.021999999997</v>
      </c>
      <c r="Y37" s="2">
        <v>48691.605000000003</v>
      </c>
      <c r="Z37" s="2">
        <v>44388.555999999997</v>
      </c>
      <c r="AA37" s="2">
        <v>35642.114999999998</v>
      </c>
    </row>
    <row r="38" spans="1:57">
      <c r="A38" s="23" t="s">
        <v>115</v>
      </c>
      <c r="B38" s="152"/>
      <c r="C38" s="152"/>
      <c r="D38" s="152"/>
      <c r="E38" s="152"/>
      <c r="F38" s="151">
        <v>36171.442999999999</v>
      </c>
      <c r="G38" s="152"/>
      <c r="H38" s="152"/>
      <c r="I38" s="152">
        <v>47306.235999999997</v>
      </c>
      <c r="J38" s="152"/>
      <c r="K38" s="152">
        <v>30030.487000000001</v>
      </c>
      <c r="L38" s="152">
        <v>70598.743000000002</v>
      </c>
      <c r="M38" s="152">
        <v>42152.642</v>
      </c>
      <c r="N38" s="152">
        <v>292010.74300000002</v>
      </c>
      <c r="O38" s="152">
        <v>279001.76400000002</v>
      </c>
      <c r="P38" s="152">
        <v>320391.59600000002</v>
      </c>
      <c r="Q38" s="152">
        <v>357408.17499999999</v>
      </c>
      <c r="R38" s="152">
        <v>401530.46600000001</v>
      </c>
      <c r="S38" s="152">
        <v>388475.20799999998</v>
      </c>
      <c r="T38" s="143">
        <v>357046.342</v>
      </c>
      <c r="U38" s="143">
        <v>335512.16399999999</v>
      </c>
      <c r="V38" s="143">
        <v>1277.8440000000001</v>
      </c>
      <c r="W38" s="143">
        <v>13227.013999999999</v>
      </c>
      <c r="X38" s="2">
        <v>22099.491000000002</v>
      </c>
      <c r="Y38" s="2">
        <v>19780.112000000001</v>
      </c>
      <c r="Z38" s="2">
        <v>0</v>
      </c>
      <c r="AA38" s="2">
        <v>1E-3</v>
      </c>
    </row>
    <row r="39" spans="1:57">
      <c r="A39" s="45" t="s">
        <v>117</v>
      </c>
      <c r="B39" s="155"/>
      <c r="C39" s="155"/>
      <c r="D39" s="155"/>
      <c r="E39" s="155"/>
      <c r="F39" s="154">
        <v>10388.407999999999</v>
      </c>
      <c r="G39" s="155"/>
      <c r="H39" s="155"/>
      <c r="I39" s="155">
        <v>6477.1360000000004</v>
      </c>
      <c r="J39" s="155"/>
      <c r="K39" s="155">
        <v>2682.098</v>
      </c>
      <c r="L39" s="155">
        <v>-2312.3310000000001</v>
      </c>
      <c r="M39" s="155">
        <v>11446.55</v>
      </c>
      <c r="N39" s="155">
        <v>14948.159</v>
      </c>
      <c r="O39" s="155">
        <v>16047.656999999999</v>
      </c>
      <c r="P39" s="155">
        <v>15910.925999999999</v>
      </c>
      <c r="Q39" s="155">
        <v>17246.23</v>
      </c>
      <c r="R39" s="155">
        <v>18630.246999999999</v>
      </c>
      <c r="S39" s="155">
        <v>19076.096000000001</v>
      </c>
      <c r="T39" s="144">
        <v>19727.183000000001</v>
      </c>
      <c r="U39" s="144">
        <v>21580.149000000001</v>
      </c>
      <c r="V39" s="144">
        <v>0</v>
      </c>
      <c r="W39" s="144">
        <v>0</v>
      </c>
      <c r="X39" s="45">
        <v>0</v>
      </c>
      <c r="Y39" s="45">
        <v>0</v>
      </c>
      <c r="Z39" s="45">
        <v>890.899</v>
      </c>
      <c r="AA39" s="45">
        <v>2227.4870000000001</v>
      </c>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row>
    <row r="40" spans="1:57" s="23" customFormat="1">
      <c r="A40" s="79" t="s">
        <v>121</v>
      </c>
      <c r="B40" s="145">
        <f>SUM(B42:B53)</f>
        <v>0</v>
      </c>
      <c r="C40" s="145">
        <f t="shared" ref="C40:AA40" si="9">SUM(C42:C53)</f>
        <v>0</v>
      </c>
      <c r="D40" s="145">
        <f t="shared" si="9"/>
        <v>0</v>
      </c>
      <c r="E40" s="145">
        <f t="shared" si="9"/>
        <v>0</v>
      </c>
      <c r="F40" s="145">
        <f t="shared" si="9"/>
        <v>967568.74399999995</v>
      </c>
      <c r="G40" s="145">
        <f t="shared" si="9"/>
        <v>0</v>
      </c>
      <c r="H40" s="145">
        <f t="shared" si="9"/>
        <v>0</v>
      </c>
      <c r="I40" s="145">
        <f t="shared" si="9"/>
        <v>594112.40299999993</v>
      </c>
      <c r="J40" s="145">
        <f t="shared" si="9"/>
        <v>0</v>
      </c>
      <c r="K40" s="145">
        <f t="shared" si="9"/>
        <v>828924.55700000003</v>
      </c>
      <c r="L40" s="145">
        <f t="shared" si="9"/>
        <v>792035.10499999998</v>
      </c>
      <c r="M40" s="145">
        <f t="shared" si="9"/>
        <v>1145994.1530000002</v>
      </c>
      <c r="N40" s="145">
        <f t="shared" si="9"/>
        <v>2682373.0320000001</v>
      </c>
      <c r="O40" s="145">
        <f t="shared" si="9"/>
        <v>3012782.3360000001</v>
      </c>
      <c r="P40" s="145">
        <f t="shared" si="9"/>
        <v>3951515.4550000005</v>
      </c>
      <c r="Q40" s="145">
        <f t="shared" si="9"/>
        <v>3557839.6840000004</v>
      </c>
      <c r="R40" s="145">
        <f t="shared" si="9"/>
        <v>3819346.6730000004</v>
      </c>
      <c r="S40" s="145">
        <f t="shared" si="9"/>
        <v>4011949.8029999998</v>
      </c>
      <c r="T40" s="145">
        <f t="shared" si="9"/>
        <v>4946714.6219999995</v>
      </c>
      <c r="U40" s="145">
        <f t="shared" si="9"/>
        <v>2328034.6109999996</v>
      </c>
      <c r="V40" s="145">
        <f t="shared" si="9"/>
        <v>642396.66400000011</v>
      </c>
      <c r="W40" s="145">
        <f t="shared" si="9"/>
        <v>536483.63900000008</v>
      </c>
      <c r="X40" s="145">
        <f t="shared" si="9"/>
        <v>520557.092</v>
      </c>
      <c r="Y40" s="145">
        <f t="shared" si="9"/>
        <v>500996.50599999994</v>
      </c>
      <c r="Z40" s="145">
        <f t="shared" si="9"/>
        <v>740582.66599999997</v>
      </c>
      <c r="AA40" s="145">
        <f t="shared" si="9"/>
        <v>525250.68999999994</v>
      </c>
    </row>
    <row r="41" spans="1:57">
      <c r="A41" s="79" t="s">
        <v>119</v>
      </c>
      <c r="B41" s="152"/>
      <c r="C41" s="152"/>
      <c r="D41" s="152"/>
      <c r="E41" s="152"/>
      <c r="F41" s="152"/>
      <c r="G41" s="152"/>
      <c r="H41" s="152"/>
      <c r="I41" s="152"/>
      <c r="J41" s="152"/>
      <c r="K41" s="152"/>
      <c r="L41" s="152"/>
      <c r="M41" s="152"/>
      <c r="N41" s="152"/>
      <c r="O41" s="152"/>
      <c r="P41" s="152"/>
      <c r="Q41" s="152"/>
      <c r="R41" s="152"/>
      <c r="S41" s="152"/>
      <c r="T41" s="143"/>
      <c r="U41" s="143"/>
      <c r="V41" s="143"/>
      <c r="W41" s="143"/>
      <c r="X41" s="2">
        <v>0</v>
      </c>
      <c r="Y41" s="2">
        <v>0</v>
      </c>
    </row>
    <row r="42" spans="1:57">
      <c r="A42" s="23" t="s">
        <v>93</v>
      </c>
      <c r="B42" s="150"/>
      <c r="C42" s="150"/>
      <c r="D42" s="150"/>
      <c r="E42" s="150"/>
      <c r="F42" s="151">
        <v>28301.916000000001</v>
      </c>
      <c r="G42" s="150"/>
      <c r="H42" s="150"/>
      <c r="I42" s="152">
        <v>1403.3430000000001</v>
      </c>
      <c r="J42" s="152"/>
      <c r="K42" s="152">
        <v>-13422.91</v>
      </c>
      <c r="L42" s="152">
        <v>-24699.871999999999</v>
      </c>
      <c r="M42" s="152">
        <v>-47125.56</v>
      </c>
      <c r="N42" s="152">
        <v>510825.61499999999</v>
      </c>
      <c r="O42" s="152">
        <v>608141.53099999996</v>
      </c>
      <c r="P42" s="152">
        <v>1379158.1710000001</v>
      </c>
      <c r="Q42" s="152">
        <v>702377.80099999998</v>
      </c>
      <c r="R42" s="152">
        <v>781742.41</v>
      </c>
      <c r="S42" s="152">
        <v>786470.17799999996</v>
      </c>
      <c r="T42" s="143">
        <v>846592.59</v>
      </c>
      <c r="U42" s="143">
        <v>435931.54800000001</v>
      </c>
      <c r="V42" s="143">
        <v>19598.240000000002</v>
      </c>
      <c r="W42" s="143">
        <v>31008.897000000001</v>
      </c>
      <c r="X42" s="2">
        <v>37223.527000000002</v>
      </c>
      <c r="Y42" s="2">
        <v>31178.307000000001</v>
      </c>
      <c r="Z42" s="2">
        <v>28828.468000000001</v>
      </c>
      <c r="AA42" s="2">
        <v>23256.032999999999</v>
      </c>
    </row>
    <row r="43" spans="1:57">
      <c r="A43" s="23" t="s">
        <v>58</v>
      </c>
      <c r="B43" s="150"/>
      <c r="C43" s="150"/>
      <c r="D43" s="150"/>
      <c r="E43" s="150"/>
      <c r="F43" s="151">
        <v>80956.504000000001</v>
      </c>
      <c r="G43" s="150"/>
      <c r="H43" s="150"/>
      <c r="I43" s="152">
        <v>92093.126000000004</v>
      </c>
      <c r="J43" s="152"/>
      <c r="K43" s="152">
        <v>109600.97500000001</v>
      </c>
      <c r="L43" s="152">
        <v>184182.924</v>
      </c>
      <c r="M43" s="152">
        <v>192010.48699999999</v>
      </c>
      <c r="N43" s="152">
        <v>290112.136</v>
      </c>
      <c r="O43" s="152">
        <v>272415.93599999999</v>
      </c>
      <c r="P43" s="152">
        <v>275853.57</v>
      </c>
      <c r="Q43" s="152">
        <v>381974.30699999997</v>
      </c>
      <c r="R43" s="152">
        <v>373350.85800000001</v>
      </c>
      <c r="S43" s="152">
        <v>374024.58100000001</v>
      </c>
      <c r="T43" s="143">
        <v>418622.73800000001</v>
      </c>
      <c r="U43" s="143">
        <v>250112.60200000001</v>
      </c>
      <c r="V43" s="143">
        <v>34351.678999999996</v>
      </c>
      <c r="W43" s="143">
        <v>27552.223000000002</v>
      </c>
      <c r="X43" s="2">
        <v>28299.797999999999</v>
      </c>
      <c r="Y43" s="2">
        <v>20134.73</v>
      </c>
      <c r="Z43" s="2">
        <v>12103.278</v>
      </c>
      <c r="AA43" s="2">
        <v>12291.203</v>
      </c>
    </row>
    <row r="44" spans="1:57">
      <c r="A44" s="23" t="s">
        <v>94</v>
      </c>
      <c r="B44" s="150"/>
      <c r="C44" s="150"/>
      <c r="D44" s="150"/>
      <c r="E44" s="150"/>
      <c r="F44" s="151">
        <v>51176.936000000002</v>
      </c>
      <c r="G44" s="150"/>
      <c r="H44" s="150"/>
      <c r="I44" s="152">
        <v>83697.827999999994</v>
      </c>
      <c r="J44" s="152"/>
      <c r="K44" s="152">
        <v>86503.016000000003</v>
      </c>
      <c r="L44" s="152">
        <v>100310.72100000001</v>
      </c>
      <c r="M44" s="152">
        <v>114250.978</v>
      </c>
      <c r="N44" s="152">
        <v>198544.682</v>
      </c>
      <c r="O44" s="152">
        <v>203737.95699999999</v>
      </c>
      <c r="P44" s="152">
        <v>225077.984</v>
      </c>
      <c r="Q44" s="152">
        <v>216942.85800000001</v>
      </c>
      <c r="R44" s="152">
        <v>259536.35200000001</v>
      </c>
      <c r="S44" s="152">
        <v>253875.11799999999</v>
      </c>
      <c r="T44" s="143">
        <v>282054.28899999999</v>
      </c>
      <c r="U44" s="143">
        <v>282918.147</v>
      </c>
      <c r="V44" s="143">
        <v>13664.130999999999</v>
      </c>
      <c r="W44" s="143">
        <v>29893.538</v>
      </c>
      <c r="X44" s="2">
        <v>12899.064</v>
      </c>
      <c r="Y44" s="2">
        <v>18260.253000000001</v>
      </c>
      <c r="Z44" s="2">
        <v>40629.294999999998</v>
      </c>
      <c r="AA44" s="2">
        <v>49258.347000000002</v>
      </c>
    </row>
    <row r="45" spans="1:57">
      <c r="A45" s="23" t="s">
        <v>95</v>
      </c>
      <c r="B45" s="150"/>
      <c r="C45" s="150"/>
      <c r="D45" s="150"/>
      <c r="E45" s="150"/>
      <c r="F45" s="151">
        <v>9084.8780000000006</v>
      </c>
      <c r="G45" s="150"/>
      <c r="H45" s="150"/>
      <c r="I45" s="152">
        <v>4880.2039999999997</v>
      </c>
      <c r="J45" s="152"/>
      <c r="K45" s="152">
        <v>11212.912</v>
      </c>
      <c r="L45" s="152">
        <v>7921.5870000000004</v>
      </c>
      <c r="M45" s="152">
        <v>7309.08</v>
      </c>
      <c r="N45" s="152">
        <v>69546.013999999996</v>
      </c>
      <c r="O45" s="152">
        <v>160777.47500000001</v>
      </c>
      <c r="P45" s="152">
        <v>207915.701</v>
      </c>
      <c r="Q45" s="152">
        <v>206238.92800000001</v>
      </c>
      <c r="R45" s="152">
        <v>224835.321</v>
      </c>
      <c r="S45" s="152">
        <v>250618.73300000001</v>
      </c>
      <c r="T45" s="143">
        <v>128880.152</v>
      </c>
      <c r="U45" s="143">
        <v>142856.55100000001</v>
      </c>
      <c r="V45" s="143">
        <v>10242.387000000001</v>
      </c>
      <c r="W45" s="143">
        <v>11377.01</v>
      </c>
      <c r="X45" s="2">
        <v>19239.78</v>
      </c>
      <c r="Y45" s="2">
        <v>13471.387000000001</v>
      </c>
      <c r="Z45" s="2">
        <v>26809.136999999999</v>
      </c>
      <c r="AA45" s="2">
        <v>30917.289000000001</v>
      </c>
    </row>
    <row r="46" spans="1:57">
      <c r="A46" s="23" t="s">
        <v>98</v>
      </c>
      <c r="B46" s="150"/>
      <c r="C46" s="150"/>
      <c r="D46" s="150"/>
      <c r="E46" s="152"/>
      <c r="F46" s="151">
        <v>147957.96299999999</v>
      </c>
      <c r="G46" s="150"/>
      <c r="H46" s="150"/>
      <c r="I46" s="152">
        <v>166258.62899999999</v>
      </c>
      <c r="J46" s="152"/>
      <c r="K46" s="152">
        <v>232774.742</v>
      </c>
      <c r="L46" s="152">
        <v>221296.462</v>
      </c>
      <c r="M46" s="152">
        <v>476784.065</v>
      </c>
      <c r="N46" s="152">
        <v>521540.31699999998</v>
      </c>
      <c r="O46" s="152">
        <v>562017.201</v>
      </c>
      <c r="P46" s="152">
        <v>598683.78099999996</v>
      </c>
      <c r="Q46" s="152">
        <v>607455.97499999998</v>
      </c>
      <c r="R46" s="152">
        <v>659922.97600000002</v>
      </c>
      <c r="S46" s="152">
        <v>685988.73499999999</v>
      </c>
      <c r="T46" s="143">
        <v>1606700.5989999999</v>
      </c>
      <c r="U46" s="143">
        <v>150827.90700000001</v>
      </c>
      <c r="V46" s="143">
        <v>44105.192999999999</v>
      </c>
      <c r="W46" s="143">
        <v>43636.114000000001</v>
      </c>
      <c r="X46" s="2">
        <v>41185.991999999998</v>
      </c>
      <c r="Y46" s="2">
        <v>65109.461000000003</v>
      </c>
      <c r="Z46" s="2">
        <v>80952.910999999993</v>
      </c>
      <c r="AA46" s="2">
        <v>57135.512000000002</v>
      </c>
    </row>
    <row r="47" spans="1:57">
      <c r="A47" s="23" t="s">
        <v>99</v>
      </c>
      <c r="B47" s="152"/>
      <c r="C47" s="152"/>
      <c r="D47" s="152"/>
      <c r="E47" s="152"/>
      <c r="F47" s="151">
        <v>430163.91899999999</v>
      </c>
      <c r="G47" s="152"/>
      <c r="H47" s="152"/>
      <c r="I47" s="152">
        <v>16748.181</v>
      </c>
      <c r="J47" s="152"/>
      <c r="K47" s="152">
        <v>36035.398999999998</v>
      </c>
      <c r="L47" s="152">
        <v>-14201.619000000001</v>
      </c>
      <c r="M47" s="152">
        <v>49892.019</v>
      </c>
      <c r="N47" s="152">
        <v>164443.17800000001</v>
      </c>
      <c r="O47" s="152">
        <v>222170.94899999999</v>
      </c>
      <c r="P47" s="152">
        <v>212536.99900000001</v>
      </c>
      <c r="Q47" s="152">
        <v>226337.44699999999</v>
      </c>
      <c r="R47" s="152">
        <v>230259.853</v>
      </c>
      <c r="S47" s="152">
        <v>243545.20499999999</v>
      </c>
      <c r="T47" s="143">
        <v>348640.02500000002</v>
      </c>
      <c r="U47" s="143">
        <v>82349.214000000007</v>
      </c>
      <c r="V47" s="143">
        <v>82542.8</v>
      </c>
      <c r="W47" s="143">
        <v>62574.695</v>
      </c>
      <c r="X47" s="2">
        <v>33474.218999999997</v>
      </c>
      <c r="Y47" s="2">
        <v>55594.345999999998</v>
      </c>
      <c r="Z47" s="2">
        <v>66878.710000000006</v>
      </c>
      <c r="AA47" s="2">
        <v>36340.597000000002</v>
      </c>
    </row>
    <row r="48" spans="1:57">
      <c r="A48" s="23" t="s">
        <v>59</v>
      </c>
      <c r="B48" s="152"/>
      <c r="C48" s="152"/>
      <c r="D48" s="152"/>
      <c r="E48" s="152"/>
      <c r="F48" s="151">
        <v>29710.751</v>
      </c>
      <c r="G48" s="152"/>
      <c r="H48" s="152"/>
      <c r="I48" s="152">
        <v>30328.108</v>
      </c>
      <c r="J48" s="152"/>
      <c r="K48" s="152">
        <v>63875.156000000003</v>
      </c>
      <c r="L48" s="152">
        <v>38948.434999999998</v>
      </c>
      <c r="M48" s="152">
        <v>109041.993</v>
      </c>
      <c r="N48" s="152">
        <v>159899.38</v>
      </c>
      <c r="O48" s="152">
        <v>169305.046</v>
      </c>
      <c r="P48" s="152">
        <v>158274.79399999999</v>
      </c>
      <c r="Q48" s="152">
        <v>205189.527</v>
      </c>
      <c r="R48" s="152">
        <v>197350.20600000001</v>
      </c>
      <c r="S48" s="152">
        <v>226107.201</v>
      </c>
      <c r="T48" s="143">
        <v>118479.395</v>
      </c>
      <c r="U48" s="143">
        <v>64097.224000000002</v>
      </c>
      <c r="V48" s="143">
        <v>36310.17</v>
      </c>
      <c r="W48" s="143">
        <v>13742.781000000001</v>
      </c>
      <c r="X48" s="2">
        <v>18804.944</v>
      </c>
      <c r="Y48" s="2">
        <v>6358.3190000000004</v>
      </c>
      <c r="Z48" s="2">
        <v>5249.42</v>
      </c>
      <c r="AA48" s="2">
        <v>15816.914000000001</v>
      </c>
    </row>
    <row r="49" spans="1:57">
      <c r="A49" s="23" t="s">
        <v>101</v>
      </c>
      <c r="B49" s="152"/>
      <c r="C49" s="152"/>
      <c r="D49" s="152"/>
      <c r="E49" s="152"/>
      <c r="F49" s="151">
        <v>7982.1080000000002</v>
      </c>
      <c r="G49" s="152"/>
      <c r="H49" s="152"/>
      <c r="I49" s="152">
        <v>15507.641</v>
      </c>
      <c r="J49" s="152"/>
      <c r="K49" s="152">
        <v>20963.623</v>
      </c>
      <c r="L49" s="152">
        <v>17391.53</v>
      </c>
      <c r="M49" s="152">
        <v>19397.741000000002</v>
      </c>
      <c r="N49" s="152">
        <v>76188.379000000001</v>
      </c>
      <c r="O49" s="152">
        <v>82487.69</v>
      </c>
      <c r="P49" s="152">
        <v>73135.142000000007</v>
      </c>
      <c r="Q49" s="152">
        <v>87976.452000000005</v>
      </c>
      <c r="R49" s="152">
        <v>96538.6</v>
      </c>
      <c r="S49" s="152">
        <v>108544.431</v>
      </c>
      <c r="T49" s="143">
        <v>113633.09699999999</v>
      </c>
      <c r="U49" s="143">
        <v>84823.716</v>
      </c>
      <c r="V49" s="143">
        <v>33539.514000000003</v>
      </c>
      <c r="W49" s="143">
        <v>16082.638000000001</v>
      </c>
      <c r="X49" s="2">
        <v>27092.11</v>
      </c>
      <c r="Y49" s="2">
        <v>16098.137000000001</v>
      </c>
      <c r="Z49" s="2">
        <v>17514.965</v>
      </c>
      <c r="AA49" s="2">
        <v>45222.972999999998</v>
      </c>
    </row>
    <row r="50" spans="1:57">
      <c r="A50" s="23" t="s">
        <v>107</v>
      </c>
      <c r="B50" s="152"/>
      <c r="C50" s="152"/>
      <c r="D50" s="152"/>
      <c r="E50" s="152"/>
      <c r="F50" s="151">
        <v>790.52700000000004</v>
      </c>
      <c r="G50" s="152"/>
      <c r="H50" s="152"/>
      <c r="I50" s="152">
        <v>3519.0189999999998</v>
      </c>
      <c r="J50" s="152"/>
      <c r="K50" s="152">
        <v>4849.1149999999998</v>
      </c>
      <c r="L50" s="152">
        <v>6166.5820000000003</v>
      </c>
      <c r="M50" s="152">
        <v>1726.27</v>
      </c>
      <c r="N50" s="152">
        <v>35409.5</v>
      </c>
      <c r="O50" s="152">
        <v>32438.767</v>
      </c>
      <c r="P50" s="152">
        <v>41679.699999999997</v>
      </c>
      <c r="Q50" s="152">
        <v>39392.902999999998</v>
      </c>
      <c r="R50" s="152">
        <v>41871.072999999997</v>
      </c>
      <c r="S50" s="152">
        <v>49485.925999999999</v>
      </c>
      <c r="T50" s="143">
        <v>50944.3</v>
      </c>
      <c r="U50" s="143">
        <v>17288.007000000001</v>
      </c>
      <c r="V50" s="143">
        <v>37061.639000000003</v>
      </c>
      <c r="W50" s="143">
        <v>2772.7669999999998</v>
      </c>
      <c r="X50" s="2">
        <v>3373.973</v>
      </c>
      <c r="Y50" s="2">
        <v>2353.5309999999999</v>
      </c>
      <c r="Z50" s="2">
        <v>3941.4029999999998</v>
      </c>
      <c r="AA50" s="2">
        <v>2360.2979999999998</v>
      </c>
    </row>
    <row r="51" spans="1:57">
      <c r="A51" s="23" t="s">
        <v>108</v>
      </c>
      <c r="B51" s="152"/>
      <c r="C51" s="152"/>
      <c r="D51" s="152"/>
      <c r="E51" s="152"/>
      <c r="F51" s="151">
        <v>106315.734</v>
      </c>
      <c r="G51" s="152"/>
      <c r="H51" s="152"/>
      <c r="I51" s="152">
        <v>86796.092999999993</v>
      </c>
      <c r="J51" s="152"/>
      <c r="K51" s="152">
        <v>167575.81200000001</v>
      </c>
      <c r="L51" s="152">
        <v>100769.712</v>
      </c>
      <c r="M51" s="152">
        <v>75916.892999999996</v>
      </c>
      <c r="N51" s="152">
        <v>454623.44099999999</v>
      </c>
      <c r="O51" s="152">
        <v>501079.70799999998</v>
      </c>
      <c r="P51" s="152">
        <v>504828.80200000003</v>
      </c>
      <c r="Q51" s="152">
        <v>588570.57400000002</v>
      </c>
      <c r="R51" s="152">
        <v>638206.57200000004</v>
      </c>
      <c r="S51" s="152">
        <v>698967.78799999994</v>
      </c>
      <c r="T51" s="143">
        <v>670933.228</v>
      </c>
      <c r="U51" s="143">
        <v>401339.92200000002</v>
      </c>
      <c r="V51" s="143">
        <v>78204.288</v>
      </c>
      <c r="W51" s="143">
        <v>67313.774000000005</v>
      </c>
      <c r="X51" s="2">
        <v>71525.337</v>
      </c>
      <c r="Y51" s="2">
        <v>83776.475999999995</v>
      </c>
      <c r="Z51" s="2">
        <v>74712.127999999997</v>
      </c>
      <c r="AA51" s="2">
        <v>68465.225999999995</v>
      </c>
    </row>
    <row r="52" spans="1:57">
      <c r="A52" s="23" t="s">
        <v>112</v>
      </c>
      <c r="B52" s="152"/>
      <c r="C52" s="152"/>
      <c r="D52" s="152"/>
      <c r="E52" s="152"/>
      <c r="F52" s="151">
        <v>7891.3010000000004</v>
      </c>
      <c r="G52" s="152"/>
      <c r="H52" s="152"/>
      <c r="I52" s="152">
        <v>2357.8519999999999</v>
      </c>
      <c r="J52" s="152"/>
      <c r="K52" s="152">
        <v>2322.616</v>
      </c>
      <c r="L52" s="152">
        <v>2292.6930000000002</v>
      </c>
      <c r="M52" s="152">
        <v>2117.2689999999998</v>
      </c>
      <c r="N52" s="152">
        <v>14149.937</v>
      </c>
      <c r="O52" s="152">
        <v>14642.278</v>
      </c>
      <c r="P52" s="152">
        <v>15915.495000000001</v>
      </c>
      <c r="Q52" s="152">
        <v>17070.773000000001</v>
      </c>
      <c r="R52" s="152">
        <v>18186.945</v>
      </c>
      <c r="S52" s="152">
        <v>15212.665999999999</v>
      </c>
      <c r="T52" s="143">
        <v>12875.066999999999</v>
      </c>
      <c r="U52" s="143">
        <v>8865.7999999999993</v>
      </c>
      <c r="V52" s="143">
        <v>18195.624</v>
      </c>
      <c r="W52" s="143">
        <v>20716.341</v>
      </c>
      <c r="X52" s="2">
        <v>16785.565999999999</v>
      </c>
      <c r="Y52" s="2">
        <v>11358.858</v>
      </c>
      <c r="Z52" s="2">
        <v>11813.223</v>
      </c>
      <c r="AA52" s="2">
        <v>7176.326</v>
      </c>
    </row>
    <row r="53" spans="1:57">
      <c r="A53" s="45" t="s">
        <v>116</v>
      </c>
      <c r="B53" s="155"/>
      <c r="C53" s="155"/>
      <c r="D53" s="155"/>
      <c r="E53" s="155"/>
      <c r="F53" s="154">
        <v>67236.206999999995</v>
      </c>
      <c r="G53" s="155"/>
      <c r="H53" s="155"/>
      <c r="I53" s="155">
        <v>90522.379000000001</v>
      </c>
      <c r="J53" s="155"/>
      <c r="K53" s="155">
        <v>106634.101</v>
      </c>
      <c r="L53" s="155">
        <v>151655.95000000001</v>
      </c>
      <c r="M53" s="155">
        <v>144672.91800000001</v>
      </c>
      <c r="N53" s="155">
        <v>187090.45300000001</v>
      </c>
      <c r="O53" s="155">
        <v>183567.79800000001</v>
      </c>
      <c r="P53" s="155">
        <v>258455.31599999999</v>
      </c>
      <c r="Q53" s="155">
        <v>278312.13900000002</v>
      </c>
      <c r="R53" s="155">
        <v>297545.50699999998</v>
      </c>
      <c r="S53" s="155">
        <v>319109.24099999998</v>
      </c>
      <c r="T53" s="144">
        <v>348359.14199999999</v>
      </c>
      <c r="U53" s="144">
        <v>406623.973</v>
      </c>
      <c r="V53" s="144">
        <v>234580.99900000001</v>
      </c>
      <c r="W53" s="144">
        <v>209812.861</v>
      </c>
      <c r="X53" s="45">
        <v>210652.78200000001</v>
      </c>
      <c r="Y53" s="45">
        <v>177302.701</v>
      </c>
      <c r="Z53" s="45">
        <v>371149.728</v>
      </c>
      <c r="AA53" s="45">
        <v>177009.97200000001</v>
      </c>
    </row>
    <row r="54" spans="1:57" s="23" customFormat="1">
      <c r="A54" s="79" t="s">
        <v>122</v>
      </c>
      <c r="B54" s="145">
        <f>SUM(B56:B64)</f>
        <v>0</v>
      </c>
      <c r="C54" s="145">
        <f t="shared" ref="C54:AA54" si="10">SUM(C56:C64)</f>
        <v>0</v>
      </c>
      <c r="D54" s="145">
        <f t="shared" si="10"/>
        <v>0</v>
      </c>
      <c r="E54" s="145">
        <f t="shared" si="10"/>
        <v>0</v>
      </c>
      <c r="F54" s="145">
        <f t="shared" si="10"/>
        <v>426430.163</v>
      </c>
      <c r="G54" s="145">
        <f t="shared" si="10"/>
        <v>0</v>
      </c>
      <c r="H54" s="145">
        <f t="shared" si="10"/>
        <v>0</v>
      </c>
      <c r="I54" s="145">
        <f t="shared" si="10"/>
        <v>523436.22900000005</v>
      </c>
      <c r="J54" s="145">
        <f t="shared" si="10"/>
        <v>0</v>
      </c>
      <c r="K54" s="145">
        <f t="shared" si="10"/>
        <v>623467.65899999999</v>
      </c>
      <c r="L54" s="145">
        <f t="shared" si="10"/>
        <v>743211.929</v>
      </c>
      <c r="M54" s="145">
        <f t="shared" si="10"/>
        <v>824020.91899999999</v>
      </c>
      <c r="N54" s="145">
        <f t="shared" si="10"/>
        <v>1211927.024</v>
      </c>
      <c r="O54" s="145">
        <f t="shared" si="10"/>
        <v>1218675.3330000001</v>
      </c>
      <c r="P54" s="145">
        <f t="shared" si="10"/>
        <v>1247345.7010000001</v>
      </c>
      <c r="Q54" s="145">
        <f t="shared" si="10"/>
        <v>1438318.6639999999</v>
      </c>
      <c r="R54" s="145">
        <f t="shared" si="10"/>
        <v>1593231.5589999999</v>
      </c>
      <c r="S54" s="145">
        <f t="shared" si="10"/>
        <v>1809556.8539999998</v>
      </c>
      <c r="T54" s="145">
        <f t="shared" si="10"/>
        <v>1696875.7889999999</v>
      </c>
      <c r="U54" s="145">
        <f t="shared" si="10"/>
        <v>1893541.5989999999</v>
      </c>
      <c r="V54" s="145">
        <f t="shared" si="10"/>
        <v>321539.48099999997</v>
      </c>
      <c r="W54" s="145">
        <f t="shared" si="10"/>
        <v>532315.27400000009</v>
      </c>
      <c r="X54" s="145">
        <f t="shared" si="10"/>
        <v>376704.67000000004</v>
      </c>
      <c r="Y54" s="145">
        <f t="shared" si="10"/>
        <v>197221.215</v>
      </c>
      <c r="Z54" s="145">
        <f t="shared" si="10"/>
        <v>242757.75</v>
      </c>
      <c r="AA54" s="145">
        <f t="shared" si="10"/>
        <v>264684.60599999997</v>
      </c>
    </row>
    <row r="55" spans="1:57">
      <c r="A55" s="79" t="s">
        <v>119</v>
      </c>
      <c r="B55" s="152"/>
      <c r="C55" s="152"/>
      <c r="D55" s="152"/>
      <c r="E55" s="152"/>
      <c r="F55" s="152"/>
      <c r="G55" s="152"/>
      <c r="H55" s="152"/>
      <c r="I55" s="152"/>
      <c r="J55" s="152"/>
      <c r="K55" s="152"/>
      <c r="L55" s="152"/>
      <c r="M55" s="152"/>
      <c r="N55" s="152"/>
      <c r="O55" s="152"/>
      <c r="P55" s="152"/>
      <c r="Q55" s="152"/>
      <c r="R55" s="152"/>
      <c r="S55" s="152"/>
      <c r="T55" s="143"/>
      <c r="U55" s="143"/>
      <c r="V55" s="143"/>
      <c r="W55" s="143"/>
      <c r="X55" s="2">
        <v>0</v>
      </c>
      <c r="Y55" s="2">
        <v>0</v>
      </c>
    </row>
    <row r="56" spans="1:57" s="23" customFormat="1">
      <c r="A56" s="23" t="s">
        <v>89</v>
      </c>
      <c r="B56" s="150"/>
      <c r="C56" s="150"/>
      <c r="D56" s="150"/>
      <c r="E56" s="150"/>
      <c r="F56" s="151">
        <v>1363.288</v>
      </c>
      <c r="G56" s="150"/>
      <c r="H56" s="150"/>
      <c r="I56" s="152">
        <v>15507.797</v>
      </c>
      <c r="J56" s="152"/>
      <c r="K56" s="152">
        <v>9125.7440000000006</v>
      </c>
      <c r="L56" s="152">
        <v>13970.813</v>
      </c>
      <c r="M56" s="152">
        <v>29522.133000000002</v>
      </c>
      <c r="N56" s="152">
        <v>126250.534</v>
      </c>
      <c r="O56" s="152">
        <v>158847.52600000001</v>
      </c>
      <c r="P56" s="152">
        <v>185677.601</v>
      </c>
      <c r="Q56" s="152">
        <v>218196.014</v>
      </c>
      <c r="R56" s="152">
        <v>209700.26199999999</v>
      </c>
      <c r="S56" s="152">
        <v>202249.77</v>
      </c>
      <c r="T56" s="143">
        <v>132746.679</v>
      </c>
      <c r="U56" s="143">
        <v>83624.460999999996</v>
      </c>
      <c r="V56" s="143">
        <v>45117.095000000001</v>
      </c>
      <c r="W56" s="143">
        <v>46820.250999999997</v>
      </c>
      <c r="X56" s="2">
        <v>13820.741</v>
      </c>
      <c r="Y56" s="2">
        <v>439.48599999999999</v>
      </c>
      <c r="Z56" s="2">
        <v>3822.86</v>
      </c>
      <c r="AA56" s="2">
        <v>1473.87</v>
      </c>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row>
    <row r="57" spans="1:57" s="23" customFormat="1">
      <c r="A57" s="23" t="s">
        <v>96</v>
      </c>
      <c r="B57" s="150"/>
      <c r="C57" s="150"/>
      <c r="D57" s="150"/>
      <c r="E57" s="150"/>
      <c r="F57" s="151">
        <v>8973.6319999999996</v>
      </c>
      <c r="G57" s="150"/>
      <c r="H57" s="150"/>
      <c r="I57" s="152">
        <v>3290.7220000000002</v>
      </c>
      <c r="J57" s="152"/>
      <c r="K57" s="152">
        <v>5415.5129999999999</v>
      </c>
      <c r="L57" s="152">
        <v>10578.504000000001</v>
      </c>
      <c r="M57" s="152">
        <v>7614.915</v>
      </c>
      <c r="N57" s="152">
        <v>30263.764999999999</v>
      </c>
      <c r="O57" s="152">
        <v>32716.592000000001</v>
      </c>
      <c r="P57" s="152">
        <v>26106.454000000002</v>
      </c>
      <c r="Q57" s="152">
        <v>24632.473000000002</v>
      </c>
      <c r="R57" s="152">
        <v>26361.883000000002</v>
      </c>
      <c r="S57" s="152">
        <v>29963.768</v>
      </c>
      <c r="T57" s="143">
        <v>33351.148999999998</v>
      </c>
      <c r="U57" s="143">
        <v>36285.315000000002</v>
      </c>
      <c r="V57" s="143">
        <v>572</v>
      </c>
      <c r="W57" s="143">
        <v>824</v>
      </c>
      <c r="X57" s="2">
        <v>1126.2660000000001</v>
      </c>
      <c r="Y57" s="2">
        <v>16</v>
      </c>
      <c r="Z57" s="2">
        <v>112.001</v>
      </c>
      <c r="AA57" s="2">
        <v>0</v>
      </c>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row>
    <row r="58" spans="1:57" s="17" customFormat="1">
      <c r="A58" s="23" t="s">
        <v>97</v>
      </c>
      <c r="B58" s="150"/>
      <c r="C58" s="150"/>
      <c r="D58" s="150"/>
      <c r="E58" s="152"/>
      <c r="F58" s="151">
        <v>12242.611000000001</v>
      </c>
      <c r="G58" s="150"/>
      <c r="H58" s="150"/>
      <c r="I58" s="152">
        <v>3381.9119999999998</v>
      </c>
      <c r="J58" s="152"/>
      <c r="K58" s="152">
        <v>13893.763000000001</v>
      </c>
      <c r="L58" s="152">
        <v>82104.876999999993</v>
      </c>
      <c r="M58" s="152">
        <v>80203.464999999997</v>
      </c>
      <c r="N58" s="152">
        <v>140445.891</v>
      </c>
      <c r="O58" s="152">
        <v>134591.41800000001</v>
      </c>
      <c r="P58" s="152">
        <v>145991.81</v>
      </c>
      <c r="Q58" s="152">
        <v>167742.33100000001</v>
      </c>
      <c r="R58" s="152">
        <v>173167.014</v>
      </c>
      <c r="S58" s="152">
        <v>190065.37899999999</v>
      </c>
      <c r="T58" s="143">
        <v>178502.91699999999</v>
      </c>
      <c r="U58" s="143">
        <v>176519.21400000001</v>
      </c>
      <c r="V58" s="143">
        <v>74272.429999999993</v>
      </c>
      <c r="W58" s="143">
        <v>47616.040999999997</v>
      </c>
      <c r="X58" s="23">
        <v>49076.775000000001</v>
      </c>
      <c r="Y58" s="2">
        <v>45213.949000000001</v>
      </c>
      <c r="Z58" s="2">
        <v>54806.735999999997</v>
      </c>
      <c r="AA58" s="2">
        <v>45581.093999999997</v>
      </c>
    </row>
    <row r="59" spans="1:57">
      <c r="A59" s="23" t="s">
        <v>103</v>
      </c>
      <c r="B59" s="152"/>
      <c r="C59" s="152"/>
      <c r="D59" s="152"/>
      <c r="E59" s="152"/>
      <c r="F59" s="151">
        <v>17627.335999999999</v>
      </c>
      <c r="G59" s="152"/>
      <c r="H59" s="152"/>
      <c r="I59" s="152">
        <v>15190.97</v>
      </c>
      <c r="J59" s="152"/>
      <c r="K59" s="152">
        <v>11640.334000000001</v>
      </c>
      <c r="L59" s="152">
        <v>19736.28</v>
      </c>
      <c r="M59" s="152">
        <v>24422.940999999999</v>
      </c>
      <c r="N59" s="152">
        <v>59155.881000000001</v>
      </c>
      <c r="O59" s="152">
        <v>53290.046000000002</v>
      </c>
      <c r="P59" s="152">
        <v>43930.474000000002</v>
      </c>
      <c r="Q59" s="152">
        <v>42242.989000000001</v>
      </c>
      <c r="R59" s="152">
        <v>53432.942000000003</v>
      </c>
      <c r="S59" s="152">
        <v>51282.216999999997</v>
      </c>
      <c r="T59" s="143">
        <v>16262.09</v>
      </c>
      <c r="U59" s="143">
        <v>137.01400000000001</v>
      </c>
      <c r="V59" s="143">
        <v>1831.432</v>
      </c>
      <c r="W59" s="143">
        <v>1315.605</v>
      </c>
      <c r="X59" s="2">
        <v>766.96500000000003</v>
      </c>
      <c r="Y59" s="2">
        <v>958.13499999999999</v>
      </c>
      <c r="Z59" s="2">
        <v>746.30499999999995</v>
      </c>
      <c r="AA59" s="2">
        <v>3863.6179999999999</v>
      </c>
    </row>
    <row r="60" spans="1:57">
      <c r="A60" s="23" t="s">
        <v>104</v>
      </c>
      <c r="B60" s="152"/>
      <c r="C60" s="152"/>
      <c r="D60" s="152"/>
      <c r="E60" s="152"/>
      <c r="F60" s="151">
        <v>38577.584000000003</v>
      </c>
      <c r="G60" s="152"/>
      <c r="H60" s="152"/>
      <c r="I60" s="152">
        <v>53495.06</v>
      </c>
      <c r="J60" s="152"/>
      <c r="K60" s="152">
        <v>104915.095</v>
      </c>
      <c r="L60" s="152">
        <v>67770.760999999999</v>
      </c>
      <c r="M60" s="152">
        <v>100085.144</v>
      </c>
      <c r="N60" s="152">
        <v>301794.50900000002</v>
      </c>
      <c r="O60" s="152">
        <v>309776.11499999999</v>
      </c>
      <c r="P60" s="152">
        <v>207005.174</v>
      </c>
      <c r="Q60" s="152">
        <v>358153.44099999999</v>
      </c>
      <c r="R60" s="152">
        <v>402923.02299999999</v>
      </c>
      <c r="S60" s="152">
        <v>417570.96</v>
      </c>
      <c r="T60" s="143">
        <v>294648.95899999997</v>
      </c>
      <c r="U60" s="143">
        <v>289999.99200000003</v>
      </c>
      <c r="V60" s="143">
        <v>65127.023999999998</v>
      </c>
      <c r="W60" s="143">
        <v>59334.94</v>
      </c>
      <c r="X60" s="2">
        <v>51415.150999999998</v>
      </c>
      <c r="Y60" s="2">
        <v>25409.032999999999</v>
      </c>
      <c r="Z60" s="2">
        <v>90866.297000000006</v>
      </c>
      <c r="AA60" s="2">
        <v>82104.782999999996</v>
      </c>
    </row>
    <row r="61" spans="1:57">
      <c r="A61" s="23" t="s">
        <v>106</v>
      </c>
      <c r="B61" s="152"/>
      <c r="C61" s="152"/>
      <c r="D61" s="152"/>
      <c r="E61" s="152"/>
      <c r="F61" s="151">
        <v>207279.704</v>
      </c>
      <c r="G61" s="152"/>
      <c r="H61" s="152"/>
      <c r="I61" s="152">
        <v>295114.43300000002</v>
      </c>
      <c r="J61" s="152"/>
      <c r="K61" s="152">
        <v>336076.67800000001</v>
      </c>
      <c r="L61" s="152">
        <v>356653.179</v>
      </c>
      <c r="M61" s="152">
        <v>382484.53600000002</v>
      </c>
      <c r="N61" s="152">
        <v>376817.41700000002</v>
      </c>
      <c r="O61" s="152">
        <v>287511.77100000001</v>
      </c>
      <c r="P61" s="152">
        <v>508837.46</v>
      </c>
      <c r="Q61" s="152">
        <v>507930.37</v>
      </c>
      <c r="R61" s="152">
        <v>584045.51899999997</v>
      </c>
      <c r="S61" s="152">
        <v>754452.2</v>
      </c>
      <c r="T61" s="143">
        <v>840000.14300000004</v>
      </c>
      <c r="U61" s="143">
        <v>1087072.078</v>
      </c>
      <c r="V61" s="143">
        <v>133598.49900000001</v>
      </c>
      <c r="W61" s="143">
        <v>375308.43599999999</v>
      </c>
      <c r="X61" s="2">
        <v>254193.769</v>
      </c>
      <c r="Y61" s="2">
        <v>88430.611999999994</v>
      </c>
      <c r="Z61" s="2">
        <v>67377.55</v>
      </c>
      <c r="AA61" s="2">
        <v>108418.397</v>
      </c>
    </row>
    <row r="62" spans="1:57">
      <c r="A62" s="23" t="s">
        <v>110</v>
      </c>
      <c r="B62" s="152"/>
      <c r="C62" s="152"/>
      <c r="D62" s="152"/>
      <c r="E62" s="152"/>
      <c r="F62" s="151">
        <v>129513.412</v>
      </c>
      <c r="G62" s="152"/>
      <c r="H62" s="152"/>
      <c r="I62" s="152">
        <v>124419.064</v>
      </c>
      <c r="J62" s="152"/>
      <c r="K62" s="152">
        <v>134556.17800000001</v>
      </c>
      <c r="L62" s="152">
        <v>175678.97700000001</v>
      </c>
      <c r="M62" s="152">
        <v>199459.76199999999</v>
      </c>
      <c r="N62" s="152">
        <v>137844.106</v>
      </c>
      <c r="O62" s="152">
        <v>68668.22</v>
      </c>
      <c r="P62" s="152">
        <v>76636.323999999993</v>
      </c>
      <c r="Q62" s="152">
        <v>81609.815000000002</v>
      </c>
      <c r="R62" s="152">
        <v>88806.202999999994</v>
      </c>
      <c r="S62" s="152">
        <v>96735.724000000002</v>
      </c>
      <c r="T62" s="143">
        <v>106585.80499999999</v>
      </c>
      <c r="U62" s="143">
        <v>122384.001</v>
      </c>
      <c r="V62" s="143">
        <v>1E-3</v>
      </c>
      <c r="W62" s="143">
        <v>0</v>
      </c>
      <c r="X62" s="2">
        <v>0</v>
      </c>
      <c r="Y62" s="2">
        <v>0</v>
      </c>
      <c r="Z62" s="2">
        <v>0</v>
      </c>
      <c r="AA62" s="2">
        <v>167.84299999999999</v>
      </c>
    </row>
    <row r="63" spans="1:57">
      <c r="A63" s="23" t="s">
        <v>111</v>
      </c>
      <c r="B63" s="152"/>
      <c r="C63" s="152"/>
      <c r="D63" s="152"/>
      <c r="E63" s="152"/>
      <c r="F63" s="151">
        <v>2752.654</v>
      </c>
      <c r="G63" s="152"/>
      <c r="H63" s="152"/>
      <c r="I63" s="152">
        <v>1619.729</v>
      </c>
      <c r="J63" s="152"/>
      <c r="K63" s="152">
        <v>1143.33</v>
      </c>
      <c r="L63" s="152">
        <v>3056.9670000000001</v>
      </c>
      <c r="M63" s="152">
        <v>4002.09</v>
      </c>
      <c r="N63" s="152">
        <v>19241.319</v>
      </c>
      <c r="O63" s="152">
        <v>23080.835999999999</v>
      </c>
      <c r="P63" s="152">
        <v>25865.350999999999</v>
      </c>
      <c r="Q63" s="152">
        <v>25984.741999999998</v>
      </c>
      <c r="R63" s="152">
        <v>24649.653999999999</v>
      </c>
      <c r="S63" s="152">
        <v>28827.055</v>
      </c>
      <c r="T63" s="143">
        <v>47065.29</v>
      </c>
      <c r="U63" s="143">
        <v>49324.487999999998</v>
      </c>
      <c r="V63" s="143">
        <v>0</v>
      </c>
      <c r="W63" s="143">
        <v>1E-3</v>
      </c>
      <c r="X63" s="2">
        <v>0</v>
      </c>
      <c r="Y63" s="2">
        <v>0</v>
      </c>
      <c r="Z63" s="2">
        <v>0</v>
      </c>
      <c r="AA63" s="2">
        <v>0</v>
      </c>
    </row>
    <row r="64" spans="1:57">
      <c r="A64" s="45" t="s">
        <v>114</v>
      </c>
      <c r="B64" s="155"/>
      <c r="C64" s="155"/>
      <c r="D64" s="155"/>
      <c r="E64" s="155"/>
      <c r="F64" s="154">
        <v>8099.942</v>
      </c>
      <c r="G64" s="155"/>
      <c r="H64" s="155"/>
      <c r="I64" s="155">
        <v>11416.541999999999</v>
      </c>
      <c r="J64" s="155"/>
      <c r="K64" s="155">
        <v>6701.0240000000003</v>
      </c>
      <c r="L64" s="155">
        <v>13661.571</v>
      </c>
      <c r="M64" s="155">
        <v>-3774.067</v>
      </c>
      <c r="N64" s="155">
        <v>20113.601999999999</v>
      </c>
      <c r="O64" s="155">
        <v>150192.80900000001</v>
      </c>
      <c r="P64" s="155">
        <v>27295.053</v>
      </c>
      <c r="Q64" s="155">
        <v>11826.489</v>
      </c>
      <c r="R64" s="155">
        <v>30145.059000000001</v>
      </c>
      <c r="S64" s="155">
        <v>38409.781000000003</v>
      </c>
      <c r="T64" s="144">
        <v>47712.756999999998</v>
      </c>
      <c r="U64" s="144">
        <v>48195.036</v>
      </c>
      <c r="V64" s="144">
        <v>1021</v>
      </c>
      <c r="W64" s="144">
        <v>1096</v>
      </c>
      <c r="X64" s="45">
        <v>6305.0029999999997</v>
      </c>
      <c r="Y64" s="45">
        <v>36754</v>
      </c>
      <c r="Z64" s="45">
        <v>25026.001</v>
      </c>
      <c r="AA64" s="45">
        <v>23075.001</v>
      </c>
    </row>
    <row r="65" spans="1:57">
      <c r="A65" s="88" t="s">
        <v>90</v>
      </c>
      <c r="B65" s="156"/>
      <c r="C65" s="156"/>
      <c r="D65" s="156"/>
      <c r="E65" s="156"/>
      <c r="F65" s="157">
        <v>889.60599999999999</v>
      </c>
      <c r="G65" s="156"/>
      <c r="H65" s="156"/>
      <c r="I65" s="158">
        <v>1707.106</v>
      </c>
      <c r="J65" s="158"/>
      <c r="K65" s="158">
        <v>1938.7649199999998</v>
      </c>
      <c r="L65" s="158">
        <v>457.35300000000001</v>
      </c>
      <c r="M65" s="158">
        <v>0</v>
      </c>
      <c r="N65" s="158">
        <v>4429.835</v>
      </c>
      <c r="O65" s="158">
        <v>4904.9930000000004</v>
      </c>
      <c r="P65" s="158">
        <v>4284.4260000000004</v>
      </c>
      <c r="Q65" s="158">
        <v>5400.375</v>
      </c>
      <c r="R65" s="158">
        <v>5724.35</v>
      </c>
      <c r="S65" s="158">
        <v>8663.1820000000007</v>
      </c>
      <c r="T65" s="146">
        <v>5310.0119999999997</v>
      </c>
      <c r="U65" s="146">
        <v>5675.7380000000003</v>
      </c>
      <c r="V65" s="146">
        <v>-0.1</v>
      </c>
      <c r="W65" s="146">
        <v>5816.34</v>
      </c>
      <c r="X65" s="45">
        <v>6677.5060000000003</v>
      </c>
      <c r="Y65" s="45">
        <v>5.5E-2</v>
      </c>
      <c r="Z65" s="45">
        <v>12253.69</v>
      </c>
      <c r="AA65" s="45">
        <v>23817.253000000001</v>
      </c>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row>
    <row r="67" spans="1:57">
      <c r="B67" s="13"/>
      <c r="C67" s="13"/>
      <c r="D67" s="18" t="s">
        <v>54</v>
      </c>
      <c r="F67" s="14" t="s">
        <v>53</v>
      </c>
      <c r="G67" s="13" t="s">
        <v>28</v>
      </c>
      <c r="H67" s="13"/>
      <c r="I67" s="14" t="s">
        <v>53</v>
      </c>
      <c r="J67" s="14" t="s">
        <v>53</v>
      </c>
      <c r="K67" s="14" t="s">
        <v>53</v>
      </c>
      <c r="L67" s="14" t="s">
        <v>69</v>
      </c>
      <c r="O67" s="14" t="s">
        <v>53</v>
      </c>
      <c r="P67" s="14" t="s">
        <v>53</v>
      </c>
      <c r="Q67" s="14" t="s">
        <v>53</v>
      </c>
      <c r="R67" s="14" t="s">
        <v>53</v>
      </c>
    </row>
    <row r="68" spans="1:57">
      <c r="B68" s="13"/>
      <c r="C68" s="13"/>
      <c r="D68" s="18" t="s">
        <v>55</v>
      </c>
      <c r="G68" s="13" t="s">
        <v>30</v>
      </c>
      <c r="H68" s="13"/>
      <c r="I68" s="14" t="s">
        <v>78</v>
      </c>
      <c r="L68" s="14" t="s">
        <v>70</v>
      </c>
      <c r="O68" s="14" t="s">
        <v>78</v>
      </c>
      <c r="P68" s="14" t="s">
        <v>78</v>
      </c>
      <c r="Q68" s="14" t="s">
        <v>78</v>
      </c>
      <c r="R68" s="14" t="s">
        <v>78</v>
      </c>
    </row>
    <row r="69" spans="1:57">
      <c r="B69" s="13"/>
      <c r="C69" s="13"/>
      <c r="D69" s="13" t="s">
        <v>27</v>
      </c>
      <c r="G69" s="13" t="s">
        <v>32</v>
      </c>
      <c r="H69" s="13"/>
      <c r="I69" s="14" t="s">
        <v>79</v>
      </c>
      <c r="J69" s="14" t="s">
        <v>76</v>
      </c>
      <c r="O69" s="14" t="s">
        <v>79</v>
      </c>
      <c r="P69" s="14" t="s">
        <v>79</v>
      </c>
      <c r="Q69" s="14" t="s">
        <v>79</v>
      </c>
      <c r="R69" s="14" t="s">
        <v>79</v>
      </c>
    </row>
    <row r="70" spans="1:57">
      <c r="B70" s="13"/>
      <c r="C70" s="13"/>
      <c r="D70" s="13" t="s">
        <v>29</v>
      </c>
      <c r="G70" s="13" t="s">
        <v>28</v>
      </c>
      <c r="H70" s="13"/>
      <c r="I70" s="14" t="s">
        <v>80</v>
      </c>
      <c r="J70" s="14" t="s">
        <v>72</v>
      </c>
      <c r="Q70" s="14" t="s">
        <v>80</v>
      </c>
      <c r="R70" s="14" t="s">
        <v>80</v>
      </c>
    </row>
    <row r="71" spans="1:57">
      <c r="B71" s="13"/>
      <c r="C71" s="13"/>
      <c r="D71" s="13" t="s">
        <v>31</v>
      </c>
      <c r="H71" s="13"/>
      <c r="J71" s="14" t="s">
        <v>73</v>
      </c>
    </row>
    <row r="72" spans="1:57">
      <c r="B72" s="13"/>
      <c r="C72" s="13"/>
      <c r="D72" s="13" t="s">
        <v>33</v>
      </c>
      <c r="G72" s="13" t="s">
        <v>30</v>
      </c>
      <c r="H72" s="13"/>
      <c r="J72" s="14" t="s">
        <v>74</v>
      </c>
    </row>
    <row r="73" spans="1:57">
      <c r="B73" s="13"/>
      <c r="C73" s="13"/>
      <c r="D73" s="13" t="s">
        <v>34</v>
      </c>
      <c r="G73" s="18" t="s">
        <v>36</v>
      </c>
      <c r="H73" s="13"/>
    </row>
    <row r="74" spans="1:57">
      <c r="B74" s="18"/>
      <c r="C74" s="13"/>
      <c r="D74" s="13" t="s">
        <v>35</v>
      </c>
      <c r="G74" s="18" t="s">
        <v>38</v>
      </c>
      <c r="H74" s="13"/>
    </row>
    <row r="75" spans="1:57">
      <c r="B75" s="67" t="s">
        <v>71</v>
      </c>
      <c r="C75" s="13"/>
      <c r="D75" s="13" t="s">
        <v>37</v>
      </c>
      <c r="G75" s="13"/>
      <c r="H75" s="13"/>
    </row>
    <row r="76" spans="1:57">
      <c r="B76" s="13"/>
      <c r="C76" s="13"/>
      <c r="D76" s="18" t="s">
        <v>36</v>
      </c>
      <c r="G76" s="13"/>
      <c r="H76" s="13"/>
    </row>
    <row r="77" spans="1:57">
      <c r="B77" s="13"/>
      <c r="C77" s="13"/>
      <c r="D77" s="18" t="s">
        <v>38</v>
      </c>
      <c r="G77" s="13"/>
      <c r="H77" s="13"/>
    </row>
    <row r="78" spans="1:57">
      <c r="D78" s="13"/>
    </row>
    <row r="79" spans="1:57">
      <c r="D79" s="13"/>
    </row>
    <row r="99" spans="2:8">
      <c r="B99" s="13"/>
      <c r="C99" s="13"/>
      <c r="G99" s="13"/>
      <c r="H99" s="13"/>
    </row>
    <row r="102" spans="2:8">
      <c r="D102" s="62"/>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codeName="Sheet12">
    <tabColor indexed="62"/>
  </sheetPr>
  <dimension ref="A1:BE102"/>
  <sheetViews>
    <sheetView showZeros="0" zoomScale="80" zoomScaleNormal="80" workbookViewId="0">
      <pane xSplit="1" ySplit="5" topLeftCell="N6" activePane="bottomRight" state="frozen"/>
      <selection activeCell="A6" sqref="A6:T65"/>
      <selection pane="topRight" activeCell="A6" sqref="A6:T65"/>
      <selection pane="bottomLeft" activeCell="A6" sqref="A6:T65"/>
      <selection pane="bottomRight" activeCell="AI19" sqref="AI19"/>
    </sheetView>
  </sheetViews>
  <sheetFormatPr defaultColWidth="9.7109375" defaultRowHeight="12.75"/>
  <cols>
    <col min="1" max="1" width="23.42578125" style="80" customWidth="1"/>
    <col min="2" max="23" width="12.42578125" style="14" customWidth="1"/>
    <col min="24" max="57" width="10.7109375" style="2" customWidth="1"/>
    <col min="58" max="16384" width="9.7109375" style="2"/>
  </cols>
  <sheetData>
    <row r="1" spans="1:48">
      <c r="A1" s="21" t="s">
        <v>39</v>
      </c>
      <c r="B1"/>
      <c r="C1"/>
      <c r="D1"/>
      <c r="E1"/>
      <c r="F1"/>
      <c r="G1"/>
      <c r="H1"/>
      <c r="I1"/>
      <c r="J1"/>
      <c r="K1"/>
      <c r="L1"/>
      <c r="M1" s="46"/>
      <c r="N1" s="46"/>
      <c r="O1" s="46"/>
      <c r="P1" s="46"/>
      <c r="Q1" s="46"/>
      <c r="R1" s="46"/>
      <c r="S1"/>
      <c r="T1"/>
      <c r="U1"/>
      <c r="V1"/>
      <c r="W1"/>
    </row>
    <row r="2" spans="1:48">
      <c r="A2" s="12"/>
      <c r="B2"/>
      <c r="C2"/>
      <c r="D2"/>
      <c r="E2"/>
      <c r="F2"/>
      <c r="G2"/>
      <c r="H2"/>
      <c r="I2"/>
      <c r="J2"/>
      <c r="K2"/>
      <c r="L2"/>
      <c r="M2" s="46"/>
      <c r="N2" s="46"/>
      <c r="O2" s="46"/>
      <c r="P2" s="46"/>
      <c r="Q2" s="46"/>
      <c r="R2" s="46"/>
      <c r="S2"/>
      <c r="T2"/>
      <c r="U2"/>
      <c r="V2"/>
      <c r="W2"/>
    </row>
    <row r="3" spans="1:48">
      <c r="A3" s="13" t="s">
        <v>26</v>
      </c>
      <c r="B3"/>
      <c r="C3"/>
      <c r="D3"/>
      <c r="E3"/>
      <c r="F3"/>
      <c r="G3"/>
      <c r="H3"/>
      <c r="I3"/>
      <c r="J3"/>
      <c r="K3"/>
      <c r="L3"/>
      <c r="M3" s="46"/>
      <c r="N3" s="46"/>
      <c r="O3" s="46"/>
      <c r="P3" s="46"/>
      <c r="Q3" s="46"/>
      <c r="R3" s="46"/>
      <c r="S3"/>
      <c r="T3"/>
      <c r="U3"/>
      <c r="V3"/>
      <c r="W3"/>
    </row>
    <row r="4" spans="1:48" s="61"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60">
        <v>2005</v>
      </c>
      <c r="R4" s="60">
        <v>2006</v>
      </c>
      <c r="S4" s="74">
        <v>2007</v>
      </c>
      <c r="T4" s="74">
        <v>2008</v>
      </c>
      <c r="U4" s="74">
        <v>2009</v>
      </c>
      <c r="V4" s="74">
        <v>2010</v>
      </c>
      <c r="W4" s="74">
        <v>2011</v>
      </c>
      <c r="X4" s="175">
        <v>2012</v>
      </c>
      <c r="Y4" s="175">
        <v>2013</v>
      </c>
      <c r="Z4" s="175">
        <v>2014</v>
      </c>
      <c r="AA4" s="175">
        <v>2015</v>
      </c>
      <c r="AB4" s="59"/>
      <c r="AC4" s="59"/>
      <c r="AD4" s="59"/>
      <c r="AE4" s="59"/>
      <c r="AF4" s="59"/>
      <c r="AG4" s="59"/>
      <c r="AH4" s="59"/>
      <c r="AI4" s="59"/>
      <c r="AJ4" s="59"/>
      <c r="AK4" s="59"/>
      <c r="AL4" s="59"/>
      <c r="AM4" s="59"/>
      <c r="AN4" s="59"/>
      <c r="AO4" s="59"/>
      <c r="AP4" s="59"/>
      <c r="AQ4" s="59"/>
      <c r="AR4" s="59"/>
      <c r="AS4" s="59"/>
      <c r="AT4" s="59"/>
      <c r="AU4" s="59"/>
      <c r="AV4" s="59"/>
    </row>
    <row r="5" spans="1:48" s="19" customFormat="1">
      <c r="B5" s="15" t="s">
        <v>2</v>
      </c>
      <c r="C5" s="15" t="s">
        <v>2</v>
      </c>
      <c r="D5" s="15" t="s">
        <v>2</v>
      </c>
      <c r="E5" s="15" t="s">
        <v>2</v>
      </c>
      <c r="F5" s="15" t="s">
        <v>2</v>
      </c>
      <c r="G5" s="15" t="s">
        <v>2</v>
      </c>
      <c r="H5" s="15" t="s">
        <v>2</v>
      </c>
      <c r="I5" s="15" t="s">
        <v>2</v>
      </c>
      <c r="J5" s="15" t="s">
        <v>2</v>
      </c>
      <c r="K5" s="15" t="s">
        <v>2</v>
      </c>
      <c r="L5" s="15" t="s">
        <v>2</v>
      </c>
      <c r="M5" s="15" t="s">
        <v>2</v>
      </c>
      <c r="N5" s="15" t="s">
        <v>2</v>
      </c>
      <c r="O5" s="15" t="s">
        <v>2</v>
      </c>
      <c r="P5" s="15" t="s">
        <v>2</v>
      </c>
      <c r="Q5" s="15" t="s">
        <v>2</v>
      </c>
      <c r="R5" s="15" t="s">
        <v>2</v>
      </c>
      <c r="S5" s="15" t="s">
        <v>2</v>
      </c>
      <c r="T5" s="15" t="s">
        <v>2</v>
      </c>
      <c r="U5" s="15" t="s">
        <v>2</v>
      </c>
      <c r="V5" s="15" t="s">
        <v>2</v>
      </c>
      <c r="W5" s="15" t="s">
        <v>2</v>
      </c>
      <c r="X5" s="19" t="s">
        <v>2</v>
      </c>
      <c r="Y5" s="19" t="s">
        <v>2</v>
      </c>
      <c r="Z5" s="19" t="s">
        <v>2</v>
      </c>
      <c r="AA5" s="19" t="s">
        <v>2</v>
      </c>
    </row>
    <row r="6" spans="1:48" s="23" customFormat="1">
      <c r="A6" s="63" t="s">
        <v>118</v>
      </c>
      <c r="B6" s="159">
        <v>128448</v>
      </c>
      <c r="C6" s="159">
        <v>131488</v>
      </c>
      <c r="D6" s="159">
        <f>138820</f>
        <v>138820</v>
      </c>
      <c r="E6" s="159">
        <f>89000.862+165891.855</f>
        <v>254892.717</v>
      </c>
      <c r="F6" s="91">
        <f>+F7+F25+F40+F54+F65</f>
        <v>296969.96099999995</v>
      </c>
      <c r="G6" s="159">
        <f>108610.261+190387.765+34447.438</f>
        <v>333445.46400000004</v>
      </c>
      <c r="H6" s="159">
        <f>122207.087+198903.504</f>
        <v>321110.59100000001</v>
      </c>
      <c r="I6" s="91">
        <f>+I7+I25+I40+I54+I65</f>
        <v>323129.53600000002</v>
      </c>
      <c r="J6" s="104">
        <f>154226.318+244207.752</f>
        <v>398434.07</v>
      </c>
      <c r="K6" s="91">
        <f t="shared" ref="K6:U6" si="0">+K7+K25+K40+K54+K65</f>
        <v>465077.24921999994</v>
      </c>
      <c r="L6" s="91">
        <f t="shared" si="0"/>
        <v>586096.85999999987</v>
      </c>
      <c r="M6" s="91">
        <f t="shared" si="0"/>
        <v>628547.68000000005</v>
      </c>
      <c r="N6" s="91">
        <f t="shared" si="0"/>
        <v>1489659.7289999998</v>
      </c>
      <c r="O6" s="91">
        <f t="shared" si="0"/>
        <v>1931721.3339999998</v>
      </c>
      <c r="P6" s="91">
        <f t="shared" si="0"/>
        <v>2344443.2320000003</v>
      </c>
      <c r="Q6" s="91">
        <f t="shared" si="0"/>
        <v>2698921.8</v>
      </c>
      <c r="R6" s="91">
        <f t="shared" si="0"/>
        <v>2806381.9479999999</v>
      </c>
      <c r="S6" s="91">
        <f t="shared" si="0"/>
        <v>3390831.1229999997</v>
      </c>
      <c r="T6" s="91">
        <f t="shared" si="0"/>
        <v>3332687.6469999999</v>
      </c>
      <c r="U6" s="91">
        <f t="shared" si="0"/>
        <v>3462055.5720000002</v>
      </c>
      <c r="V6" s="91">
        <f t="shared" ref="V6:W6" si="1">+V7+V25+V40+V54+V65</f>
        <v>2047832.9309999999</v>
      </c>
      <c r="W6" s="91">
        <f t="shared" si="1"/>
        <v>2353830.5950000007</v>
      </c>
      <c r="X6" s="91">
        <f t="shared" ref="X6:Y6" si="2">+X7+X25+X40+X54+X65</f>
        <v>2237079.227</v>
      </c>
      <c r="Y6" s="91">
        <f t="shared" si="2"/>
        <v>1676249.8670000001</v>
      </c>
      <c r="Z6" s="91">
        <f t="shared" ref="Z6:AA6" si="3">+Z7+Z25+Z40+Z54+Z65</f>
        <v>1676903.2719999999</v>
      </c>
      <c r="AA6" s="91">
        <f t="shared" si="3"/>
        <v>1651902.66</v>
      </c>
    </row>
    <row r="7" spans="1:48" s="23" customFormat="1">
      <c r="A7" s="22" t="s">
        <v>56</v>
      </c>
      <c r="B7" s="160">
        <f>SUM(B8:B24)</f>
        <v>26888</v>
      </c>
      <c r="C7" s="160">
        <f t="shared" ref="C7:U7" si="4">SUM(C8:C24)</f>
        <v>40017</v>
      </c>
      <c r="D7" s="160">
        <f t="shared" si="4"/>
        <v>38732</v>
      </c>
      <c r="E7" s="160">
        <f t="shared" si="4"/>
        <v>79889.369999999981</v>
      </c>
      <c r="F7" s="160">
        <f t="shared" si="4"/>
        <v>108453.77399999999</v>
      </c>
      <c r="G7" s="160">
        <f t="shared" si="4"/>
        <v>111422.19399999999</v>
      </c>
      <c r="H7" s="160">
        <f t="shared" si="4"/>
        <v>102094.05099999999</v>
      </c>
      <c r="I7" s="160">
        <f t="shared" si="4"/>
        <v>111469.507</v>
      </c>
      <c r="J7" s="160">
        <f t="shared" si="4"/>
        <v>128085.056</v>
      </c>
      <c r="K7" s="160">
        <f t="shared" si="4"/>
        <v>159848.43782999995</v>
      </c>
      <c r="L7" s="160">
        <f t="shared" si="4"/>
        <v>213482.97799999997</v>
      </c>
      <c r="M7" s="160">
        <f t="shared" si="4"/>
        <v>206330.769</v>
      </c>
      <c r="N7" s="160">
        <f t="shared" si="4"/>
        <v>652172.13699999987</v>
      </c>
      <c r="O7" s="160">
        <f t="shared" si="4"/>
        <v>642738.31799999997</v>
      </c>
      <c r="P7" s="160">
        <f t="shared" si="4"/>
        <v>669100.24900000007</v>
      </c>
      <c r="Q7" s="160">
        <f t="shared" si="4"/>
        <v>733583.90899999999</v>
      </c>
      <c r="R7" s="160">
        <f t="shared" si="4"/>
        <v>776011.59200000018</v>
      </c>
      <c r="S7" s="160">
        <f t="shared" si="4"/>
        <v>823746.1</v>
      </c>
      <c r="T7" s="160">
        <f t="shared" si="4"/>
        <v>832168.51800000004</v>
      </c>
      <c r="U7" s="160">
        <f t="shared" si="4"/>
        <v>680640.54099999997</v>
      </c>
      <c r="V7" s="160">
        <f t="shared" ref="V7:W7" si="5">SUM(V8:V24)</f>
        <v>480568.82800000004</v>
      </c>
      <c r="W7" s="160">
        <f t="shared" si="5"/>
        <v>530811.02699999989</v>
      </c>
      <c r="X7" s="160">
        <f t="shared" ref="X7:Y7" si="6">SUM(X8:X24)</f>
        <v>468253.02899999998</v>
      </c>
      <c r="Y7" s="160">
        <f t="shared" si="6"/>
        <v>400053.54</v>
      </c>
      <c r="Z7" s="160">
        <f t="shared" ref="Z7:AA7" si="7">SUM(Z8:Z24)</f>
        <v>364768.76700000005</v>
      </c>
      <c r="AA7" s="160">
        <f t="shared" si="7"/>
        <v>422691.69400000002</v>
      </c>
    </row>
    <row r="8" spans="1:48">
      <c r="A8" s="79" t="s">
        <v>119</v>
      </c>
      <c r="B8" s="101"/>
      <c r="C8" s="101"/>
      <c r="D8" s="101"/>
      <c r="E8" s="101"/>
      <c r="F8" s="101"/>
      <c r="G8" s="101"/>
      <c r="H8" s="101"/>
      <c r="I8" s="101"/>
      <c r="J8" s="101"/>
      <c r="K8" s="101"/>
      <c r="L8" s="101"/>
      <c r="M8" s="101"/>
      <c r="N8" s="101"/>
      <c r="O8" s="101"/>
      <c r="P8" s="101"/>
      <c r="Q8" s="101"/>
      <c r="R8" s="101"/>
      <c r="S8" s="101"/>
      <c r="T8" s="98"/>
      <c r="U8" s="98"/>
      <c r="V8" s="98"/>
      <c r="W8" s="98"/>
    </row>
    <row r="9" spans="1:48">
      <c r="A9" s="22" t="s">
        <v>3</v>
      </c>
      <c r="B9" s="161">
        <v>1609</v>
      </c>
      <c r="C9" s="161">
        <v>1400</v>
      </c>
      <c r="D9" s="161">
        <v>1080</v>
      </c>
      <c r="E9" s="161">
        <f>3601.338+3125.36</f>
        <v>6726.6980000000003</v>
      </c>
      <c r="F9" s="76">
        <v>11331.338</v>
      </c>
      <c r="G9" s="161">
        <f>4548.325+8649.559</f>
        <v>13197.883999999998</v>
      </c>
      <c r="H9" s="161">
        <f>6145.312+10347.348</f>
        <v>16492.66</v>
      </c>
      <c r="I9" s="161">
        <v>16752.207999999999</v>
      </c>
      <c r="J9" s="161">
        <f>10587.176+6717.583</f>
        <v>17304.758999999998</v>
      </c>
      <c r="K9" s="161">
        <v>22940.923609999998</v>
      </c>
      <c r="L9" s="101">
        <v>26734.044999999998</v>
      </c>
      <c r="M9" s="101">
        <v>34072.771000000001</v>
      </c>
      <c r="N9" s="101">
        <v>25287.694</v>
      </c>
      <c r="O9" s="101">
        <v>29428.871999999999</v>
      </c>
      <c r="P9" s="101">
        <v>32738.137999999999</v>
      </c>
      <c r="Q9" s="101">
        <v>32425.695</v>
      </c>
      <c r="R9" s="101">
        <v>35752.178999999996</v>
      </c>
      <c r="S9" s="101">
        <v>39833.896999999997</v>
      </c>
      <c r="T9" s="98">
        <v>15532.201999999999</v>
      </c>
      <c r="U9" s="98">
        <v>3490.4369999999999</v>
      </c>
      <c r="V9" s="98">
        <v>15906.584000000001</v>
      </c>
      <c r="W9" s="98">
        <v>20238.12</v>
      </c>
      <c r="X9" s="2">
        <v>4761.6670000000004</v>
      </c>
      <c r="Y9" s="2">
        <v>6631.9290000000001</v>
      </c>
      <c r="Z9" s="2">
        <v>7025.1019999999999</v>
      </c>
      <c r="AA9" s="2">
        <v>8008.6459999999997</v>
      </c>
    </row>
    <row r="10" spans="1:48">
      <c r="A10" s="22" t="s">
        <v>4</v>
      </c>
      <c r="B10" s="161">
        <v>149</v>
      </c>
      <c r="C10" s="161">
        <v>609</v>
      </c>
      <c r="D10" s="161">
        <v>229</v>
      </c>
      <c r="E10" s="161">
        <f>451.052+762.013</f>
        <v>1213.0650000000001</v>
      </c>
      <c r="F10" s="76">
        <v>1634.79</v>
      </c>
      <c r="G10" s="161">
        <f>1011.089+1198.844</f>
        <v>2209.933</v>
      </c>
      <c r="H10" s="161">
        <f>1400.978+2022.919</f>
        <v>3423.8969999999999</v>
      </c>
      <c r="I10" s="101">
        <v>2999.0439999999999</v>
      </c>
      <c r="J10" s="101">
        <f>1006.368+3736.206</f>
        <v>4742.5740000000005</v>
      </c>
      <c r="K10" s="101">
        <v>8590.3760000000002</v>
      </c>
      <c r="L10" s="101">
        <v>10276.534</v>
      </c>
      <c r="M10" s="101">
        <v>7014.6779999999999</v>
      </c>
      <c r="N10" s="101">
        <v>42968.976999999999</v>
      </c>
      <c r="O10" s="101">
        <v>22451.135999999999</v>
      </c>
      <c r="P10" s="101">
        <v>28016.683000000001</v>
      </c>
      <c r="Q10" s="101">
        <v>31607.72</v>
      </c>
      <c r="R10" s="101">
        <v>26542.267</v>
      </c>
      <c r="S10" s="101">
        <v>34261.607000000004</v>
      </c>
      <c r="T10" s="98">
        <v>45035.993999999999</v>
      </c>
      <c r="U10" s="98">
        <v>34381.358</v>
      </c>
      <c r="V10" s="98">
        <v>6647.7</v>
      </c>
      <c r="W10" s="98">
        <v>19598.393</v>
      </c>
      <c r="X10" s="2">
        <v>14024.98</v>
      </c>
      <c r="Y10" s="2">
        <v>15816.954</v>
      </c>
      <c r="Z10" s="2">
        <v>15960.851000000001</v>
      </c>
      <c r="AA10" s="2">
        <v>16117.06</v>
      </c>
    </row>
    <row r="11" spans="1:48">
      <c r="A11" s="22" t="s">
        <v>52</v>
      </c>
      <c r="B11" s="161"/>
      <c r="C11" s="161"/>
      <c r="D11" s="161">
        <v>0</v>
      </c>
      <c r="E11" s="161"/>
      <c r="F11" s="76">
        <v>0</v>
      </c>
      <c r="G11" s="161"/>
      <c r="H11" s="161"/>
      <c r="I11" s="101">
        <v>0</v>
      </c>
      <c r="J11" s="101">
        <f>2112.682+0</f>
        <v>2112.6819999999998</v>
      </c>
      <c r="K11" s="101">
        <v>5043.8999999999996</v>
      </c>
      <c r="L11" s="101">
        <v>6712.5</v>
      </c>
      <c r="M11" s="101">
        <v>6348.5</v>
      </c>
      <c r="N11" s="101">
        <v>6023.2</v>
      </c>
      <c r="O11" s="101">
        <v>5393.3</v>
      </c>
      <c r="P11" s="101">
        <v>1817.2170000000001</v>
      </c>
      <c r="Q11" s="101">
        <v>1760.576</v>
      </c>
      <c r="R11" s="101">
        <v>1762.6969999999999</v>
      </c>
      <c r="S11" s="101">
        <v>1748.1659999999999</v>
      </c>
      <c r="T11" s="98">
        <v>1816.9570000000001</v>
      </c>
      <c r="U11" s="98">
        <v>2273.002</v>
      </c>
      <c r="V11" s="98">
        <v>-0.5</v>
      </c>
      <c r="W11" s="98">
        <v>0</v>
      </c>
      <c r="X11" s="2">
        <v>0</v>
      </c>
      <c r="Y11" s="2">
        <v>0</v>
      </c>
      <c r="Z11" s="2">
        <v>0</v>
      </c>
      <c r="AA11" s="2">
        <v>0</v>
      </c>
    </row>
    <row r="12" spans="1:48">
      <c r="A12" s="22" t="s">
        <v>5</v>
      </c>
      <c r="B12" s="161">
        <v>1238</v>
      </c>
      <c r="C12" s="161">
        <v>814</v>
      </c>
      <c r="D12" s="161">
        <v>525</v>
      </c>
      <c r="E12" s="161">
        <f>5942.554+7709.351</f>
        <v>13651.904999999999</v>
      </c>
      <c r="F12" s="76">
        <v>8978.2450000000008</v>
      </c>
      <c r="G12" s="161">
        <f>3912.8+4529.335</f>
        <v>8442.1350000000002</v>
      </c>
      <c r="H12" s="161">
        <f>5364.609+499.726</f>
        <v>5864.335</v>
      </c>
      <c r="I12" s="101">
        <v>2152.5079999999998</v>
      </c>
      <c r="J12" s="101">
        <f>8372.82+4769.854</f>
        <v>13142.673999999999</v>
      </c>
      <c r="K12" s="101">
        <v>18075.435000000001</v>
      </c>
      <c r="L12" s="101">
        <v>18187.612000000001</v>
      </c>
      <c r="M12" s="101">
        <v>18582.933000000001</v>
      </c>
      <c r="N12" s="101">
        <v>109050.485</v>
      </c>
      <c r="O12" s="101">
        <v>98795.854000000007</v>
      </c>
      <c r="P12" s="101">
        <v>103650.697</v>
      </c>
      <c r="Q12" s="101">
        <v>103778.083</v>
      </c>
      <c r="R12" s="101">
        <v>115962.749</v>
      </c>
      <c r="S12" s="101">
        <v>104332.14200000001</v>
      </c>
      <c r="T12" s="98">
        <v>109051.649</v>
      </c>
      <c r="U12" s="98">
        <v>23853.698</v>
      </c>
      <c r="V12" s="98">
        <v>9779.6200000000008</v>
      </c>
      <c r="W12" s="98">
        <v>5724.6869999999999</v>
      </c>
      <c r="X12" s="2">
        <v>8197.5210000000006</v>
      </c>
      <c r="Y12" s="2">
        <v>3929.9389999999999</v>
      </c>
      <c r="Z12" s="2">
        <v>1163.9929999999999</v>
      </c>
      <c r="AA12" s="2">
        <v>7721.94</v>
      </c>
    </row>
    <row r="13" spans="1:48">
      <c r="A13" s="22" t="s">
        <v>6</v>
      </c>
      <c r="B13" s="161">
        <v>0</v>
      </c>
      <c r="C13" s="161">
        <v>0</v>
      </c>
      <c r="D13" s="161">
        <v>0</v>
      </c>
      <c r="E13" s="161">
        <f>338.653+438.648</f>
        <v>777.30100000000004</v>
      </c>
      <c r="F13" s="76">
        <v>373.88400000000001</v>
      </c>
      <c r="G13" s="161">
        <f>122.768+202.422</f>
        <v>325.19</v>
      </c>
      <c r="H13" s="161">
        <v>-76.59</v>
      </c>
      <c r="I13" s="101">
        <v>11.865</v>
      </c>
      <c r="J13" s="101">
        <f>0.829+11</f>
        <v>11.829000000000001</v>
      </c>
      <c r="K13" s="101">
        <v>34.845999999999997</v>
      </c>
      <c r="L13" s="101">
        <v>0</v>
      </c>
      <c r="M13" s="101">
        <v>-0.91200000000000003</v>
      </c>
      <c r="N13" s="101">
        <v>52230.523999999998</v>
      </c>
      <c r="O13" s="101">
        <v>45432.839</v>
      </c>
      <c r="P13" s="101">
        <v>49508.962</v>
      </c>
      <c r="Q13" s="101">
        <v>52201.137999999999</v>
      </c>
      <c r="R13" s="101">
        <v>50620.498</v>
      </c>
      <c r="S13" s="101">
        <v>57352.839</v>
      </c>
      <c r="T13" s="98">
        <v>45596.322999999997</v>
      </c>
      <c r="U13" s="98">
        <v>11183.159</v>
      </c>
      <c r="V13" s="98">
        <v>37900.733999999997</v>
      </c>
      <c r="W13" s="98">
        <v>62772.805999999997</v>
      </c>
      <c r="X13" s="2">
        <v>59197.008999999998</v>
      </c>
      <c r="Y13" s="2">
        <v>22169.656999999999</v>
      </c>
      <c r="Z13" s="2">
        <v>19041.323</v>
      </c>
      <c r="AA13" s="2">
        <v>17747.503000000001</v>
      </c>
    </row>
    <row r="14" spans="1:48">
      <c r="A14" s="22" t="s">
        <v>7</v>
      </c>
      <c r="B14" s="161">
        <v>2512</v>
      </c>
      <c r="C14" s="161">
        <v>2545</v>
      </c>
      <c r="D14" s="161">
        <v>2425</v>
      </c>
      <c r="E14" s="161">
        <f>6459.993+1081.77</f>
        <v>7541.7630000000008</v>
      </c>
      <c r="F14" s="76">
        <v>11006.013999999999</v>
      </c>
      <c r="G14" s="161">
        <f>11082.066+530.571</f>
        <v>11612.637000000001</v>
      </c>
      <c r="H14" s="161">
        <f>10920.766+1784.584</f>
        <v>12705.35</v>
      </c>
      <c r="I14" s="101">
        <v>12792.116</v>
      </c>
      <c r="J14" s="101">
        <f>10593.446+2291.408</f>
        <v>12884.853999999999</v>
      </c>
      <c r="K14" s="101">
        <v>12114.293</v>
      </c>
      <c r="L14" s="101">
        <v>21397.4</v>
      </c>
      <c r="M14" s="101">
        <v>16888.757000000001</v>
      </c>
      <c r="N14" s="101">
        <v>3023.9</v>
      </c>
      <c r="O14" s="101">
        <v>2335.2289999999998</v>
      </c>
      <c r="P14" s="101">
        <v>3191.4119999999998</v>
      </c>
      <c r="Q14" s="101">
        <v>17053.884999999998</v>
      </c>
      <c r="R14" s="101">
        <v>17228.654999999999</v>
      </c>
      <c r="S14" s="101">
        <v>22467.713</v>
      </c>
      <c r="T14" s="98">
        <v>6327.2920000000004</v>
      </c>
      <c r="U14" s="98">
        <v>741.77800000000002</v>
      </c>
      <c r="V14" s="98">
        <v>13126.022999999999</v>
      </c>
      <c r="W14" s="98">
        <v>4573.1970000000001</v>
      </c>
      <c r="X14" s="2">
        <v>588.09400000000005</v>
      </c>
      <c r="Y14" s="2">
        <v>1029.6959999999999</v>
      </c>
      <c r="Z14" s="2">
        <v>640.15099999999995</v>
      </c>
      <c r="AA14" s="2">
        <v>4001.1570000000002</v>
      </c>
    </row>
    <row r="15" spans="1:48">
      <c r="A15" s="22" t="s">
        <v>8</v>
      </c>
      <c r="B15" s="162">
        <v>405</v>
      </c>
      <c r="C15" s="162">
        <v>1431</v>
      </c>
      <c r="D15" s="162">
        <v>597</v>
      </c>
      <c r="E15" s="162">
        <f>326.013+(-12.443)</f>
        <v>313.57</v>
      </c>
      <c r="F15" s="77">
        <v>502.38</v>
      </c>
      <c r="G15" s="162">
        <f>792.042+110.346</f>
        <v>902.38800000000003</v>
      </c>
      <c r="H15" s="162">
        <f>381.576+-314.053</f>
        <v>67.523000000000025</v>
      </c>
      <c r="I15" s="163">
        <v>223.00700000000001</v>
      </c>
      <c r="J15" s="163">
        <f>322.084+529.1</f>
        <v>851.18399999999997</v>
      </c>
      <c r="K15" s="163">
        <v>157.21997999999957</v>
      </c>
      <c r="L15" s="163">
        <v>675.77200000000005</v>
      </c>
      <c r="M15" s="163">
        <v>-246.24199999999999</v>
      </c>
      <c r="N15" s="163">
        <v>10893.659</v>
      </c>
      <c r="O15" s="163">
        <v>14220.763000000001</v>
      </c>
      <c r="P15" s="163">
        <v>9901.3690000000006</v>
      </c>
      <c r="Q15" s="163">
        <v>16559.054</v>
      </c>
      <c r="R15" s="163">
        <v>25396.743999999999</v>
      </c>
      <c r="S15" s="163">
        <v>24326.008000000002</v>
      </c>
      <c r="T15" s="99">
        <v>28427.809000000001</v>
      </c>
      <c r="U15" s="99">
        <v>23139.749</v>
      </c>
      <c r="V15" s="99">
        <v>26942.688999999998</v>
      </c>
      <c r="W15" s="99">
        <v>18793.148000000001</v>
      </c>
      <c r="X15" s="2">
        <v>22335.455000000002</v>
      </c>
      <c r="Y15" s="2">
        <v>17228.692999999999</v>
      </c>
      <c r="Z15" s="2">
        <v>26586.726999999999</v>
      </c>
      <c r="AA15" s="2">
        <v>32161.132000000001</v>
      </c>
    </row>
    <row r="16" spans="1:48">
      <c r="A16" s="22" t="s">
        <v>9</v>
      </c>
      <c r="B16" s="162">
        <v>402</v>
      </c>
      <c r="C16" s="162">
        <v>350</v>
      </c>
      <c r="D16" s="162">
        <f>1685</f>
        <v>1685</v>
      </c>
      <c r="E16" s="162">
        <f>1278.112+2085.061</f>
        <v>3363.1730000000002</v>
      </c>
      <c r="F16" s="77">
        <v>3003.6840000000002</v>
      </c>
      <c r="G16" s="162">
        <f>1058.373+2724.909</f>
        <v>3783.2820000000002</v>
      </c>
      <c r="H16" s="162">
        <f>779.353+1734.6</f>
        <v>2513.953</v>
      </c>
      <c r="I16" s="163">
        <v>4789.9399999999996</v>
      </c>
      <c r="J16" s="163">
        <f>7615.798+3695.246</f>
        <v>11311.044</v>
      </c>
      <c r="K16" s="163">
        <v>8257.6239999999998</v>
      </c>
      <c r="L16" s="163">
        <v>9956.9879999999994</v>
      </c>
      <c r="M16" s="163">
        <v>14223.716</v>
      </c>
      <c r="N16" s="163">
        <v>48147.906999999999</v>
      </c>
      <c r="O16" s="163">
        <v>71511.745999999999</v>
      </c>
      <c r="P16" s="163">
        <v>65345.874000000003</v>
      </c>
      <c r="Q16" s="163">
        <v>73469.31</v>
      </c>
      <c r="R16" s="163">
        <v>77039.752999999997</v>
      </c>
      <c r="S16" s="163">
        <v>86126.770999999993</v>
      </c>
      <c r="T16" s="99">
        <v>94294.789000000004</v>
      </c>
      <c r="U16" s="99">
        <v>99310.115999999995</v>
      </c>
      <c r="V16" s="99">
        <v>86484.479000000007</v>
      </c>
      <c r="W16" s="99">
        <v>116945.93700000001</v>
      </c>
      <c r="X16" s="2">
        <v>67190.042000000001</v>
      </c>
      <c r="Y16" s="2">
        <v>68206.910999999993</v>
      </c>
      <c r="Z16" s="2">
        <v>68637.764999999999</v>
      </c>
      <c r="AA16" s="2">
        <v>62414.446000000004</v>
      </c>
    </row>
    <row r="17" spans="1:27">
      <c r="A17" s="22" t="s">
        <v>10</v>
      </c>
      <c r="B17" s="162">
        <v>585</v>
      </c>
      <c r="C17" s="162">
        <v>485</v>
      </c>
      <c r="D17" s="162">
        <v>447</v>
      </c>
      <c r="E17" s="162">
        <f>559.739+(-91.62)</f>
        <v>468.11900000000003</v>
      </c>
      <c r="F17" s="77">
        <v>-73.394000000000005</v>
      </c>
      <c r="G17" s="162">
        <f>645.19+-212.653</f>
        <v>432.53700000000003</v>
      </c>
      <c r="H17" s="162">
        <f>812.005+-8.899</f>
        <v>803.10599999999999</v>
      </c>
      <c r="I17" s="163">
        <v>1533.99</v>
      </c>
      <c r="J17" s="163">
        <f>1013.525+608.153</f>
        <v>1621.6779999999999</v>
      </c>
      <c r="K17" s="163">
        <v>1596.393</v>
      </c>
      <c r="L17" s="163">
        <v>2981.8049999999998</v>
      </c>
      <c r="M17" s="163">
        <v>5194.0969999999998</v>
      </c>
      <c r="N17" s="163">
        <v>5028.97</v>
      </c>
      <c r="O17" s="163">
        <v>39309.705000000002</v>
      </c>
      <c r="P17" s="163">
        <v>34582.891000000003</v>
      </c>
      <c r="Q17" s="163">
        <v>28676.917000000001</v>
      </c>
      <c r="R17" s="163">
        <v>43253.656000000003</v>
      </c>
      <c r="S17" s="163">
        <v>37206.936000000002</v>
      </c>
      <c r="T17" s="99">
        <v>47336.004000000001</v>
      </c>
      <c r="U17" s="99">
        <v>30723.553</v>
      </c>
      <c r="V17" s="99">
        <v>29920.483</v>
      </c>
      <c r="W17" s="99">
        <v>30580.36</v>
      </c>
      <c r="X17" s="2">
        <v>39974.046000000002</v>
      </c>
      <c r="Y17" s="2">
        <v>21573.543000000001</v>
      </c>
      <c r="Z17" s="2">
        <v>15654.842000000001</v>
      </c>
      <c r="AA17" s="2">
        <v>33493.165999999997</v>
      </c>
    </row>
    <row r="18" spans="1:27">
      <c r="A18" s="22" t="s">
        <v>11</v>
      </c>
      <c r="B18" s="162">
        <v>235</v>
      </c>
      <c r="C18" s="162">
        <v>389</v>
      </c>
      <c r="D18" s="162">
        <v>154</v>
      </c>
      <c r="E18" s="162">
        <f>202.459+727.701</f>
        <v>930.16000000000008</v>
      </c>
      <c r="F18" s="77">
        <v>1327.519</v>
      </c>
      <c r="G18" s="162">
        <f>331.216+463.688</f>
        <v>794.904</v>
      </c>
      <c r="H18" s="162">
        <f>361.938+1304.293</f>
        <v>1666.2309999999998</v>
      </c>
      <c r="I18" s="163">
        <v>1119.453</v>
      </c>
      <c r="J18" s="163">
        <f>44.601-62.957</f>
        <v>-18.356000000000002</v>
      </c>
      <c r="K18" s="163">
        <v>569.37800000000004</v>
      </c>
      <c r="L18" s="163">
        <v>3547.9009999999998</v>
      </c>
      <c r="M18" s="163">
        <v>1171.693</v>
      </c>
      <c r="N18" s="163">
        <v>50304.235999999997</v>
      </c>
      <c r="O18" s="163">
        <v>52829.254000000001</v>
      </c>
      <c r="P18" s="163">
        <v>60286.258999999998</v>
      </c>
      <c r="Q18" s="163">
        <v>63926.498</v>
      </c>
      <c r="R18" s="163">
        <v>67509.592999999993</v>
      </c>
      <c r="S18" s="163">
        <v>71655.785999999993</v>
      </c>
      <c r="T18" s="99">
        <v>76695.176999999996</v>
      </c>
      <c r="U18" s="99">
        <v>93572.438999999998</v>
      </c>
      <c r="V18" s="99">
        <v>72089.828999999998</v>
      </c>
      <c r="W18" s="99">
        <v>89351.967000000004</v>
      </c>
      <c r="X18" s="2">
        <v>84953.653000000006</v>
      </c>
      <c r="Y18" s="2">
        <v>68830.437999999995</v>
      </c>
      <c r="Z18" s="2">
        <v>71770.804999999993</v>
      </c>
      <c r="AA18" s="2">
        <v>81299.873999999996</v>
      </c>
    </row>
    <row r="19" spans="1:27">
      <c r="A19" s="22" t="s">
        <v>12</v>
      </c>
      <c r="B19" s="162">
        <v>132</v>
      </c>
      <c r="C19" s="162">
        <v>183</v>
      </c>
      <c r="D19" s="163">
        <v>300</v>
      </c>
      <c r="E19" s="162">
        <f>280+126.136</f>
        <v>406.13599999999997</v>
      </c>
      <c r="F19" s="77">
        <v>3494.402</v>
      </c>
      <c r="G19" s="162">
        <f>664.728+-689.961</f>
        <v>-25.233000000000061</v>
      </c>
      <c r="H19" s="162">
        <f>400+528.806</f>
        <v>928.80600000000004</v>
      </c>
      <c r="I19" s="163">
        <v>7222.8980000000001</v>
      </c>
      <c r="J19" s="163">
        <f>1422.28+2666.451</f>
        <v>4088.7309999999998</v>
      </c>
      <c r="K19" s="163">
        <v>2166.0100000000002</v>
      </c>
      <c r="L19" s="163">
        <v>1403.586</v>
      </c>
      <c r="M19" s="163">
        <v>608.01599999999996</v>
      </c>
      <c r="N19" s="163">
        <v>40723.319000000003</v>
      </c>
      <c r="O19" s="163">
        <v>42017.576000000001</v>
      </c>
      <c r="P19" s="163">
        <v>37122.321000000004</v>
      </c>
      <c r="Q19" s="163">
        <v>36903.411999999997</v>
      </c>
      <c r="R19" s="163">
        <v>41930.205000000002</v>
      </c>
      <c r="S19" s="163">
        <v>55868.571000000004</v>
      </c>
      <c r="T19" s="99">
        <v>47385.281000000003</v>
      </c>
      <c r="U19" s="99">
        <v>39563.483</v>
      </c>
      <c r="V19" s="99">
        <v>37405.483</v>
      </c>
      <c r="W19" s="99">
        <v>23976.702000000001</v>
      </c>
      <c r="X19" s="2">
        <v>28016.35</v>
      </c>
      <c r="Y19" s="2">
        <v>21762.513999999999</v>
      </c>
      <c r="Z19" s="2">
        <v>16671.625</v>
      </c>
      <c r="AA19" s="2">
        <v>14128.264999999999</v>
      </c>
    </row>
    <row r="20" spans="1:27">
      <c r="A20" s="22" t="s">
        <v>13</v>
      </c>
      <c r="B20" s="162">
        <v>6116</v>
      </c>
      <c r="C20" s="162">
        <v>6809</v>
      </c>
      <c r="D20" s="162">
        <v>6728</v>
      </c>
      <c r="E20" s="162">
        <f>191.316+4741.661</f>
        <v>4932.9769999999999</v>
      </c>
      <c r="F20" s="77">
        <v>3651.5729999999999</v>
      </c>
      <c r="G20" s="162">
        <f>443.293+6057.137</f>
        <v>6500.4299999999994</v>
      </c>
      <c r="H20" s="162">
        <f>364.165+4107.011</f>
        <v>4471.1760000000004</v>
      </c>
      <c r="I20" s="163">
        <v>4618.6419999999998</v>
      </c>
      <c r="J20" s="163">
        <f>257.564+3109.686</f>
        <v>3367.25</v>
      </c>
      <c r="K20" s="163">
        <v>2970.3879999999999</v>
      </c>
      <c r="L20" s="163">
        <v>13695.723</v>
      </c>
      <c r="M20" s="163">
        <v>12811.581</v>
      </c>
      <c r="N20" s="163">
        <v>22507.348000000002</v>
      </c>
      <c r="O20" s="163">
        <v>23985.092000000001</v>
      </c>
      <c r="P20" s="163">
        <v>24207.645</v>
      </c>
      <c r="Q20" s="163">
        <v>27876.073</v>
      </c>
      <c r="R20" s="163">
        <v>31450.191999999999</v>
      </c>
      <c r="S20" s="163">
        <v>34434.900999999998</v>
      </c>
      <c r="T20" s="99">
        <v>38755.317000000003</v>
      </c>
      <c r="U20" s="99">
        <v>3064.9059999999999</v>
      </c>
      <c r="V20" s="99">
        <v>5005.5649999999996</v>
      </c>
      <c r="W20" s="99">
        <v>9628.8169999999991</v>
      </c>
      <c r="X20" s="2">
        <v>7763.1009999999997</v>
      </c>
      <c r="Y20" s="2">
        <v>7717.73</v>
      </c>
      <c r="Z20" s="2">
        <v>7490.8909999999996</v>
      </c>
      <c r="AA20" s="2">
        <v>6650.3869999999997</v>
      </c>
    </row>
    <row r="21" spans="1:27" s="17" customFormat="1">
      <c r="A21" s="22" t="s">
        <v>14</v>
      </c>
      <c r="B21" s="162">
        <v>744</v>
      </c>
      <c r="C21" s="162">
        <v>1648</v>
      </c>
      <c r="D21" s="162">
        <v>1253</v>
      </c>
      <c r="E21" s="162">
        <f>176.227+1303.666</f>
        <v>1479.893</v>
      </c>
      <c r="F21" s="77">
        <v>4239.3069999999998</v>
      </c>
      <c r="G21" s="162">
        <f>681.312+4159.12</f>
        <v>4840.4319999999998</v>
      </c>
      <c r="H21" s="162">
        <f>304.949+5315.623</f>
        <v>5620.5719999999992</v>
      </c>
      <c r="I21" s="163">
        <v>3747.2</v>
      </c>
      <c r="J21" s="163">
        <f>243.805+2925.87</f>
        <v>3169.6749999999997</v>
      </c>
      <c r="K21" s="163">
        <v>4220.4170000000004</v>
      </c>
      <c r="L21" s="163">
        <v>4924.6760000000004</v>
      </c>
      <c r="M21" s="163">
        <v>4149.2719999999999</v>
      </c>
      <c r="N21" s="163">
        <v>17160.91</v>
      </c>
      <c r="O21" s="163">
        <v>15959.583000000001</v>
      </c>
      <c r="P21" s="163">
        <v>17310.203000000001</v>
      </c>
      <c r="Q21" s="163">
        <v>17118.142</v>
      </c>
      <c r="R21" s="163">
        <v>19248.965</v>
      </c>
      <c r="S21" s="163">
        <v>21500.728999999999</v>
      </c>
      <c r="T21" s="99">
        <v>23219.870999999999</v>
      </c>
      <c r="U21" s="99">
        <v>16856.689999999999</v>
      </c>
      <c r="V21" s="99">
        <v>24243.734</v>
      </c>
      <c r="W21" s="99">
        <v>7410.451</v>
      </c>
      <c r="X21" s="23">
        <v>7268.3559999999998</v>
      </c>
      <c r="Y21" s="2">
        <v>8369.7309999999998</v>
      </c>
      <c r="Z21" s="2">
        <v>7546.4979999999996</v>
      </c>
      <c r="AA21" s="2">
        <v>7986.94</v>
      </c>
    </row>
    <row r="22" spans="1:27">
      <c r="A22" s="22" t="s">
        <v>15</v>
      </c>
      <c r="B22" s="162">
        <v>12752</v>
      </c>
      <c r="C22" s="162">
        <v>23333</v>
      </c>
      <c r="D22" s="162">
        <v>23309</v>
      </c>
      <c r="E22" s="162">
        <f>21323.278+14918.64</f>
        <v>36241.917999999998</v>
      </c>
      <c r="F22" s="77">
        <v>53311.355000000003</v>
      </c>
      <c r="G22" s="162">
        <f>24602.099+23485.365+8269.299</f>
        <v>56356.762999999999</v>
      </c>
      <c r="H22" s="162">
        <f>25835.615+19913.206</f>
        <v>45748.820999999996</v>
      </c>
      <c r="I22" s="163">
        <v>52741.434999999998</v>
      </c>
      <c r="J22" s="163">
        <f>33103.125+20125.266</f>
        <v>53228.391000000003</v>
      </c>
      <c r="K22" s="163">
        <v>71078.055999999997</v>
      </c>
      <c r="L22" s="163">
        <v>89438.763000000006</v>
      </c>
      <c r="M22" s="163">
        <v>83234.274999999994</v>
      </c>
      <c r="N22" s="163">
        <v>211903.859</v>
      </c>
      <c r="O22" s="163">
        <v>173777.139</v>
      </c>
      <c r="P22" s="163">
        <v>196946.774</v>
      </c>
      <c r="Q22" s="163">
        <v>218157.07500000001</v>
      </c>
      <c r="R22" s="163">
        <v>212029.69899999999</v>
      </c>
      <c r="S22" s="163">
        <v>221881.88200000001</v>
      </c>
      <c r="T22" s="99">
        <v>237047.26</v>
      </c>
      <c r="U22" s="99">
        <v>288047.97700000001</v>
      </c>
      <c r="V22" s="99">
        <v>104997.54700000001</v>
      </c>
      <c r="W22" s="99">
        <v>107835.539</v>
      </c>
      <c r="X22" s="2">
        <v>108584.247</v>
      </c>
      <c r="Y22" s="2">
        <v>122552.285</v>
      </c>
      <c r="Z22" s="2">
        <v>89046.888000000006</v>
      </c>
      <c r="AA22" s="2">
        <v>114450.86199999999</v>
      </c>
    </row>
    <row r="23" spans="1:27">
      <c r="A23" s="22" t="s">
        <v>16</v>
      </c>
      <c r="B23" s="162">
        <v>9</v>
      </c>
      <c r="C23" s="162">
        <v>21</v>
      </c>
      <c r="D23" s="162">
        <v>0</v>
      </c>
      <c r="E23" s="162">
        <f>22.296+1608.396</f>
        <v>1630.692</v>
      </c>
      <c r="F23" s="77">
        <v>5202.6769999999997</v>
      </c>
      <c r="G23" s="162">
        <f>32.703+1352.209</f>
        <v>1384.912</v>
      </c>
      <c r="H23" s="162">
        <f>58.855+923.478</f>
        <v>982.33299999999997</v>
      </c>
      <c r="I23" s="163">
        <v>370.40899999999999</v>
      </c>
      <c r="J23" s="163">
        <f>210.047+280.929</f>
        <v>490.976</v>
      </c>
      <c r="K23" s="163">
        <v>1105.5609999999999</v>
      </c>
      <c r="L23" s="163">
        <v>2409.308</v>
      </c>
      <c r="M23" s="163">
        <v>1498.106</v>
      </c>
      <c r="N23" s="163">
        <v>5032.3770000000004</v>
      </c>
      <c r="O23" s="163">
        <v>3387.665</v>
      </c>
      <c r="P23" s="163">
        <v>2720.8470000000002</v>
      </c>
      <c r="Q23" s="163">
        <v>3081.0070000000001</v>
      </c>
      <c r="R23" s="163">
        <v>3466.087</v>
      </c>
      <c r="S23" s="163">
        <v>3327.2379999999998</v>
      </c>
      <c r="T23" s="99">
        <v>7552.8819999999996</v>
      </c>
      <c r="U23" s="99">
        <v>2959.404</v>
      </c>
      <c r="V23" s="99">
        <v>1596.3720000000001</v>
      </c>
      <c r="W23" s="99">
        <v>4414.8720000000003</v>
      </c>
      <c r="X23" s="2">
        <v>1472.5360000000001</v>
      </c>
      <c r="Y23" s="2">
        <v>2101.741</v>
      </c>
      <c r="Z23" s="2">
        <v>1740.1890000000001</v>
      </c>
      <c r="AA23" s="2">
        <v>5531.4350000000004</v>
      </c>
    </row>
    <row r="24" spans="1:27">
      <c r="A24" s="83" t="s">
        <v>17</v>
      </c>
      <c r="B24" s="159">
        <v>0</v>
      </c>
      <c r="C24" s="159">
        <v>0</v>
      </c>
      <c r="D24" s="159">
        <v>0</v>
      </c>
      <c r="E24" s="159">
        <f>212+0+0</f>
        <v>212</v>
      </c>
      <c r="F24" s="82">
        <v>470</v>
      </c>
      <c r="G24" s="159">
        <f>437+227</f>
        <v>664</v>
      </c>
      <c r="H24" s="159">
        <f>502.252+379.626</f>
        <v>881.87799999999993</v>
      </c>
      <c r="I24" s="104">
        <v>394.79199999999997</v>
      </c>
      <c r="J24" s="104">
        <f>447.533-672.422</f>
        <v>-224.88900000000001</v>
      </c>
      <c r="K24" s="104">
        <v>927.61723999999856</v>
      </c>
      <c r="L24" s="104">
        <v>1140.365</v>
      </c>
      <c r="M24" s="104">
        <v>779.52800000000002</v>
      </c>
      <c r="N24" s="104">
        <v>1884.7719999999999</v>
      </c>
      <c r="O24" s="104">
        <v>1902.5650000000001</v>
      </c>
      <c r="P24" s="104">
        <v>1752.9570000000001</v>
      </c>
      <c r="Q24" s="104">
        <v>8989.3240000000005</v>
      </c>
      <c r="R24" s="104">
        <v>6817.6530000000002</v>
      </c>
      <c r="S24" s="104">
        <v>7420.9139999999998</v>
      </c>
      <c r="T24" s="100">
        <v>8093.7110000000002</v>
      </c>
      <c r="U24" s="100">
        <v>7478.7920000000004</v>
      </c>
      <c r="V24" s="100">
        <v>8522.4860000000008</v>
      </c>
      <c r="W24" s="100">
        <v>8966.0310000000009</v>
      </c>
      <c r="X24" s="45">
        <v>13925.972</v>
      </c>
      <c r="Y24" s="45">
        <v>12131.779</v>
      </c>
      <c r="Z24" s="45">
        <v>15791.117</v>
      </c>
      <c r="AA24" s="45">
        <v>10978.880999999999</v>
      </c>
    </row>
    <row r="25" spans="1:27" s="23" customFormat="1">
      <c r="A25" s="79" t="s">
        <v>120</v>
      </c>
      <c r="B25" s="164">
        <f>SUM(B27:B39)</f>
        <v>0</v>
      </c>
      <c r="C25" s="164">
        <f t="shared" ref="C25:AA25" si="8">SUM(C27:C39)</f>
        <v>0</v>
      </c>
      <c r="D25" s="164">
        <f t="shared" si="8"/>
        <v>0</v>
      </c>
      <c r="E25" s="164">
        <f t="shared" si="8"/>
        <v>0</v>
      </c>
      <c r="F25" s="164">
        <f t="shared" si="8"/>
        <v>84990.706000000006</v>
      </c>
      <c r="G25" s="164">
        <f t="shared" si="8"/>
        <v>0</v>
      </c>
      <c r="H25" s="164">
        <f t="shared" si="8"/>
        <v>0</v>
      </c>
      <c r="I25" s="164">
        <f t="shared" si="8"/>
        <v>108695.643</v>
      </c>
      <c r="J25" s="164">
        <f t="shared" si="8"/>
        <v>0</v>
      </c>
      <c r="K25" s="164">
        <f t="shared" si="8"/>
        <v>154590.81818</v>
      </c>
      <c r="L25" s="164">
        <f t="shared" si="8"/>
        <v>182078.89299999998</v>
      </c>
      <c r="M25" s="164">
        <f t="shared" si="8"/>
        <v>195725.80200000003</v>
      </c>
      <c r="N25" s="164">
        <f t="shared" si="8"/>
        <v>308106.72399999999</v>
      </c>
      <c r="O25" s="164">
        <f t="shared" si="8"/>
        <v>528574.30599999998</v>
      </c>
      <c r="P25" s="164">
        <f t="shared" si="8"/>
        <v>737469.54200000002</v>
      </c>
      <c r="Q25" s="164">
        <f t="shared" si="8"/>
        <v>1035830.3969999998</v>
      </c>
      <c r="R25" s="164">
        <f t="shared" si="8"/>
        <v>1055244.851</v>
      </c>
      <c r="S25" s="164">
        <f t="shared" si="8"/>
        <v>1292765.2829999998</v>
      </c>
      <c r="T25" s="164">
        <f t="shared" si="8"/>
        <v>1418275.6779999998</v>
      </c>
      <c r="U25" s="164">
        <f t="shared" si="8"/>
        <v>1657640.0750000004</v>
      </c>
      <c r="V25" s="164">
        <f t="shared" si="8"/>
        <v>959492.84299999988</v>
      </c>
      <c r="W25" s="164">
        <f t="shared" si="8"/>
        <v>1158966.9730000005</v>
      </c>
      <c r="X25" s="164">
        <f t="shared" si="8"/>
        <v>1129305.223</v>
      </c>
      <c r="Y25" s="164">
        <f t="shared" si="8"/>
        <v>757581.12700000021</v>
      </c>
      <c r="Z25" s="164">
        <f t="shared" si="8"/>
        <v>763390.15099999984</v>
      </c>
      <c r="AA25" s="164">
        <f t="shared" si="8"/>
        <v>777702.71100000001</v>
      </c>
    </row>
    <row r="26" spans="1:27">
      <c r="A26" s="79" t="s">
        <v>119</v>
      </c>
      <c r="B26" s="163"/>
      <c r="C26" s="163"/>
      <c r="D26" s="163"/>
      <c r="E26" s="163"/>
      <c r="F26" s="163"/>
      <c r="G26" s="163"/>
      <c r="H26" s="163"/>
      <c r="I26" s="163"/>
      <c r="J26" s="163"/>
      <c r="K26" s="163"/>
      <c r="L26" s="163"/>
      <c r="M26" s="163"/>
      <c r="N26" s="163"/>
      <c r="O26" s="163"/>
      <c r="P26" s="163"/>
      <c r="Q26" s="163"/>
      <c r="R26" s="163"/>
      <c r="S26" s="163"/>
      <c r="T26" s="99"/>
      <c r="U26" s="99"/>
      <c r="V26" s="99"/>
      <c r="W26" s="99"/>
      <c r="X26" s="2">
        <v>0</v>
      </c>
      <c r="Y26" s="2">
        <v>0</v>
      </c>
    </row>
    <row r="27" spans="1:27">
      <c r="A27" s="23" t="s">
        <v>85</v>
      </c>
      <c r="B27" s="162"/>
      <c r="C27" s="162"/>
      <c r="D27" s="163"/>
      <c r="E27" s="162"/>
      <c r="F27" s="77">
        <v>30.266999999999999</v>
      </c>
      <c r="G27" s="162"/>
      <c r="H27" s="162"/>
      <c r="I27" s="163">
        <v>0</v>
      </c>
      <c r="J27" s="163"/>
      <c r="K27" s="163">
        <v>29.373000000000001</v>
      </c>
      <c r="L27" s="163">
        <v>132.113</v>
      </c>
      <c r="M27" s="163">
        <v>-11.156000000000001</v>
      </c>
      <c r="N27" s="163">
        <v>572.99800000000005</v>
      </c>
      <c r="O27" s="163">
        <v>723.197</v>
      </c>
      <c r="P27" s="163">
        <v>729.94299999999998</v>
      </c>
      <c r="Q27" s="163">
        <v>494.79500000000002</v>
      </c>
      <c r="R27" s="163">
        <v>1985.6790000000001</v>
      </c>
      <c r="S27" s="163">
        <v>550.01</v>
      </c>
      <c r="T27" s="99">
        <v>945.02800000000002</v>
      </c>
      <c r="U27" s="99">
        <v>156.48599999999999</v>
      </c>
      <c r="V27" s="99">
        <v>725.58600000000001</v>
      </c>
      <c r="W27" s="99">
        <v>150.328</v>
      </c>
      <c r="X27" s="2">
        <v>2428.2979999999998</v>
      </c>
      <c r="Y27" s="2">
        <v>48.192999999999998</v>
      </c>
    </row>
    <row r="28" spans="1:27">
      <c r="A28" s="23" t="s">
        <v>86</v>
      </c>
      <c r="B28" s="162"/>
      <c r="C28" s="162"/>
      <c r="D28" s="162"/>
      <c r="E28" s="162"/>
      <c r="F28" s="77">
        <v>4784.7929999999997</v>
      </c>
      <c r="G28" s="162"/>
      <c r="H28" s="162"/>
      <c r="I28" s="163">
        <v>7949.9110000000001</v>
      </c>
      <c r="J28" s="163"/>
      <c r="K28" s="163">
        <v>19957.75561</v>
      </c>
      <c r="L28" s="163">
        <v>22694.794999999998</v>
      </c>
      <c r="M28" s="163">
        <v>19338.370999999999</v>
      </c>
      <c r="N28" s="163">
        <v>31930.983</v>
      </c>
      <c r="O28" s="163">
        <v>62320.974999999999</v>
      </c>
      <c r="P28" s="163">
        <v>52873.139000000003</v>
      </c>
      <c r="Q28" s="163">
        <v>58803.326999999997</v>
      </c>
      <c r="R28" s="163">
        <v>56788.618000000002</v>
      </c>
      <c r="S28" s="163">
        <v>66809.394</v>
      </c>
      <c r="T28" s="99">
        <v>34985.445</v>
      </c>
      <c r="U28" s="99">
        <v>25559.316999999999</v>
      </c>
      <c r="V28" s="99">
        <v>10104.918</v>
      </c>
      <c r="W28" s="99">
        <v>2310.2130000000002</v>
      </c>
      <c r="X28" s="2">
        <v>8883.0450000000001</v>
      </c>
      <c r="Y28" s="2">
        <v>751.899</v>
      </c>
      <c r="Z28" s="2">
        <v>3114.22</v>
      </c>
      <c r="AA28" s="2">
        <v>6764.2120000000004</v>
      </c>
    </row>
    <row r="29" spans="1:27">
      <c r="A29" s="23" t="s">
        <v>87</v>
      </c>
      <c r="B29" s="162"/>
      <c r="C29" s="162"/>
      <c r="D29" s="162"/>
      <c r="E29" s="162"/>
      <c r="F29" s="77">
        <v>44219.936000000002</v>
      </c>
      <c r="G29" s="162"/>
      <c r="H29" s="162"/>
      <c r="I29" s="163">
        <v>54452.105000000003</v>
      </c>
      <c r="J29" s="163"/>
      <c r="K29" s="163">
        <v>74917.615319999997</v>
      </c>
      <c r="L29" s="163">
        <v>103527.367</v>
      </c>
      <c r="M29" s="163">
        <v>125703.632</v>
      </c>
      <c r="N29" s="163">
        <v>145356.89799999999</v>
      </c>
      <c r="O29" s="163">
        <v>306439.18300000002</v>
      </c>
      <c r="P29" s="163">
        <v>367465.94799999997</v>
      </c>
      <c r="Q29" s="163">
        <v>641489.87899999996</v>
      </c>
      <c r="R29" s="163">
        <v>676544.08100000001</v>
      </c>
      <c r="S29" s="163">
        <v>908718.81599999999</v>
      </c>
      <c r="T29" s="99">
        <v>1021134.916</v>
      </c>
      <c r="U29" s="99">
        <v>1163119.827</v>
      </c>
      <c r="V29" s="99">
        <v>710922.62300000002</v>
      </c>
      <c r="W29" s="99">
        <v>863891.91899999999</v>
      </c>
      <c r="X29" s="2">
        <v>790409</v>
      </c>
      <c r="Y29" s="2">
        <v>519348.647</v>
      </c>
      <c r="Z29" s="2">
        <v>568951.70200000005</v>
      </c>
      <c r="AA29" s="2">
        <v>628067.86699999997</v>
      </c>
    </row>
    <row r="30" spans="1:27">
      <c r="A30" s="23" t="s">
        <v>88</v>
      </c>
      <c r="B30" s="162"/>
      <c r="C30" s="162"/>
      <c r="D30" s="162"/>
      <c r="E30" s="162"/>
      <c r="F30" s="77">
        <v>4238.442</v>
      </c>
      <c r="G30" s="162"/>
      <c r="H30" s="162"/>
      <c r="I30" s="163">
        <v>8792.0010000000002</v>
      </c>
      <c r="J30" s="163"/>
      <c r="K30" s="163">
        <v>7434.8370000000004</v>
      </c>
      <c r="L30" s="163">
        <v>6233.357</v>
      </c>
      <c r="M30" s="163">
        <v>5731.6580000000004</v>
      </c>
      <c r="N30" s="163">
        <v>31679.432000000001</v>
      </c>
      <c r="O30" s="163">
        <v>22756.431</v>
      </c>
      <c r="P30" s="163">
        <v>21786.945</v>
      </c>
      <c r="Q30" s="163">
        <v>31014.530999999999</v>
      </c>
      <c r="R30" s="163">
        <v>42529.305</v>
      </c>
      <c r="S30" s="163">
        <v>40613.855000000003</v>
      </c>
      <c r="T30" s="99">
        <v>48495.6</v>
      </c>
      <c r="U30" s="99">
        <v>43461.745999999999</v>
      </c>
      <c r="V30" s="99">
        <v>40913.881999999998</v>
      </c>
      <c r="W30" s="99">
        <v>39863.451999999997</v>
      </c>
      <c r="X30" s="2">
        <v>37953.103000000003</v>
      </c>
      <c r="Y30" s="2">
        <v>13340.097</v>
      </c>
      <c r="Z30" s="2">
        <v>11198.661</v>
      </c>
      <c r="AA30" s="2">
        <v>21844.18</v>
      </c>
    </row>
    <row r="31" spans="1:27">
      <c r="A31" s="23" t="s">
        <v>91</v>
      </c>
      <c r="B31" s="162"/>
      <c r="C31" s="162"/>
      <c r="D31" s="162"/>
      <c r="E31" s="162"/>
      <c r="F31" s="77">
        <v>111.339</v>
      </c>
      <c r="G31" s="162"/>
      <c r="H31" s="162"/>
      <c r="I31" s="163">
        <v>87.316999999999993</v>
      </c>
      <c r="J31" s="163"/>
      <c r="K31" s="163">
        <v>82.820999999999998</v>
      </c>
      <c r="L31" s="163">
        <v>26.884</v>
      </c>
      <c r="M31" s="163">
        <v>110.145</v>
      </c>
      <c r="N31" s="163">
        <v>14168.284</v>
      </c>
      <c r="O31" s="163">
        <v>13524.807000000001</v>
      </c>
      <c r="P31" s="163">
        <v>12006.495999999999</v>
      </c>
      <c r="Q31" s="163">
        <v>12513.347</v>
      </c>
      <c r="R31" s="163">
        <v>10742.573</v>
      </c>
      <c r="S31" s="163">
        <v>11405.29</v>
      </c>
      <c r="T31" s="99">
        <v>12840.769</v>
      </c>
      <c r="U31" s="99">
        <v>23127.55</v>
      </c>
      <c r="V31" s="99">
        <v>-4177.4709999999995</v>
      </c>
      <c r="W31" s="99">
        <v>4635.7290000000003</v>
      </c>
      <c r="X31" s="2">
        <v>4594.8999999999996</v>
      </c>
      <c r="Y31" s="2">
        <v>6636.1819999999998</v>
      </c>
      <c r="Z31" s="2">
        <v>797.428</v>
      </c>
      <c r="AA31" s="2">
        <v>276.666</v>
      </c>
    </row>
    <row r="32" spans="1:27">
      <c r="A32" s="23" t="s">
        <v>92</v>
      </c>
      <c r="B32" s="162"/>
      <c r="C32" s="162"/>
      <c r="D32" s="162"/>
      <c r="E32" s="162"/>
      <c r="F32" s="77">
        <v>436.11200000000002</v>
      </c>
      <c r="G32" s="162"/>
      <c r="H32" s="162"/>
      <c r="I32" s="163">
        <v>632.99199999999996</v>
      </c>
      <c r="J32" s="163"/>
      <c r="K32" s="163">
        <v>752.846</v>
      </c>
      <c r="L32" s="163">
        <v>830.005</v>
      </c>
      <c r="M32" s="163">
        <v>804.24099999999999</v>
      </c>
      <c r="N32" s="163">
        <v>2153.739</v>
      </c>
      <c r="O32" s="163">
        <v>4847.2049999999999</v>
      </c>
      <c r="P32" s="163">
        <v>19580.038</v>
      </c>
      <c r="Q32" s="163">
        <v>19598.302</v>
      </c>
      <c r="R32" s="163">
        <v>18888.120999999999</v>
      </c>
      <c r="S32" s="163">
        <v>16633.064999999999</v>
      </c>
      <c r="T32" s="99">
        <v>18363.781999999999</v>
      </c>
      <c r="U32" s="99">
        <v>22076.814999999999</v>
      </c>
      <c r="V32" s="99">
        <v>50235.760999999999</v>
      </c>
      <c r="W32" s="99">
        <v>77676.925000000003</v>
      </c>
      <c r="X32" s="2">
        <v>91742.884999999995</v>
      </c>
      <c r="Y32" s="2">
        <v>24334.116000000002</v>
      </c>
      <c r="Z32" s="2">
        <v>15328.365</v>
      </c>
      <c r="AA32" s="2">
        <v>3868.1660000000002</v>
      </c>
    </row>
    <row r="33" spans="1:57">
      <c r="A33" s="23" t="s">
        <v>100</v>
      </c>
      <c r="B33" s="163"/>
      <c r="C33" s="163"/>
      <c r="D33" s="163"/>
      <c r="E33" s="163"/>
      <c r="F33" s="77">
        <v>50.76</v>
      </c>
      <c r="G33" s="163"/>
      <c r="H33" s="163"/>
      <c r="I33" s="163">
        <v>165.989</v>
      </c>
      <c r="J33" s="163"/>
      <c r="K33" s="163">
        <v>440.03500000000003</v>
      </c>
      <c r="L33" s="163">
        <v>248.16</v>
      </c>
      <c r="M33" s="163">
        <v>323.79500000000002</v>
      </c>
      <c r="N33" s="163">
        <v>1662.2270000000001</v>
      </c>
      <c r="O33" s="163">
        <v>2735.4749999999999</v>
      </c>
      <c r="P33" s="163">
        <v>8262.7559999999994</v>
      </c>
      <c r="Q33" s="163">
        <v>7777.0460000000003</v>
      </c>
      <c r="R33" s="163">
        <v>10395.99</v>
      </c>
      <c r="S33" s="163">
        <v>6196.125</v>
      </c>
      <c r="T33" s="99">
        <v>8796.1260000000002</v>
      </c>
      <c r="U33" s="99">
        <v>11151.267</v>
      </c>
      <c r="V33" s="99">
        <v>14396.708000000001</v>
      </c>
      <c r="W33" s="99">
        <v>12597.147999999999</v>
      </c>
      <c r="X33" s="2">
        <v>12812.593999999999</v>
      </c>
      <c r="Y33" s="2">
        <v>13714.772000000001</v>
      </c>
      <c r="Z33" s="2">
        <v>13516.036</v>
      </c>
      <c r="AA33" s="2">
        <v>9568.384</v>
      </c>
    </row>
    <row r="34" spans="1:57">
      <c r="A34" s="23" t="s">
        <v>102</v>
      </c>
      <c r="B34" s="163"/>
      <c r="C34" s="163"/>
      <c r="D34" s="163"/>
      <c r="E34" s="163"/>
      <c r="F34" s="77">
        <v>-334.029</v>
      </c>
      <c r="G34" s="163"/>
      <c r="H34" s="163"/>
      <c r="I34" s="163">
        <v>68.975999999999999</v>
      </c>
      <c r="J34" s="163"/>
      <c r="K34" s="163">
        <v>124</v>
      </c>
      <c r="L34" s="163">
        <v>75</v>
      </c>
      <c r="M34" s="163">
        <v>-1515</v>
      </c>
      <c r="N34" s="163">
        <v>11758</v>
      </c>
      <c r="O34" s="163">
        <v>12312</v>
      </c>
      <c r="P34" s="163">
        <v>4692</v>
      </c>
      <c r="Q34" s="163">
        <v>4798</v>
      </c>
      <c r="R34" s="163">
        <v>4674.7749999999996</v>
      </c>
      <c r="S34" s="163">
        <v>3667</v>
      </c>
      <c r="T34" s="99">
        <v>3540</v>
      </c>
      <c r="U34" s="99">
        <v>18553</v>
      </c>
      <c r="V34" s="99">
        <v>12932.409</v>
      </c>
      <c r="W34" s="99">
        <v>11291</v>
      </c>
      <c r="X34" s="2">
        <v>4603</v>
      </c>
      <c r="Y34" s="2">
        <v>8305</v>
      </c>
      <c r="Z34" s="2">
        <v>8205</v>
      </c>
      <c r="AA34" s="2">
        <v>5422</v>
      </c>
    </row>
    <row r="35" spans="1:57">
      <c r="A35" s="23" t="s">
        <v>105</v>
      </c>
      <c r="B35" s="163"/>
      <c r="C35" s="163"/>
      <c r="D35" s="163"/>
      <c r="E35" s="163"/>
      <c r="F35" s="77">
        <v>7066.3450000000003</v>
      </c>
      <c r="G35" s="163"/>
      <c r="H35" s="163"/>
      <c r="I35" s="163">
        <v>15192.86</v>
      </c>
      <c r="J35" s="163"/>
      <c r="K35" s="163">
        <v>21483.32199</v>
      </c>
      <c r="L35" s="163">
        <v>17526.962</v>
      </c>
      <c r="M35" s="163">
        <v>18274.962</v>
      </c>
      <c r="N35" s="163">
        <v>23697.241000000002</v>
      </c>
      <c r="O35" s="163">
        <v>32286.242999999999</v>
      </c>
      <c r="P35" s="163">
        <v>35491.466999999997</v>
      </c>
      <c r="Q35" s="163">
        <v>39314.101000000002</v>
      </c>
      <c r="R35" s="163">
        <v>41492.544999999998</v>
      </c>
      <c r="S35" s="163">
        <v>44721.561999999998</v>
      </c>
      <c r="T35" s="99">
        <v>56137.786999999997</v>
      </c>
      <c r="U35" s="99">
        <v>41416.572999999997</v>
      </c>
      <c r="V35" s="99">
        <v>37417.915999999997</v>
      </c>
      <c r="W35" s="99">
        <v>40979.832999999999</v>
      </c>
      <c r="X35" s="2">
        <v>34016.332000000002</v>
      </c>
      <c r="Y35" s="2">
        <v>33212.599000000002</v>
      </c>
      <c r="Z35" s="2">
        <v>17874.466</v>
      </c>
      <c r="AA35" s="2">
        <v>12637.404</v>
      </c>
    </row>
    <row r="36" spans="1:57">
      <c r="A36" s="23" t="s">
        <v>109</v>
      </c>
      <c r="B36" s="163"/>
      <c r="C36" s="163"/>
      <c r="D36" s="163"/>
      <c r="E36" s="163"/>
      <c r="F36" s="77">
        <v>21525.171999999999</v>
      </c>
      <c r="G36" s="163"/>
      <c r="H36" s="163"/>
      <c r="I36" s="163">
        <v>17073.142</v>
      </c>
      <c r="J36" s="163"/>
      <c r="K36" s="163">
        <v>23271.983199999999</v>
      </c>
      <c r="L36" s="163">
        <v>25247.391</v>
      </c>
      <c r="M36" s="163">
        <v>20841.384999999998</v>
      </c>
      <c r="N36" s="163">
        <v>31627.851999999999</v>
      </c>
      <c r="O36" s="163">
        <v>43707.233999999997</v>
      </c>
      <c r="P36" s="163">
        <v>52969.358</v>
      </c>
      <c r="Q36" s="163">
        <v>59716.097000000002</v>
      </c>
      <c r="R36" s="163">
        <v>70680.135999999999</v>
      </c>
      <c r="S36" s="163">
        <v>71965.426999999996</v>
      </c>
      <c r="T36" s="99">
        <v>76648.001000000004</v>
      </c>
      <c r="U36" s="99">
        <v>171138.959</v>
      </c>
      <c r="V36" s="99">
        <v>32093.665000000001</v>
      </c>
      <c r="W36" s="99">
        <v>39065.082999999999</v>
      </c>
      <c r="X36" s="2">
        <v>54453.514000000003</v>
      </c>
      <c r="Y36" s="2">
        <v>63449.209000000003</v>
      </c>
      <c r="Z36" s="2">
        <v>52596.817999999999</v>
      </c>
      <c r="AA36" s="2">
        <v>19841.911</v>
      </c>
    </row>
    <row r="37" spans="1:57">
      <c r="A37" s="23" t="s">
        <v>113</v>
      </c>
      <c r="B37" s="163"/>
      <c r="C37" s="163"/>
      <c r="D37" s="163"/>
      <c r="E37" s="163"/>
      <c r="F37" s="77">
        <v>1942.069</v>
      </c>
      <c r="G37" s="163"/>
      <c r="H37" s="163"/>
      <c r="I37" s="163">
        <v>4106.2709999999997</v>
      </c>
      <c r="J37" s="163"/>
      <c r="K37" s="163">
        <v>5422.3339999999998</v>
      </c>
      <c r="L37" s="163">
        <v>3747.6210000000001</v>
      </c>
      <c r="M37" s="163">
        <v>3949.3150000000001</v>
      </c>
      <c r="N37" s="163">
        <v>10618.254000000001</v>
      </c>
      <c r="O37" s="163">
        <v>12002.011</v>
      </c>
      <c r="P37" s="163">
        <v>18364.153999999999</v>
      </c>
      <c r="Q37" s="163">
        <v>20026.780999999999</v>
      </c>
      <c r="R37" s="163">
        <v>22680.016</v>
      </c>
      <c r="S37" s="163">
        <v>20141.239000000001</v>
      </c>
      <c r="T37" s="99">
        <v>20677.371999999999</v>
      </c>
      <c r="U37" s="99">
        <v>16725.972000000002</v>
      </c>
      <c r="V37" s="99">
        <v>3849.3609999999999</v>
      </c>
      <c r="W37" s="99">
        <v>4898.5550000000003</v>
      </c>
      <c r="X37" s="2">
        <v>62.718000000000004</v>
      </c>
      <c r="Y37" s="2">
        <v>2E-3</v>
      </c>
      <c r="Z37" s="2">
        <v>10410.584999999999</v>
      </c>
      <c r="AA37" s="2">
        <v>12005.291999999999</v>
      </c>
    </row>
    <row r="38" spans="1:57">
      <c r="A38" s="23" t="s">
        <v>115</v>
      </c>
      <c r="B38" s="163"/>
      <c r="C38" s="163"/>
      <c r="D38" s="163"/>
      <c r="E38" s="163"/>
      <c r="F38" s="77">
        <v>749.36800000000005</v>
      </c>
      <c r="G38" s="163"/>
      <c r="H38" s="163"/>
      <c r="I38" s="163">
        <v>55.25</v>
      </c>
      <c r="J38" s="163"/>
      <c r="K38" s="163">
        <v>623.15606000000082</v>
      </c>
      <c r="L38" s="163">
        <v>895.50099999999998</v>
      </c>
      <c r="M38" s="163">
        <v>1194.511</v>
      </c>
      <c r="N38" s="163">
        <v>2057.1289999999999</v>
      </c>
      <c r="O38" s="163">
        <v>4326.0169999999998</v>
      </c>
      <c r="P38" s="163">
        <v>130925.295</v>
      </c>
      <c r="Q38" s="163">
        <v>128054.889</v>
      </c>
      <c r="R38" s="163">
        <v>84613.014999999999</v>
      </c>
      <c r="S38" s="163">
        <v>83446.320999999996</v>
      </c>
      <c r="T38" s="99">
        <v>94614.561000000002</v>
      </c>
      <c r="U38" s="99">
        <v>97688.426000000007</v>
      </c>
      <c r="V38" s="99">
        <v>32101.082999999999</v>
      </c>
      <c r="W38" s="99">
        <v>41673.241999999998</v>
      </c>
      <c r="X38" s="2">
        <v>63249.637999999999</v>
      </c>
      <c r="Y38" s="2">
        <v>50724.285000000003</v>
      </c>
      <c r="Z38" s="2">
        <v>41690.160000000003</v>
      </c>
      <c r="AA38" s="2">
        <v>30695.924999999999</v>
      </c>
    </row>
    <row r="39" spans="1:57">
      <c r="A39" s="45" t="s">
        <v>117</v>
      </c>
      <c r="B39" s="104"/>
      <c r="C39" s="104"/>
      <c r="D39" s="104"/>
      <c r="E39" s="104"/>
      <c r="F39" s="82">
        <v>170.13200000000001</v>
      </c>
      <c r="G39" s="104"/>
      <c r="H39" s="104"/>
      <c r="I39" s="104">
        <v>118.82899999999999</v>
      </c>
      <c r="J39" s="104"/>
      <c r="K39" s="104">
        <v>50.74</v>
      </c>
      <c r="L39" s="104">
        <v>893.73699999999997</v>
      </c>
      <c r="M39" s="104">
        <v>979.94299999999998</v>
      </c>
      <c r="N39" s="104">
        <v>823.68700000000001</v>
      </c>
      <c r="O39" s="104">
        <v>10593.528</v>
      </c>
      <c r="P39" s="104">
        <v>12322.003000000001</v>
      </c>
      <c r="Q39" s="104">
        <v>12229.302</v>
      </c>
      <c r="R39" s="104">
        <v>13229.996999999999</v>
      </c>
      <c r="S39" s="104">
        <v>17897.179</v>
      </c>
      <c r="T39" s="100">
        <v>21096.291000000001</v>
      </c>
      <c r="U39" s="100">
        <v>23464.136999999999</v>
      </c>
      <c r="V39" s="100">
        <v>17976.401999999998</v>
      </c>
      <c r="W39" s="100">
        <v>19933.545999999998</v>
      </c>
      <c r="X39" s="45">
        <v>24096.196</v>
      </c>
      <c r="Y39" s="45">
        <v>23716.126</v>
      </c>
      <c r="Z39" s="45">
        <v>19706.71</v>
      </c>
      <c r="AA39" s="45">
        <v>26710.704000000002</v>
      </c>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row>
    <row r="40" spans="1:57" s="23" customFormat="1">
      <c r="A40" s="79" t="s">
        <v>121</v>
      </c>
      <c r="B40" s="164">
        <f>SUM(B42:B53)</f>
        <v>0</v>
      </c>
      <c r="C40" s="164">
        <f t="shared" ref="C40:AA40" si="9">SUM(C42:C53)</f>
        <v>0</v>
      </c>
      <c r="D40" s="164">
        <f t="shared" si="9"/>
        <v>0</v>
      </c>
      <c r="E40" s="164">
        <f t="shared" si="9"/>
        <v>0</v>
      </c>
      <c r="F40" s="164">
        <f t="shared" si="9"/>
        <v>70062.695999999996</v>
      </c>
      <c r="G40" s="164">
        <f t="shared" si="9"/>
        <v>0</v>
      </c>
      <c r="H40" s="164">
        <f t="shared" si="9"/>
        <v>0</v>
      </c>
      <c r="I40" s="164">
        <f t="shared" si="9"/>
        <v>70933.664000000004</v>
      </c>
      <c r="J40" s="164">
        <f t="shared" si="9"/>
        <v>0</v>
      </c>
      <c r="K40" s="164">
        <f t="shared" si="9"/>
        <v>118518.87787999997</v>
      </c>
      <c r="L40" s="164">
        <f t="shared" si="9"/>
        <v>154095.31099999999</v>
      </c>
      <c r="M40" s="164">
        <f t="shared" si="9"/>
        <v>183854.08099999995</v>
      </c>
      <c r="N40" s="164">
        <f t="shared" si="9"/>
        <v>305234.21100000001</v>
      </c>
      <c r="O40" s="164">
        <f t="shared" si="9"/>
        <v>516313.76300000004</v>
      </c>
      <c r="P40" s="164">
        <f t="shared" si="9"/>
        <v>653762.18900000001</v>
      </c>
      <c r="Q40" s="164">
        <f t="shared" si="9"/>
        <v>634843.73400000005</v>
      </c>
      <c r="R40" s="164">
        <f t="shared" si="9"/>
        <v>667455.71600000001</v>
      </c>
      <c r="S40" s="164">
        <f t="shared" si="9"/>
        <v>687093.66199999989</v>
      </c>
      <c r="T40" s="164">
        <f t="shared" si="9"/>
        <v>731338.9850000001</v>
      </c>
      <c r="U40" s="164">
        <f t="shared" si="9"/>
        <v>743603.79299999983</v>
      </c>
      <c r="V40" s="164">
        <f t="shared" si="9"/>
        <v>362971.49899999995</v>
      </c>
      <c r="W40" s="164">
        <f t="shared" si="9"/>
        <v>393968.22</v>
      </c>
      <c r="X40" s="164">
        <f t="shared" si="9"/>
        <v>335105.26999999996</v>
      </c>
      <c r="Y40" s="164">
        <f t="shared" si="9"/>
        <v>258412.27100000001</v>
      </c>
      <c r="Z40" s="164">
        <f t="shared" si="9"/>
        <v>240650.61900000004</v>
      </c>
      <c r="AA40" s="164">
        <f t="shared" si="9"/>
        <v>201310.51499999998</v>
      </c>
    </row>
    <row r="41" spans="1:57">
      <c r="A41" s="79" t="s">
        <v>119</v>
      </c>
      <c r="B41" s="163"/>
      <c r="C41" s="163"/>
      <c r="D41" s="163"/>
      <c r="E41" s="163"/>
      <c r="F41" s="163"/>
      <c r="G41" s="163"/>
      <c r="H41" s="163"/>
      <c r="I41" s="163"/>
      <c r="J41" s="163"/>
      <c r="K41" s="163"/>
      <c r="L41" s="163"/>
      <c r="M41" s="163"/>
      <c r="N41" s="163"/>
      <c r="O41" s="163"/>
      <c r="P41" s="163"/>
      <c r="Q41" s="163"/>
      <c r="R41" s="163"/>
      <c r="S41" s="163"/>
      <c r="T41" s="99"/>
      <c r="U41" s="99"/>
      <c r="V41" s="99"/>
      <c r="W41" s="99"/>
      <c r="X41" s="2">
        <v>0</v>
      </c>
      <c r="Y41" s="2">
        <v>0</v>
      </c>
    </row>
    <row r="42" spans="1:57">
      <c r="A42" s="23" t="s">
        <v>93</v>
      </c>
      <c r="B42" s="162"/>
      <c r="C42" s="162"/>
      <c r="D42" s="162"/>
      <c r="E42" s="162"/>
      <c r="F42" s="77">
        <v>29022.788</v>
      </c>
      <c r="G42" s="162"/>
      <c r="H42" s="162"/>
      <c r="I42" s="163">
        <v>5827.7690000000002</v>
      </c>
      <c r="J42" s="163"/>
      <c r="K42" s="163">
        <v>2652.07</v>
      </c>
      <c r="L42" s="163">
        <v>35272.019</v>
      </c>
      <c r="M42" s="163">
        <v>60090.288999999997</v>
      </c>
      <c r="N42" s="163">
        <v>104520.662</v>
      </c>
      <c r="O42" s="163">
        <v>128278.32</v>
      </c>
      <c r="P42" s="163">
        <v>220726.20600000001</v>
      </c>
      <c r="Q42" s="163">
        <v>169968.91200000001</v>
      </c>
      <c r="R42" s="163">
        <v>175688.83900000001</v>
      </c>
      <c r="S42" s="163">
        <v>172756.802</v>
      </c>
      <c r="T42" s="99">
        <v>194991.62899999999</v>
      </c>
      <c r="U42" s="99">
        <v>165070.95699999999</v>
      </c>
      <c r="V42" s="99">
        <v>121241.273</v>
      </c>
      <c r="W42" s="99">
        <v>120225.74800000001</v>
      </c>
      <c r="X42" s="2">
        <v>106935.632</v>
      </c>
      <c r="Y42" s="2">
        <v>56548.824999999997</v>
      </c>
      <c r="Z42" s="2">
        <v>56885.771999999997</v>
      </c>
      <c r="AA42" s="2">
        <v>48884.093999999997</v>
      </c>
    </row>
    <row r="43" spans="1:57">
      <c r="A43" s="23" t="s">
        <v>58</v>
      </c>
      <c r="B43" s="162"/>
      <c r="C43" s="162"/>
      <c r="D43" s="162"/>
      <c r="E43" s="162"/>
      <c r="F43" s="77">
        <v>754.9</v>
      </c>
      <c r="G43" s="162"/>
      <c r="H43" s="162"/>
      <c r="I43" s="163">
        <v>255.38900000000001</v>
      </c>
      <c r="J43" s="163"/>
      <c r="K43" s="163">
        <v>7811.3590000000004</v>
      </c>
      <c r="L43" s="163">
        <v>89.385000000000005</v>
      </c>
      <c r="M43" s="163">
        <v>0</v>
      </c>
      <c r="N43" s="163">
        <v>19077.43</v>
      </c>
      <c r="O43" s="163">
        <v>8050.7280000000001</v>
      </c>
      <c r="P43" s="163">
        <v>14243.82</v>
      </c>
      <c r="Q43" s="163">
        <v>14731.073</v>
      </c>
      <c r="R43" s="163">
        <v>18205.25</v>
      </c>
      <c r="S43" s="163">
        <v>19388.385999999999</v>
      </c>
      <c r="T43" s="99">
        <v>21911.447</v>
      </c>
      <c r="U43" s="99">
        <v>20398.431</v>
      </c>
      <c r="V43" s="99">
        <v>852.04100000000005</v>
      </c>
      <c r="W43" s="99">
        <v>1051.451</v>
      </c>
      <c r="X43" s="2">
        <v>1092.5630000000001</v>
      </c>
      <c r="Y43" s="2">
        <v>984.95</v>
      </c>
      <c r="Z43" s="2">
        <v>909.745</v>
      </c>
      <c r="AA43" s="2">
        <v>789.16499999999996</v>
      </c>
    </row>
    <row r="44" spans="1:57">
      <c r="A44" s="23" t="s">
        <v>94</v>
      </c>
      <c r="B44" s="162"/>
      <c r="C44" s="162"/>
      <c r="D44" s="162"/>
      <c r="E44" s="162"/>
      <c r="F44" s="77">
        <v>2956.3470000000002</v>
      </c>
      <c r="G44" s="162"/>
      <c r="H44" s="162"/>
      <c r="I44" s="163">
        <v>2604.9409999999998</v>
      </c>
      <c r="J44" s="163"/>
      <c r="K44" s="163">
        <v>4196.0190000000002</v>
      </c>
      <c r="L44" s="163">
        <v>4785.6769999999997</v>
      </c>
      <c r="M44" s="163">
        <v>10580.566000000001</v>
      </c>
      <c r="N44" s="163">
        <v>5971.7169999999996</v>
      </c>
      <c r="O44" s="163">
        <v>43519.95</v>
      </c>
      <c r="P44" s="163">
        <v>46009.904999999999</v>
      </c>
      <c r="Q44" s="163">
        <v>47898.118000000002</v>
      </c>
      <c r="R44" s="163">
        <v>44618.044000000002</v>
      </c>
      <c r="S44" s="163">
        <v>49863.622000000003</v>
      </c>
      <c r="T44" s="99">
        <v>68388.327000000005</v>
      </c>
      <c r="U44" s="99">
        <v>76206.328999999998</v>
      </c>
      <c r="V44" s="99">
        <v>24080.36</v>
      </c>
      <c r="W44" s="99">
        <v>54172.161999999997</v>
      </c>
      <c r="X44" s="2">
        <v>48809.548999999999</v>
      </c>
      <c r="Y44" s="2">
        <v>46849.214999999997</v>
      </c>
      <c r="Z44" s="2">
        <v>39224.936000000002</v>
      </c>
      <c r="AA44" s="2">
        <v>34833.337</v>
      </c>
    </row>
    <row r="45" spans="1:57">
      <c r="A45" s="23" t="s">
        <v>95</v>
      </c>
      <c r="B45" s="162"/>
      <c r="C45" s="162"/>
      <c r="D45" s="162"/>
      <c r="E45" s="162"/>
      <c r="F45" s="77">
        <v>4247.3090000000002</v>
      </c>
      <c r="G45" s="162"/>
      <c r="H45" s="162"/>
      <c r="I45" s="163">
        <v>5662.04</v>
      </c>
      <c r="J45" s="163"/>
      <c r="K45" s="163">
        <v>4085.9380000000001</v>
      </c>
      <c r="L45" s="163">
        <v>4488</v>
      </c>
      <c r="M45" s="163">
        <v>4315.4369999999999</v>
      </c>
      <c r="N45" s="163">
        <v>9606.5679999999993</v>
      </c>
      <c r="O45" s="163">
        <v>19355.810000000001</v>
      </c>
      <c r="P45" s="163">
        <v>25750.561000000002</v>
      </c>
      <c r="Q45" s="163">
        <v>33441.707999999999</v>
      </c>
      <c r="R45" s="163">
        <v>45594.502</v>
      </c>
      <c r="S45" s="163">
        <v>41056.258000000002</v>
      </c>
      <c r="T45" s="99">
        <v>48167.053</v>
      </c>
      <c r="U45" s="99">
        <v>43027.652999999998</v>
      </c>
      <c r="V45" s="99">
        <v>36298.728999999999</v>
      </c>
      <c r="W45" s="99">
        <v>33313.773999999998</v>
      </c>
      <c r="X45" s="2">
        <v>37001.773999999998</v>
      </c>
      <c r="Y45" s="2">
        <v>35794.283000000003</v>
      </c>
      <c r="Z45" s="2">
        <v>34130</v>
      </c>
      <c r="AA45" s="2">
        <v>30240.687999999998</v>
      </c>
    </row>
    <row r="46" spans="1:57">
      <c r="A46" s="23" t="s">
        <v>98</v>
      </c>
      <c r="B46" s="162"/>
      <c r="C46" s="162"/>
      <c r="D46" s="162"/>
      <c r="E46" s="163"/>
      <c r="F46" s="77">
        <v>32709.842000000001</v>
      </c>
      <c r="G46" s="162"/>
      <c r="H46" s="162"/>
      <c r="I46" s="163">
        <v>24821.683000000001</v>
      </c>
      <c r="J46" s="163"/>
      <c r="K46" s="163">
        <v>43648.91332</v>
      </c>
      <c r="L46" s="163">
        <v>73505.328999999998</v>
      </c>
      <c r="M46" s="163">
        <v>73190.535999999993</v>
      </c>
      <c r="N46" s="163">
        <v>40706.112999999998</v>
      </c>
      <c r="O46" s="163">
        <v>96722.997000000003</v>
      </c>
      <c r="P46" s="163">
        <v>110756.81</v>
      </c>
      <c r="Q46" s="163">
        <v>114607.121</v>
      </c>
      <c r="R46" s="163">
        <v>120032.54700000001</v>
      </c>
      <c r="S46" s="163">
        <v>132148.22099999999</v>
      </c>
      <c r="T46" s="99">
        <v>150017.06099999999</v>
      </c>
      <c r="U46" s="99">
        <v>160764.505</v>
      </c>
      <c r="V46" s="99">
        <v>17485.699000000001</v>
      </c>
      <c r="W46" s="99">
        <v>17704.539000000001</v>
      </c>
      <c r="X46" s="2">
        <v>21052.098999999998</v>
      </c>
      <c r="Y46" s="2">
        <v>20029.061000000002</v>
      </c>
      <c r="Z46" s="2">
        <v>13350.967000000001</v>
      </c>
      <c r="AA46" s="2">
        <v>8684.49</v>
      </c>
    </row>
    <row r="47" spans="1:57">
      <c r="A47" s="23" t="s">
        <v>99</v>
      </c>
      <c r="B47" s="163"/>
      <c r="C47" s="163"/>
      <c r="D47" s="163"/>
      <c r="E47" s="163"/>
      <c r="F47" s="77">
        <v>-10328.815000000001</v>
      </c>
      <c r="G47" s="163"/>
      <c r="H47" s="163"/>
      <c r="I47" s="163">
        <v>366.90600000000001</v>
      </c>
      <c r="J47" s="163"/>
      <c r="K47" s="163">
        <v>2187.2649999999999</v>
      </c>
      <c r="L47" s="163">
        <v>0</v>
      </c>
      <c r="M47" s="163">
        <v>0</v>
      </c>
      <c r="N47" s="163">
        <v>0</v>
      </c>
      <c r="O47" s="163">
        <v>40403.883999999998</v>
      </c>
      <c r="P47" s="163">
        <v>41673.343999999997</v>
      </c>
      <c r="Q47" s="163">
        <v>43978.02</v>
      </c>
      <c r="R47" s="163">
        <v>43300.610999999997</v>
      </c>
      <c r="S47" s="163">
        <v>42853.915000000001</v>
      </c>
      <c r="T47" s="99">
        <v>47451.764000000003</v>
      </c>
      <c r="U47" s="99">
        <v>49870.978999999999</v>
      </c>
      <c r="V47" s="99">
        <v>1034</v>
      </c>
      <c r="W47" s="99">
        <v>824</v>
      </c>
      <c r="X47" s="2">
        <v>945</v>
      </c>
      <c r="Y47" s="2">
        <v>302</v>
      </c>
      <c r="Z47" s="2">
        <v>337</v>
      </c>
      <c r="AA47" s="2">
        <v>561</v>
      </c>
    </row>
    <row r="48" spans="1:57">
      <c r="A48" s="23" t="s">
        <v>59</v>
      </c>
      <c r="B48" s="163"/>
      <c r="C48" s="163"/>
      <c r="D48" s="163"/>
      <c r="E48" s="163"/>
      <c r="F48" s="77">
        <v>1333.3869999999999</v>
      </c>
      <c r="G48" s="163"/>
      <c r="H48" s="163"/>
      <c r="I48" s="163">
        <v>3236.723</v>
      </c>
      <c r="J48" s="163"/>
      <c r="K48" s="163">
        <v>21081.58</v>
      </c>
      <c r="L48" s="163">
        <v>9190.4110000000001</v>
      </c>
      <c r="M48" s="163">
        <v>8412.5319999999992</v>
      </c>
      <c r="N48" s="163">
        <v>12403.427</v>
      </c>
      <c r="O48" s="163">
        <v>25263.746999999999</v>
      </c>
      <c r="P48" s="163">
        <v>23005.672999999999</v>
      </c>
      <c r="Q48" s="163">
        <v>25277.941999999999</v>
      </c>
      <c r="R48" s="163">
        <v>26597.953000000001</v>
      </c>
      <c r="S48" s="163">
        <v>31057.011999999999</v>
      </c>
      <c r="T48" s="99">
        <v>34317.413</v>
      </c>
      <c r="U48" s="99">
        <v>29039.731</v>
      </c>
      <c r="V48" s="99">
        <v>31459.062999999998</v>
      </c>
      <c r="W48" s="99">
        <v>8642.3889999999992</v>
      </c>
      <c r="X48" s="2">
        <v>7886.1909999999998</v>
      </c>
      <c r="Y48" s="2">
        <v>13188.468999999999</v>
      </c>
      <c r="Z48" s="2">
        <v>15996.366</v>
      </c>
      <c r="AA48" s="2">
        <v>13395.751</v>
      </c>
    </row>
    <row r="49" spans="1:57">
      <c r="A49" s="23" t="s">
        <v>101</v>
      </c>
      <c r="B49" s="163"/>
      <c r="C49" s="163"/>
      <c r="D49" s="163"/>
      <c r="E49" s="163"/>
      <c r="F49" s="77">
        <v>69.055999999999997</v>
      </c>
      <c r="G49" s="163"/>
      <c r="H49" s="163"/>
      <c r="I49" s="163">
        <v>129.298</v>
      </c>
      <c r="J49" s="163"/>
      <c r="K49" s="163">
        <v>170.292</v>
      </c>
      <c r="L49" s="163">
        <v>539.23800000000006</v>
      </c>
      <c r="M49" s="163">
        <v>501.14499999999998</v>
      </c>
      <c r="N49" s="163">
        <v>4808.0990000000002</v>
      </c>
      <c r="O49" s="163">
        <v>10107.788</v>
      </c>
      <c r="P49" s="163">
        <v>10464.848</v>
      </c>
      <c r="Q49" s="163">
        <v>11257.962</v>
      </c>
      <c r="R49" s="163">
        <v>11456.368</v>
      </c>
      <c r="S49" s="163">
        <v>12944.486000000001</v>
      </c>
      <c r="T49" s="99">
        <v>13878.587</v>
      </c>
      <c r="U49" s="99">
        <v>15468.873</v>
      </c>
      <c r="V49" s="99">
        <v>4158.3519999999999</v>
      </c>
      <c r="W49" s="99">
        <v>16476.748</v>
      </c>
      <c r="X49" s="2">
        <v>13638.227999999999</v>
      </c>
      <c r="Y49" s="2">
        <v>9580.1010000000006</v>
      </c>
      <c r="Z49" s="2">
        <v>6677.8990000000003</v>
      </c>
      <c r="AA49" s="2">
        <v>3203.1909999999998</v>
      </c>
    </row>
    <row r="50" spans="1:57">
      <c r="A50" s="23" t="s">
        <v>107</v>
      </c>
      <c r="B50" s="163"/>
      <c r="C50" s="163"/>
      <c r="D50" s="163"/>
      <c r="E50" s="163"/>
      <c r="F50" s="77">
        <v>575.39499999999998</v>
      </c>
      <c r="G50" s="163"/>
      <c r="H50" s="163"/>
      <c r="I50" s="163">
        <v>660.91899999999998</v>
      </c>
      <c r="J50" s="163"/>
      <c r="K50" s="163">
        <v>638.62056000000007</v>
      </c>
      <c r="L50" s="163">
        <v>1212.0360000000001</v>
      </c>
      <c r="M50" s="163">
        <v>424.37599999999998</v>
      </c>
      <c r="N50" s="163">
        <v>4316.2719999999999</v>
      </c>
      <c r="O50" s="163">
        <v>3931.3040000000001</v>
      </c>
      <c r="P50" s="163">
        <v>6798.2569999999996</v>
      </c>
      <c r="Q50" s="163">
        <v>7424.085</v>
      </c>
      <c r="R50" s="163">
        <v>7118.5110000000004</v>
      </c>
      <c r="S50" s="163">
        <v>10405.319</v>
      </c>
      <c r="T50" s="99">
        <v>6823.2950000000001</v>
      </c>
      <c r="U50" s="99">
        <v>10017.325000000001</v>
      </c>
      <c r="V50" s="99">
        <v>7720.1610000000001</v>
      </c>
      <c r="W50" s="99">
        <v>11499.023999999999</v>
      </c>
      <c r="X50" s="2">
        <v>11848.074000000001</v>
      </c>
      <c r="Y50" s="2">
        <v>8904.7900000000009</v>
      </c>
      <c r="Z50" s="2">
        <v>11913.101000000001</v>
      </c>
      <c r="AA50" s="2">
        <v>11649.050999999999</v>
      </c>
    </row>
    <row r="51" spans="1:57">
      <c r="A51" s="23" t="s">
        <v>108</v>
      </c>
      <c r="B51" s="163"/>
      <c r="C51" s="163"/>
      <c r="D51" s="163"/>
      <c r="E51" s="163"/>
      <c r="F51" s="77">
        <v>8591.8119999999999</v>
      </c>
      <c r="G51" s="163"/>
      <c r="H51" s="163"/>
      <c r="I51" s="163">
        <v>27367.995999999999</v>
      </c>
      <c r="J51" s="163"/>
      <c r="K51" s="163">
        <v>31373.055</v>
      </c>
      <c r="L51" s="163">
        <v>21225.674999999999</v>
      </c>
      <c r="M51" s="163">
        <v>21529.557000000001</v>
      </c>
      <c r="N51" s="163">
        <v>65432.315000000002</v>
      </c>
      <c r="O51" s="163">
        <v>64701.364999999998</v>
      </c>
      <c r="P51" s="163">
        <v>62425.726999999999</v>
      </c>
      <c r="Q51" s="163">
        <v>64538.421999999999</v>
      </c>
      <c r="R51" s="163">
        <v>70960.544999999998</v>
      </c>
      <c r="S51" s="163">
        <v>72762.695999999996</v>
      </c>
      <c r="T51" s="99">
        <v>50614.288</v>
      </c>
      <c r="U51" s="99">
        <v>75013.740000000005</v>
      </c>
      <c r="V51" s="99">
        <v>34888.830999999998</v>
      </c>
      <c r="W51" s="99">
        <v>30629.264999999999</v>
      </c>
      <c r="X51" s="2">
        <v>23453.040000000001</v>
      </c>
      <c r="Y51" s="2">
        <v>14776.646000000001</v>
      </c>
      <c r="Z51" s="2">
        <v>19303.514999999999</v>
      </c>
      <c r="AA51" s="2">
        <v>16829.155999999999</v>
      </c>
    </row>
    <row r="52" spans="1:57">
      <c r="A52" s="23" t="s">
        <v>112</v>
      </c>
      <c r="B52" s="163"/>
      <c r="C52" s="163"/>
      <c r="D52" s="163"/>
      <c r="E52" s="163"/>
      <c r="F52" s="77">
        <v>0</v>
      </c>
      <c r="G52" s="163"/>
      <c r="H52" s="163"/>
      <c r="I52" s="163">
        <v>0</v>
      </c>
      <c r="J52" s="163"/>
      <c r="K52" s="163">
        <v>660.88099999999997</v>
      </c>
      <c r="L52" s="163">
        <v>538.06700000000001</v>
      </c>
      <c r="M52" s="163">
        <v>596.73400000000004</v>
      </c>
      <c r="N52" s="163">
        <v>554.73</v>
      </c>
      <c r="O52" s="163">
        <v>1278.423</v>
      </c>
      <c r="P52" s="163">
        <v>2577.8780000000002</v>
      </c>
      <c r="Q52" s="163">
        <v>10112.799000000001</v>
      </c>
      <c r="R52" s="163">
        <v>4062.1889999999999</v>
      </c>
      <c r="S52" s="163">
        <v>1483.0930000000001</v>
      </c>
      <c r="T52" s="99">
        <v>2780.2350000000001</v>
      </c>
      <c r="U52" s="99">
        <v>5503.3469999999998</v>
      </c>
      <c r="V52" s="99">
        <v>17476.907999999999</v>
      </c>
      <c r="W52" s="99">
        <v>20210.219000000001</v>
      </c>
      <c r="X52" s="2">
        <v>20044.602999999999</v>
      </c>
      <c r="Y52" s="2">
        <v>13942.612999999999</v>
      </c>
      <c r="Z52" s="2">
        <v>15079.861000000001</v>
      </c>
      <c r="AA52" s="2">
        <v>10163.087</v>
      </c>
    </row>
    <row r="53" spans="1:57">
      <c r="A53" s="45" t="s">
        <v>116</v>
      </c>
      <c r="B53" s="104"/>
      <c r="C53" s="104"/>
      <c r="D53" s="104"/>
      <c r="E53" s="104"/>
      <c r="F53" s="82">
        <v>130.67500000000001</v>
      </c>
      <c r="G53" s="104"/>
      <c r="H53" s="104"/>
      <c r="I53" s="104">
        <v>0</v>
      </c>
      <c r="J53" s="104"/>
      <c r="K53" s="104">
        <v>12.885</v>
      </c>
      <c r="L53" s="104">
        <v>3249.4740000000002</v>
      </c>
      <c r="M53" s="104">
        <v>4212.9089999999997</v>
      </c>
      <c r="N53" s="104">
        <v>37836.877999999997</v>
      </c>
      <c r="O53" s="104">
        <v>74699.447</v>
      </c>
      <c r="P53" s="104">
        <v>89329.16</v>
      </c>
      <c r="Q53" s="104">
        <v>91607.572</v>
      </c>
      <c r="R53" s="104">
        <v>99820.357000000004</v>
      </c>
      <c r="S53" s="104">
        <v>100373.852</v>
      </c>
      <c r="T53" s="100">
        <v>91997.885999999999</v>
      </c>
      <c r="U53" s="100">
        <v>93221.922999999995</v>
      </c>
      <c r="V53" s="100">
        <v>66276.081999999995</v>
      </c>
      <c r="W53" s="100">
        <v>79218.900999999998</v>
      </c>
      <c r="X53" s="45">
        <v>42398.517</v>
      </c>
      <c r="Y53" s="45">
        <v>37511.317999999999</v>
      </c>
      <c r="Z53" s="45">
        <v>26841.456999999999</v>
      </c>
      <c r="AA53" s="45">
        <v>22077.505000000001</v>
      </c>
    </row>
    <row r="54" spans="1:57" s="23" customFormat="1">
      <c r="A54" s="79" t="s">
        <v>122</v>
      </c>
      <c r="B54" s="164">
        <f>SUM(B56:B64)</f>
        <v>0</v>
      </c>
      <c r="C54" s="164">
        <f t="shared" ref="C54:AA54" si="10">SUM(C56:C64)</f>
        <v>0</v>
      </c>
      <c r="D54" s="164">
        <f t="shared" si="10"/>
        <v>0</v>
      </c>
      <c r="E54" s="164">
        <f t="shared" si="10"/>
        <v>0</v>
      </c>
      <c r="F54" s="164">
        <f t="shared" si="10"/>
        <v>33462.784999999996</v>
      </c>
      <c r="G54" s="164">
        <f t="shared" si="10"/>
        <v>0</v>
      </c>
      <c r="H54" s="164">
        <f t="shared" si="10"/>
        <v>0</v>
      </c>
      <c r="I54" s="164">
        <f t="shared" si="10"/>
        <v>32030.721999999998</v>
      </c>
      <c r="J54" s="164">
        <f t="shared" si="10"/>
        <v>0</v>
      </c>
      <c r="K54" s="164">
        <f t="shared" si="10"/>
        <v>32119.115330000001</v>
      </c>
      <c r="L54" s="164">
        <f t="shared" si="10"/>
        <v>36439.678</v>
      </c>
      <c r="M54" s="164">
        <f t="shared" si="10"/>
        <v>42637.027999999998</v>
      </c>
      <c r="N54" s="164">
        <f t="shared" si="10"/>
        <v>224146.65700000001</v>
      </c>
      <c r="O54" s="164">
        <f t="shared" si="10"/>
        <v>244094.94699999999</v>
      </c>
      <c r="P54" s="164">
        <f t="shared" si="10"/>
        <v>284111.25200000004</v>
      </c>
      <c r="Q54" s="164">
        <f t="shared" si="10"/>
        <v>294663.76</v>
      </c>
      <c r="R54" s="164">
        <f t="shared" si="10"/>
        <v>307669.78899999999</v>
      </c>
      <c r="S54" s="164">
        <f t="shared" si="10"/>
        <v>587226.07799999998</v>
      </c>
      <c r="T54" s="164">
        <f t="shared" si="10"/>
        <v>350904.46600000001</v>
      </c>
      <c r="U54" s="164">
        <f t="shared" si="10"/>
        <v>380171.163</v>
      </c>
      <c r="V54" s="164">
        <f t="shared" si="10"/>
        <v>244799.761</v>
      </c>
      <c r="W54" s="164">
        <f t="shared" si="10"/>
        <v>270084.375</v>
      </c>
      <c r="X54" s="164">
        <f t="shared" si="10"/>
        <v>304415.70500000002</v>
      </c>
      <c r="Y54" s="164">
        <f t="shared" si="10"/>
        <v>260202.92900000003</v>
      </c>
      <c r="Z54" s="164">
        <f t="shared" si="10"/>
        <v>308093.73500000004</v>
      </c>
      <c r="AA54" s="164">
        <f t="shared" si="10"/>
        <v>250197.74000000002</v>
      </c>
    </row>
    <row r="55" spans="1:57">
      <c r="A55" s="79" t="s">
        <v>119</v>
      </c>
      <c r="B55" s="163"/>
      <c r="C55" s="163"/>
      <c r="D55" s="163"/>
      <c r="E55" s="163"/>
      <c r="F55" s="163"/>
      <c r="G55" s="163"/>
      <c r="H55" s="163"/>
      <c r="I55" s="163"/>
      <c r="J55" s="163"/>
      <c r="K55" s="163"/>
      <c r="L55" s="163"/>
      <c r="M55" s="163"/>
      <c r="N55" s="163"/>
      <c r="O55" s="163"/>
      <c r="P55" s="163"/>
      <c r="Q55" s="163"/>
      <c r="R55" s="163"/>
      <c r="S55" s="163"/>
      <c r="T55" s="99"/>
      <c r="U55" s="99"/>
      <c r="V55" s="99"/>
      <c r="W55" s="99"/>
      <c r="X55" s="2">
        <v>0</v>
      </c>
      <c r="Y55" s="2">
        <v>0</v>
      </c>
    </row>
    <row r="56" spans="1:57" s="23" customFormat="1">
      <c r="A56" s="23" t="s">
        <v>89</v>
      </c>
      <c r="B56" s="162"/>
      <c r="C56" s="162"/>
      <c r="D56" s="162"/>
      <c r="E56" s="162"/>
      <c r="F56" s="77">
        <v>347.96699999999998</v>
      </c>
      <c r="G56" s="162"/>
      <c r="H56" s="162"/>
      <c r="I56" s="163">
        <v>0</v>
      </c>
      <c r="J56" s="163"/>
      <c r="K56" s="163">
        <v>0.74804000000003723</v>
      </c>
      <c r="L56" s="163">
        <v>-106.708</v>
      </c>
      <c r="M56" s="163">
        <v>2309.3739999999998</v>
      </c>
      <c r="N56" s="163">
        <v>9230.1299999999992</v>
      </c>
      <c r="O56" s="163">
        <v>14185.492</v>
      </c>
      <c r="P56" s="163">
        <v>16942.366999999998</v>
      </c>
      <c r="Q56" s="163">
        <v>15816.957</v>
      </c>
      <c r="R56" s="163">
        <v>16384.455000000002</v>
      </c>
      <c r="S56" s="163">
        <v>16596.646000000001</v>
      </c>
      <c r="T56" s="99">
        <v>20072.755000000001</v>
      </c>
      <c r="U56" s="99">
        <v>18966.558000000001</v>
      </c>
      <c r="V56" s="99">
        <v>6985.5039999999999</v>
      </c>
      <c r="W56" s="99">
        <v>6204.2179999999998</v>
      </c>
      <c r="X56" s="2">
        <v>4225.01</v>
      </c>
      <c r="Y56" s="2">
        <v>1137.154</v>
      </c>
      <c r="Z56" s="2">
        <v>8634.7260000000006</v>
      </c>
      <c r="AA56" s="2">
        <v>734.93299999999999</v>
      </c>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row>
    <row r="57" spans="1:57" s="23" customFormat="1">
      <c r="A57" s="23" t="s">
        <v>96</v>
      </c>
      <c r="B57" s="162"/>
      <c r="C57" s="162"/>
      <c r="D57" s="162"/>
      <c r="E57" s="162"/>
      <c r="F57" s="77">
        <v>957.57899999999995</v>
      </c>
      <c r="G57" s="162"/>
      <c r="H57" s="162"/>
      <c r="I57" s="163">
        <v>670.05200000000002</v>
      </c>
      <c r="J57" s="163"/>
      <c r="K57" s="163">
        <v>54.158000000000001</v>
      </c>
      <c r="L57" s="163">
        <v>496.59300000000002</v>
      </c>
      <c r="M57" s="163">
        <v>171.09200000000001</v>
      </c>
      <c r="N57" s="163">
        <v>4845.8389999999999</v>
      </c>
      <c r="O57" s="163">
        <v>4923.1790000000001</v>
      </c>
      <c r="P57" s="163">
        <v>5908.6790000000001</v>
      </c>
      <c r="Q57" s="163">
        <v>6480.3969999999999</v>
      </c>
      <c r="R57" s="163">
        <v>6403.4709999999995</v>
      </c>
      <c r="S57" s="163">
        <v>6312.357</v>
      </c>
      <c r="T57" s="99">
        <v>7141.7449999999999</v>
      </c>
      <c r="U57" s="99">
        <v>0</v>
      </c>
      <c r="V57" s="99">
        <v>0</v>
      </c>
      <c r="W57" s="99">
        <v>0</v>
      </c>
      <c r="X57" s="2">
        <v>0</v>
      </c>
      <c r="Y57" s="2">
        <v>0</v>
      </c>
      <c r="Z57" s="2">
        <v>42.313000000000002</v>
      </c>
      <c r="AA57" s="2">
        <v>107.91200000000001</v>
      </c>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row>
    <row r="58" spans="1:57" s="17" customFormat="1">
      <c r="A58" s="23" t="s">
        <v>97</v>
      </c>
      <c r="B58" s="162"/>
      <c r="C58" s="162"/>
      <c r="D58" s="162"/>
      <c r="E58" s="163"/>
      <c r="F58" s="77">
        <v>1718.2239999999999</v>
      </c>
      <c r="G58" s="162"/>
      <c r="H58" s="162"/>
      <c r="I58" s="163">
        <v>2121.9050000000002</v>
      </c>
      <c r="J58" s="163"/>
      <c r="K58" s="163">
        <v>5211.9440000000004</v>
      </c>
      <c r="L58" s="163">
        <v>12257.06</v>
      </c>
      <c r="M58" s="163">
        <v>12968.996999999999</v>
      </c>
      <c r="N58" s="163">
        <v>20969.328000000001</v>
      </c>
      <c r="O58" s="163">
        <v>22370.519</v>
      </c>
      <c r="P58" s="163">
        <v>22765.974999999999</v>
      </c>
      <c r="Q58" s="163">
        <v>24507.537</v>
      </c>
      <c r="R58" s="163">
        <v>29571.615000000002</v>
      </c>
      <c r="S58" s="163">
        <v>28260.973000000002</v>
      </c>
      <c r="T58" s="99">
        <v>29695.260999999999</v>
      </c>
      <c r="U58" s="99">
        <v>30741.304</v>
      </c>
      <c r="V58" s="99">
        <v>14173.692999999999</v>
      </c>
      <c r="W58" s="99">
        <v>10841.844999999999</v>
      </c>
      <c r="X58" s="23">
        <v>11014.159</v>
      </c>
      <c r="Y58" s="2">
        <v>9906.0380000000005</v>
      </c>
      <c r="Z58" s="2">
        <v>12367.736999999999</v>
      </c>
      <c r="AA58" s="2">
        <v>5581.03</v>
      </c>
    </row>
    <row r="59" spans="1:57">
      <c r="A59" s="23" t="s">
        <v>103</v>
      </c>
      <c r="B59" s="163"/>
      <c r="C59" s="163"/>
      <c r="D59" s="163"/>
      <c r="E59" s="163"/>
      <c r="F59" s="77">
        <v>0</v>
      </c>
      <c r="G59" s="163"/>
      <c r="H59" s="163"/>
      <c r="I59" s="163">
        <v>0</v>
      </c>
      <c r="J59" s="163"/>
      <c r="K59" s="163">
        <v>0</v>
      </c>
      <c r="L59" s="163">
        <v>0</v>
      </c>
      <c r="M59" s="163">
        <v>0</v>
      </c>
      <c r="N59" s="163">
        <v>0</v>
      </c>
      <c r="O59" s="163">
        <v>0</v>
      </c>
      <c r="P59" s="163">
        <v>8472.9740000000002</v>
      </c>
      <c r="Q59" s="163">
        <v>1087.229</v>
      </c>
      <c r="R59" s="163">
        <v>2448.3989999999999</v>
      </c>
      <c r="S59" s="163">
        <v>2083.712</v>
      </c>
      <c r="T59" s="99">
        <v>2854.4580000000001</v>
      </c>
      <c r="U59" s="99">
        <v>3112.3330000000001</v>
      </c>
      <c r="V59" s="99">
        <v>-201.77099999999999</v>
      </c>
      <c r="W59" s="99">
        <v>0</v>
      </c>
      <c r="X59" s="2">
        <v>0</v>
      </c>
      <c r="Y59" s="2">
        <v>0</v>
      </c>
      <c r="Z59" s="2">
        <v>1E-3</v>
      </c>
      <c r="AA59" s="2">
        <v>0</v>
      </c>
    </row>
    <row r="60" spans="1:57">
      <c r="A60" s="23" t="s">
        <v>104</v>
      </c>
      <c r="B60" s="163"/>
      <c r="C60" s="163"/>
      <c r="D60" s="163"/>
      <c r="E60" s="163"/>
      <c r="F60" s="77">
        <v>12561.564</v>
      </c>
      <c r="G60" s="163"/>
      <c r="H60" s="163"/>
      <c r="I60" s="163">
        <v>11357.191999999999</v>
      </c>
      <c r="J60" s="163"/>
      <c r="K60" s="163">
        <v>7694.2650000000003</v>
      </c>
      <c r="L60" s="163">
        <v>10334.960999999999</v>
      </c>
      <c r="M60" s="163">
        <v>8256.1679999999997</v>
      </c>
      <c r="N60" s="163">
        <v>40698.92</v>
      </c>
      <c r="O60" s="163">
        <v>48305.86</v>
      </c>
      <c r="P60" s="163">
        <v>67782.97</v>
      </c>
      <c r="Q60" s="163">
        <v>69482.115999999995</v>
      </c>
      <c r="R60" s="163">
        <v>65704.048999999999</v>
      </c>
      <c r="S60" s="163">
        <v>62562.758999999998</v>
      </c>
      <c r="T60" s="99">
        <v>50203.785000000003</v>
      </c>
      <c r="U60" s="99">
        <v>80996.28</v>
      </c>
      <c r="V60" s="99">
        <v>62514.203999999998</v>
      </c>
      <c r="W60" s="99">
        <v>70207.297999999995</v>
      </c>
      <c r="X60" s="2">
        <v>68238.017000000007</v>
      </c>
      <c r="Y60" s="2">
        <v>88631.504000000001</v>
      </c>
      <c r="Z60" s="2">
        <v>77983.629000000001</v>
      </c>
      <c r="AA60" s="2">
        <v>89411.793999999994</v>
      </c>
    </row>
    <row r="61" spans="1:57">
      <c r="A61" s="23" t="s">
        <v>106</v>
      </c>
      <c r="B61" s="163"/>
      <c r="C61" s="163"/>
      <c r="D61" s="163"/>
      <c r="E61" s="163"/>
      <c r="F61" s="77">
        <v>8390.8459999999995</v>
      </c>
      <c r="G61" s="163"/>
      <c r="H61" s="163"/>
      <c r="I61" s="163">
        <v>10388.255999999999</v>
      </c>
      <c r="J61" s="163"/>
      <c r="K61" s="163">
        <v>8868.4429999999993</v>
      </c>
      <c r="L61" s="163">
        <v>3637.4639999999999</v>
      </c>
      <c r="M61" s="163">
        <v>9840.7999999999993</v>
      </c>
      <c r="N61" s="163">
        <v>96714.028999999995</v>
      </c>
      <c r="O61" s="163">
        <v>97713.07</v>
      </c>
      <c r="P61" s="163">
        <v>92472.322</v>
      </c>
      <c r="Q61" s="163">
        <v>107129.565</v>
      </c>
      <c r="R61" s="163">
        <v>108475.023</v>
      </c>
      <c r="S61" s="163">
        <v>396428.65299999999</v>
      </c>
      <c r="T61" s="99">
        <v>159858.87400000001</v>
      </c>
      <c r="U61" s="99">
        <v>172729.3</v>
      </c>
      <c r="V61" s="99">
        <v>99193.16</v>
      </c>
      <c r="W61" s="99">
        <v>119921.863</v>
      </c>
      <c r="X61" s="2">
        <v>135188.791</v>
      </c>
      <c r="Y61" s="2">
        <v>98606.982000000004</v>
      </c>
      <c r="Z61" s="2">
        <v>141735.22200000001</v>
      </c>
      <c r="AA61" s="2">
        <v>91449.444000000003</v>
      </c>
    </row>
    <row r="62" spans="1:57">
      <c r="A62" s="23" t="s">
        <v>110</v>
      </c>
      <c r="B62" s="163"/>
      <c r="C62" s="163"/>
      <c r="D62" s="163"/>
      <c r="E62" s="163"/>
      <c r="F62" s="77">
        <v>7956.54</v>
      </c>
      <c r="G62" s="163"/>
      <c r="H62" s="163"/>
      <c r="I62" s="163">
        <v>7007.5280000000002</v>
      </c>
      <c r="J62" s="163"/>
      <c r="K62" s="163">
        <v>10323.843289999999</v>
      </c>
      <c r="L62" s="163">
        <v>9897.4840000000004</v>
      </c>
      <c r="M62" s="163">
        <v>8993.8349999999991</v>
      </c>
      <c r="N62" s="163">
        <v>49080.438999999998</v>
      </c>
      <c r="O62" s="163">
        <v>53781.794000000002</v>
      </c>
      <c r="P62" s="163">
        <v>66981.197</v>
      </c>
      <c r="Q62" s="163">
        <v>67637.653999999995</v>
      </c>
      <c r="R62" s="163">
        <v>75694.434999999998</v>
      </c>
      <c r="S62" s="163">
        <v>71843.14</v>
      </c>
      <c r="T62" s="99">
        <v>77769.054000000004</v>
      </c>
      <c r="U62" s="99">
        <v>68517.914999999994</v>
      </c>
      <c r="V62" s="99">
        <v>62015.476999999999</v>
      </c>
      <c r="W62" s="99">
        <v>62909.150999999998</v>
      </c>
      <c r="X62" s="2">
        <v>85749.728000000003</v>
      </c>
      <c r="Y62" s="2">
        <v>61921.249000000003</v>
      </c>
      <c r="Z62" s="2">
        <v>67330.107000000004</v>
      </c>
      <c r="AA62" s="2">
        <v>62912.627</v>
      </c>
    </row>
    <row r="63" spans="1:57">
      <c r="A63" s="23" t="s">
        <v>111</v>
      </c>
      <c r="B63" s="163"/>
      <c r="C63" s="163"/>
      <c r="D63" s="163"/>
      <c r="E63" s="163"/>
      <c r="F63" s="77">
        <v>984.63599999999997</v>
      </c>
      <c r="G63" s="163"/>
      <c r="H63" s="163"/>
      <c r="I63" s="163">
        <v>486.58699999999999</v>
      </c>
      <c r="J63" s="163"/>
      <c r="K63" s="163">
        <v>50.959000000000003</v>
      </c>
      <c r="L63" s="163">
        <v>0</v>
      </c>
      <c r="M63" s="163">
        <v>0</v>
      </c>
      <c r="N63" s="163">
        <v>2556.06</v>
      </c>
      <c r="O63" s="163">
        <v>2755.7150000000001</v>
      </c>
      <c r="P63" s="163">
        <v>2696.1990000000001</v>
      </c>
      <c r="Q63" s="163">
        <v>2654.0590000000002</v>
      </c>
      <c r="R63" s="163">
        <v>2769.0329999999999</v>
      </c>
      <c r="S63" s="163">
        <v>2942.1370000000002</v>
      </c>
      <c r="T63" s="99">
        <v>3134.2730000000001</v>
      </c>
      <c r="U63" s="99">
        <v>3216.3910000000001</v>
      </c>
      <c r="V63" s="99">
        <v>119.494</v>
      </c>
      <c r="W63" s="99">
        <v>0</v>
      </c>
      <c r="X63" s="2">
        <v>0</v>
      </c>
      <c r="Y63" s="2">
        <v>0</v>
      </c>
      <c r="Z63" s="2">
        <v>0</v>
      </c>
      <c r="AA63" s="2">
        <v>0</v>
      </c>
    </row>
    <row r="64" spans="1:57">
      <c r="A64" s="45" t="s">
        <v>114</v>
      </c>
      <c r="B64" s="104"/>
      <c r="C64" s="104"/>
      <c r="D64" s="104"/>
      <c r="E64" s="104"/>
      <c r="F64" s="82">
        <v>545.42899999999997</v>
      </c>
      <c r="G64" s="104"/>
      <c r="H64" s="104"/>
      <c r="I64" s="104">
        <v>-0.79800000000000004</v>
      </c>
      <c r="J64" s="104"/>
      <c r="K64" s="104">
        <v>-85.245000000000005</v>
      </c>
      <c r="L64" s="104">
        <v>-77.176000000000002</v>
      </c>
      <c r="M64" s="104">
        <v>96.762</v>
      </c>
      <c r="N64" s="104">
        <v>51.911999999999999</v>
      </c>
      <c r="O64" s="104">
        <v>59.317999999999998</v>
      </c>
      <c r="P64" s="104">
        <v>88.569000000000003</v>
      </c>
      <c r="Q64" s="104">
        <v>-131.75399999999999</v>
      </c>
      <c r="R64" s="104">
        <v>219.309</v>
      </c>
      <c r="S64" s="104">
        <v>195.70099999999999</v>
      </c>
      <c r="T64" s="100">
        <v>174.261</v>
      </c>
      <c r="U64" s="100">
        <v>1891.0820000000001</v>
      </c>
      <c r="V64" s="100">
        <v>0</v>
      </c>
      <c r="W64" s="100">
        <v>0</v>
      </c>
      <c r="X64" s="45">
        <v>0</v>
      </c>
      <c r="Y64" s="45">
        <v>2E-3</v>
      </c>
      <c r="Z64" s="45">
        <v>0</v>
      </c>
      <c r="AA64" s="45">
        <v>0</v>
      </c>
    </row>
    <row r="65" spans="1:57">
      <c r="A65" s="88" t="s">
        <v>90</v>
      </c>
      <c r="B65" s="165"/>
      <c r="C65" s="165"/>
      <c r="D65" s="165"/>
      <c r="E65" s="165"/>
      <c r="F65" s="85">
        <v>0</v>
      </c>
      <c r="G65" s="165"/>
      <c r="H65" s="165"/>
      <c r="I65" s="166">
        <v>0</v>
      </c>
      <c r="J65" s="166"/>
      <c r="K65" s="166">
        <v>0</v>
      </c>
      <c r="L65" s="166">
        <v>0</v>
      </c>
      <c r="M65" s="166">
        <v>0</v>
      </c>
      <c r="N65" s="166">
        <v>0</v>
      </c>
      <c r="O65" s="166">
        <v>0</v>
      </c>
      <c r="P65" s="166">
        <v>0</v>
      </c>
      <c r="Q65" s="166">
        <v>0</v>
      </c>
      <c r="R65" s="166">
        <v>0</v>
      </c>
      <c r="S65" s="166">
        <v>0</v>
      </c>
      <c r="T65" s="167">
        <v>0</v>
      </c>
      <c r="U65" s="167"/>
      <c r="V65" s="167">
        <v>0</v>
      </c>
      <c r="W65" s="167">
        <v>0</v>
      </c>
      <c r="X65" s="45"/>
      <c r="Y65" s="45"/>
      <c r="Z65" s="45"/>
      <c r="AA65" s="45"/>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row>
    <row r="67" spans="1:57">
      <c r="B67" s="13"/>
      <c r="C67" s="13"/>
      <c r="D67" s="18" t="s">
        <v>54</v>
      </c>
      <c r="F67" s="14" t="s">
        <v>53</v>
      </c>
      <c r="G67" s="13" t="s">
        <v>28</v>
      </c>
      <c r="H67" s="13"/>
      <c r="I67" s="14" t="s">
        <v>53</v>
      </c>
      <c r="J67" s="14" t="s">
        <v>53</v>
      </c>
      <c r="K67" s="14" t="s">
        <v>53</v>
      </c>
      <c r="L67" s="14" t="s">
        <v>69</v>
      </c>
      <c r="O67" s="14" t="s">
        <v>53</v>
      </c>
      <c r="P67" s="14" t="s">
        <v>53</v>
      </c>
      <c r="Q67" s="14" t="s">
        <v>53</v>
      </c>
      <c r="R67" s="14" t="s">
        <v>53</v>
      </c>
    </row>
    <row r="68" spans="1:57">
      <c r="B68" s="13"/>
      <c r="C68" s="13"/>
      <c r="D68" s="18" t="s">
        <v>55</v>
      </c>
      <c r="G68" s="13" t="s">
        <v>30</v>
      </c>
      <c r="H68" s="13"/>
      <c r="I68" s="14" t="s">
        <v>78</v>
      </c>
      <c r="L68" s="14" t="s">
        <v>70</v>
      </c>
      <c r="O68" s="14" t="s">
        <v>78</v>
      </c>
      <c r="P68" s="14" t="s">
        <v>78</v>
      </c>
      <c r="Q68" s="14" t="s">
        <v>78</v>
      </c>
      <c r="R68" s="14" t="s">
        <v>78</v>
      </c>
    </row>
    <row r="69" spans="1:57">
      <c r="B69" s="13"/>
      <c r="C69" s="13"/>
      <c r="D69" s="13" t="s">
        <v>27</v>
      </c>
      <c r="G69" s="13" t="s">
        <v>32</v>
      </c>
      <c r="H69" s="13"/>
      <c r="I69" s="14" t="s">
        <v>79</v>
      </c>
      <c r="J69" s="14" t="s">
        <v>76</v>
      </c>
      <c r="O69" s="14" t="s">
        <v>79</v>
      </c>
      <c r="P69" s="14" t="s">
        <v>79</v>
      </c>
      <c r="Q69" s="14" t="s">
        <v>79</v>
      </c>
      <c r="R69" s="14" t="s">
        <v>79</v>
      </c>
    </row>
    <row r="70" spans="1:57">
      <c r="B70" s="13"/>
      <c r="C70" s="13"/>
      <c r="D70" s="13" t="s">
        <v>29</v>
      </c>
      <c r="G70" s="13" t="s">
        <v>28</v>
      </c>
      <c r="H70" s="13"/>
      <c r="I70" s="14" t="s">
        <v>80</v>
      </c>
      <c r="J70" s="14" t="s">
        <v>72</v>
      </c>
      <c r="Q70" s="14" t="s">
        <v>80</v>
      </c>
      <c r="R70" s="14" t="s">
        <v>80</v>
      </c>
    </row>
    <row r="71" spans="1:57">
      <c r="B71" s="13"/>
      <c r="C71" s="13"/>
      <c r="D71" s="13" t="s">
        <v>31</v>
      </c>
      <c r="H71" s="13"/>
      <c r="J71" s="14" t="s">
        <v>73</v>
      </c>
    </row>
    <row r="72" spans="1:57">
      <c r="B72" s="13"/>
      <c r="C72" s="13"/>
      <c r="D72" s="13" t="s">
        <v>33</v>
      </c>
      <c r="G72" s="13" t="s">
        <v>30</v>
      </c>
      <c r="H72" s="13"/>
      <c r="J72" s="14" t="s">
        <v>74</v>
      </c>
    </row>
    <row r="73" spans="1:57">
      <c r="B73" s="13"/>
      <c r="C73" s="13"/>
      <c r="D73" s="13" t="s">
        <v>34</v>
      </c>
      <c r="G73" s="18" t="s">
        <v>36</v>
      </c>
      <c r="H73" s="13"/>
    </row>
    <row r="74" spans="1:57">
      <c r="B74" s="18"/>
      <c r="C74" s="13"/>
      <c r="D74" s="13" t="s">
        <v>35</v>
      </c>
      <c r="G74" s="18" t="s">
        <v>38</v>
      </c>
      <c r="H74" s="13"/>
    </row>
    <row r="75" spans="1:57">
      <c r="B75" s="67" t="s">
        <v>71</v>
      </c>
      <c r="C75" s="13"/>
      <c r="D75" s="13" t="s">
        <v>37</v>
      </c>
      <c r="G75" s="13"/>
      <c r="H75" s="13"/>
    </row>
    <row r="76" spans="1:57">
      <c r="B76" s="13"/>
      <c r="C76" s="13"/>
      <c r="D76" s="18" t="s">
        <v>36</v>
      </c>
      <c r="G76" s="13"/>
      <c r="H76" s="13"/>
    </row>
    <row r="77" spans="1:57">
      <c r="B77" s="13"/>
      <c r="C77" s="13"/>
      <c r="D77" s="18" t="s">
        <v>38</v>
      </c>
      <c r="G77" s="13"/>
      <c r="H77" s="13"/>
    </row>
    <row r="78" spans="1:57">
      <c r="D78" s="13"/>
    </row>
    <row r="79" spans="1:57">
      <c r="D79" s="13"/>
    </row>
    <row r="99" spans="2:8">
      <c r="B99" s="13"/>
      <c r="C99" s="13"/>
      <c r="G99" s="13"/>
      <c r="H99" s="13"/>
    </row>
    <row r="102" spans="2:8">
      <c r="D102" s="62"/>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tabColor theme="0" tint="-0.499984740745262"/>
  </sheetPr>
  <dimension ref="A1:AX70"/>
  <sheetViews>
    <sheetView showZeros="0" zoomScale="80" zoomScaleNormal="80" workbookViewId="0">
      <pane xSplit="1" ySplit="5" topLeftCell="Q6" activePane="bottomRight" state="frozen"/>
      <selection activeCell="Z72" sqref="Z72"/>
      <selection pane="topRight" activeCell="Z72" sqref="Z72"/>
      <selection pane="bottomLeft" activeCell="Z72" sqref="Z72"/>
      <selection pane="bottomRight" activeCell="V48" sqref="V48"/>
    </sheetView>
  </sheetViews>
  <sheetFormatPr defaultColWidth="9.7109375" defaultRowHeight="12.75"/>
  <cols>
    <col min="1" max="1" width="23.42578125" style="80" customWidth="1"/>
    <col min="2" max="22" width="12.42578125" style="14" customWidth="1"/>
    <col min="23" max="50" width="10.7109375" style="2" customWidth="1"/>
    <col min="51" max="16384" width="9.7109375" style="2"/>
  </cols>
  <sheetData>
    <row r="1" spans="1:22">
      <c r="A1" s="8" t="s">
        <v>39</v>
      </c>
      <c r="B1"/>
      <c r="C1"/>
      <c r="D1"/>
      <c r="E1"/>
      <c r="F1"/>
      <c r="G1"/>
      <c r="H1"/>
      <c r="I1"/>
      <c r="J1"/>
      <c r="K1"/>
      <c r="L1"/>
      <c r="M1"/>
      <c r="N1"/>
      <c r="O1" s="46"/>
      <c r="P1" s="46"/>
      <c r="Q1" s="46"/>
      <c r="R1" s="46"/>
      <c r="S1"/>
      <c r="T1"/>
      <c r="U1"/>
      <c r="V1"/>
    </row>
    <row r="2" spans="1:22">
      <c r="A2" s="8"/>
      <c r="B2"/>
      <c r="C2"/>
      <c r="D2"/>
      <c r="E2"/>
      <c r="F2"/>
      <c r="G2"/>
      <c r="H2"/>
      <c r="I2"/>
      <c r="J2"/>
      <c r="K2"/>
      <c r="L2"/>
      <c r="M2"/>
      <c r="N2"/>
      <c r="O2" s="46"/>
      <c r="P2" s="46"/>
      <c r="Q2" s="46"/>
      <c r="R2" s="46"/>
      <c r="S2"/>
      <c r="T2"/>
      <c r="U2"/>
      <c r="V2"/>
    </row>
    <row r="3" spans="1:22">
      <c r="A3" s="8" t="s">
        <v>24</v>
      </c>
      <c r="B3"/>
      <c r="C3"/>
      <c r="D3"/>
      <c r="E3"/>
      <c r="F3"/>
      <c r="G3"/>
      <c r="H3"/>
      <c r="I3"/>
      <c r="J3"/>
      <c r="K3"/>
      <c r="L3"/>
      <c r="M3"/>
      <c r="N3"/>
      <c r="O3" s="46"/>
      <c r="P3" s="46"/>
      <c r="Q3" s="46"/>
      <c r="R3" s="46"/>
      <c r="S3"/>
      <c r="T3"/>
      <c r="U3"/>
      <c r="V3"/>
    </row>
    <row r="4" spans="1:22" s="65"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74">
        <v>2005</v>
      </c>
      <c r="R4" s="74">
        <v>2006</v>
      </c>
      <c r="S4" s="74">
        <v>2007</v>
      </c>
      <c r="T4" s="74">
        <v>2008</v>
      </c>
      <c r="U4" s="74">
        <v>2009</v>
      </c>
      <c r="V4" s="74">
        <v>2010</v>
      </c>
    </row>
    <row r="5" spans="1:22" s="19" customFormat="1">
      <c r="B5" s="15" t="s">
        <v>1</v>
      </c>
      <c r="C5" s="15" t="s">
        <v>1</v>
      </c>
      <c r="D5" s="15" t="s">
        <v>1</v>
      </c>
      <c r="E5" s="15" t="s">
        <v>1</v>
      </c>
      <c r="F5" s="15" t="s">
        <v>1</v>
      </c>
      <c r="G5" s="15" t="s">
        <v>1</v>
      </c>
      <c r="H5" s="15" t="s">
        <v>1</v>
      </c>
      <c r="I5" s="15" t="s">
        <v>1</v>
      </c>
      <c r="J5" s="15" t="s">
        <v>1</v>
      </c>
      <c r="K5" s="15" t="s">
        <v>1</v>
      </c>
      <c r="L5" s="15" t="s">
        <v>1</v>
      </c>
      <c r="M5" s="15" t="s">
        <v>1</v>
      </c>
      <c r="N5" s="15" t="s">
        <v>1</v>
      </c>
      <c r="O5" s="15" t="s">
        <v>1</v>
      </c>
      <c r="P5" s="15" t="s">
        <v>1</v>
      </c>
      <c r="Q5" s="15" t="s">
        <v>1</v>
      </c>
      <c r="R5" s="15" t="s">
        <v>1</v>
      </c>
      <c r="S5" s="15" t="s">
        <v>1</v>
      </c>
      <c r="T5" s="15" t="s">
        <v>1</v>
      </c>
      <c r="U5" s="15" t="s">
        <v>1</v>
      </c>
      <c r="V5" s="15" t="s">
        <v>1</v>
      </c>
    </row>
    <row r="6" spans="1:22" s="23" customFormat="1">
      <c r="A6" s="63" t="s">
        <v>118</v>
      </c>
      <c r="B6" s="13">
        <f>1349314+2152017</f>
        <v>3501331</v>
      </c>
      <c r="C6" s="13">
        <f>1446136+2436913</f>
        <v>3883049</v>
      </c>
      <c r="D6" s="13">
        <f>1513783+2442048</f>
        <v>3955831</v>
      </c>
      <c r="E6" s="13">
        <v>4835378.8339999998</v>
      </c>
      <c r="F6" s="91">
        <f>+F7+F25+F40+F54+F65</f>
        <v>4790470.4630000005</v>
      </c>
      <c r="G6" s="13">
        <v>5106568.0310000004</v>
      </c>
      <c r="H6" s="13">
        <v>5306759.9879999999</v>
      </c>
      <c r="I6" s="91">
        <f>+I7+I25+I40+I54+I65</f>
        <v>5329886.4000000004</v>
      </c>
      <c r="J6" s="14">
        <v>5663812.8229999999</v>
      </c>
      <c r="K6" s="91">
        <f t="shared" ref="K6:U6" si="0">+K7+K25+K40+K54+K65</f>
        <v>5879204.37316</v>
      </c>
      <c r="L6" s="91">
        <f t="shared" si="0"/>
        <v>6794801.1830000011</v>
      </c>
      <c r="M6" s="91">
        <f t="shared" si="0"/>
        <v>7508336.830000001</v>
      </c>
      <c r="N6" s="91">
        <f t="shared" si="0"/>
        <v>7958508.0290000001</v>
      </c>
      <c r="O6" s="91">
        <f t="shared" si="0"/>
        <v>8176685.1079999991</v>
      </c>
      <c r="P6" s="91">
        <f t="shared" si="0"/>
        <v>8701299.4269999992</v>
      </c>
      <c r="Q6" s="91">
        <f t="shared" si="0"/>
        <v>9857903.2649999987</v>
      </c>
      <c r="R6" s="91">
        <f t="shared" si="0"/>
        <v>10586363.275999999</v>
      </c>
      <c r="S6" s="91">
        <f t="shared" si="0"/>
        <v>11081013.186000001</v>
      </c>
      <c r="T6" s="91">
        <f t="shared" si="0"/>
        <v>9419683.9550000019</v>
      </c>
      <c r="U6" s="91">
        <f t="shared" si="0"/>
        <v>7619954.7989999996</v>
      </c>
      <c r="V6" s="91">
        <f t="shared" ref="V6" si="1">+V7+V25+V40+V54+V65</f>
        <v>0</v>
      </c>
    </row>
    <row r="7" spans="1:22" s="23" customFormat="1">
      <c r="A7" s="22" t="s">
        <v>56</v>
      </c>
      <c r="B7" s="89">
        <f>SUM(B8:B24)</f>
        <v>1176622</v>
      </c>
      <c r="C7" s="89">
        <f t="shared" ref="C7:U7" si="2">SUM(C8:C24)</f>
        <v>1265365</v>
      </c>
      <c r="D7" s="89">
        <f t="shared" si="2"/>
        <v>1296726</v>
      </c>
      <c r="E7" s="89">
        <f t="shared" si="2"/>
        <v>1597628.1369999999</v>
      </c>
      <c r="F7" s="89">
        <f t="shared" si="2"/>
        <v>1596796.8770000001</v>
      </c>
      <c r="G7" s="89">
        <f t="shared" si="2"/>
        <v>1684658.8690000002</v>
      </c>
      <c r="H7" s="89">
        <f t="shared" si="2"/>
        <v>1770116.7949999999</v>
      </c>
      <c r="I7" s="89">
        <f t="shared" si="2"/>
        <v>1833486.7859999998</v>
      </c>
      <c r="J7" s="89">
        <f t="shared" si="2"/>
        <v>1901725.2220000005</v>
      </c>
      <c r="K7" s="89">
        <f t="shared" si="2"/>
        <v>1970849.1445500001</v>
      </c>
      <c r="L7" s="89">
        <f t="shared" si="2"/>
        <v>2328513.6950000003</v>
      </c>
      <c r="M7" s="89">
        <f t="shared" si="2"/>
        <v>2616721.7990000001</v>
      </c>
      <c r="N7" s="89">
        <f t="shared" si="2"/>
        <v>3037250.4560000002</v>
      </c>
      <c r="O7" s="89">
        <f t="shared" si="2"/>
        <v>3202666.2539999997</v>
      </c>
      <c r="P7" s="89">
        <f t="shared" si="2"/>
        <v>3432819.4549999996</v>
      </c>
      <c r="Q7" s="89">
        <f t="shared" si="2"/>
        <v>3770520.3320000004</v>
      </c>
      <c r="R7" s="89">
        <f t="shared" si="2"/>
        <v>4064872.571</v>
      </c>
      <c r="S7" s="89">
        <f t="shared" si="2"/>
        <v>4265144.9239999996</v>
      </c>
      <c r="T7" s="89">
        <f t="shared" si="2"/>
        <v>3888347.1749999998</v>
      </c>
      <c r="U7" s="89">
        <f t="shared" si="2"/>
        <v>3161441.986</v>
      </c>
      <c r="V7" s="89">
        <f t="shared" ref="V7" si="3">SUM(V8:V24)</f>
        <v>0</v>
      </c>
    </row>
    <row r="8" spans="1:22">
      <c r="A8" s="79" t="s">
        <v>119</v>
      </c>
      <c r="T8" s="2"/>
      <c r="U8" s="2"/>
      <c r="V8" s="2"/>
    </row>
    <row r="9" spans="1:22">
      <c r="A9" s="22" t="s">
        <v>3</v>
      </c>
      <c r="B9" s="13">
        <f>19877+40321</f>
        <v>60198</v>
      </c>
      <c r="C9" s="13">
        <f>24198+46629</f>
        <v>70827</v>
      </c>
      <c r="D9" s="13">
        <f>25414+47489</f>
        <v>72903</v>
      </c>
      <c r="E9" s="13">
        <v>94919.786999999997</v>
      </c>
      <c r="F9" s="76">
        <v>91449.498999999996</v>
      </c>
      <c r="G9" s="13">
        <v>96099.126000000004</v>
      </c>
      <c r="H9" s="13">
        <v>107402.019</v>
      </c>
      <c r="I9" s="13">
        <v>111746.382</v>
      </c>
      <c r="J9" s="13">
        <v>113973.533</v>
      </c>
      <c r="K9" s="13">
        <v>114403.257</v>
      </c>
      <c r="L9" s="14">
        <v>131937.33199999999</v>
      </c>
      <c r="M9" s="14">
        <v>141522.66699999999</v>
      </c>
      <c r="N9" s="14">
        <v>141759.696</v>
      </c>
      <c r="O9" s="14">
        <v>178472.715</v>
      </c>
      <c r="P9" s="14">
        <v>177134.535</v>
      </c>
      <c r="Q9" s="14">
        <v>179980.86199999999</v>
      </c>
      <c r="R9" s="14">
        <v>209608.666</v>
      </c>
      <c r="S9" s="14">
        <v>241711.01500000001</v>
      </c>
      <c r="T9" s="2">
        <v>169028.60800000001</v>
      </c>
      <c r="U9" s="2">
        <v>120781.45699999999</v>
      </c>
      <c r="V9" s="2"/>
    </row>
    <row r="10" spans="1:22">
      <c r="A10" s="22" t="s">
        <v>4</v>
      </c>
      <c r="B10" s="13">
        <f>7760+21690</f>
        <v>29450</v>
      </c>
      <c r="C10" s="13">
        <f>9044+23491</f>
        <v>32535</v>
      </c>
      <c r="D10" s="13">
        <f>9699+25447</f>
        <v>35146</v>
      </c>
      <c r="E10" s="13">
        <v>43507.330999999998</v>
      </c>
      <c r="F10" s="76">
        <v>46156.713000000003</v>
      </c>
      <c r="G10" s="13">
        <v>49886.696000000004</v>
      </c>
      <c r="H10" s="13">
        <v>51818.625</v>
      </c>
      <c r="I10" s="14">
        <v>49917.762000000002</v>
      </c>
      <c r="J10" s="14">
        <v>54627.021999999997</v>
      </c>
      <c r="K10" s="14">
        <v>57705.860999999997</v>
      </c>
      <c r="L10" s="14">
        <v>69362.252999999997</v>
      </c>
      <c r="M10" s="14">
        <v>75200.47</v>
      </c>
      <c r="N10" s="14">
        <v>90474.785000000003</v>
      </c>
      <c r="O10" s="14">
        <v>88900.418000000005</v>
      </c>
      <c r="P10" s="14">
        <v>94857.922999999995</v>
      </c>
      <c r="Q10" s="14">
        <v>109349.66099999999</v>
      </c>
      <c r="R10" s="14">
        <v>121503.73699999999</v>
      </c>
      <c r="S10" s="14">
        <v>119711.205</v>
      </c>
      <c r="T10" s="2">
        <v>103992.933</v>
      </c>
      <c r="U10" s="2">
        <v>87243.345000000001</v>
      </c>
      <c r="V10" s="2"/>
    </row>
    <row r="11" spans="1:22">
      <c r="A11" s="22" t="s">
        <v>52</v>
      </c>
      <c r="B11" s="13"/>
      <c r="C11" s="13"/>
      <c r="D11" s="13">
        <f>13180+2617</f>
        <v>15797</v>
      </c>
      <c r="E11" s="13">
        <v>21079.15</v>
      </c>
      <c r="F11" s="76">
        <v>20827.583999999999</v>
      </c>
      <c r="G11" s="13"/>
      <c r="H11" s="13"/>
      <c r="I11" s="14">
        <v>24429.346000000001</v>
      </c>
      <c r="J11" s="14">
        <v>25910.583999999999</v>
      </c>
      <c r="K11" s="14">
        <v>28209.886999999999</v>
      </c>
      <c r="L11" s="14">
        <v>36607.586000000003</v>
      </c>
      <c r="M11" s="14">
        <v>4038.402</v>
      </c>
      <c r="N11" s="14">
        <v>3862.6669999999999</v>
      </c>
      <c r="O11" s="14">
        <v>4513.7280000000001</v>
      </c>
      <c r="P11" s="14">
        <v>4349.1480000000001</v>
      </c>
      <c r="Q11" s="14">
        <v>3752.777</v>
      </c>
      <c r="R11" s="14">
        <v>5150.0810000000001</v>
      </c>
      <c r="S11" s="14">
        <v>6156.3180000000002</v>
      </c>
      <c r="T11" s="2">
        <v>0</v>
      </c>
      <c r="U11" s="2">
        <v>0</v>
      </c>
      <c r="V11" s="2"/>
    </row>
    <row r="12" spans="1:22">
      <c r="A12" s="22" t="s">
        <v>5</v>
      </c>
      <c r="B12" s="13">
        <f>41255+38060</f>
        <v>79315</v>
      </c>
      <c r="C12" s="13">
        <f>46956+41792</f>
        <v>88748</v>
      </c>
      <c r="D12" s="13">
        <f>48511+44114</f>
        <v>92625</v>
      </c>
      <c r="E12" s="13">
        <v>120961.906</v>
      </c>
      <c r="F12" s="76">
        <v>125083.906</v>
      </c>
      <c r="G12" s="13">
        <v>128408.181</v>
      </c>
      <c r="H12" s="13">
        <v>135402.68799999999</v>
      </c>
      <c r="I12" s="14">
        <v>142771.141</v>
      </c>
      <c r="J12" s="14">
        <v>147873.62400000001</v>
      </c>
      <c r="K12" s="14">
        <v>156696.84299999999</v>
      </c>
      <c r="L12" s="14">
        <v>204692.76199999999</v>
      </c>
      <c r="M12" s="14">
        <v>221623.09</v>
      </c>
      <c r="N12" s="14">
        <v>220010.27499999999</v>
      </c>
      <c r="O12" s="14">
        <v>270646.81099999999</v>
      </c>
      <c r="P12" s="14">
        <v>322327.88099999999</v>
      </c>
      <c r="Q12" s="14">
        <v>295986.576</v>
      </c>
      <c r="R12" s="14">
        <v>359852.33</v>
      </c>
      <c r="S12" s="14">
        <v>375591.28200000001</v>
      </c>
      <c r="T12" s="2">
        <v>385862.54599999997</v>
      </c>
      <c r="U12" s="2">
        <v>256793.55100000001</v>
      </c>
      <c r="V12" s="2"/>
    </row>
    <row r="13" spans="1:22">
      <c r="A13" s="22" t="s">
        <v>6</v>
      </c>
      <c r="B13" s="13">
        <f>23938+51029</f>
        <v>74967</v>
      </c>
      <c r="C13" s="13">
        <f>27171+56537</f>
        <v>83708</v>
      </c>
      <c r="D13" s="13">
        <f>26615+59818</f>
        <v>86433</v>
      </c>
      <c r="E13" s="13">
        <v>117903.266</v>
      </c>
      <c r="F13" s="76">
        <v>118836.13</v>
      </c>
      <c r="G13" s="13">
        <v>127850.78200000001</v>
      </c>
      <c r="H13" s="13">
        <v>138176.747</v>
      </c>
      <c r="I13" s="14">
        <v>149448.76199999999</v>
      </c>
      <c r="J13" s="14">
        <v>157345.285</v>
      </c>
      <c r="K13" s="14">
        <v>169511.70499999999</v>
      </c>
      <c r="L13" s="14">
        <v>194148.99799999999</v>
      </c>
      <c r="M13" s="14">
        <v>204722.07</v>
      </c>
      <c r="N13" s="14">
        <v>254822.92199999999</v>
      </c>
      <c r="O13" s="14">
        <v>263662.80599999998</v>
      </c>
      <c r="P13" s="14">
        <v>268966.163</v>
      </c>
      <c r="Q13" s="14">
        <v>312301.89500000002</v>
      </c>
      <c r="R13" s="14">
        <v>351062.679</v>
      </c>
      <c r="S13" s="14">
        <v>369063.00400000002</v>
      </c>
      <c r="T13" s="2">
        <v>399621.04399999999</v>
      </c>
      <c r="U13" s="2">
        <v>363704.91700000002</v>
      </c>
      <c r="V13" s="2"/>
    </row>
    <row r="14" spans="1:22">
      <c r="A14" s="22" t="s">
        <v>7</v>
      </c>
      <c r="B14" s="13">
        <f>30179+28541</f>
        <v>58720</v>
      </c>
      <c r="C14" s="13">
        <f>33661+30094</f>
        <v>63755</v>
      </c>
      <c r="D14" s="13">
        <f>32931+29857</f>
        <v>62788</v>
      </c>
      <c r="E14" s="13">
        <v>79280.880999999994</v>
      </c>
      <c r="F14" s="76">
        <v>80400.895000000004</v>
      </c>
      <c r="G14" s="13">
        <v>76131.902000000002</v>
      </c>
      <c r="H14" s="13">
        <v>79475.837</v>
      </c>
      <c r="I14" s="14">
        <v>84783.857000000004</v>
      </c>
      <c r="J14" s="14">
        <v>91029.235000000001</v>
      </c>
      <c r="K14" s="14">
        <v>89387.506999999998</v>
      </c>
      <c r="L14" s="14">
        <v>105673.878</v>
      </c>
      <c r="M14" s="14">
        <v>107965.51300000001</v>
      </c>
      <c r="N14" s="14">
        <v>137971.02799999999</v>
      </c>
      <c r="O14" s="14">
        <v>136187.81200000001</v>
      </c>
      <c r="P14" s="14">
        <v>142771.565</v>
      </c>
      <c r="Q14" s="14">
        <v>146807.571</v>
      </c>
      <c r="R14" s="14">
        <v>165195.15400000001</v>
      </c>
      <c r="S14" s="14">
        <v>175436.23800000001</v>
      </c>
      <c r="T14" s="2">
        <v>188253.20199999999</v>
      </c>
      <c r="U14" s="2">
        <v>192885.66500000001</v>
      </c>
      <c r="V14" s="2"/>
    </row>
    <row r="15" spans="1:22">
      <c r="A15" s="22" t="s">
        <v>8</v>
      </c>
      <c r="B15" s="36">
        <f>19479+56168</f>
        <v>75647</v>
      </c>
      <c r="C15" s="36">
        <f>22431+58775</f>
        <v>81206</v>
      </c>
      <c r="D15" s="36">
        <f>22480+58001</f>
        <v>80481</v>
      </c>
      <c r="E15" s="36">
        <v>90009.660999999993</v>
      </c>
      <c r="F15" s="77">
        <v>87415.701000000001</v>
      </c>
      <c r="G15" s="36">
        <v>92071.813999999998</v>
      </c>
      <c r="H15" s="36">
        <v>97310.481</v>
      </c>
      <c r="I15" s="37">
        <v>94341.258000000002</v>
      </c>
      <c r="J15" s="37">
        <v>107047.545</v>
      </c>
      <c r="K15" s="37">
        <v>104434.442</v>
      </c>
      <c r="L15" s="37">
        <v>113214.77800000001</v>
      </c>
      <c r="M15" s="37">
        <v>136414.451</v>
      </c>
      <c r="N15" s="37">
        <v>168523.49</v>
      </c>
      <c r="O15" s="37">
        <v>200937.508</v>
      </c>
      <c r="P15" s="37">
        <v>198720.70499999999</v>
      </c>
      <c r="Q15" s="37">
        <v>210372.18900000001</v>
      </c>
      <c r="R15" s="37">
        <v>214719.73</v>
      </c>
      <c r="S15" s="37">
        <v>249939.18299999999</v>
      </c>
      <c r="T15" s="23">
        <v>116144.254</v>
      </c>
      <c r="U15" s="23">
        <v>53820.571000000004</v>
      </c>
      <c r="V15" s="23"/>
    </row>
    <row r="16" spans="1:22">
      <c r="A16" s="22" t="s">
        <v>9</v>
      </c>
      <c r="B16" s="36">
        <v>70323</v>
      </c>
      <c r="C16" s="36">
        <f>0+73633</f>
        <v>73633</v>
      </c>
      <c r="D16" s="36">
        <v>76230</v>
      </c>
      <c r="E16" s="36">
        <v>94074.097999999998</v>
      </c>
      <c r="F16" s="77">
        <v>93694.430999999997</v>
      </c>
      <c r="G16" s="36">
        <v>101054.09299999999</v>
      </c>
      <c r="H16" s="36">
        <v>108356.302</v>
      </c>
      <c r="I16" s="37">
        <v>110268.485</v>
      </c>
      <c r="J16" s="37">
        <v>117740.746</v>
      </c>
      <c r="K16" s="37">
        <v>124324.363</v>
      </c>
      <c r="L16" s="37">
        <v>145549.13099999999</v>
      </c>
      <c r="M16" s="37">
        <v>151027.804</v>
      </c>
      <c r="N16" s="37">
        <v>233255.943</v>
      </c>
      <c r="O16" s="37">
        <v>203960.81899999999</v>
      </c>
      <c r="P16" s="37">
        <v>218383.83499999999</v>
      </c>
      <c r="Q16" s="37">
        <v>298364.68300000002</v>
      </c>
      <c r="R16" s="37">
        <v>276878.88099999999</v>
      </c>
      <c r="S16" s="37">
        <v>289429.38500000001</v>
      </c>
      <c r="T16" s="23">
        <v>130947.11199999999</v>
      </c>
      <c r="U16" s="23">
        <v>74530.94</v>
      </c>
      <c r="V16" s="23"/>
    </row>
    <row r="17" spans="1:22">
      <c r="A17" s="22" t="s">
        <v>10</v>
      </c>
      <c r="B17" s="36">
        <f>6254+25623</f>
        <v>31877</v>
      </c>
      <c r="C17" s="36">
        <f>6018+27855</f>
        <v>33873</v>
      </c>
      <c r="D17" s="36">
        <f>6130+27864</f>
        <v>33994</v>
      </c>
      <c r="E17" s="36">
        <v>45935.357000000004</v>
      </c>
      <c r="F17" s="77">
        <v>45069.656999999999</v>
      </c>
      <c r="G17" s="36">
        <v>48255.356</v>
      </c>
      <c r="H17" s="36">
        <v>51910.892</v>
      </c>
      <c r="I17" s="37">
        <v>57160.163</v>
      </c>
      <c r="J17" s="37">
        <v>64766.067999999999</v>
      </c>
      <c r="K17" s="37">
        <v>65785.035000000003</v>
      </c>
      <c r="L17" s="37">
        <v>83434.952000000005</v>
      </c>
      <c r="M17" s="37">
        <v>85724.930999999997</v>
      </c>
      <c r="N17" s="37">
        <v>105436.322</v>
      </c>
      <c r="O17" s="37">
        <v>92371.724000000002</v>
      </c>
      <c r="P17" s="37">
        <v>98825.717000000004</v>
      </c>
      <c r="Q17" s="37">
        <v>115678.539</v>
      </c>
      <c r="R17" s="37">
        <v>138663.11199999999</v>
      </c>
      <c r="S17" s="37">
        <v>140822.08199999999</v>
      </c>
      <c r="T17" s="23">
        <v>113434.947</v>
      </c>
      <c r="U17" s="23">
        <v>91440.676000000007</v>
      </c>
      <c r="V17" s="23"/>
    </row>
    <row r="18" spans="1:22">
      <c r="A18" s="22" t="s">
        <v>11</v>
      </c>
      <c r="B18" s="36">
        <f>25876+64816</f>
        <v>90692</v>
      </c>
      <c r="C18" s="36">
        <f>29294+71799</f>
        <v>101093</v>
      </c>
      <c r="D18" s="36">
        <f>32638+75925</f>
        <v>108563</v>
      </c>
      <c r="E18" s="36">
        <v>146154.43599999999</v>
      </c>
      <c r="F18" s="77">
        <v>152663.54999999999</v>
      </c>
      <c r="G18" s="36">
        <v>160980.74400000001</v>
      </c>
      <c r="H18" s="36">
        <v>175428.47</v>
      </c>
      <c r="I18" s="37">
        <v>176437.274</v>
      </c>
      <c r="J18" s="37">
        <v>182830.30300000001</v>
      </c>
      <c r="K18" s="37">
        <v>186248.08100000001</v>
      </c>
      <c r="L18" s="37">
        <v>226460.34099999999</v>
      </c>
      <c r="M18" s="37">
        <v>248960.90400000001</v>
      </c>
      <c r="N18" s="37">
        <v>311621.48499999999</v>
      </c>
      <c r="O18" s="37">
        <v>298435.663</v>
      </c>
      <c r="P18" s="37">
        <v>329572.32900000003</v>
      </c>
      <c r="Q18" s="37">
        <v>383902.67499999999</v>
      </c>
      <c r="R18" s="37">
        <v>458644.43099999998</v>
      </c>
      <c r="S18" s="37">
        <v>490967.81199999998</v>
      </c>
      <c r="T18" s="23">
        <v>501567.386</v>
      </c>
      <c r="U18" s="23">
        <v>492141.26799999998</v>
      </c>
      <c r="V18" s="23"/>
    </row>
    <row r="19" spans="1:22">
      <c r="A19" s="22" t="s">
        <v>12</v>
      </c>
      <c r="B19" s="36">
        <v>47632</v>
      </c>
      <c r="C19" s="36">
        <f>0+49985</f>
        <v>49985</v>
      </c>
      <c r="D19" s="37">
        <v>55601</v>
      </c>
      <c r="E19" s="36">
        <v>57402.951999999997</v>
      </c>
      <c r="F19" s="77">
        <v>54325.436000000002</v>
      </c>
      <c r="G19" s="36">
        <v>58587.362000000001</v>
      </c>
      <c r="H19" s="36">
        <v>60138.982000000004</v>
      </c>
      <c r="I19" s="37">
        <v>60639.529000000002</v>
      </c>
      <c r="J19" s="37">
        <v>61305.591</v>
      </c>
      <c r="K19" s="37">
        <v>68807.017250000004</v>
      </c>
      <c r="L19" s="37">
        <v>87156.990999999995</v>
      </c>
      <c r="M19" s="37">
        <v>117854.432</v>
      </c>
      <c r="N19" s="37">
        <v>107003.15700000001</v>
      </c>
      <c r="O19" s="37">
        <v>111812.739</v>
      </c>
      <c r="P19" s="37">
        <v>115874.692</v>
      </c>
      <c r="Q19" s="37">
        <v>123376.374</v>
      </c>
      <c r="R19" s="37">
        <v>133137.64799999999</v>
      </c>
      <c r="S19" s="37">
        <v>145400.035</v>
      </c>
      <c r="T19" s="23">
        <v>106707.09600000001</v>
      </c>
      <c r="U19" s="23">
        <v>74550.297000000006</v>
      </c>
      <c r="V19" s="23"/>
    </row>
    <row r="20" spans="1:22">
      <c r="A20" s="22" t="s">
        <v>13</v>
      </c>
      <c r="B20" s="36">
        <f>26576+24160</f>
        <v>50736</v>
      </c>
      <c r="C20" s="36">
        <f>30143+30153</f>
        <v>60296</v>
      </c>
      <c r="D20" s="36">
        <f>31599+31433</f>
        <v>63032</v>
      </c>
      <c r="E20" s="36">
        <v>79518.650999999998</v>
      </c>
      <c r="F20" s="77">
        <v>77523.585999999996</v>
      </c>
      <c r="G20" s="36">
        <v>80072.040999999997</v>
      </c>
      <c r="H20" s="36">
        <v>85402.642000000007</v>
      </c>
      <c r="I20" s="37">
        <v>84504.638999999996</v>
      </c>
      <c r="J20" s="37">
        <v>89131.214999999997</v>
      </c>
      <c r="K20" s="37">
        <v>88607.956999999995</v>
      </c>
      <c r="L20" s="37">
        <v>109875.641</v>
      </c>
      <c r="M20" s="37">
        <v>132490.07399999999</v>
      </c>
      <c r="N20" s="37">
        <v>147033.77499999999</v>
      </c>
      <c r="O20" s="37">
        <v>174619.90900000001</v>
      </c>
      <c r="P20" s="37">
        <v>182236.84099999999</v>
      </c>
      <c r="Q20" s="37">
        <v>204417.11199999999</v>
      </c>
      <c r="R20" s="37">
        <v>199969.774</v>
      </c>
      <c r="S20" s="37">
        <v>213153.571</v>
      </c>
      <c r="T20" s="23">
        <v>194561.337</v>
      </c>
      <c r="U20" s="23">
        <v>142877.147</v>
      </c>
      <c r="V20" s="23"/>
    </row>
    <row r="21" spans="1:22" s="17" customFormat="1">
      <c r="A21" s="22" t="s">
        <v>14</v>
      </c>
      <c r="B21" s="36">
        <f>14420+41820</f>
        <v>56240</v>
      </c>
      <c r="C21" s="36">
        <f>16166+45174</f>
        <v>61340</v>
      </c>
      <c r="D21" s="36">
        <f>17071+48070</f>
        <v>65141</v>
      </c>
      <c r="E21" s="36">
        <v>77930.410999999993</v>
      </c>
      <c r="F21" s="77">
        <v>75517.129000000001</v>
      </c>
      <c r="G21" s="36">
        <v>79407.019</v>
      </c>
      <c r="H21" s="36">
        <v>88314.58</v>
      </c>
      <c r="I21" s="37">
        <v>91388.793999999994</v>
      </c>
      <c r="J21" s="37">
        <v>96127.11</v>
      </c>
      <c r="K21" s="37">
        <v>95730.445470000006</v>
      </c>
      <c r="L21" s="37">
        <v>109922.32</v>
      </c>
      <c r="M21" s="37">
        <v>125997.89</v>
      </c>
      <c r="N21" s="37">
        <v>154751.37400000001</v>
      </c>
      <c r="O21" s="37">
        <v>169182.989</v>
      </c>
      <c r="P21" s="37">
        <v>175450.31700000001</v>
      </c>
      <c r="Q21" s="37">
        <v>190623.633</v>
      </c>
      <c r="R21" s="37">
        <v>194785.636</v>
      </c>
      <c r="S21" s="37">
        <v>201511.005</v>
      </c>
      <c r="T21" s="23">
        <v>206678.94899999999</v>
      </c>
      <c r="U21" s="23">
        <v>219584.48699999999</v>
      </c>
      <c r="V21" s="23"/>
    </row>
    <row r="22" spans="1:22">
      <c r="A22" s="22" t="s">
        <v>15</v>
      </c>
      <c r="B22" s="36">
        <f>120720+227841</f>
        <v>348561</v>
      </c>
      <c r="C22" s="36">
        <f>120057+233921</f>
        <v>353978</v>
      </c>
      <c r="D22" s="36">
        <f>115109+217303</f>
        <v>332412</v>
      </c>
      <c r="E22" s="36">
        <v>374471.853</v>
      </c>
      <c r="F22" s="77">
        <v>366300.255</v>
      </c>
      <c r="G22" s="36">
        <v>416647.35600000003</v>
      </c>
      <c r="H22" s="36">
        <v>411593.93300000002</v>
      </c>
      <c r="I22" s="37">
        <v>414487.533</v>
      </c>
      <c r="J22" s="37">
        <v>405560.25199999998</v>
      </c>
      <c r="K22" s="37">
        <v>425993.46500000003</v>
      </c>
      <c r="L22" s="37">
        <v>475739.32699999999</v>
      </c>
      <c r="M22" s="37">
        <v>609620.80799999996</v>
      </c>
      <c r="N22" s="37">
        <v>685738.23</v>
      </c>
      <c r="O22" s="37">
        <v>735237.95200000005</v>
      </c>
      <c r="P22" s="37">
        <v>814021.96299999999</v>
      </c>
      <c r="Q22" s="37">
        <v>881372.21799999999</v>
      </c>
      <c r="R22" s="37">
        <v>859733.21299999999</v>
      </c>
      <c r="S22" s="37">
        <v>862156.42599999998</v>
      </c>
      <c r="T22" s="23">
        <v>926992.522</v>
      </c>
      <c r="U22" s="23">
        <v>629001.68099999998</v>
      </c>
      <c r="V22" s="23"/>
    </row>
    <row r="23" spans="1:22">
      <c r="A23" s="22" t="s">
        <v>16</v>
      </c>
      <c r="B23" s="36">
        <f>27113+43838</f>
        <v>70951</v>
      </c>
      <c r="C23" s="36">
        <f>29786+47092</f>
        <v>76878</v>
      </c>
      <c r="D23" s="36">
        <f>32827+48821</f>
        <v>81648</v>
      </c>
      <c r="E23" s="36">
        <v>111485.012</v>
      </c>
      <c r="F23" s="77">
        <v>112502.27899999999</v>
      </c>
      <c r="G23" s="36">
        <v>117226.307</v>
      </c>
      <c r="H23" s="36">
        <v>124901.924</v>
      </c>
      <c r="I23" s="37">
        <v>126573.68399999999</v>
      </c>
      <c r="J23" s="37">
        <v>128327.587</v>
      </c>
      <c r="K23" s="37">
        <v>138525.65900000001</v>
      </c>
      <c r="L23" s="37">
        <v>173484.334</v>
      </c>
      <c r="M23" s="37">
        <v>190664.356</v>
      </c>
      <c r="N23" s="37">
        <v>209706.33300000001</v>
      </c>
      <c r="O23" s="37">
        <v>191833.29199999999</v>
      </c>
      <c r="P23" s="37">
        <v>210060.253</v>
      </c>
      <c r="Q23" s="37">
        <v>233719.41</v>
      </c>
      <c r="R23" s="37">
        <v>282534.84299999999</v>
      </c>
      <c r="S23" s="37">
        <v>292990.78000000003</v>
      </c>
      <c r="T23" s="23">
        <v>245676.799</v>
      </c>
      <c r="U23" s="23">
        <v>255561.446</v>
      </c>
      <c r="V23" s="23"/>
    </row>
    <row r="24" spans="1:22">
      <c r="A24" s="83" t="s">
        <v>17</v>
      </c>
      <c r="B24" s="66">
        <f>18286+13027</f>
        <v>31313</v>
      </c>
      <c r="C24" s="66">
        <f>19411+14099</f>
        <v>33510</v>
      </c>
      <c r="D24" s="66">
        <f>18432+15500</f>
        <v>33932</v>
      </c>
      <c r="E24" s="66">
        <v>42993.385000000002</v>
      </c>
      <c r="F24" s="82">
        <v>49030.125999999997</v>
      </c>
      <c r="G24" s="66">
        <v>51980.09</v>
      </c>
      <c r="H24" s="66">
        <v>54482.673000000003</v>
      </c>
      <c r="I24" s="63">
        <v>54588.177000000003</v>
      </c>
      <c r="J24" s="63">
        <v>58129.521999999997</v>
      </c>
      <c r="K24" s="63">
        <v>56477.619829999996</v>
      </c>
      <c r="L24" s="63">
        <v>61253.071000000004</v>
      </c>
      <c r="M24" s="63">
        <v>62893.936999999998</v>
      </c>
      <c r="N24" s="63">
        <v>65278.974000000002</v>
      </c>
      <c r="O24" s="63">
        <v>81889.369000000006</v>
      </c>
      <c r="P24" s="63">
        <v>79265.588000000003</v>
      </c>
      <c r="Q24" s="63">
        <v>80514.157000000007</v>
      </c>
      <c r="R24" s="63">
        <v>93432.656000000003</v>
      </c>
      <c r="S24" s="63">
        <v>91105.582999999999</v>
      </c>
      <c r="T24" s="45">
        <v>98878.44</v>
      </c>
      <c r="U24" s="45">
        <v>106524.538</v>
      </c>
      <c r="V24" s="45"/>
    </row>
    <row r="25" spans="1:22" s="23" customFormat="1">
      <c r="A25" s="79" t="s">
        <v>120</v>
      </c>
      <c r="B25" s="90">
        <f>SUM(B27:B39)</f>
        <v>0</v>
      </c>
      <c r="C25" s="90">
        <f t="shared" ref="C25:V25" si="4">SUM(C27:C39)</f>
        <v>0</v>
      </c>
      <c r="D25" s="90">
        <f t="shared" si="4"/>
        <v>0</v>
      </c>
      <c r="E25" s="90">
        <f t="shared" si="4"/>
        <v>0</v>
      </c>
      <c r="F25" s="90">
        <f t="shared" si="4"/>
        <v>947292.29000000015</v>
      </c>
      <c r="G25" s="90">
        <f t="shared" si="4"/>
        <v>0</v>
      </c>
      <c r="H25" s="90">
        <f t="shared" si="4"/>
        <v>0</v>
      </c>
      <c r="I25" s="90">
        <f t="shared" si="4"/>
        <v>1008779.4910000002</v>
      </c>
      <c r="J25" s="90">
        <f t="shared" si="4"/>
        <v>0</v>
      </c>
      <c r="K25" s="90">
        <f t="shared" si="4"/>
        <v>1133636.48156</v>
      </c>
      <c r="L25" s="90">
        <f t="shared" si="4"/>
        <v>1387958.476</v>
      </c>
      <c r="M25" s="90">
        <f t="shared" si="4"/>
        <v>1556363.5020000003</v>
      </c>
      <c r="N25" s="90">
        <f t="shared" si="4"/>
        <v>1570212.4080000001</v>
      </c>
      <c r="O25" s="90">
        <f t="shared" si="4"/>
        <v>1671052.6969999999</v>
      </c>
      <c r="P25" s="90">
        <f t="shared" si="4"/>
        <v>1677159.5649999999</v>
      </c>
      <c r="Q25" s="90">
        <f t="shared" si="4"/>
        <v>1978371.7689999996</v>
      </c>
      <c r="R25" s="90">
        <f t="shared" si="4"/>
        <v>2053821.5879999998</v>
      </c>
      <c r="S25" s="90">
        <f t="shared" si="4"/>
        <v>2236697.9900000002</v>
      </c>
      <c r="T25" s="90">
        <f t="shared" si="4"/>
        <v>1687055.0919999999</v>
      </c>
      <c r="U25" s="90">
        <f t="shared" si="4"/>
        <v>1515663.1719999998</v>
      </c>
      <c r="V25" s="90">
        <f t="shared" si="4"/>
        <v>0</v>
      </c>
    </row>
    <row r="26" spans="1:22">
      <c r="A26" s="79" t="s">
        <v>119</v>
      </c>
      <c r="B26" s="37"/>
      <c r="C26" s="37"/>
      <c r="D26" s="37"/>
      <c r="E26" s="37"/>
      <c r="F26" s="37"/>
      <c r="G26" s="37"/>
      <c r="H26" s="37"/>
      <c r="I26" s="37"/>
      <c r="J26" s="37"/>
      <c r="K26" s="37"/>
      <c r="L26" s="37"/>
      <c r="M26" s="37"/>
      <c r="N26" s="37"/>
      <c r="O26" s="37"/>
      <c r="P26" s="37"/>
      <c r="Q26" s="37"/>
      <c r="R26" s="37"/>
      <c r="S26" s="37"/>
      <c r="T26" s="23"/>
      <c r="U26" s="23"/>
      <c r="V26" s="23"/>
    </row>
    <row r="27" spans="1:22">
      <c r="A27" s="23" t="s">
        <v>85</v>
      </c>
      <c r="B27" s="36"/>
      <c r="C27" s="36"/>
      <c r="D27" s="37"/>
      <c r="E27" s="36"/>
      <c r="F27" s="77">
        <v>27247.137999999999</v>
      </c>
      <c r="G27" s="36"/>
      <c r="H27" s="36"/>
      <c r="I27" s="37">
        <v>32234.539000000001</v>
      </c>
      <c r="J27" s="37"/>
      <c r="K27" s="37">
        <v>35914.302000000003</v>
      </c>
      <c r="L27" s="37">
        <v>33160.881000000001</v>
      </c>
      <c r="M27" s="37">
        <v>35454.678</v>
      </c>
      <c r="N27" s="37">
        <v>40106.877</v>
      </c>
      <c r="O27" s="37">
        <v>38497.47</v>
      </c>
      <c r="P27" s="37">
        <v>37593.277999999998</v>
      </c>
      <c r="Q27" s="37">
        <v>42615.798999999999</v>
      </c>
      <c r="R27" s="37">
        <v>42111.086000000003</v>
      </c>
      <c r="S27" s="37">
        <v>47941.747000000003</v>
      </c>
      <c r="T27" s="23">
        <v>52978.591</v>
      </c>
      <c r="U27" s="23">
        <v>0</v>
      </c>
      <c r="V27" s="23"/>
    </row>
    <row r="28" spans="1:22">
      <c r="A28" s="23" t="s">
        <v>86</v>
      </c>
      <c r="B28" s="36"/>
      <c r="C28" s="36"/>
      <c r="D28" s="36"/>
      <c r="E28" s="36"/>
      <c r="F28" s="77">
        <v>79185.062999999995</v>
      </c>
      <c r="G28" s="36"/>
      <c r="H28" s="36"/>
      <c r="I28" s="37">
        <v>80972.899000000005</v>
      </c>
      <c r="J28" s="37"/>
      <c r="K28" s="37">
        <v>88324.377999999997</v>
      </c>
      <c r="L28" s="37">
        <v>100699.303</v>
      </c>
      <c r="M28" s="37">
        <v>109722.784</v>
      </c>
      <c r="N28" s="37">
        <v>110040.04300000001</v>
      </c>
      <c r="O28" s="37">
        <v>106577.319</v>
      </c>
      <c r="P28" s="37">
        <v>117904.356</v>
      </c>
      <c r="Q28" s="37">
        <v>131439.69</v>
      </c>
      <c r="R28" s="37">
        <v>148691.62700000001</v>
      </c>
      <c r="S28" s="37">
        <v>180508.00399999999</v>
      </c>
      <c r="T28" s="23">
        <v>202593.37700000001</v>
      </c>
      <c r="U28" s="23">
        <v>190299.37400000001</v>
      </c>
      <c r="V28" s="23"/>
    </row>
    <row r="29" spans="1:22">
      <c r="A29" s="23" t="s">
        <v>87</v>
      </c>
      <c r="B29" s="36"/>
      <c r="C29" s="36"/>
      <c r="D29" s="36"/>
      <c r="E29" s="36"/>
      <c r="F29" s="77">
        <v>426475.772</v>
      </c>
      <c r="G29" s="36"/>
      <c r="H29" s="36"/>
      <c r="I29" s="37">
        <v>425007.75599999999</v>
      </c>
      <c r="J29" s="37"/>
      <c r="K29" s="37">
        <v>499041.63099999999</v>
      </c>
      <c r="L29" s="37">
        <v>649306.37100000004</v>
      </c>
      <c r="M29" s="37">
        <v>737880.10199999996</v>
      </c>
      <c r="N29" s="37">
        <v>671397.82799999998</v>
      </c>
      <c r="O29" s="37">
        <v>653358.02399999998</v>
      </c>
      <c r="P29" s="37">
        <v>680656.00100000005</v>
      </c>
      <c r="Q29" s="37">
        <v>778370.19299999997</v>
      </c>
      <c r="R29" s="37">
        <v>846911.28700000001</v>
      </c>
      <c r="S29" s="37">
        <v>891709.54599999997</v>
      </c>
      <c r="T29" s="23">
        <v>520207.90600000002</v>
      </c>
      <c r="U29" s="23">
        <v>461779</v>
      </c>
      <c r="V29" s="23"/>
    </row>
    <row r="30" spans="1:22">
      <c r="A30" s="23" t="s">
        <v>88</v>
      </c>
      <c r="B30" s="36"/>
      <c r="C30" s="36"/>
      <c r="D30" s="36"/>
      <c r="E30" s="36"/>
      <c r="F30" s="77">
        <v>66819.313999999998</v>
      </c>
      <c r="G30" s="36"/>
      <c r="H30" s="36"/>
      <c r="I30" s="37">
        <v>80324.544999999998</v>
      </c>
      <c r="J30" s="37"/>
      <c r="K30" s="37">
        <v>85823.714099999997</v>
      </c>
      <c r="L30" s="37">
        <v>110362.986</v>
      </c>
      <c r="M30" s="37">
        <v>124281.486</v>
      </c>
      <c r="N30" s="37">
        <v>149676.427</v>
      </c>
      <c r="O30" s="37">
        <v>158855.67199999999</v>
      </c>
      <c r="P30" s="37">
        <v>127650.51</v>
      </c>
      <c r="Q30" s="37">
        <v>281486.48</v>
      </c>
      <c r="R30" s="37">
        <v>183669.579</v>
      </c>
      <c r="S30" s="37">
        <v>199903.272</v>
      </c>
      <c r="T30" s="23">
        <v>204112.58199999999</v>
      </c>
      <c r="U30" s="23">
        <v>198637.69399999999</v>
      </c>
      <c r="V30" s="23"/>
    </row>
    <row r="31" spans="1:22">
      <c r="A31" s="23" t="s">
        <v>91</v>
      </c>
      <c r="B31" s="36"/>
      <c r="C31" s="36"/>
      <c r="D31" s="36"/>
      <c r="E31" s="36"/>
      <c r="F31" s="77">
        <v>30812.54</v>
      </c>
      <c r="G31" s="36"/>
      <c r="H31" s="36"/>
      <c r="I31" s="37">
        <v>30917.713</v>
      </c>
      <c r="J31" s="37"/>
      <c r="K31" s="37">
        <v>15870.614</v>
      </c>
      <c r="L31" s="37">
        <v>32029.722000000002</v>
      </c>
      <c r="M31" s="37">
        <v>35388.298999999999</v>
      </c>
      <c r="N31" s="37">
        <v>35101.987000000001</v>
      </c>
      <c r="O31" s="37">
        <v>35422.639999999999</v>
      </c>
      <c r="P31" s="37">
        <v>39810.091</v>
      </c>
      <c r="Q31" s="37">
        <v>40914.256999999998</v>
      </c>
      <c r="R31" s="37">
        <v>49907.629000000001</v>
      </c>
      <c r="S31" s="37">
        <v>49343.173999999999</v>
      </c>
      <c r="T31" s="23">
        <v>56429.398000000001</v>
      </c>
      <c r="U31" s="23">
        <v>55384.296999999999</v>
      </c>
      <c r="V31" s="23"/>
    </row>
    <row r="32" spans="1:22">
      <c r="A32" s="23" t="s">
        <v>92</v>
      </c>
      <c r="B32" s="36"/>
      <c r="C32" s="36"/>
      <c r="D32" s="36"/>
      <c r="E32" s="36"/>
      <c r="F32" s="77">
        <v>24533.609</v>
      </c>
      <c r="G32" s="36"/>
      <c r="H32" s="36"/>
      <c r="I32" s="37">
        <v>24689.929</v>
      </c>
      <c r="J32" s="37"/>
      <c r="K32" s="37">
        <v>28619.097000000002</v>
      </c>
      <c r="L32" s="37">
        <v>36308.817999999999</v>
      </c>
      <c r="M32" s="37">
        <v>39857.51</v>
      </c>
      <c r="N32" s="37">
        <v>40797.095999999998</v>
      </c>
      <c r="O32" s="37">
        <v>56049.034</v>
      </c>
      <c r="P32" s="37">
        <v>57932.432000000001</v>
      </c>
      <c r="Q32" s="37">
        <v>46923.067000000003</v>
      </c>
      <c r="R32" s="37">
        <v>52754.021999999997</v>
      </c>
      <c r="S32" s="37">
        <v>56144.28</v>
      </c>
      <c r="T32" s="23">
        <v>60371.355000000003</v>
      </c>
      <c r="U32" s="23">
        <v>55215.093999999997</v>
      </c>
      <c r="V32" s="23"/>
    </row>
    <row r="33" spans="1:50">
      <c r="A33" s="23" t="s">
        <v>100</v>
      </c>
      <c r="B33" s="37"/>
      <c r="C33" s="37"/>
      <c r="D33" s="37"/>
      <c r="E33" s="37"/>
      <c r="F33" s="77">
        <v>18563.034</v>
      </c>
      <c r="G33" s="37"/>
      <c r="H33" s="37"/>
      <c r="I33" s="37">
        <v>18773.718000000001</v>
      </c>
      <c r="J33" s="37"/>
      <c r="K33" s="37">
        <v>25607.162</v>
      </c>
      <c r="L33" s="37">
        <v>25254.702000000001</v>
      </c>
      <c r="M33" s="37">
        <v>25697.767</v>
      </c>
      <c r="N33" s="37">
        <v>34803.548000000003</v>
      </c>
      <c r="O33" s="37">
        <v>38645.4</v>
      </c>
      <c r="P33" s="37">
        <v>45825.285000000003</v>
      </c>
      <c r="Q33" s="37">
        <v>45536.186999999998</v>
      </c>
      <c r="R33" s="37">
        <v>45845.987999999998</v>
      </c>
      <c r="S33" s="37">
        <v>49197.599999999999</v>
      </c>
      <c r="T33" s="23">
        <v>51483.192000000003</v>
      </c>
      <c r="U33" s="23">
        <v>21759.666000000001</v>
      </c>
      <c r="V33" s="23"/>
    </row>
    <row r="34" spans="1:50">
      <c r="A34" s="23" t="s">
        <v>102</v>
      </c>
      <c r="B34" s="37"/>
      <c r="C34" s="37"/>
      <c r="D34" s="37"/>
      <c r="E34" s="37"/>
      <c r="F34" s="77">
        <v>22278.329000000002</v>
      </c>
      <c r="G34" s="37"/>
      <c r="H34" s="37"/>
      <c r="I34" s="37">
        <v>23971.376</v>
      </c>
      <c r="J34" s="37"/>
      <c r="K34" s="37">
        <v>30147.927</v>
      </c>
      <c r="L34" s="37">
        <v>35574.932999999997</v>
      </c>
      <c r="M34" s="37">
        <v>40651.726000000002</v>
      </c>
      <c r="N34" s="37">
        <v>51100.593999999997</v>
      </c>
      <c r="O34" s="37">
        <v>48734.773000000001</v>
      </c>
      <c r="P34" s="37">
        <v>64634.894</v>
      </c>
      <c r="Q34" s="37">
        <v>74071.153000000006</v>
      </c>
      <c r="R34" s="37">
        <v>86343.952999999994</v>
      </c>
      <c r="S34" s="37">
        <v>96309.835999999996</v>
      </c>
      <c r="T34" s="23">
        <v>106679.534</v>
      </c>
      <c r="U34" s="23">
        <v>89749.251999999993</v>
      </c>
      <c r="V34" s="23"/>
    </row>
    <row r="35" spans="1:50">
      <c r="A35" s="23" t="s">
        <v>105</v>
      </c>
      <c r="B35" s="37"/>
      <c r="C35" s="37"/>
      <c r="D35" s="37"/>
      <c r="E35" s="37"/>
      <c r="F35" s="77">
        <v>42731.72</v>
      </c>
      <c r="G35" s="37"/>
      <c r="H35" s="37"/>
      <c r="I35" s="37">
        <v>44599.512999999999</v>
      </c>
      <c r="J35" s="37"/>
      <c r="K35" s="37">
        <v>54401.034460000003</v>
      </c>
      <c r="L35" s="37">
        <v>54940.309000000001</v>
      </c>
      <c r="M35" s="37">
        <v>61343.722999999998</v>
      </c>
      <c r="N35" s="37">
        <v>72293.562000000005</v>
      </c>
      <c r="O35" s="37">
        <v>75974.907999999996</v>
      </c>
      <c r="P35" s="37">
        <v>81821.126000000004</v>
      </c>
      <c r="Q35" s="37">
        <v>94908.622000000003</v>
      </c>
      <c r="R35" s="37">
        <v>95128.407000000007</v>
      </c>
      <c r="S35" s="37">
        <v>105538.435</v>
      </c>
      <c r="T35" s="23">
        <v>98791.607999999993</v>
      </c>
      <c r="U35" s="23">
        <v>87841.312000000005</v>
      </c>
      <c r="V35" s="23"/>
    </row>
    <row r="36" spans="1:50">
      <c r="A36" s="23" t="s">
        <v>109</v>
      </c>
      <c r="B36" s="37"/>
      <c r="C36" s="37"/>
      <c r="D36" s="37"/>
      <c r="E36" s="37"/>
      <c r="F36" s="77">
        <v>55574.828999999998</v>
      </c>
      <c r="G36" s="37"/>
      <c r="H36" s="37"/>
      <c r="I36" s="37">
        <v>56747.987000000001</v>
      </c>
      <c r="J36" s="37"/>
      <c r="K36" s="37">
        <v>63657.260999999999</v>
      </c>
      <c r="L36" s="37">
        <v>81006.095000000001</v>
      </c>
      <c r="M36" s="37">
        <v>87907.555999999997</v>
      </c>
      <c r="N36" s="37">
        <v>73690.334000000003</v>
      </c>
      <c r="O36" s="37">
        <v>77642.213000000003</v>
      </c>
      <c r="P36" s="37">
        <v>68650.262000000002</v>
      </c>
      <c r="Q36" s="37">
        <v>75386.13</v>
      </c>
      <c r="R36" s="37">
        <v>109070.26</v>
      </c>
      <c r="S36" s="37">
        <v>116102.59299999999</v>
      </c>
      <c r="T36" s="23">
        <v>0</v>
      </c>
      <c r="U36" s="23">
        <v>0</v>
      </c>
      <c r="V36" s="23"/>
    </row>
    <row r="37" spans="1:50">
      <c r="A37" s="23" t="s">
        <v>113</v>
      </c>
      <c r="B37" s="37"/>
      <c r="C37" s="37"/>
      <c r="D37" s="37"/>
      <c r="E37" s="37"/>
      <c r="F37" s="77">
        <v>43004.158000000003</v>
      </c>
      <c r="G37" s="37"/>
      <c r="H37" s="37"/>
      <c r="I37" s="37">
        <v>53763.832000000002</v>
      </c>
      <c r="J37" s="37"/>
      <c r="K37" s="37">
        <v>58514.870999999999</v>
      </c>
      <c r="L37" s="37">
        <v>77923.247000000003</v>
      </c>
      <c r="M37" s="37">
        <v>88237.785999999993</v>
      </c>
      <c r="N37" s="37">
        <v>97445.091</v>
      </c>
      <c r="O37" s="37">
        <v>89957.006999999998</v>
      </c>
      <c r="P37" s="37">
        <v>101710.298</v>
      </c>
      <c r="Q37" s="37">
        <v>101407.31200000001</v>
      </c>
      <c r="R37" s="37">
        <v>113888.287</v>
      </c>
      <c r="S37" s="37">
        <v>111850.41800000001</v>
      </c>
      <c r="T37" s="23">
        <v>39971.398999999998</v>
      </c>
      <c r="U37" s="23">
        <v>44421.993999999999</v>
      </c>
      <c r="V37" s="23"/>
    </row>
    <row r="38" spans="1:50">
      <c r="A38" s="23" t="s">
        <v>115</v>
      </c>
      <c r="B38" s="37"/>
      <c r="C38" s="37"/>
      <c r="D38" s="37"/>
      <c r="E38" s="37"/>
      <c r="F38" s="77">
        <v>98475.517000000007</v>
      </c>
      <c r="G38" s="37"/>
      <c r="H38" s="37"/>
      <c r="I38" s="37">
        <v>124436.307</v>
      </c>
      <c r="J38" s="37"/>
      <c r="K38" s="37">
        <v>134756.99900000001</v>
      </c>
      <c r="L38" s="37">
        <v>138431.891</v>
      </c>
      <c r="M38" s="37">
        <v>156457.171</v>
      </c>
      <c r="N38" s="37">
        <v>176913.761</v>
      </c>
      <c r="O38" s="37">
        <v>272755.55300000001</v>
      </c>
      <c r="P38" s="37">
        <v>233282.45300000001</v>
      </c>
      <c r="Q38" s="37">
        <v>246622.12599999999</v>
      </c>
      <c r="R38" s="37">
        <v>258554.20499999999</v>
      </c>
      <c r="S38" s="37">
        <v>308182.75599999999</v>
      </c>
      <c r="T38" s="23">
        <v>269063.28700000001</v>
      </c>
      <c r="U38" s="23">
        <v>271198.02799999999</v>
      </c>
      <c r="V38" s="23"/>
    </row>
    <row r="39" spans="1:50">
      <c r="A39" s="45" t="s">
        <v>117</v>
      </c>
      <c r="B39" s="63"/>
      <c r="C39" s="63"/>
      <c r="D39" s="63"/>
      <c r="E39" s="63"/>
      <c r="F39" s="82">
        <v>11591.267</v>
      </c>
      <c r="G39" s="63"/>
      <c r="H39" s="63"/>
      <c r="I39" s="63">
        <v>12339.377</v>
      </c>
      <c r="J39" s="63"/>
      <c r="K39" s="63">
        <v>12957.491</v>
      </c>
      <c r="L39" s="63">
        <v>12959.218000000001</v>
      </c>
      <c r="M39" s="63">
        <v>13482.914000000001</v>
      </c>
      <c r="N39" s="63">
        <v>16845.259999999998</v>
      </c>
      <c r="O39" s="63">
        <v>18582.684000000001</v>
      </c>
      <c r="P39" s="63">
        <v>19688.579000000002</v>
      </c>
      <c r="Q39" s="63">
        <v>18690.753000000001</v>
      </c>
      <c r="R39" s="63">
        <v>20945.258000000002</v>
      </c>
      <c r="S39" s="63">
        <v>23966.329000000002</v>
      </c>
      <c r="T39" s="45">
        <v>24372.863000000001</v>
      </c>
      <c r="U39" s="45">
        <v>39377.461000000003</v>
      </c>
      <c r="V39" s="45"/>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row>
    <row r="40" spans="1:50" s="23" customFormat="1">
      <c r="A40" s="79" t="s">
        <v>121</v>
      </c>
      <c r="B40" s="90">
        <f>SUM(B42:B53)</f>
        <v>0</v>
      </c>
      <c r="C40" s="90">
        <f t="shared" ref="C40:V40" si="5">SUM(C42:C53)</f>
        <v>0</v>
      </c>
      <c r="D40" s="90">
        <f t="shared" si="5"/>
        <v>0</v>
      </c>
      <c r="E40" s="90">
        <f t="shared" si="5"/>
        <v>0</v>
      </c>
      <c r="F40" s="90">
        <f t="shared" si="5"/>
        <v>1322208.1950000001</v>
      </c>
      <c r="G40" s="90">
        <f t="shared" si="5"/>
        <v>0</v>
      </c>
      <c r="H40" s="90">
        <f t="shared" si="5"/>
        <v>0</v>
      </c>
      <c r="I40" s="90">
        <f t="shared" si="5"/>
        <v>1446462.6</v>
      </c>
      <c r="J40" s="90">
        <f t="shared" si="5"/>
        <v>0</v>
      </c>
      <c r="K40" s="90">
        <f t="shared" si="5"/>
        <v>1605355.8382699999</v>
      </c>
      <c r="L40" s="90">
        <f t="shared" si="5"/>
        <v>1825629.31</v>
      </c>
      <c r="M40" s="90">
        <f t="shared" si="5"/>
        <v>2066202.4200000002</v>
      </c>
      <c r="N40" s="90">
        <f t="shared" si="5"/>
        <v>2159789.6369999996</v>
      </c>
      <c r="O40" s="90">
        <f t="shared" si="5"/>
        <v>2186660.6289999997</v>
      </c>
      <c r="P40" s="90">
        <f t="shared" si="5"/>
        <v>2333656.3879999998</v>
      </c>
      <c r="Q40" s="90">
        <f t="shared" si="5"/>
        <v>2471174.5399999991</v>
      </c>
      <c r="R40" s="90">
        <f t="shared" si="5"/>
        <v>2751077.7129999995</v>
      </c>
      <c r="S40" s="90">
        <f t="shared" si="5"/>
        <v>2799432.1659999997</v>
      </c>
      <c r="T40" s="90">
        <f t="shared" si="5"/>
        <v>2251960.4740000004</v>
      </c>
      <c r="U40" s="90">
        <f t="shared" si="5"/>
        <v>1755913.0460000001</v>
      </c>
      <c r="V40" s="90">
        <f t="shared" si="5"/>
        <v>0</v>
      </c>
    </row>
    <row r="41" spans="1:50">
      <c r="A41" s="79" t="s">
        <v>119</v>
      </c>
      <c r="B41" s="37"/>
      <c r="C41" s="37"/>
      <c r="D41" s="37"/>
      <c r="E41" s="37"/>
      <c r="F41" s="37"/>
      <c r="G41" s="37"/>
      <c r="H41" s="37"/>
      <c r="I41" s="37"/>
      <c r="J41" s="37"/>
      <c r="K41" s="37"/>
      <c r="L41" s="37"/>
      <c r="M41" s="37"/>
      <c r="N41" s="37"/>
      <c r="O41" s="37"/>
      <c r="P41" s="37"/>
      <c r="Q41" s="37"/>
      <c r="R41" s="37"/>
      <c r="S41" s="37"/>
      <c r="T41" s="23"/>
      <c r="U41" s="23"/>
      <c r="V41" s="23"/>
    </row>
    <row r="42" spans="1:50">
      <c r="A42" s="23" t="s">
        <v>93</v>
      </c>
      <c r="B42" s="36"/>
      <c r="C42" s="36"/>
      <c r="D42" s="36"/>
      <c r="E42" s="36"/>
      <c r="F42" s="77">
        <v>193302.39799999999</v>
      </c>
      <c r="G42" s="36"/>
      <c r="H42" s="36"/>
      <c r="I42" s="37">
        <v>219457.49</v>
      </c>
      <c r="J42" s="37"/>
      <c r="K42" s="37">
        <v>240420.65400000001</v>
      </c>
      <c r="L42" s="37">
        <v>270027.33899999998</v>
      </c>
      <c r="M42" s="37">
        <v>293185.717</v>
      </c>
      <c r="N42" s="37">
        <v>306717.07500000001</v>
      </c>
      <c r="O42" s="37">
        <v>329654.065</v>
      </c>
      <c r="P42" s="37">
        <v>332590.41800000001</v>
      </c>
      <c r="Q42" s="37">
        <v>356330.12599999999</v>
      </c>
      <c r="R42" s="37">
        <v>395956.4</v>
      </c>
      <c r="S42" s="37">
        <v>388809.25300000003</v>
      </c>
      <c r="T42" s="23">
        <v>426365.21</v>
      </c>
      <c r="U42" s="23">
        <v>431896.39</v>
      </c>
      <c r="V42" s="23"/>
    </row>
    <row r="43" spans="1:50">
      <c r="A43" s="23" t="s">
        <v>58</v>
      </c>
      <c r="B43" s="36"/>
      <c r="C43" s="36"/>
      <c r="D43" s="36"/>
      <c r="E43" s="36"/>
      <c r="F43" s="77">
        <v>174146.90100000001</v>
      </c>
      <c r="G43" s="36"/>
      <c r="H43" s="36"/>
      <c r="I43" s="37">
        <v>186201.01</v>
      </c>
      <c r="J43" s="37"/>
      <c r="K43" s="37">
        <v>197892.88800000001</v>
      </c>
      <c r="L43" s="37">
        <v>217289.21100000001</v>
      </c>
      <c r="M43" s="37">
        <v>224608.592</v>
      </c>
      <c r="N43" s="37">
        <v>229497.13200000001</v>
      </c>
      <c r="O43" s="37">
        <v>249196.56400000001</v>
      </c>
      <c r="P43" s="37">
        <v>260954.185</v>
      </c>
      <c r="Q43" s="37">
        <v>284333.81900000002</v>
      </c>
      <c r="R43" s="37">
        <v>299097.75900000002</v>
      </c>
      <c r="S43" s="37">
        <v>311593.223</v>
      </c>
      <c r="T43" s="23">
        <v>341137.04</v>
      </c>
      <c r="U43" s="23">
        <v>257983.44399999999</v>
      </c>
      <c r="V43" s="23"/>
    </row>
    <row r="44" spans="1:50">
      <c r="A44" s="23" t="s">
        <v>94</v>
      </c>
      <c r="B44" s="36"/>
      <c r="C44" s="36"/>
      <c r="D44" s="36"/>
      <c r="E44" s="36"/>
      <c r="F44" s="77">
        <v>63106.853000000003</v>
      </c>
      <c r="G44" s="36"/>
      <c r="H44" s="36"/>
      <c r="I44" s="37">
        <v>70546.608999999997</v>
      </c>
      <c r="J44" s="37"/>
      <c r="K44" s="37">
        <v>78395.745999999999</v>
      </c>
      <c r="L44" s="37">
        <v>92165.486000000004</v>
      </c>
      <c r="M44" s="37">
        <v>97323.569000000003</v>
      </c>
      <c r="N44" s="37">
        <v>103975.416</v>
      </c>
      <c r="O44" s="37">
        <v>83234.514999999999</v>
      </c>
      <c r="P44" s="37">
        <v>114030.171</v>
      </c>
      <c r="Q44" s="37">
        <v>120652.25900000001</v>
      </c>
      <c r="R44" s="37">
        <v>127734.042</v>
      </c>
      <c r="S44" s="37">
        <v>129592.823</v>
      </c>
      <c r="T44" s="23">
        <v>72137.748000000007</v>
      </c>
      <c r="U44" s="23">
        <v>74146.832999999999</v>
      </c>
      <c r="V44" s="23"/>
    </row>
    <row r="45" spans="1:50">
      <c r="A45" s="23" t="s">
        <v>95</v>
      </c>
      <c r="B45" s="36"/>
      <c r="C45" s="36"/>
      <c r="D45" s="36"/>
      <c r="E45" s="36"/>
      <c r="F45" s="77">
        <v>78441.562000000005</v>
      </c>
      <c r="G45" s="36"/>
      <c r="H45" s="36"/>
      <c r="I45" s="37">
        <v>94093.84</v>
      </c>
      <c r="J45" s="37"/>
      <c r="K45" s="37">
        <v>98716.209439999991</v>
      </c>
      <c r="L45" s="37">
        <v>108209.35400000001</v>
      </c>
      <c r="M45" s="37">
        <v>115881.19</v>
      </c>
      <c r="N45" s="37">
        <v>118900.54300000001</v>
      </c>
      <c r="O45" s="37">
        <v>120363.52899999999</v>
      </c>
      <c r="P45" s="37">
        <v>134337.10699999999</v>
      </c>
      <c r="Q45" s="37">
        <v>143184.06</v>
      </c>
      <c r="R45" s="37">
        <v>145099.18400000001</v>
      </c>
      <c r="S45" s="37">
        <v>147900.33799999999</v>
      </c>
      <c r="T45" s="23">
        <v>142046.587</v>
      </c>
      <c r="U45" s="23">
        <v>141820.94899999999</v>
      </c>
      <c r="V45" s="23"/>
    </row>
    <row r="46" spans="1:50">
      <c r="A46" s="23" t="s">
        <v>98</v>
      </c>
      <c r="B46" s="36"/>
      <c r="C46" s="36"/>
      <c r="D46" s="36"/>
      <c r="E46" s="37"/>
      <c r="F46" s="77">
        <v>223357.804</v>
      </c>
      <c r="G46" s="36"/>
      <c r="H46" s="36"/>
      <c r="I46" s="37">
        <v>246106.07</v>
      </c>
      <c r="J46" s="37"/>
      <c r="K46" s="37">
        <v>280582.73</v>
      </c>
      <c r="L46" s="37">
        <v>359880.777</v>
      </c>
      <c r="M46" s="37">
        <v>380932.73100000003</v>
      </c>
      <c r="N46" s="37">
        <v>476561.88400000002</v>
      </c>
      <c r="O46" s="37">
        <v>484258.21799999999</v>
      </c>
      <c r="P46" s="37">
        <v>494273.01500000001</v>
      </c>
      <c r="Q46" s="37">
        <v>523281.84299999999</v>
      </c>
      <c r="R46" s="37">
        <v>587280.58900000004</v>
      </c>
      <c r="S46" s="37">
        <v>624397.54399999999</v>
      </c>
      <c r="T46" s="23">
        <v>130428.128</v>
      </c>
      <c r="U46" s="23">
        <v>87121.606</v>
      </c>
      <c r="V46" s="23"/>
    </row>
    <row r="47" spans="1:50">
      <c r="A47" s="23" t="s">
        <v>99</v>
      </c>
      <c r="B47" s="37"/>
      <c r="C47" s="37"/>
      <c r="D47" s="37"/>
      <c r="E47" s="37"/>
      <c r="F47" s="77">
        <v>118109.466</v>
      </c>
      <c r="G47" s="37"/>
      <c r="H47" s="37"/>
      <c r="I47" s="37">
        <v>120465.492</v>
      </c>
      <c r="J47" s="37"/>
      <c r="K47" s="37">
        <v>138625.04699999999</v>
      </c>
      <c r="L47" s="37">
        <v>159335.78700000001</v>
      </c>
      <c r="M47" s="37">
        <v>178081.071</v>
      </c>
      <c r="N47" s="37">
        <v>197535.57500000001</v>
      </c>
      <c r="O47" s="37">
        <v>210267.09</v>
      </c>
      <c r="P47" s="37">
        <v>198414.11300000001</v>
      </c>
      <c r="Q47" s="37">
        <v>216897.67300000001</v>
      </c>
      <c r="R47" s="37">
        <v>247997.33600000001</v>
      </c>
      <c r="S47" s="37">
        <v>246173.16699999999</v>
      </c>
      <c r="T47" s="23">
        <v>302026.41800000001</v>
      </c>
      <c r="U47" s="23">
        <v>57756</v>
      </c>
      <c r="V47" s="23"/>
    </row>
    <row r="48" spans="1:50">
      <c r="A48" s="23" t="s">
        <v>59</v>
      </c>
      <c r="B48" s="37"/>
      <c r="C48" s="37"/>
      <c r="D48" s="37"/>
      <c r="E48" s="37"/>
      <c r="F48" s="77">
        <v>70619.085999999996</v>
      </c>
      <c r="G48" s="37"/>
      <c r="H48" s="37"/>
      <c r="I48" s="37">
        <v>84082.694000000003</v>
      </c>
      <c r="J48" s="37"/>
      <c r="K48" s="37">
        <v>110969.196</v>
      </c>
      <c r="L48" s="37">
        <v>122376.878</v>
      </c>
      <c r="M48" s="37">
        <v>224876.52499999999</v>
      </c>
      <c r="N48" s="37">
        <v>141651.55799999999</v>
      </c>
      <c r="O48" s="37">
        <v>120897.588</v>
      </c>
      <c r="P48" s="37">
        <v>127992.22900000001</v>
      </c>
      <c r="Q48" s="37">
        <v>131302.18299999999</v>
      </c>
      <c r="R48" s="37">
        <v>149376.234</v>
      </c>
      <c r="S48" s="37">
        <v>138679.87599999999</v>
      </c>
      <c r="T48" s="23">
        <v>51566.697999999997</v>
      </c>
      <c r="U48" s="23">
        <v>41970.108999999997</v>
      </c>
      <c r="V48" s="23"/>
    </row>
    <row r="49" spans="1:50">
      <c r="A49" s="23" t="s">
        <v>101</v>
      </c>
      <c r="B49" s="37"/>
      <c r="C49" s="37"/>
      <c r="D49" s="37"/>
      <c r="E49" s="37"/>
      <c r="F49" s="77">
        <v>38947.639000000003</v>
      </c>
      <c r="G49" s="37"/>
      <c r="H49" s="37"/>
      <c r="I49" s="37">
        <v>43831.546000000002</v>
      </c>
      <c r="J49" s="37"/>
      <c r="K49" s="37">
        <v>48128.921000000002</v>
      </c>
      <c r="L49" s="37">
        <v>50556.182000000001</v>
      </c>
      <c r="M49" s="37">
        <v>55049.027999999998</v>
      </c>
      <c r="N49" s="37">
        <v>67324.573999999993</v>
      </c>
      <c r="O49" s="37">
        <v>66462.581999999995</v>
      </c>
      <c r="P49" s="37">
        <v>72307.422999999995</v>
      </c>
      <c r="Q49" s="37">
        <v>81195.415999999997</v>
      </c>
      <c r="R49" s="37">
        <v>87882.9</v>
      </c>
      <c r="S49" s="37">
        <v>90300.129000000001</v>
      </c>
      <c r="T49" s="23">
        <v>93248.596999999994</v>
      </c>
      <c r="U49" s="23">
        <v>75387.972999999998</v>
      </c>
      <c r="V49" s="23"/>
    </row>
    <row r="50" spans="1:50">
      <c r="A50" s="23" t="s">
        <v>107</v>
      </c>
      <c r="B50" s="37"/>
      <c r="C50" s="37"/>
      <c r="D50" s="37"/>
      <c r="E50" s="37"/>
      <c r="F50" s="77">
        <v>25678.436000000002</v>
      </c>
      <c r="G50" s="37"/>
      <c r="H50" s="37"/>
      <c r="I50" s="37">
        <v>27429.458999999999</v>
      </c>
      <c r="J50" s="37"/>
      <c r="K50" s="37">
        <v>31967.86</v>
      </c>
      <c r="L50" s="37">
        <v>26972.197</v>
      </c>
      <c r="M50" s="37">
        <v>36694.239000000001</v>
      </c>
      <c r="N50" s="37">
        <v>39385.78</v>
      </c>
      <c r="O50" s="37">
        <v>34218.737999999998</v>
      </c>
      <c r="P50" s="37">
        <v>36983.942999999999</v>
      </c>
      <c r="Q50" s="37">
        <v>35648.243000000002</v>
      </c>
      <c r="R50" s="37">
        <v>44535.05</v>
      </c>
      <c r="S50" s="37">
        <v>41616.766000000003</v>
      </c>
      <c r="T50" s="23">
        <v>51331.307999999997</v>
      </c>
      <c r="U50" s="23">
        <v>52126.747000000003</v>
      </c>
      <c r="V50" s="23"/>
    </row>
    <row r="51" spans="1:50">
      <c r="A51" s="23" t="s">
        <v>108</v>
      </c>
      <c r="B51" s="37"/>
      <c r="C51" s="37"/>
      <c r="D51" s="37"/>
      <c r="E51" s="37"/>
      <c r="F51" s="77">
        <v>208153.33300000001</v>
      </c>
      <c r="G51" s="37"/>
      <c r="H51" s="37"/>
      <c r="I51" s="37">
        <v>216586.052</v>
      </c>
      <c r="J51" s="37"/>
      <c r="K51" s="37">
        <v>236087.79500000001</v>
      </c>
      <c r="L51" s="37">
        <v>261289.31299999999</v>
      </c>
      <c r="M51" s="37">
        <v>277714.33299999998</v>
      </c>
      <c r="N51" s="37">
        <v>297496.69799999997</v>
      </c>
      <c r="O51" s="37">
        <v>309242.23300000001</v>
      </c>
      <c r="P51" s="37">
        <v>335248.478</v>
      </c>
      <c r="Q51" s="37">
        <v>345031.625</v>
      </c>
      <c r="R51" s="37">
        <v>410225.28600000002</v>
      </c>
      <c r="S51" s="37">
        <v>396683.81599999999</v>
      </c>
      <c r="T51" s="23">
        <v>348628.27600000001</v>
      </c>
      <c r="U51" s="23">
        <v>215384.15400000001</v>
      </c>
      <c r="V51" s="23"/>
    </row>
    <row r="52" spans="1:50">
      <c r="A52" s="23" t="s">
        <v>112</v>
      </c>
      <c r="B52" s="37"/>
      <c r="C52" s="37"/>
      <c r="D52" s="37"/>
      <c r="E52" s="37"/>
      <c r="F52" s="77">
        <v>10659.018</v>
      </c>
      <c r="G52" s="37"/>
      <c r="H52" s="37"/>
      <c r="I52" s="37">
        <v>12736.093999999999</v>
      </c>
      <c r="J52" s="37"/>
      <c r="K52" s="37">
        <v>13443.74683</v>
      </c>
      <c r="L52" s="37">
        <v>16305.173000000001</v>
      </c>
      <c r="M52" s="37">
        <v>17824.628000000001</v>
      </c>
      <c r="N52" s="37">
        <v>20706.406999999999</v>
      </c>
      <c r="O52" s="37">
        <v>17974.448</v>
      </c>
      <c r="P52" s="37">
        <v>22820.232</v>
      </c>
      <c r="Q52" s="37">
        <v>24449.276999999998</v>
      </c>
      <c r="R52" s="37">
        <v>22268.681</v>
      </c>
      <c r="S52" s="37">
        <v>31167.078000000001</v>
      </c>
      <c r="T52" s="23">
        <v>38947.815000000002</v>
      </c>
      <c r="U52" s="23">
        <v>39016.131999999998</v>
      </c>
      <c r="V52" s="23"/>
    </row>
    <row r="53" spans="1:50">
      <c r="A53" s="45" t="s">
        <v>116</v>
      </c>
      <c r="B53" s="63"/>
      <c r="C53" s="63"/>
      <c r="D53" s="63"/>
      <c r="E53" s="63"/>
      <c r="F53" s="82">
        <v>117685.69899999999</v>
      </c>
      <c r="G53" s="63"/>
      <c r="H53" s="63"/>
      <c r="I53" s="63">
        <v>124926.24400000001</v>
      </c>
      <c r="J53" s="63"/>
      <c r="K53" s="63">
        <v>130125.045</v>
      </c>
      <c r="L53" s="63">
        <v>141221.61300000001</v>
      </c>
      <c r="M53" s="63">
        <v>164030.79699999999</v>
      </c>
      <c r="N53" s="63">
        <v>160036.995</v>
      </c>
      <c r="O53" s="63">
        <v>160891.05900000001</v>
      </c>
      <c r="P53" s="63">
        <v>203705.07399999999</v>
      </c>
      <c r="Q53" s="63">
        <v>208868.016</v>
      </c>
      <c r="R53" s="63">
        <v>233624.25200000001</v>
      </c>
      <c r="S53" s="63">
        <v>252518.15299999999</v>
      </c>
      <c r="T53" s="45">
        <v>254096.649</v>
      </c>
      <c r="U53" s="45">
        <v>281302.70899999997</v>
      </c>
      <c r="V53" s="45"/>
    </row>
    <row r="54" spans="1:50" s="23" customFormat="1">
      <c r="A54" s="79" t="s">
        <v>122</v>
      </c>
      <c r="B54" s="90">
        <f>SUM(B56:B64)</f>
        <v>0</v>
      </c>
      <c r="C54" s="90">
        <f t="shared" ref="C54:V54" si="6">SUM(C56:C64)</f>
        <v>0</v>
      </c>
      <c r="D54" s="90">
        <f t="shared" si="6"/>
        <v>0</v>
      </c>
      <c r="E54" s="90">
        <f t="shared" si="6"/>
        <v>0</v>
      </c>
      <c r="F54" s="90">
        <f t="shared" si="6"/>
        <v>907794.96400000004</v>
      </c>
      <c r="G54" s="90">
        <f t="shared" si="6"/>
        <v>0</v>
      </c>
      <c r="H54" s="90">
        <f t="shared" si="6"/>
        <v>0</v>
      </c>
      <c r="I54" s="90">
        <f t="shared" si="6"/>
        <v>1025035.6499999999</v>
      </c>
      <c r="J54" s="90">
        <f t="shared" si="6"/>
        <v>0</v>
      </c>
      <c r="K54" s="90">
        <f t="shared" si="6"/>
        <v>1151974.027</v>
      </c>
      <c r="L54" s="90">
        <f t="shared" si="6"/>
        <v>1246165.3419999999</v>
      </c>
      <c r="M54" s="90">
        <f t="shared" si="6"/>
        <v>1260990.9270000001</v>
      </c>
      <c r="N54" s="90">
        <f t="shared" si="6"/>
        <v>1184300.47</v>
      </c>
      <c r="O54" s="90">
        <f t="shared" si="6"/>
        <v>1108893.004</v>
      </c>
      <c r="P54" s="90">
        <f t="shared" si="6"/>
        <v>1249779.6679999998</v>
      </c>
      <c r="Q54" s="90">
        <f t="shared" si="6"/>
        <v>1630260.858</v>
      </c>
      <c r="R54" s="90">
        <f t="shared" si="6"/>
        <v>1707780.6230000001</v>
      </c>
      <c r="S54" s="90">
        <f t="shared" si="6"/>
        <v>1770328.3659999997</v>
      </c>
      <c r="T54" s="90">
        <f t="shared" si="6"/>
        <v>1578008.1069999998</v>
      </c>
      <c r="U54" s="90">
        <f t="shared" si="6"/>
        <v>1170224.9639999999</v>
      </c>
      <c r="V54" s="90">
        <f t="shared" si="6"/>
        <v>0</v>
      </c>
    </row>
    <row r="55" spans="1:50">
      <c r="A55" s="79" t="s">
        <v>119</v>
      </c>
      <c r="B55" s="37"/>
      <c r="C55" s="37"/>
      <c r="D55" s="37"/>
      <c r="E55" s="37"/>
      <c r="F55" s="37"/>
      <c r="G55" s="37"/>
      <c r="H55" s="37"/>
      <c r="I55" s="37"/>
      <c r="J55" s="37"/>
      <c r="K55" s="37"/>
      <c r="L55" s="37"/>
      <c r="M55" s="37"/>
      <c r="N55" s="37"/>
      <c r="O55" s="37"/>
      <c r="P55" s="37"/>
      <c r="Q55" s="37"/>
      <c r="R55" s="37"/>
      <c r="S55" s="37"/>
      <c r="T55" s="23"/>
      <c r="U55" s="23"/>
      <c r="V55" s="23"/>
    </row>
    <row r="56" spans="1:50" s="23" customFormat="1">
      <c r="A56" s="23" t="s">
        <v>89</v>
      </c>
      <c r="B56" s="36"/>
      <c r="C56" s="36"/>
      <c r="D56" s="36"/>
      <c r="E56" s="36"/>
      <c r="F56" s="77">
        <v>54627.347000000002</v>
      </c>
      <c r="G56" s="36"/>
      <c r="H56" s="36"/>
      <c r="I56" s="37">
        <v>65700.97</v>
      </c>
      <c r="J56" s="37"/>
      <c r="K56" s="37">
        <v>62917.338000000003</v>
      </c>
      <c r="L56" s="37">
        <v>90913.577000000005</v>
      </c>
      <c r="M56" s="37">
        <v>89637.682000000001</v>
      </c>
      <c r="N56" s="37">
        <v>93670.433999999994</v>
      </c>
      <c r="O56" s="37">
        <v>107087.541</v>
      </c>
      <c r="P56" s="37">
        <v>110345.73299999999</v>
      </c>
      <c r="Q56" s="37">
        <v>160345.87700000001</v>
      </c>
      <c r="R56" s="37">
        <v>172784.61799999999</v>
      </c>
      <c r="S56" s="37">
        <v>167520.549</v>
      </c>
      <c r="T56" s="23">
        <v>106984.575</v>
      </c>
      <c r="U56" s="23">
        <v>91790.323999999993</v>
      </c>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row>
    <row r="57" spans="1:50" s="23" customFormat="1">
      <c r="A57" s="23" t="s">
        <v>96</v>
      </c>
      <c r="B57" s="36"/>
      <c r="C57" s="36"/>
      <c r="D57" s="36"/>
      <c r="E57" s="36"/>
      <c r="F57" s="77">
        <v>22537.149000000001</v>
      </c>
      <c r="G57" s="36"/>
      <c r="H57" s="36"/>
      <c r="I57" s="37">
        <v>23219.721000000001</v>
      </c>
      <c r="J57" s="37"/>
      <c r="K57" s="37">
        <v>25286.573</v>
      </c>
      <c r="L57" s="37">
        <v>27183.235000000001</v>
      </c>
      <c r="M57" s="37">
        <v>30064.795999999998</v>
      </c>
      <c r="N57" s="37">
        <v>30347.91</v>
      </c>
      <c r="O57" s="37">
        <v>34536.900999999998</v>
      </c>
      <c r="P57" s="37">
        <v>36855.563999999998</v>
      </c>
      <c r="Q57" s="37">
        <v>40463.455999999998</v>
      </c>
      <c r="R57" s="37">
        <v>46783.86</v>
      </c>
      <c r="S57" s="37">
        <v>47540.892</v>
      </c>
      <c r="T57" s="23">
        <v>51567.811999999998</v>
      </c>
      <c r="U57" s="23">
        <v>52427.845000000001</v>
      </c>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row>
    <row r="58" spans="1:50" s="17" customFormat="1">
      <c r="A58" s="23" t="s">
        <v>97</v>
      </c>
      <c r="B58" s="36"/>
      <c r="C58" s="36"/>
      <c r="D58" s="36"/>
      <c r="E58" s="37"/>
      <c r="F58" s="77">
        <v>87456.43</v>
      </c>
      <c r="G58" s="36"/>
      <c r="H58" s="36"/>
      <c r="I58" s="37">
        <v>111027.535</v>
      </c>
      <c r="J58" s="37"/>
      <c r="K58" s="37">
        <v>113443.482</v>
      </c>
      <c r="L58" s="37">
        <v>133367.29699999999</v>
      </c>
      <c r="M58" s="37">
        <v>146950.774</v>
      </c>
      <c r="N58" s="37">
        <v>154590.83499999999</v>
      </c>
      <c r="O58" s="37">
        <v>154737.848</v>
      </c>
      <c r="P58" s="37">
        <v>174597.45199999999</v>
      </c>
      <c r="Q58" s="37">
        <v>208590.40400000001</v>
      </c>
      <c r="R58" s="37">
        <v>239583.61600000001</v>
      </c>
      <c r="S58" s="37">
        <v>248935.728</v>
      </c>
      <c r="T58" s="23">
        <v>255573.86</v>
      </c>
      <c r="U58" s="23">
        <v>203532.29699999999</v>
      </c>
      <c r="V58" s="23"/>
    </row>
    <row r="59" spans="1:50">
      <c r="A59" s="23" t="s">
        <v>103</v>
      </c>
      <c r="B59" s="37"/>
      <c r="C59" s="37"/>
      <c r="D59" s="37"/>
      <c r="E59" s="37"/>
      <c r="F59" s="77">
        <v>11770.768</v>
      </c>
      <c r="G59" s="37"/>
      <c r="H59" s="37"/>
      <c r="I59" s="37">
        <v>14894.15</v>
      </c>
      <c r="J59" s="37"/>
      <c r="K59" s="37">
        <v>16537.701000000001</v>
      </c>
      <c r="L59" s="37">
        <v>17986.597000000002</v>
      </c>
      <c r="M59" s="37">
        <v>17157.830000000002</v>
      </c>
      <c r="N59" s="37">
        <v>20489.866000000002</v>
      </c>
      <c r="O59" s="37">
        <v>19907.644</v>
      </c>
      <c r="P59" s="37">
        <v>23522.32</v>
      </c>
      <c r="Q59" s="37">
        <v>32992.339</v>
      </c>
      <c r="R59" s="37">
        <v>32967.014999999999</v>
      </c>
      <c r="S59" s="37">
        <v>38487.894999999997</v>
      </c>
      <c r="T59" s="23">
        <v>0</v>
      </c>
      <c r="U59" s="23">
        <v>0</v>
      </c>
      <c r="V59" s="23"/>
    </row>
    <row r="60" spans="1:50">
      <c r="A60" s="23" t="s">
        <v>104</v>
      </c>
      <c r="B60" s="37"/>
      <c r="C60" s="37"/>
      <c r="D60" s="37"/>
      <c r="E60" s="37"/>
      <c r="F60" s="77">
        <v>91714.248000000007</v>
      </c>
      <c r="G60" s="37"/>
      <c r="H60" s="37"/>
      <c r="I60" s="37">
        <v>108668.83900000001</v>
      </c>
      <c r="J60" s="37"/>
      <c r="K60" s="37">
        <v>181964.057</v>
      </c>
      <c r="L60" s="37">
        <v>127892.113</v>
      </c>
      <c r="M60" s="37">
        <v>138256.06899999999</v>
      </c>
      <c r="N60" s="37">
        <v>147237.72700000001</v>
      </c>
      <c r="O60" s="37">
        <v>150660.16800000001</v>
      </c>
      <c r="P60" s="37">
        <v>163149.29500000001</v>
      </c>
      <c r="Q60" s="37">
        <v>284699.935</v>
      </c>
      <c r="R60" s="37">
        <v>319158.85100000002</v>
      </c>
      <c r="S60" s="37">
        <v>316192.005</v>
      </c>
      <c r="T60" s="23">
        <v>136984.71299999999</v>
      </c>
      <c r="U60" s="23">
        <v>146554.10800000001</v>
      </c>
      <c r="V60" s="23"/>
    </row>
    <row r="61" spans="1:50">
      <c r="A61" s="23" t="s">
        <v>106</v>
      </c>
      <c r="B61" s="37"/>
      <c r="C61" s="37"/>
      <c r="D61" s="37"/>
      <c r="E61" s="37"/>
      <c r="F61" s="77">
        <v>355659.80699999997</v>
      </c>
      <c r="G61" s="37"/>
      <c r="H61" s="37"/>
      <c r="I61" s="37">
        <v>409674.59399999998</v>
      </c>
      <c r="J61" s="37"/>
      <c r="K61" s="37">
        <v>438884.52500000002</v>
      </c>
      <c r="L61" s="37">
        <v>502108.853</v>
      </c>
      <c r="M61" s="37">
        <v>528830.946</v>
      </c>
      <c r="N61" s="37">
        <v>518260.63</v>
      </c>
      <c r="O61" s="37">
        <v>484733.21</v>
      </c>
      <c r="P61" s="37">
        <v>559350.26</v>
      </c>
      <c r="Q61" s="37">
        <v>706122.50699999998</v>
      </c>
      <c r="R61" s="37">
        <v>669906.42799999996</v>
      </c>
      <c r="S61" s="37">
        <v>723344.84199999995</v>
      </c>
      <c r="T61" s="23">
        <v>804568.13399999996</v>
      </c>
      <c r="U61" s="23">
        <v>470184.56400000001</v>
      </c>
      <c r="V61" s="23"/>
    </row>
    <row r="62" spans="1:50">
      <c r="A62" s="23" t="s">
        <v>110</v>
      </c>
      <c r="B62" s="37"/>
      <c r="C62" s="37"/>
      <c r="D62" s="37"/>
      <c r="E62" s="37"/>
      <c r="F62" s="77">
        <v>243649.01800000001</v>
      </c>
      <c r="G62" s="37"/>
      <c r="H62" s="37"/>
      <c r="I62" s="37">
        <v>247337.337</v>
      </c>
      <c r="J62" s="37"/>
      <c r="K62" s="37">
        <v>262750.62099999998</v>
      </c>
      <c r="L62" s="37">
        <v>290126.70199999999</v>
      </c>
      <c r="M62" s="37">
        <v>250199.595</v>
      </c>
      <c r="N62" s="37">
        <v>158383.98499999999</v>
      </c>
      <c r="O62" s="37">
        <v>105488.716</v>
      </c>
      <c r="P62" s="37">
        <v>109581.659</v>
      </c>
      <c r="Q62" s="37">
        <v>114896.073</v>
      </c>
      <c r="R62" s="37">
        <v>127977.401</v>
      </c>
      <c r="S62" s="37">
        <v>134019.535</v>
      </c>
      <c r="T62" s="23">
        <v>141775.81200000001</v>
      </c>
      <c r="U62" s="23">
        <v>144040.74</v>
      </c>
      <c r="V62" s="23"/>
    </row>
    <row r="63" spans="1:50">
      <c r="A63" s="23" t="s">
        <v>111</v>
      </c>
      <c r="B63" s="37"/>
      <c r="C63" s="37"/>
      <c r="D63" s="37"/>
      <c r="E63" s="37"/>
      <c r="F63" s="77">
        <v>19246.728999999999</v>
      </c>
      <c r="G63" s="37"/>
      <c r="H63" s="37"/>
      <c r="I63" s="37">
        <v>20884.095000000001</v>
      </c>
      <c r="J63" s="37"/>
      <c r="K63" s="37">
        <v>26967.8</v>
      </c>
      <c r="L63" s="37">
        <v>31016.024000000001</v>
      </c>
      <c r="M63" s="37">
        <v>33588.360999999997</v>
      </c>
      <c r="N63" s="37">
        <v>29988.785</v>
      </c>
      <c r="O63" s="37">
        <v>34864.116999999998</v>
      </c>
      <c r="P63" s="37">
        <v>34257.423999999999</v>
      </c>
      <c r="Q63" s="37">
        <v>38479.635000000002</v>
      </c>
      <c r="R63" s="37">
        <v>47666.718999999997</v>
      </c>
      <c r="S63" s="37">
        <v>42155.586000000003</v>
      </c>
      <c r="T63" s="23">
        <v>34726.362000000001</v>
      </c>
      <c r="U63" s="23">
        <v>33800.453999999998</v>
      </c>
      <c r="V63" s="23"/>
    </row>
    <row r="64" spans="1:50">
      <c r="A64" s="45" t="s">
        <v>114</v>
      </c>
      <c r="B64" s="63"/>
      <c r="C64" s="63"/>
      <c r="D64" s="63"/>
      <c r="E64" s="63"/>
      <c r="F64" s="82">
        <v>21133.468000000001</v>
      </c>
      <c r="G64" s="63"/>
      <c r="H64" s="63"/>
      <c r="I64" s="63">
        <v>23628.409</v>
      </c>
      <c r="J64" s="63"/>
      <c r="K64" s="63">
        <v>23221.93</v>
      </c>
      <c r="L64" s="63">
        <v>25570.944</v>
      </c>
      <c r="M64" s="63">
        <v>26304.874</v>
      </c>
      <c r="N64" s="63">
        <v>31330.297999999999</v>
      </c>
      <c r="O64" s="63">
        <v>16876.859</v>
      </c>
      <c r="P64" s="63">
        <v>38119.961000000003</v>
      </c>
      <c r="Q64" s="63">
        <v>43670.631999999998</v>
      </c>
      <c r="R64" s="63">
        <v>50952.114999999998</v>
      </c>
      <c r="S64" s="63">
        <v>52131.334000000003</v>
      </c>
      <c r="T64" s="45">
        <v>45826.839</v>
      </c>
      <c r="U64" s="45">
        <v>27894.632000000001</v>
      </c>
      <c r="V64" s="45"/>
    </row>
    <row r="65" spans="1:50">
      <c r="A65" s="88" t="s">
        <v>90</v>
      </c>
      <c r="B65" s="84"/>
      <c r="C65" s="84"/>
      <c r="D65" s="84"/>
      <c r="E65" s="84"/>
      <c r="F65" s="85">
        <v>16378.137000000001</v>
      </c>
      <c r="G65" s="84"/>
      <c r="H65" s="84"/>
      <c r="I65" s="86">
        <v>16121.873</v>
      </c>
      <c r="J65" s="86"/>
      <c r="K65" s="86">
        <v>17388.88178</v>
      </c>
      <c r="L65" s="86">
        <v>6534.36</v>
      </c>
      <c r="M65" s="86">
        <v>8058.1819999999998</v>
      </c>
      <c r="N65" s="86">
        <v>6955.058</v>
      </c>
      <c r="O65" s="86">
        <v>7412.5240000000003</v>
      </c>
      <c r="P65" s="86">
        <v>7884.3509999999997</v>
      </c>
      <c r="Q65" s="86">
        <v>7575.7659999999996</v>
      </c>
      <c r="R65" s="86">
        <v>8810.7810000000009</v>
      </c>
      <c r="S65" s="86">
        <v>9409.74</v>
      </c>
      <c r="T65" s="87">
        <v>14313.107</v>
      </c>
      <c r="U65" s="87">
        <v>16711.631000000001</v>
      </c>
      <c r="V65" s="87"/>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row>
    <row r="66" spans="1:50">
      <c r="F66" s="27"/>
    </row>
    <row r="67" spans="1:50">
      <c r="I67" s="34" t="s">
        <v>78</v>
      </c>
      <c r="J67" s="34" t="s">
        <v>76</v>
      </c>
      <c r="K67" s="34"/>
      <c r="L67" s="34" t="s">
        <v>69</v>
      </c>
      <c r="M67" s="34"/>
      <c r="N67" s="34"/>
      <c r="O67" s="34" t="s">
        <v>78</v>
      </c>
      <c r="P67" s="34" t="s">
        <v>78</v>
      </c>
      <c r="Q67" s="34" t="s">
        <v>78</v>
      </c>
      <c r="R67" s="34" t="s">
        <v>78</v>
      </c>
      <c r="S67" s="34"/>
      <c r="T67" s="34"/>
      <c r="U67" s="34"/>
      <c r="V67" s="34"/>
    </row>
    <row r="68" spans="1:50">
      <c r="I68" s="14" t="s">
        <v>79</v>
      </c>
      <c r="J68" s="14" t="s">
        <v>72</v>
      </c>
      <c r="L68" s="14" t="s">
        <v>70</v>
      </c>
      <c r="O68" s="14" t="s">
        <v>79</v>
      </c>
      <c r="P68" s="14" t="s">
        <v>79</v>
      </c>
      <c r="Q68" s="14" t="s">
        <v>79</v>
      </c>
      <c r="R68" s="14" t="s">
        <v>79</v>
      </c>
    </row>
    <row r="69" spans="1:50">
      <c r="I69" s="14" t="s">
        <v>80</v>
      </c>
      <c r="J69" s="14" t="s">
        <v>73</v>
      </c>
      <c r="O69" s="14" t="s">
        <v>80</v>
      </c>
      <c r="P69" s="14" t="s">
        <v>80</v>
      </c>
      <c r="Q69" s="14" t="s">
        <v>80</v>
      </c>
      <c r="R69" s="14" t="s">
        <v>80</v>
      </c>
    </row>
    <row r="70" spans="1:50">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ransitionEvaluation="1" codeName="Sheet10">
    <tabColor theme="0" tint="-0.499984740745262"/>
  </sheetPr>
  <dimension ref="A1:AW70"/>
  <sheetViews>
    <sheetView showZeros="0" zoomScale="80" zoomScaleNormal="80" workbookViewId="0">
      <pane xSplit="1" ySplit="5" topLeftCell="R6" activePane="bottomRight" state="frozen"/>
      <selection activeCell="Z72" sqref="Z72"/>
      <selection pane="topRight" activeCell="Z72" sqref="Z72"/>
      <selection pane="bottomLeft" activeCell="Z72" sqref="Z72"/>
      <selection pane="bottomRight" activeCell="Z72" sqref="Z72"/>
    </sheetView>
  </sheetViews>
  <sheetFormatPr defaultColWidth="9.7109375" defaultRowHeight="12.75"/>
  <cols>
    <col min="1" max="1" width="23.42578125" style="80" customWidth="1"/>
    <col min="2" max="19" width="12.42578125" style="14" customWidth="1"/>
    <col min="20" max="22" width="12.42578125" style="2" customWidth="1"/>
    <col min="23" max="49" width="10.7109375" style="2" customWidth="1"/>
    <col min="50" max="16384" width="9.7109375" style="2"/>
  </cols>
  <sheetData>
    <row r="1" spans="1:22">
      <c r="A1" s="8" t="s">
        <v>39</v>
      </c>
      <c r="B1"/>
      <c r="C1"/>
      <c r="D1"/>
      <c r="E1"/>
      <c r="F1"/>
      <c r="G1"/>
      <c r="H1"/>
      <c r="I1"/>
      <c r="J1"/>
      <c r="K1"/>
      <c r="L1"/>
      <c r="M1"/>
      <c r="N1"/>
      <c r="O1" s="46"/>
      <c r="P1" s="46"/>
      <c r="Q1" s="46"/>
      <c r="R1" s="46"/>
      <c r="S1"/>
    </row>
    <row r="2" spans="1:22">
      <c r="A2" s="8"/>
      <c r="B2"/>
      <c r="C2"/>
      <c r="D2"/>
      <c r="E2"/>
      <c r="F2"/>
      <c r="G2"/>
      <c r="H2"/>
      <c r="I2"/>
      <c r="J2"/>
      <c r="K2"/>
      <c r="L2"/>
      <c r="M2"/>
      <c r="N2"/>
      <c r="O2" s="46"/>
      <c r="P2" s="46"/>
      <c r="Q2" s="46"/>
      <c r="R2" s="46"/>
      <c r="S2"/>
    </row>
    <row r="3" spans="1:22">
      <c r="A3" s="8" t="s">
        <v>24</v>
      </c>
      <c r="B3"/>
      <c r="C3"/>
      <c r="D3"/>
      <c r="E3"/>
      <c r="F3"/>
      <c r="G3"/>
      <c r="H3"/>
      <c r="I3"/>
      <c r="J3"/>
      <c r="K3"/>
      <c r="L3"/>
      <c r="M3"/>
      <c r="N3"/>
      <c r="O3" s="46"/>
      <c r="P3" s="46"/>
      <c r="Q3" s="46"/>
      <c r="R3" s="46"/>
      <c r="S3"/>
    </row>
    <row r="4" spans="1:22" s="65"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60">
        <v>2005</v>
      </c>
      <c r="R4" s="60">
        <v>2006</v>
      </c>
      <c r="S4" s="74">
        <v>2007</v>
      </c>
      <c r="T4" s="74">
        <v>2008</v>
      </c>
      <c r="U4" s="74">
        <v>2009</v>
      </c>
      <c r="V4" s="74">
        <v>2010</v>
      </c>
    </row>
    <row r="5" spans="1:22" s="19" customFormat="1">
      <c r="B5" s="15" t="s">
        <v>2</v>
      </c>
      <c r="C5" s="15" t="s">
        <v>2</v>
      </c>
      <c r="D5" s="15" t="s">
        <v>2</v>
      </c>
      <c r="E5" s="15" t="s">
        <v>2</v>
      </c>
      <c r="F5" s="15" t="s">
        <v>2</v>
      </c>
      <c r="G5" s="15" t="s">
        <v>2</v>
      </c>
      <c r="H5" s="15" t="s">
        <v>2</v>
      </c>
      <c r="I5" s="15" t="s">
        <v>2</v>
      </c>
      <c r="J5" s="15" t="s">
        <v>2</v>
      </c>
      <c r="K5" s="15" t="s">
        <v>2</v>
      </c>
      <c r="L5" s="15" t="s">
        <v>2</v>
      </c>
      <c r="M5" s="15" t="s">
        <v>2</v>
      </c>
      <c r="N5" s="15" t="s">
        <v>2</v>
      </c>
      <c r="O5" s="15" t="s">
        <v>2</v>
      </c>
      <c r="P5" s="15" t="s">
        <v>2</v>
      </c>
      <c r="Q5" s="15" t="s">
        <v>2</v>
      </c>
      <c r="R5" s="15" t="s">
        <v>2</v>
      </c>
      <c r="S5" s="15" t="s">
        <v>2</v>
      </c>
      <c r="T5" s="15" t="s">
        <v>2</v>
      </c>
      <c r="U5" s="15" t="s">
        <v>2</v>
      </c>
      <c r="V5" s="15" t="s">
        <v>2</v>
      </c>
    </row>
    <row r="6" spans="1:22" s="23" customFormat="1">
      <c r="A6" s="63" t="s">
        <v>118</v>
      </c>
      <c r="B6" s="13">
        <v>1076371</v>
      </c>
      <c r="C6" s="13">
        <v>1157820</v>
      </c>
      <c r="D6" s="13">
        <v>1221422</v>
      </c>
      <c r="E6" s="13">
        <v>1621541.983</v>
      </c>
      <c r="F6" s="91">
        <f>+F7+F25+F40+F54+F65</f>
        <v>1603792.071</v>
      </c>
      <c r="G6" s="13">
        <v>1750489.294</v>
      </c>
      <c r="H6" s="13">
        <v>1888780.2860000001</v>
      </c>
      <c r="I6" s="91">
        <f>+I7+I25+I40+I54+I65</f>
        <v>1856752.5500000003</v>
      </c>
      <c r="J6" s="14">
        <v>2079515.963</v>
      </c>
      <c r="K6" s="91">
        <f t="shared" ref="K6:U6" si="0">+K7+K25+K40+K54+K65</f>
        <v>2150215.3102299999</v>
      </c>
      <c r="L6" s="91">
        <f t="shared" si="0"/>
        <v>2396546.0669999998</v>
      </c>
      <c r="M6" s="91">
        <f t="shared" si="0"/>
        <v>2640926.8169999998</v>
      </c>
      <c r="N6" s="91">
        <f t="shared" si="0"/>
        <v>2727567.9819999998</v>
      </c>
      <c r="O6" s="91">
        <f t="shared" si="0"/>
        <v>2806103.9949999996</v>
      </c>
      <c r="P6" s="91">
        <f t="shared" si="0"/>
        <v>2879059.2639999995</v>
      </c>
      <c r="Q6" s="91">
        <f t="shared" si="0"/>
        <v>3211991.45</v>
      </c>
      <c r="R6" s="91">
        <f t="shared" si="0"/>
        <v>3532956.0569999996</v>
      </c>
      <c r="S6" s="91">
        <f t="shared" si="0"/>
        <v>3759702.1880000001</v>
      </c>
      <c r="T6" s="91">
        <f t="shared" si="0"/>
        <v>3246415.4239999996</v>
      </c>
      <c r="U6" s="91">
        <f t="shared" si="0"/>
        <v>2690661.2999999993</v>
      </c>
      <c r="V6" s="91">
        <f t="shared" ref="V6" si="1">+V7+V25+V40+V54+V65</f>
        <v>0</v>
      </c>
    </row>
    <row r="7" spans="1:22" s="23" customFormat="1">
      <c r="A7" s="22" t="s">
        <v>56</v>
      </c>
      <c r="B7" s="89">
        <f>SUM(B8:B24)</f>
        <v>319416</v>
      </c>
      <c r="C7" s="89">
        <f t="shared" ref="C7:U7" si="2">SUM(C8:C24)</f>
        <v>336273</v>
      </c>
      <c r="D7" s="89">
        <f t="shared" si="2"/>
        <v>356632</v>
      </c>
      <c r="E7" s="89">
        <f t="shared" si="2"/>
        <v>488743.09199999995</v>
      </c>
      <c r="F7" s="89">
        <f t="shared" si="2"/>
        <v>485412.24199999991</v>
      </c>
      <c r="G7" s="89">
        <f t="shared" si="2"/>
        <v>539103.48100000003</v>
      </c>
      <c r="H7" s="89">
        <f t="shared" si="2"/>
        <v>581386.87399999995</v>
      </c>
      <c r="I7" s="89">
        <f t="shared" si="2"/>
        <v>575137.91800000006</v>
      </c>
      <c r="J7" s="89">
        <f t="shared" si="2"/>
        <v>620296.65599999996</v>
      </c>
      <c r="K7" s="89">
        <f t="shared" si="2"/>
        <v>645303.74984000006</v>
      </c>
      <c r="L7" s="89">
        <f t="shared" si="2"/>
        <v>814495.96600000001</v>
      </c>
      <c r="M7" s="89">
        <f t="shared" si="2"/>
        <v>943489.27599999984</v>
      </c>
      <c r="N7" s="89">
        <f t="shared" si="2"/>
        <v>957104.66399999987</v>
      </c>
      <c r="O7" s="89">
        <f t="shared" si="2"/>
        <v>1000868.0780000001</v>
      </c>
      <c r="P7" s="89">
        <f t="shared" si="2"/>
        <v>1018153.9649999999</v>
      </c>
      <c r="Q7" s="89">
        <f t="shared" si="2"/>
        <v>1133836.304</v>
      </c>
      <c r="R7" s="89">
        <f t="shared" si="2"/>
        <v>1253884.2889999999</v>
      </c>
      <c r="S7" s="89">
        <f t="shared" si="2"/>
        <v>1404181.94</v>
      </c>
      <c r="T7" s="89">
        <f t="shared" si="2"/>
        <v>1183668.3879999998</v>
      </c>
      <c r="U7" s="89">
        <f t="shared" si="2"/>
        <v>765174.03700000001</v>
      </c>
      <c r="V7" s="89">
        <f t="shared" ref="V7" si="3">SUM(V8:V24)</f>
        <v>0</v>
      </c>
    </row>
    <row r="8" spans="1:22">
      <c r="A8" s="79" t="s">
        <v>119</v>
      </c>
    </row>
    <row r="9" spans="1:22">
      <c r="A9" s="22" t="s">
        <v>3</v>
      </c>
      <c r="B9" s="13">
        <v>11171</v>
      </c>
      <c r="C9" s="13">
        <v>15759</v>
      </c>
      <c r="D9" s="13">
        <v>17037</v>
      </c>
      <c r="E9" s="13">
        <v>22625.322</v>
      </c>
      <c r="F9" s="76">
        <v>23965.131000000001</v>
      </c>
      <c r="G9" s="13">
        <v>25808.300999999999</v>
      </c>
      <c r="H9" s="13">
        <v>28463.056</v>
      </c>
      <c r="I9" s="13">
        <v>28223.271000000001</v>
      </c>
      <c r="J9" s="13">
        <v>29769.841</v>
      </c>
      <c r="K9" s="13">
        <v>30424.781939999997</v>
      </c>
      <c r="L9" s="14">
        <v>34535.716</v>
      </c>
      <c r="M9" s="14">
        <v>37292.78</v>
      </c>
      <c r="N9" s="14">
        <v>40291.038</v>
      </c>
      <c r="O9" s="14">
        <v>47509.514999999999</v>
      </c>
      <c r="P9" s="14">
        <v>46022.26</v>
      </c>
      <c r="Q9" s="14">
        <v>49514.720000000001</v>
      </c>
      <c r="R9" s="14">
        <v>56669.703000000001</v>
      </c>
      <c r="S9" s="14">
        <v>63094.124000000003</v>
      </c>
      <c r="T9" s="2">
        <v>0</v>
      </c>
      <c r="U9" s="2">
        <v>0</v>
      </c>
    </row>
    <row r="10" spans="1:22">
      <c r="A10" s="22" t="s">
        <v>4</v>
      </c>
      <c r="B10" s="13">
        <v>3202</v>
      </c>
      <c r="C10" s="13">
        <v>3784</v>
      </c>
      <c r="D10" s="13">
        <v>3885</v>
      </c>
      <c r="E10" s="13">
        <v>5316.8969999999999</v>
      </c>
      <c r="F10" s="76">
        <v>5346.78</v>
      </c>
      <c r="G10" s="13">
        <v>6552.2969999999996</v>
      </c>
      <c r="H10" s="13">
        <v>7299.5339999999997</v>
      </c>
      <c r="I10" s="14">
        <v>8337.018</v>
      </c>
      <c r="J10" s="14">
        <v>12536.431</v>
      </c>
      <c r="K10" s="14">
        <v>11713.671</v>
      </c>
      <c r="L10" s="14">
        <v>16159.447</v>
      </c>
      <c r="M10" s="14">
        <v>21326.48</v>
      </c>
      <c r="N10" s="14">
        <v>18607.651000000002</v>
      </c>
      <c r="O10" s="14">
        <v>18244.498</v>
      </c>
      <c r="P10" s="14">
        <v>21895.455000000002</v>
      </c>
      <c r="Q10" s="14">
        <v>22877.483</v>
      </c>
      <c r="R10" s="14">
        <v>26011.556</v>
      </c>
      <c r="S10" s="14">
        <v>33624.025999999998</v>
      </c>
      <c r="T10" s="2">
        <v>32511.437000000002</v>
      </c>
      <c r="U10" s="2">
        <v>29737.74</v>
      </c>
    </row>
    <row r="11" spans="1:22">
      <c r="A11" s="22" t="s">
        <v>52</v>
      </c>
      <c r="B11" s="13"/>
      <c r="C11" s="13"/>
      <c r="D11" s="13">
        <v>2251</v>
      </c>
      <c r="E11" s="13">
        <v>3337.4209999999998</v>
      </c>
      <c r="F11" s="76">
        <v>3537.21</v>
      </c>
      <c r="G11" s="13"/>
      <c r="H11" s="13"/>
      <c r="I11" s="14">
        <v>9295.0580000000009</v>
      </c>
      <c r="J11" s="14">
        <v>7604.8180000000002</v>
      </c>
      <c r="K11" s="14">
        <v>7925.3559999999998</v>
      </c>
      <c r="L11" s="14">
        <v>8644.5660000000007</v>
      </c>
      <c r="M11" s="14">
        <v>7774.0209999999997</v>
      </c>
      <c r="N11" s="14">
        <v>8257.4390000000003</v>
      </c>
      <c r="O11" s="14">
        <v>8076.665</v>
      </c>
      <c r="P11" s="14">
        <v>8911.0329999999994</v>
      </c>
      <c r="Q11" s="14">
        <v>9454.8940000000002</v>
      </c>
      <c r="R11" s="14">
        <v>10570.557000000001</v>
      </c>
      <c r="S11" s="14">
        <v>10571.209000000001</v>
      </c>
      <c r="T11" s="2">
        <v>11053.826999999999</v>
      </c>
      <c r="U11" s="2">
        <v>12047.611999999999</v>
      </c>
    </row>
    <row r="12" spans="1:22">
      <c r="A12" s="22" t="s">
        <v>5</v>
      </c>
      <c r="B12" s="13">
        <v>57833</v>
      </c>
      <c r="C12" s="13">
        <v>60204</v>
      </c>
      <c r="D12" s="13">
        <v>62009</v>
      </c>
      <c r="E12" s="13">
        <v>91100.122000000003</v>
      </c>
      <c r="F12" s="76">
        <v>91361.505999999994</v>
      </c>
      <c r="G12" s="13">
        <v>97063.846999999994</v>
      </c>
      <c r="H12" s="13">
        <v>104557.334</v>
      </c>
      <c r="I12" s="14">
        <v>107890.81600000001</v>
      </c>
      <c r="J12" s="14">
        <v>109674.09699999999</v>
      </c>
      <c r="K12" s="14">
        <v>121267.704</v>
      </c>
      <c r="L12" s="14">
        <v>145434.54500000001</v>
      </c>
      <c r="M12" s="14">
        <v>175751.65299999999</v>
      </c>
      <c r="N12" s="14">
        <v>204221.361</v>
      </c>
      <c r="O12" s="14">
        <v>184544.97700000001</v>
      </c>
      <c r="P12" s="14">
        <v>175956.405</v>
      </c>
      <c r="Q12" s="14">
        <v>195750.35399999999</v>
      </c>
      <c r="R12" s="14">
        <v>210336.087</v>
      </c>
      <c r="S12" s="14">
        <v>271640.87099999998</v>
      </c>
      <c r="T12" s="2">
        <v>269334.864</v>
      </c>
      <c r="U12" s="2">
        <v>0</v>
      </c>
    </row>
    <row r="13" spans="1:22">
      <c r="A13" s="22" t="s">
        <v>6</v>
      </c>
      <c r="B13" s="13">
        <v>11973</v>
      </c>
      <c r="C13" s="13">
        <v>12408</v>
      </c>
      <c r="D13" s="13">
        <v>13715</v>
      </c>
      <c r="E13" s="13">
        <v>28309.420999999998</v>
      </c>
      <c r="F13" s="76">
        <v>32388.947</v>
      </c>
      <c r="G13" s="13">
        <v>34546.163999999997</v>
      </c>
      <c r="H13" s="13">
        <v>39394.934999999998</v>
      </c>
      <c r="I13" s="14">
        <v>42530.078999999998</v>
      </c>
      <c r="J13" s="14">
        <v>37595.269999999997</v>
      </c>
      <c r="K13" s="14">
        <v>37272.96143000001</v>
      </c>
      <c r="L13" s="14">
        <v>59718.341</v>
      </c>
      <c r="M13" s="14">
        <v>64525.665000000001</v>
      </c>
      <c r="N13" s="14">
        <v>87198.820999999996</v>
      </c>
      <c r="O13" s="14">
        <v>71178.262000000002</v>
      </c>
      <c r="P13" s="14">
        <v>76412.191999999995</v>
      </c>
      <c r="Q13" s="14">
        <v>87815.504000000001</v>
      </c>
      <c r="R13" s="14">
        <v>106609.302</v>
      </c>
      <c r="S13" s="14">
        <v>92886.343999999997</v>
      </c>
      <c r="T13" s="2">
        <v>98760.388999999996</v>
      </c>
      <c r="U13" s="2">
        <v>59692.41</v>
      </c>
    </row>
    <row r="14" spans="1:22">
      <c r="A14" s="22" t="s">
        <v>7</v>
      </c>
      <c r="B14" s="13">
        <v>4437</v>
      </c>
      <c r="C14" s="13">
        <v>4687</v>
      </c>
      <c r="D14" s="13">
        <v>5125</v>
      </c>
      <c r="E14" s="13">
        <v>7336.6769999999997</v>
      </c>
      <c r="F14" s="76">
        <v>8357.7279999999992</v>
      </c>
      <c r="G14" s="13">
        <v>8436.7270000000008</v>
      </c>
      <c r="H14" s="13">
        <v>9463.6489999999994</v>
      </c>
      <c r="I14" s="14">
        <v>10349.851000000001</v>
      </c>
      <c r="J14" s="14">
        <v>10731.895</v>
      </c>
      <c r="K14" s="14">
        <v>11295.322</v>
      </c>
      <c r="L14" s="14">
        <v>24329.696</v>
      </c>
      <c r="M14" s="14">
        <v>23948.451000000001</v>
      </c>
      <c r="N14" s="14">
        <v>945.76599999999996</v>
      </c>
      <c r="O14" s="14">
        <v>1146.306</v>
      </c>
      <c r="P14" s="14">
        <v>1284.3789999999999</v>
      </c>
      <c r="Q14" s="14">
        <v>31313.698</v>
      </c>
      <c r="R14" s="14">
        <v>33680.502999999997</v>
      </c>
      <c r="S14" s="14">
        <v>35752.11</v>
      </c>
      <c r="T14" s="2">
        <v>0</v>
      </c>
      <c r="U14" s="2">
        <v>0</v>
      </c>
    </row>
    <row r="15" spans="1:22">
      <c r="A15" s="22" t="s">
        <v>8</v>
      </c>
      <c r="B15" s="36">
        <v>5731</v>
      </c>
      <c r="C15" s="36">
        <v>5644</v>
      </c>
      <c r="D15" s="36">
        <v>5640</v>
      </c>
      <c r="E15" s="36">
        <v>6785.2849999999999</v>
      </c>
      <c r="F15" s="77">
        <v>6630.65</v>
      </c>
      <c r="G15" s="36">
        <v>7582.5829999999996</v>
      </c>
      <c r="H15" s="36">
        <v>9199.7160000000003</v>
      </c>
      <c r="I15" s="37">
        <v>9139.3950000000004</v>
      </c>
      <c r="J15" s="37">
        <v>14132.112999999999</v>
      </c>
      <c r="K15" s="37">
        <v>17772.176749999999</v>
      </c>
      <c r="L15" s="37">
        <v>17636.098000000002</v>
      </c>
      <c r="M15" s="37">
        <v>21099.192999999999</v>
      </c>
      <c r="N15" s="37">
        <v>21359.05</v>
      </c>
      <c r="O15" s="37">
        <v>25461.714</v>
      </c>
      <c r="P15" s="37">
        <v>28915.053</v>
      </c>
      <c r="Q15" s="37">
        <v>31856.727999999999</v>
      </c>
      <c r="R15" s="37">
        <v>34031.243999999999</v>
      </c>
      <c r="S15" s="37">
        <v>40680.697999999997</v>
      </c>
      <c r="T15" s="23">
        <v>48190.341</v>
      </c>
      <c r="U15" s="23">
        <v>23585.392</v>
      </c>
      <c r="V15" s="23"/>
    </row>
    <row r="16" spans="1:22">
      <c r="A16" s="22" t="s">
        <v>9</v>
      </c>
      <c r="B16" s="36">
        <v>26427</v>
      </c>
      <c r="C16" s="36">
        <v>27804</v>
      </c>
      <c r="D16" s="36">
        <v>30129</v>
      </c>
      <c r="E16" s="36">
        <v>37956.915000000001</v>
      </c>
      <c r="F16" s="77">
        <v>29649.172999999999</v>
      </c>
      <c r="G16" s="36">
        <v>42100.887000000002</v>
      </c>
      <c r="H16" s="36">
        <v>44519.082999999999</v>
      </c>
      <c r="I16" s="37">
        <v>35911.794999999998</v>
      </c>
      <c r="J16" s="37">
        <v>46301.785000000003</v>
      </c>
      <c r="K16" s="37">
        <v>46943.875999999997</v>
      </c>
      <c r="L16" s="37">
        <v>55698.756000000001</v>
      </c>
      <c r="M16" s="37">
        <v>65264.974999999999</v>
      </c>
      <c r="N16" s="37">
        <v>62848.75</v>
      </c>
      <c r="O16" s="37">
        <v>68758.819000000003</v>
      </c>
      <c r="P16" s="37">
        <v>72185.361999999994</v>
      </c>
      <c r="Q16" s="37">
        <v>80448.52</v>
      </c>
      <c r="R16" s="37">
        <v>90101.729000000007</v>
      </c>
      <c r="S16" s="37">
        <v>100934.171</v>
      </c>
      <c r="T16" s="23">
        <v>94568.657000000007</v>
      </c>
      <c r="U16" s="23">
        <v>57079.737000000001</v>
      </c>
      <c r="V16" s="23"/>
    </row>
    <row r="17" spans="1:22">
      <c r="A17" s="22" t="s">
        <v>10</v>
      </c>
      <c r="B17" s="36">
        <v>16367</v>
      </c>
      <c r="C17" s="36">
        <v>15548</v>
      </c>
      <c r="D17" s="36">
        <v>17205</v>
      </c>
      <c r="E17" s="36">
        <v>22152.879000000001</v>
      </c>
      <c r="F17" s="77">
        <v>21806.633000000002</v>
      </c>
      <c r="G17" s="36">
        <v>24584.776999999998</v>
      </c>
      <c r="H17" s="36">
        <v>26252.815999999999</v>
      </c>
      <c r="I17" s="37">
        <v>32780.25</v>
      </c>
      <c r="J17" s="37">
        <v>31595.447</v>
      </c>
      <c r="K17" s="37">
        <v>32311.971000000001</v>
      </c>
      <c r="L17" s="37">
        <v>41630.290999999997</v>
      </c>
      <c r="M17" s="37">
        <v>42781.997000000003</v>
      </c>
      <c r="N17" s="37">
        <v>40110.205999999998</v>
      </c>
      <c r="O17" s="37">
        <v>50730.756999999998</v>
      </c>
      <c r="P17" s="37">
        <v>49594.307999999997</v>
      </c>
      <c r="Q17" s="37">
        <v>56498.114000000001</v>
      </c>
      <c r="R17" s="37">
        <v>63754.995999999999</v>
      </c>
      <c r="S17" s="37">
        <v>65212.688000000002</v>
      </c>
      <c r="T17" s="23">
        <v>70347.236000000004</v>
      </c>
      <c r="U17" s="23">
        <v>54365.671000000002</v>
      </c>
      <c r="V17" s="23"/>
    </row>
    <row r="18" spans="1:22">
      <c r="A18" s="22" t="s">
        <v>11</v>
      </c>
      <c r="B18" s="36">
        <v>28883</v>
      </c>
      <c r="C18" s="36">
        <v>29829</v>
      </c>
      <c r="D18" s="36">
        <v>31887</v>
      </c>
      <c r="E18" s="36">
        <v>47419.383000000002</v>
      </c>
      <c r="F18" s="77">
        <v>49679.516000000003</v>
      </c>
      <c r="G18" s="36">
        <v>53695.538</v>
      </c>
      <c r="H18" s="36">
        <v>55437.535000000003</v>
      </c>
      <c r="I18" s="37">
        <v>56734.273999999998</v>
      </c>
      <c r="J18" s="37">
        <v>60999.567999999999</v>
      </c>
      <c r="K18" s="37">
        <v>65170.907039999991</v>
      </c>
      <c r="L18" s="37">
        <v>82453.788</v>
      </c>
      <c r="M18" s="37">
        <v>90555.16</v>
      </c>
      <c r="N18" s="37">
        <v>107385.469</v>
      </c>
      <c r="O18" s="37">
        <v>121468.944</v>
      </c>
      <c r="P18" s="37">
        <v>125863.625</v>
      </c>
      <c r="Q18" s="37">
        <v>128951.599</v>
      </c>
      <c r="R18" s="37">
        <v>133369.038</v>
      </c>
      <c r="S18" s="37">
        <v>149363.663</v>
      </c>
      <c r="T18" s="23">
        <v>151482.625</v>
      </c>
      <c r="U18" s="23">
        <v>131603.886</v>
      </c>
      <c r="V18" s="23"/>
    </row>
    <row r="19" spans="1:22">
      <c r="A19" s="22" t="s">
        <v>12</v>
      </c>
      <c r="B19" s="36">
        <v>12051</v>
      </c>
      <c r="C19" s="36">
        <v>13002</v>
      </c>
      <c r="D19" s="37">
        <v>13886</v>
      </c>
      <c r="E19" s="36">
        <v>18022.761999999999</v>
      </c>
      <c r="F19" s="77">
        <v>18921.262999999999</v>
      </c>
      <c r="G19" s="36">
        <v>19228.350999999999</v>
      </c>
      <c r="H19" s="36">
        <v>19411.064999999999</v>
      </c>
      <c r="I19" s="37">
        <v>19484.564999999999</v>
      </c>
      <c r="J19" s="37">
        <v>21337.348999999998</v>
      </c>
      <c r="K19" s="37">
        <v>22440.296719999998</v>
      </c>
      <c r="L19" s="37">
        <v>24914.374</v>
      </c>
      <c r="M19" s="37">
        <v>56124.88</v>
      </c>
      <c r="N19" s="37">
        <v>30915.161</v>
      </c>
      <c r="O19" s="37">
        <v>33700.120999999999</v>
      </c>
      <c r="P19" s="37">
        <v>31589.257000000001</v>
      </c>
      <c r="Q19" s="37">
        <v>32456.609</v>
      </c>
      <c r="R19" s="37">
        <v>34024.841</v>
      </c>
      <c r="S19" s="37">
        <v>35367.879000000001</v>
      </c>
      <c r="T19" s="23">
        <v>34600.612999999998</v>
      </c>
      <c r="U19" s="23">
        <v>30452.648000000001</v>
      </c>
      <c r="V19" s="23"/>
    </row>
    <row r="20" spans="1:22">
      <c r="A20" s="22" t="s">
        <v>13</v>
      </c>
      <c r="B20" s="36">
        <v>14817</v>
      </c>
      <c r="C20" s="36">
        <v>12489</v>
      </c>
      <c r="D20" s="36">
        <v>12928</v>
      </c>
      <c r="E20" s="36">
        <v>19578.611000000001</v>
      </c>
      <c r="F20" s="77">
        <v>19730.968000000001</v>
      </c>
      <c r="G20" s="36">
        <v>20480.662</v>
      </c>
      <c r="H20" s="36">
        <v>22056.246999999999</v>
      </c>
      <c r="I20" s="37">
        <v>22649.957999999999</v>
      </c>
      <c r="J20" s="37">
        <v>23147.007000000001</v>
      </c>
      <c r="K20" s="37">
        <v>25594.384999999998</v>
      </c>
      <c r="L20" s="37">
        <v>32259.575000000001</v>
      </c>
      <c r="M20" s="37">
        <v>37603.112999999998</v>
      </c>
      <c r="N20" s="37">
        <v>40894.483</v>
      </c>
      <c r="O20" s="37">
        <v>47851.243000000002</v>
      </c>
      <c r="P20" s="37">
        <v>43947.118999999999</v>
      </c>
      <c r="Q20" s="37">
        <v>49010.254999999997</v>
      </c>
      <c r="R20" s="37">
        <v>55300.957000000002</v>
      </c>
      <c r="S20" s="37">
        <v>65511.834000000003</v>
      </c>
      <c r="T20" s="23">
        <v>44825.608999999997</v>
      </c>
      <c r="U20" s="23">
        <v>5491.9380000000001</v>
      </c>
      <c r="V20" s="23"/>
    </row>
    <row r="21" spans="1:22" s="17" customFormat="1">
      <c r="A21" s="22" t="s">
        <v>14</v>
      </c>
      <c r="B21" s="36">
        <v>9930</v>
      </c>
      <c r="C21" s="36">
        <v>10715</v>
      </c>
      <c r="D21" s="36">
        <v>10589</v>
      </c>
      <c r="E21" s="36">
        <v>15581.120999999999</v>
      </c>
      <c r="F21" s="77">
        <v>15624.187</v>
      </c>
      <c r="G21" s="36">
        <v>16606.377</v>
      </c>
      <c r="H21" s="36">
        <v>17936.189999999999</v>
      </c>
      <c r="I21" s="37">
        <v>19467.755000000001</v>
      </c>
      <c r="J21" s="37">
        <v>20781.851999999999</v>
      </c>
      <c r="K21" s="37">
        <v>22420.054</v>
      </c>
      <c r="L21" s="37">
        <v>27756.425999999999</v>
      </c>
      <c r="M21" s="37">
        <v>32037.499</v>
      </c>
      <c r="N21" s="37">
        <v>30639.441999999999</v>
      </c>
      <c r="O21" s="37">
        <v>32240.261999999999</v>
      </c>
      <c r="P21" s="37">
        <v>35267.461000000003</v>
      </c>
      <c r="Q21" s="37">
        <v>40282.029000000002</v>
      </c>
      <c r="R21" s="37">
        <v>45578.076000000001</v>
      </c>
      <c r="S21" s="37">
        <v>49357.696000000004</v>
      </c>
      <c r="T21" s="23">
        <v>50430.756000000001</v>
      </c>
      <c r="U21" s="23">
        <v>34229.444000000003</v>
      </c>
      <c r="V21" s="23"/>
    </row>
    <row r="22" spans="1:22">
      <c r="A22" s="22" t="s">
        <v>15</v>
      </c>
      <c r="B22" s="36">
        <v>99108</v>
      </c>
      <c r="C22" s="36">
        <v>106001</v>
      </c>
      <c r="D22" s="36">
        <v>111265</v>
      </c>
      <c r="E22" s="36">
        <v>140220.978</v>
      </c>
      <c r="F22" s="77">
        <v>134624.88099999999</v>
      </c>
      <c r="G22" s="36">
        <v>156625.35999999999</v>
      </c>
      <c r="H22" s="36">
        <v>168848.81200000001</v>
      </c>
      <c r="I22" s="37">
        <v>143713.54</v>
      </c>
      <c r="J22" s="37">
        <v>164390.424</v>
      </c>
      <c r="K22" s="37">
        <v>162391.41099999999</v>
      </c>
      <c r="L22" s="37">
        <v>197917.39300000001</v>
      </c>
      <c r="M22" s="37">
        <v>217149.55300000001</v>
      </c>
      <c r="N22" s="37">
        <v>213231.95499999999</v>
      </c>
      <c r="O22" s="37">
        <v>233864.61799999999</v>
      </c>
      <c r="P22" s="37">
        <v>238452.88800000001</v>
      </c>
      <c r="Q22" s="37">
        <v>252792.96100000001</v>
      </c>
      <c r="R22" s="37">
        <v>284104.98499999999</v>
      </c>
      <c r="S22" s="37">
        <v>309100.114</v>
      </c>
      <c r="T22" s="23">
        <v>268522.71100000001</v>
      </c>
      <c r="U22" s="23">
        <v>316825.26699999999</v>
      </c>
      <c r="V22" s="23"/>
    </row>
    <row r="23" spans="1:22">
      <c r="A23" s="22" t="s">
        <v>16</v>
      </c>
      <c r="B23" s="36">
        <v>15103</v>
      </c>
      <c r="C23" s="36">
        <v>15920</v>
      </c>
      <c r="D23" s="36">
        <v>16458</v>
      </c>
      <c r="E23" s="36">
        <v>20871.095000000001</v>
      </c>
      <c r="F23" s="77">
        <v>21666.331999999999</v>
      </c>
      <c r="G23" s="36">
        <v>23292.61</v>
      </c>
      <c r="H23" s="36">
        <v>26320.886999999999</v>
      </c>
      <c r="I23" s="37">
        <v>26572.407999999999</v>
      </c>
      <c r="J23" s="37">
        <v>27269.488000000001</v>
      </c>
      <c r="K23" s="37">
        <v>27905.241000000002</v>
      </c>
      <c r="L23" s="37">
        <v>42429.457999999999</v>
      </c>
      <c r="M23" s="37">
        <v>45550.34</v>
      </c>
      <c r="N23" s="37">
        <v>47147.298000000003</v>
      </c>
      <c r="O23" s="37">
        <v>52582.04</v>
      </c>
      <c r="P23" s="37">
        <v>59483.13</v>
      </c>
      <c r="Q23" s="37">
        <v>59670.93</v>
      </c>
      <c r="R23" s="37">
        <v>64688.207000000002</v>
      </c>
      <c r="S23" s="37">
        <v>74324.873999999996</v>
      </c>
      <c r="T23" s="23">
        <v>1544.94</v>
      </c>
      <c r="U23" s="23">
        <v>1524.6849999999999</v>
      </c>
      <c r="V23" s="23"/>
    </row>
    <row r="24" spans="1:22">
      <c r="A24" s="83" t="s">
        <v>17</v>
      </c>
      <c r="B24" s="66">
        <v>2383</v>
      </c>
      <c r="C24" s="66">
        <v>2479</v>
      </c>
      <c r="D24" s="66">
        <v>2623</v>
      </c>
      <c r="E24" s="66">
        <v>2128.203</v>
      </c>
      <c r="F24" s="82">
        <v>2121.337</v>
      </c>
      <c r="G24" s="66">
        <v>2499</v>
      </c>
      <c r="H24" s="66">
        <v>2226.0149999999999</v>
      </c>
      <c r="I24" s="63">
        <v>2057.8850000000002</v>
      </c>
      <c r="J24" s="63">
        <v>2429.2710000000002</v>
      </c>
      <c r="K24" s="63">
        <v>2453.6349600000008</v>
      </c>
      <c r="L24" s="63">
        <v>2977.4960000000001</v>
      </c>
      <c r="M24" s="63">
        <v>4703.5159999999996</v>
      </c>
      <c r="N24" s="63">
        <v>3050.7739999999999</v>
      </c>
      <c r="O24" s="63">
        <v>3509.337</v>
      </c>
      <c r="P24" s="63">
        <v>2374.038</v>
      </c>
      <c r="Q24" s="63">
        <v>5141.9059999999999</v>
      </c>
      <c r="R24" s="63">
        <v>5052.5079999999998</v>
      </c>
      <c r="S24" s="63">
        <v>6759.6390000000001</v>
      </c>
      <c r="T24" s="45">
        <v>7494.3829999999998</v>
      </c>
      <c r="U24" s="45">
        <v>8537.607</v>
      </c>
      <c r="V24" s="45"/>
    </row>
    <row r="25" spans="1:22" s="23" customFormat="1">
      <c r="A25" s="79" t="s">
        <v>120</v>
      </c>
      <c r="B25" s="90">
        <f>SUM(B27:B39)</f>
        <v>0</v>
      </c>
      <c r="C25" s="90">
        <f t="shared" ref="C25:V25" si="4">SUM(C27:C39)</f>
        <v>0</v>
      </c>
      <c r="D25" s="90">
        <f t="shared" si="4"/>
        <v>0</v>
      </c>
      <c r="E25" s="90">
        <f t="shared" si="4"/>
        <v>0</v>
      </c>
      <c r="F25" s="90">
        <f t="shared" si="4"/>
        <v>457561.48100000009</v>
      </c>
      <c r="G25" s="90">
        <f t="shared" si="4"/>
        <v>0</v>
      </c>
      <c r="H25" s="90">
        <f t="shared" si="4"/>
        <v>0</v>
      </c>
      <c r="I25" s="90">
        <f t="shared" si="4"/>
        <v>528864.804</v>
      </c>
      <c r="J25" s="90">
        <f t="shared" si="4"/>
        <v>0</v>
      </c>
      <c r="K25" s="90">
        <f t="shared" si="4"/>
        <v>634123.53477000003</v>
      </c>
      <c r="L25" s="90">
        <f t="shared" si="4"/>
        <v>612123.66599999997</v>
      </c>
      <c r="M25" s="90">
        <f t="shared" si="4"/>
        <v>631395.24400000006</v>
      </c>
      <c r="N25" s="90">
        <f t="shared" si="4"/>
        <v>658835.69300000009</v>
      </c>
      <c r="O25" s="90">
        <f t="shared" si="4"/>
        <v>643133.35900000005</v>
      </c>
      <c r="P25" s="90">
        <f t="shared" si="4"/>
        <v>654596.24</v>
      </c>
      <c r="Q25" s="90">
        <f t="shared" si="4"/>
        <v>813047.57500000007</v>
      </c>
      <c r="R25" s="90">
        <f t="shared" si="4"/>
        <v>901972.29299999983</v>
      </c>
      <c r="S25" s="90">
        <f t="shared" si="4"/>
        <v>921936.86600000015</v>
      </c>
      <c r="T25" s="90">
        <f t="shared" si="4"/>
        <v>733468.17799999996</v>
      </c>
      <c r="U25" s="90">
        <f t="shared" si="4"/>
        <v>780046.84299999988</v>
      </c>
      <c r="V25" s="90">
        <f t="shared" si="4"/>
        <v>0</v>
      </c>
    </row>
    <row r="26" spans="1:22">
      <c r="A26" s="79" t="s">
        <v>119</v>
      </c>
      <c r="B26" s="37"/>
      <c r="C26" s="37"/>
      <c r="D26" s="37"/>
      <c r="E26" s="37"/>
      <c r="F26" s="37"/>
      <c r="G26" s="37"/>
      <c r="H26" s="37"/>
      <c r="I26" s="37"/>
      <c r="J26" s="37"/>
      <c r="K26" s="37"/>
      <c r="L26" s="37"/>
      <c r="M26" s="37"/>
      <c r="N26" s="37"/>
      <c r="O26" s="37"/>
      <c r="P26" s="37"/>
      <c r="Q26" s="37"/>
      <c r="R26" s="37"/>
      <c r="S26" s="37"/>
      <c r="T26" s="23"/>
      <c r="U26" s="23"/>
      <c r="V26" s="23"/>
    </row>
    <row r="27" spans="1:22">
      <c r="A27" s="23" t="s">
        <v>85</v>
      </c>
      <c r="B27" s="36"/>
      <c r="C27" s="36"/>
      <c r="D27" s="37"/>
      <c r="E27" s="36"/>
      <c r="F27" s="77">
        <v>287.53300000000002</v>
      </c>
      <c r="G27" s="36"/>
      <c r="H27" s="36"/>
      <c r="I27" s="37">
        <v>538.33699999999999</v>
      </c>
      <c r="J27" s="37"/>
      <c r="K27" s="37">
        <v>511.27699999999999</v>
      </c>
      <c r="L27" s="37">
        <v>1417.41</v>
      </c>
      <c r="M27" s="37">
        <v>538.01099999999997</v>
      </c>
      <c r="N27" s="37">
        <v>2695.4349999999999</v>
      </c>
      <c r="O27" s="37">
        <v>1023.419</v>
      </c>
      <c r="P27" s="37">
        <v>1000.829</v>
      </c>
      <c r="Q27" s="37">
        <v>722.58100000000002</v>
      </c>
      <c r="R27" s="37">
        <v>2473.9270000000001</v>
      </c>
      <c r="S27" s="37">
        <v>2517.2629999999999</v>
      </c>
      <c r="T27" s="23">
        <v>2628.74</v>
      </c>
      <c r="U27" s="23">
        <v>1785.2460000000001</v>
      </c>
      <c r="V27" s="23"/>
    </row>
    <row r="28" spans="1:22">
      <c r="A28" s="23" t="s">
        <v>86</v>
      </c>
      <c r="B28" s="36"/>
      <c r="C28" s="36"/>
      <c r="D28" s="36"/>
      <c r="E28" s="36"/>
      <c r="F28" s="77">
        <v>35341.847999999998</v>
      </c>
      <c r="G28" s="36"/>
      <c r="H28" s="36"/>
      <c r="I28" s="37">
        <v>36389.622000000003</v>
      </c>
      <c r="J28" s="37"/>
      <c r="K28" s="37">
        <v>39988.54939</v>
      </c>
      <c r="L28" s="37">
        <v>47617.012000000002</v>
      </c>
      <c r="M28" s="37">
        <v>53079.436000000002</v>
      </c>
      <c r="N28" s="37">
        <v>65601.084000000003</v>
      </c>
      <c r="O28" s="37">
        <v>59954.773000000001</v>
      </c>
      <c r="P28" s="37">
        <v>67383.345000000001</v>
      </c>
      <c r="Q28" s="37">
        <v>69952.736000000004</v>
      </c>
      <c r="R28" s="37">
        <v>79019.816999999995</v>
      </c>
      <c r="S28" s="37">
        <v>82994.445999999996</v>
      </c>
      <c r="T28" s="23">
        <v>32095.850999999999</v>
      </c>
      <c r="U28" s="23">
        <v>32064.237000000001</v>
      </c>
      <c r="V28" s="23"/>
    </row>
    <row r="29" spans="1:22">
      <c r="A29" s="23" t="s">
        <v>87</v>
      </c>
      <c r="B29" s="36"/>
      <c r="C29" s="36"/>
      <c r="D29" s="36"/>
      <c r="E29" s="36"/>
      <c r="F29" s="77">
        <v>275247.40100000001</v>
      </c>
      <c r="G29" s="36"/>
      <c r="H29" s="36"/>
      <c r="I29" s="37">
        <v>315881.26</v>
      </c>
      <c r="J29" s="37"/>
      <c r="K29" s="37">
        <v>399253.70101000002</v>
      </c>
      <c r="L29" s="37">
        <v>340765.52</v>
      </c>
      <c r="M29" s="37">
        <v>337457.64899999998</v>
      </c>
      <c r="N29" s="37">
        <v>340972.67300000001</v>
      </c>
      <c r="O29" s="37">
        <v>313875.21799999999</v>
      </c>
      <c r="P29" s="37">
        <v>313728.73499999999</v>
      </c>
      <c r="Q29" s="37">
        <v>448351.859</v>
      </c>
      <c r="R29" s="37">
        <v>468471.01899999997</v>
      </c>
      <c r="S29" s="37">
        <v>504744.10600000003</v>
      </c>
      <c r="T29" s="23">
        <v>435005.54200000002</v>
      </c>
      <c r="U29" s="23">
        <v>424444.95600000001</v>
      </c>
      <c r="V29" s="23"/>
    </row>
    <row r="30" spans="1:22">
      <c r="A30" s="23" t="s">
        <v>88</v>
      </c>
      <c r="B30" s="36"/>
      <c r="C30" s="36"/>
      <c r="D30" s="36"/>
      <c r="E30" s="36"/>
      <c r="F30" s="77">
        <v>17581.528999999999</v>
      </c>
      <c r="G30" s="36"/>
      <c r="H30" s="36"/>
      <c r="I30" s="37">
        <v>21106.954000000002</v>
      </c>
      <c r="J30" s="37"/>
      <c r="K30" s="37">
        <v>23138.536</v>
      </c>
      <c r="L30" s="37">
        <v>30745.208999999999</v>
      </c>
      <c r="M30" s="37">
        <v>33711.945</v>
      </c>
      <c r="N30" s="37">
        <v>40386.856</v>
      </c>
      <c r="O30" s="37">
        <v>40217.868999999999</v>
      </c>
      <c r="P30" s="37">
        <v>36824.858999999997</v>
      </c>
      <c r="Q30" s="37">
        <v>37137.612000000001</v>
      </c>
      <c r="R30" s="37">
        <v>41050.894999999997</v>
      </c>
      <c r="S30" s="37">
        <v>43000.915000000001</v>
      </c>
      <c r="T30" s="23">
        <v>15078.883</v>
      </c>
      <c r="U30" s="23">
        <v>17251.507000000001</v>
      </c>
      <c r="V30" s="23"/>
    </row>
    <row r="31" spans="1:22">
      <c r="A31" s="23" t="s">
        <v>91</v>
      </c>
      <c r="B31" s="36"/>
      <c r="C31" s="36"/>
      <c r="D31" s="36"/>
      <c r="E31" s="36"/>
      <c r="F31" s="77">
        <v>7336.5749999999998</v>
      </c>
      <c r="G31" s="36"/>
      <c r="H31" s="36"/>
      <c r="I31" s="37">
        <v>10470.415000000001</v>
      </c>
      <c r="J31" s="37"/>
      <c r="K31" s="37">
        <v>8961.0619999999999</v>
      </c>
      <c r="L31" s="37">
        <v>7989.3890000000001</v>
      </c>
      <c r="M31" s="37">
        <v>7998.4570000000003</v>
      </c>
      <c r="N31" s="37">
        <v>8224.4240000000009</v>
      </c>
      <c r="O31" s="37">
        <v>8634.2039999999997</v>
      </c>
      <c r="P31" s="37">
        <v>8881.5169999999998</v>
      </c>
      <c r="Q31" s="37">
        <v>8966.75</v>
      </c>
      <c r="R31" s="37">
        <v>13017.998</v>
      </c>
      <c r="S31" s="37">
        <v>14125.014999999999</v>
      </c>
      <c r="T31" s="23">
        <v>16651.098000000002</v>
      </c>
      <c r="U31" s="23">
        <v>18779.955999999998</v>
      </c>
      <c r="V31" s="23"/>
    </row>
    <row r="32" spans="1:22">
      <c r="A32" s="23" t="s">
        <v>92</v>
      </c>
      <c r="B32" s="36"/>
      <c r="C32" s="36"/>
      <c r="D32" s="36"/>
      <c r="E32" s="36"/>
      <c r="F32" s="77">
        <v>3484.0120000000002</v>
      </c>
      <c r="G32" s="36"/>
      <c r="H32" s="36"/>
      <c r="I32" s="37">
        <v>5327.2879999999996</v>
      </c>
      <c r="J32" s="37"/>
      <c r="K32" s="37">
        <v>6248.0259999999998</v>
      </c>
      <c r="L32" s="37">
        <v>4914.5349999999999</v>
      </c>
      <c r="M32" s="37">
        <v>5371.9620000000004</v>
      </c>
      <c r="N32" s="37">
        <v>4034.0149999999999</v>
      </c>
      <c r="O32" s="37">
        <v>7070.6589999999997</v>
      </c>
      <c r="P32" s="37">
        <v>8391.259</v>
      </c>
      <c r="Q32" s="37">
        <v>5912.97</v>
      </c>
      <c r="R32" s="37">
        <v>10014.244000000001</v>
      </c>
      <c r="S32" s="37">
        <v>6498.732</v>
      </c>
      <c r="T32" s="23">
        <v>6856.8339999999998</v>
      </c>
      <c r="U32" s="23">
        <v>8409.5560000000005</v>
      </c>
      <c r="V32" s="23"/>
    </row>
    <row r="33" spans="1:49">
      <c r="A33" s="23" t="s">
        <v>100</v>
      </c>
      <c r="B33" s="37"/>
      <c r="C33" s="37"/>
      <c r="D33" s="37"/>
      <c r="E33" s="37"/>
      <c r="F33" s="77">
        <v>2412.4160000000002</v>
      </c>
      <c r="G33" s="37"/>
      <c r="H33" s="37"/>
      <c r="I33" s="37">
        <v>3462.4430000000002</v>
      </c>
      <c r="J33" s="37"/>
      <c r="K33" s="37">
        <v>3055.1905100000017</v>
      </c>
      <c r="L33" s="37">
        <v>3605.982</v>
      </c>
      <c r="M33" s="37">
        <v>4166.9290000000001</v>
      </c>
      <c r="N33" s="37">
        <v>4564.5020000000004</v>
      </c>
      <c r="O33" s="37">
        <v>5976.4769999999999</v>
      </c>
      <c r="P33" s="37">
        <v>5063.0649999999996</v>
      </c>
      <c r="Q33" s="37">
        <v>7370.3879999999999</v>
      </c>
      <c r="R33" s="37">
        <v>9615.6949999999997</v>
      </c>
      <c r="S33" s="37">
        <v>6427.5889999999999</v>
      </c>
      <c r="T33" s="23">
        <v>8612.018</v>
      </c>
      <c r="U33" s="23">
        <v>7440.9889999999996</v>
      </c>
      <c r="V33" s="23"/>
    </row>
    <row r="34" spans="1:49">
      <c r="A34" s="23" t="s">
        <v>102</v>
      </c>
      <c r="B34" s="37"/>
      <c r="C34" s="37"/>
      <c r="D34" s="37"/>
      <c r="E34" s="37"/>
      <c r="F34" s="77">
        <v>5959.2809999999999</v>
      </c>
      <c r="G34" s="37"/>
      <c r="H34" s="37"/>
      <c r="I34" s="37">
        <v>7580.4790000000003</v>
      </c>
      <c r="J34" s="37"/>
      <c r="K34" s="37">
        <v>10540</v>
      </c>
      <c r="L34" s="37">
        <v>14314</v>
      </c>
      <c r="M34" s="37">
        <v>15427</v>
      </c>
      <c r="N34" s="37">
        <v>13720</v>
      </c>
      <c r="O34" s="37">
        <v>15508</v>
      </c>
      <c r="P34" s="37">
        <v>8238</v>
      </c>
      <c r="Q34" s="37">
        <v>8516</v>
      </c>
      <c r="R34" s="37">
        <v>9193</v>
      </c>
      <c r="S34" s="37">
        <v>4901</v>
      </c>
      <c r="T34" s="23">
        <v>6475</v>
      </c>
      <c r="U34" s="23">
        <v>34316.046999999999</v>
      </c>
      <c r="V34" s="23"/>
    </row>
    <row r="35" spans="1:49">
      <c r="A35" s="23" t="s">
        <v>105</v>
      </c>
      <c r="B35" s="37"/>
      <c r="C35" s="37"/>
      <c r="D35" s="37"/>
      <c r="E35" s="37"/>
      <c r="F35" s="77">
        <v>13541.841</v>
      </c>
      <c r="G35" s="37"/>
      <c r="H35" s="37"/>
      <c r="I35" s="37">
        <v>17539.913</v>
      </c>
      <c r="J35" s="37"/>
      <c r="K35" s="37">
        <v>20438.040699999994</v>
      </c>
      <c r="L35" s="37">
        <v>23335.279999999999</v>
      </c>
      <c r="M35" s="37">
        <v>24807.256000000001</v>
      </c>
      <c r="N35" s="37">
        <v>27713.422999999999</v>
      </c>
      <c r="O35" s="37">
        <v>31394.994999999999</v>
      </c>
      <c r="P35" s="37">
        <v>33178.391000000003</v>
      </c>
      <c r="Q35" s="37">
        <v>33900.292000000001</v>
      </c>
      <c r="R35" s="37">
        <v>39447.595000000001</v>
      </c>
      <c r="S35" s="37">
        <v>41698.239999999998</v>
      </c>
      <c r="T35" s="23">
        <v>30987.145</v>
      </c>
      <c r="U35" s="23">
        <v>23085.409</v>
      </c>
      <c r="V35" s="23"/>
    </row>
    <row r="36" spans="1:49">
      <c r="A36" s="23" t="s">
        <v>109</v>
      </c>
      <c r="B36" s="37"/>
      <c r="C36" s="37"/>
      <c r="D36" s="37"/>
      <c r="E36" s="37"/>
      <c r="F36" s="77">
        <v>28433.186000000002</v>
      </c>
      <c r="G36" s="37"/>
      <c r="H36" s="37"/>
      <c r="I36" s="37">
        <v>30483.806</v>
      </c>
      <c r="J36" s="37"/>
      <c r="K36" s="37">
        <v>35526.753859999997</v>
      </c>
      <c r="L36" s="37">
        <v>42184.11</v>
      </c>
      <c r="M36" s="37">
        <v>39557.15</v>
      </c>
      <c r="N36" s="37">
        <v>41524.944000000003</v>
      </c>
      <c r="O36" s="37">
        <v>44280.84</v>
      </c>
      <c r="P36" s="37">
        <v>51762.482000000004</v>
      </c>
      <c r="Q36" s="37">
        <v>53695.177000000003</v>
      </c>
      <c r="R36" s="37">
        <v>68343.134000000005</v>
      </c>
      <c r="S36" s="37">
        <v>61946.961000000003</v>
      </c>
      <c r="T36" s="23">
        <v>23558.267</v>
      </c>
      <c r="U36" s="23">
        <v>29651.794999999998</v>
      </c>
      <c r="V36" s="23"/>
    </row>
    <row r="37" spans="1:49">
      <c r="A37" s="23" t="s">
        <v>113</v>
      </c>
      <c r="B37" s="37"/>
      <c r="C37" s="37"/>
      <c r="D37" s="37"/>
      <c r="E37" s="37"/>
      <c r="F37" s="77">
        <v>13539.275</v>
      </c>
      <c r="G37" s="37"/>
      <c r="H37" s="37"/>
      <c r="I37" s="37">
        <v>11023.002</v>
      </c>
      <c r="J37" s="37"/>
      <c r="K37" s="37">
        <v>14327.605</v>
      </c>
      <c r="L37" s="37">
        <v>13758.179</v>
      </c>
      <c r="M37" s="37">
        <v>16471.638999999999</v>
      </c>
      <c r="N37" s="37">
        <v>16707.907999999999</v>
      </c>
      <c r="O37" s="37">
        <v>18530.624</v>
      </c>
      <c r="P37" s="37">
        <v>21674.174999999999</v>
      </c>
      <c r="Q37" s="37">
        <v>21410.785</v>
      </c>
      <c r="R37" s="37">
        <v>23762.327000000001</v>
      </c>
      <c r="S37" s="37">
        <v>25953.873</v>
      </c>
      <c r="T37" s="23">
        <v>24566.091</v>
      </c>
      <c r="U37" s="23">
        <v>23481.266</v>
      </c>
      <c r="V37" s="23"/>
    </row>
    <row r="38" spans="1:49">
      <c r="A38" s="23" t="s">
        <v>115</v>
      </c>
      <c r="B38" s="37"/>
      <c r="C38" s="37"/>
      <c r="D38" s="37"/>
      <c r="E38" s="37"/>
      <c r="F38" s="77">
        <v>42300.482000000004</v>
      </c>
      <c r="G38" s="37"/>
      <c r="H38" s="37"/>
      <c r="I38" s="37">
        <v>57265.133999999998</v>
      </c>
      <c r="J38" s="37"/>
      <c r="K38" s="37">
        <v>60204.900300000008</v>
      </c>
      <c r="L38" s="37">
        <v>67184.251999999993</v>
      </c>
      <c r="M38" s="37">
        <v>76585.788</v>
      </c>
      <c r="N38" s="37">
        <v>73707.138999999996</v>
      </c>
      <c r="O38" s="37">
        <v>80609.016000000003</v>
      </c>
      <c r="P38" s="37">
        <v>79508.718999999997</v>
      </c>
      <c r="Q38" s="37">
        <v>96952.093999999997</v>
      </c>
      <c r="R38" s="37">
        <v>117019.327</v>
      </c>
      <c r="S38" s="37">
        <v>103514.05899999999</v>
      </c>
      <c r="T38" s="23">
        <v>110005.557</v>
      </c>
      <c r="U38" s="23">
        <v>135278.83600000001</v>
      </c>
      <c r="V38" s="23"/>
    </row>
    <row r="39" spans="1:49">
      <c r="A39" s="45" t="s">
        <v>117</v>
      </c>
      <c r="B39" s="63"/>
      <c r="C39" s="63"/>
      <c r="D39" s="63"/>
      <c r="E39" s="63"/>
      <c r="F39" s="82">
        <v>12096.102000000001</v>
      </c>
      <c r="G39" s="63"/>
      <c r="H39" s="63"/>
      <c r="I39" s="63">
        <v>11796.151</v>
      </c>
      <c r="J39" s="63"/>
      <c r="K39" s="63">
        <v>11929.893</v>
      </c>
      <c r="L39" s="63">
        <v>14292.788</v>
      </c>
      <c r="M39" s="63">
        <v>16222.022000000001</v>
      </c>
      <c r="N39" s="63">
        <v>18983.29</v>
      </c>
      <c r="O39" s="63">
        <v>16057.264999999999</v>
      </c>
      <c r="P39" s="63">
        <v>18960.864000000001</v>
      </c>
      <c r="Q39" s="63">
        <v>20158.330999999998</v>
      </c>
      <c r="R39" s="63">
        <v>20543.314999999999</v>
      </c>
      <c r="S39" s="63">
        <v>23614.667000000001</v>
      </c>
      <c r="T39" s="45">
        <v>20947.151999999998</v>
      </c>
      <c r="U39" s="45">
        <v>24057.043000000001</v>
      </c>
      <c r="V39" s="45"/>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row>
    <row r="40" spans="1:49" s="23" customFormat="1">
      <c r="A40" s="79" t="s">
        <v>121</v>
      </c>
      <c r="B40" s="90">
        <f>SUM(B42:B53)</f>
        <v>0</v>
      </c>
      <c r="C40" s="90">
        <f t="shared" ref="C40:V40" si="5">SUM(C42:C53)</f>
        <v>0</v>
      </c>
      <c r="D40" s="90">
        <f t="shared" si="5"/>
        <v>0</v>
      </c>
      <c r="E40" s="90">
        <f t="shared" si="5"/>
        <v>0</v>
      </c>
      <c r="F40" s="90">
        <f t="shared" si="5"/>
        <v>400278.89900000003</v>
      </c>
      <c r="G40" s="90">
        <f t="shared" si="5"/>
        <v>0</v>
      </c>
      <c r="H40" s="90">
        <f t="shared" si="5"/>
        <v>0</v>
      </c>
      <c r="I40" s="90">
        <f t="shared" si="5"/>
        <v>447359.89000000007</v>
      </c>
      <c r="J40" s="90">
        <f t="shared" si="5"/>
        <v>0</v>
      </c>
      <c r="K40" s="90">
        <f t="shared" si="5"/>
        <v>542380.09667000012</v>
      </c>
      <c r="L40" s="90">
        <f t="shared" si="5"/>
        <v>638322.40899999987</v>
      </c>
      <c r="M40" s="90">
        <f t="shared" si="5"/>
        <v>688529.80699999991</v>
      </c>
      <c r="N40" s="90">
        <f t="shared" si="5"/>
        <v>717289.60800000001</v>
      </c>
      <c r="O40" s="90">
        <f t="shared" si="5"/>
        <v>718436.9879999999</v>
      </c>
      <c r="P40" s="90">
        <f t="shared" si="5"/>
        <v>728288.08599999989</v>
      </c>
      <c r="Q40" s="90">
        <f t="shared" si="5"/>
        <v>760698.21600000001</v>
      </c>
      <c r="R40" s="90">
        <f t="shared" si="5"/>
        <v>824330.31900000002</v>
      </c>
      <c r="S40" s="90">
        <f t="shared" si="5"/>
        <v>851065.375</v>
      </c>
      <c r="T40" s="90">
        <f t="shared" si="5"/>
        <v>750700.15199999989</v>
      </c>
      <c r="U40" s="90">
        <f t="shared" si="5"/>
        <v>696967.31599999988</v>
      </c>
      <c r="V40" s="90">
        <f t="shared" si="5"/>
        <v>0</v>
      </c>
    </row>
    <row r="41" spans="1:49">
      <c r="A41" s="79" t="s">
        <v>119</v>
      </c>
      <c r="B41" s="37"/>
      <c r="C41" s="37"/>
      <c r="D41" s="37"/>
      <c r="E41" s="37"/>
      <c r="F41" s="37"/>
      <c r="G41" s="37"/>
      <c r="H41" s="37"/>
      <c r="I41" s="37"/>
      <c r="J41" s="37"/>
      <c r="K41" s="37"/>
      <c r="L41" s="37"/>
      <c r="M41" s="37"/>
      <c r="N41" s="37"/>
      <c r="O41" s="37"/>
      <c r="P41" s="37"/>
      <c r="Q41" s="37"/>
      <c r="R41" s="37"/>
      <c r="S41" s="37"/>
      <c r="T41" s="23"/>
      <c r="U41" s="23"/>
      <c r="V41" s="23"/>
    </row>
    <row r="42" spans="1:49">
      <c r="A42" s="23" t="s">
        <v>93</v>
      </c>
      <c r="B42" s="36"/>
      <c r="C42" s="36"/>
      <c r="D42" s="36"/>
      <c r="E42" s="36"/>
      <c r="F42" s="77">
        <v>111162.97500000001</v>
      </c>
      <c r="G42" s="36"/>
      <c r="H42" s="36"/>
      <c r="I42" s="37">
        <v>123965.84</v>
      </c>
      <c r="J42" s="37"/>
      <c r="K42" s="37">
        <v>154212.27882000001</v>
      </c>
      <c r="L42" s="37">
        <v>181047.97399999999</v>
      </c>
      <c r="M42" s="37">
        <v>185538.80799999999</v>
      </c>
      <c r="N42" s="37">
        <v>216478.56299999999</v>
      </c>
      <c r="O42" s="37">
        <v>167733.43799999999</v>
      </c>
      <c r="P42" s="37">
        <v>182537.58300000001</v>
      </c>
      <c r="Q42" s="37">
        <v>197764.212</v>
      </c>
      <c r="R42" s="37">
        <v>212460.78899999999</v>
      </c>
      <c r="S42" s="37">
        <v>226681.28700000001</v>
      </c>
      <c r="T42" s="23">
        <v>182291.125</v>
      </c>
      <c r="U42" s="23">
        <v>132078.21400000001</v>
      </c>
      <c r="V42" s="23"/>
    </row>
    <row r="43" spans="1:49">
      <c r="A43" s="23" t="s">
        <v>58</v>
      </c>
      <c r="B43" s="36"/>
      <c r="C43" s="36"/>
      <c r="D43" s="36"/>
      <c r="E43" s="36"/>
      <c r="F43" s="77">
        <v>14788.628000000001</v>
      </c>
      <c r="G43" s="36"/>
      <c r="H43" s="36"/>
      <c r="I43" s="37">
        <v>15643.468000000001</v>
      </c>
      <c r="J43" s="37"/>
      <c r="K43" s="37">
        <v>17638.23</v>
      </c>
      <c r="L43" s="37">
        <v>20187.856</v>
      </c>
      <c r="M43" s="37">
        <v>21527.830999999998</v>
      </c>
      <c r="N43" s="37">
        <v>16340.815000000001</v>
      </c>
      <c r="O43" s="37">
        <v>22036.673999999999</v>
      </c>
      <c r="P43" s="37">
        <v>18921.376</v>
      </c>
      <c r="Q43" s="37">
        <v>21447.377</v>
      </c>
      <c r="R43" s="37">
        <v>22347.550999999999</v>
      </c>
      <c r="S43" s="37">
        <v>25085.606</v>
      </c>
      <c r="T43" s="23">
        <v>25849.15</v>
      </c>
      <c r="U43" s="23">
        <v>25904.432000000001</v>
      </c>
      <c r="V43" s="23"/>
    </row>
    <row r="44" spans="1:49">
      <c r="A44" s="23" t="s">
        <v>94</v>
      </c>
      <c r="B44" s="36"/>
      <c r="C44" s="36"/>
      <c r="D44" s="36"/>
      <c r="E44" s="36"/>
      <c r="F44" s="77">
        <v>23207.995999999999</v>
      </c>
      <c r="G44" s="36"/>
      <c r="H44" s="36"/>
      <c r="I44" s="37">
        <v>27296.94</v>
      </c>
      <c r="J44" s="37"/>
      <c r="K44" s="37">
        <v>29275.746999999999</v>
      </c>
      <c r="L44" s="37">
        <v>33805.72</v>
      </c>
      <c r="M44" s="37">
        <v>36513.762000000002</v>
      </c>
      <c r="N44" s="37">
        <v>42569.415999999997</v>
      </c>
      <c r="O44" s="37">
        <v>47805.436999999998</v>
      </c>
      <c r="P44" s="37">
        <v>48551.942999999999</v>
      </c>
      <c r="Q44" s="37">
        <v>51095.446000000004</v>
      </c>
      <c r="R44" s="37">
        <v>52734.159</v>
      </c>
      <c r="S44" s="37">
        <v>59127.781999999999</v>
      </c>
      <c r="T44" s="23">
        <v>44451.629000000001</v>
      </c>
      <c r="U44" s="23">
        <v>43726.951000000001</v>
      </c>
      <c r="V44" s="23"/>
    </row>
    <row r="45" spans="1:49">
      <c r="A45" s="23" t="s">
        <v>95</v>
      </c>
      <c r="B45" s="36"/>
      <c r="C45" s="36"/>
      <c r="D45" s="36"/>
      <c r="E45" s="36"/>
      <c r="F45" s="77">
        <v>24783.036</v>
      </c>
      <c r="G45" s="36"/>
      <c r="H45" s="36"/>
      <c r="I45" s="37">
        <v>27271.606</v>
      </c>
      <c r="J45" s="37"/>
      <c r="K45" s="37">
        <v>30925.48747</v>
      </c>
      <c r="L45" s="37">
        <v>37817.786</v>
      </c>
      <c r="M45" s="37">
        <v>40959.252999999997</v>
      </c>
      <c r="N45" s="37">
        <v>43694.207000000002</v>
      </c>
      <c r="O45" s="37">
        <v>39666.696000000004</v>
      </c>
      <c r="P45" s="37">
        <v>39390.451000000001</v>
      </c>
      <c r="Q45" s="37">
        <v>42546.521999999997</v>
      </c>
      <c r="R45" s="37">
        <v>43207.057999999997</v>
      </c>
      <c r="S45" s="37">
        <v>47641.362999999998</v>
      </c>
      <c r="T45" s="23">
        <v>47136.315999999999</v>
      </c>
      <c r="U45" s="23">
        <v>51437.625999999997</v>
      </c>
      <c r="V45" s="23"/>
    </row>
    <row r="46" spans="1:49">
      <c r="A46" s="23" t="s">
        <v>98</v>
      </c>
      <c r="B46" s="36"/>
      <c r="C46" s="36"/>
      <c r="D46" s="36"/>
      <c r="E46" s="37"/>
      <c r="F46" s="77">
        <v>70327.467000000004</v>
      </c>
      <c r="G46" s="36"/>
      <c r="H46" s="36"/>
      <c r="I46" s="37">
        <v>76652.607000000004</v>
      </c>
      <c r="J46" s="37"/>
      <c r="K46" s="37">
        <v>85024.969420000023</v>
      </c>
      <c r="L46" s="37">
        <v>97560.843999999997</v>
      </c>
      <c r="M46" s="37">
        <v>106214.989</v>
      </c>
      <c r="N46" s="37">
        <v>118770.951</v>
      </c>
      <c r="O46" s="37">
        <v>141884.978</v>
      </c>
      <c r="P46" s="37">
        <v>132803.524</v>
      </c>
      <c r="Q46" s="37">
        <v>138665.60500000001</v>
      </c>
      <c r="R46" s="37">
        <v>155417.20800000001</v>
      </c>
      <c r="S46" s="37">
        <v>154708.05499999999</v>
      </c>
      <c r="T46" s="23">
        <v>163617.90900000001</v>
      </c>
      <c r="U46" s="23">
        <v>172319.242</v>
      </c>
      <c r="V46" s="23"/>
    </row>
    <row r="47" spans="1:49">
      <c r="A47" s="23" t="s">
        <v>99</v>
      </c>
      <c r="B47" s="37"/>
      <c r="C47" s="37"/>
      <c r="D47" s="37"/>
      <c r="E47" s="37"/>
      <c r="F47" s="77">
        <v>32244.937999999998</v>
      </c>
      <c r="G47" s="37"/>
      <c r="H47" s="37"/>
      <c r="I47" s="37">
        <v>43485.271000000001</v>
      </c>
      <c r="J47" s="37"/>
      <c r="K47" s="37">
        <v>51076.329840000006</v>
      </c>
      <c r="L47" s="37">
        <v>56195.786</v>
      </c>
      <c r="M47" s="37">
        <v>67697.262000000002</v>
      </c>
      <c r="N47" s="37">
        <v>68058.64</v>
      </c>
      <c r="O47" s="37">
        <v>74681.171000000002</v>
      </c>
      <c r="P47" s="37">
        <v>71013.695999999996</v>
      </c>
      <c r="Q47" s="37">
        <v>71780.032000000007</v>
      </c>
      <c r="R47" s="37">
        <v>81951.057000000001</v>
      </c>
      <c r="S47" s="37">
        <v>85325.577999999994</v>
      </c>
      <c r="T47" s="23">
        <v>87445.646999999997</v>
      </c>
      <c r="U47" s="23">
        <v>83426.191999999995</v>
      </c>
      <c r="V47" s="23"/>
    </row>
    <row r="48" spans="1:49">
      <c r="A48" s="23" t="s">
        <v>59</v>
      </c>
      <c r="B48" s="37"/>
      <c r="C48" s="37"/>
      <c r="D48" s="37"/>
      <c r="E48" s="37"/>
      <c r="F48" s="77">
        <v>20996.819</v>
      </c>
      <c r="G48" s="37"/>
      <c r="H48" s="37"/>
      <c r="I48" s="37">
        <v>8894.1939999999995</v>
      </c>
      <c r="J48" s="37"/>
      <c r="K48" s="37">
        <v>34625.262999999999</v>
      </c>
      <c r="L48" s="37">
        <v>18447.260999999999</v>
      </c>
      <c r="M48" s="37">
        <v>32629.120999999999</v>
      </c>
      <c r="N48" s="37">
        <v>21878.406999999999</v>
      </c>
      <c r="O48" s="37">
        <v>20528.859</v>
      </c>
      <c r="P48" s="37">
        <v>20855.592000000001</v>
      </c>
      <c r="Q48" s="37">
        <v>23476.332999999999</v>
      </c>
      <c r="R48" s="37">
        <v>24439.181</v>
      </c>
      <c r="S48" s="37">
        <v>28454.09</v>
      </c>
      <c r="T48" s="23">
        <v>20571.460999999999</v>
      </c>
      <c r="U48" s="23">
        <v>15825.562</v>
      </c>
      <c r="V48" s="23"/>
    </row>
    <row r="49" spans="1:49">
      <c r="A49" s="23" t="s">
        <v>101</v>
      </c>
      <c r="B49" s="37"/>
      <c r="C49" s="37"/>
      <c r="D49" s="37"/>
      <c r="E49" s="37"/>
      <c r="F49" s="77">
        <v>8467.9060000000009</v>
      </c>
      <c r="G49" s="37"/>
      <c r="H49" s="37"/>
      <c r="I49" s="37">
        <v>8120.9549999999999</v>
      </c>
      <c r="J49" s="37"/>
      <c r="K49" s="37">
        <v>12177.058000000001</v>
      </c>
      <c r="L49" s="37">
        <v>13999.481</v>
      </c>
      <c r="M49" s="37">
        <v>14981.987999999999</v>
      </c>
      <c r="N49" s="37">
        <v>15303.474</v>
      </c>
      <c r="O49" s="37">
        <v>18853.396000000001</v>
      </c>
      <c r="P49" s="37">
        <v>19108.292000000001</v>
      </c>
      <c r="Q49" s="37">
        <v>19355.781999999999</v>
      </c>
      <c r="R49" s="37">
        <v>21987.172999999999</v>
      </c>
      <c r="S49" s="37">
        <v>21622.29</v>
      </c>
      <c r="T49" s="23">
        <v>24437.401999999998</v>
      </c>
      <c r="U49" s="23">
        <v>26786.953000000001</v>
      </c>
      <c r="V49" s="23"/>
    </row>
    <row r="50" spans="1:49">
      <c r="A50" s="23" t="s">
        <v>107</v>
      </c>
      <c r="B50" s="37"/>
      <c r="C50" s="37"/>
      <c r="D50" s="37"/>
      <c r="E50" s="37"/>
      <c r="F50" s="77">
        <v>5770.46</v>
      </c>
      <c r="G50" s="37"/>
      <c r="H50" s="37"/>
      <c r="I50" s="37">
        <v>6361.4549999999999</v>
      </c>
      <c r="J50" s="37"/>
      <c r="K50" s="37">
        <v>6181.637950000003</v>
      </c>
      <c r="L50" s="37">
        <v>7940.3339999999998</v>
      </c>
      <c r="M50" s="37">
        <v>7698.6239999999998</v>
      </c>
      <c r="N50" s="37">
        <v>7528.4849999999997</v>
      </c>
      <c r="O50" s="37">
        <v>7450.0410000000002</v>
      </c>
      <c r="P50" s="37">
        <v>6270.8649999999998</v>
      </c>
      <c r="Q50" s="37">
        <v>7111.5150000000003</v>
      </c>
      <c r="R50" s="37">
        <v>6996.1149999999998</v>
      </c>
      <c r="S50" s="37">
        <v>7029.1329999999998</v>
      </c>
      <c r="T50" s="23">
        <v>8028.1139999999996</v>
      </c>
      <c r="U50" s="23">
        <v>9682.0020000000004</v>
      </c>
      <c r="V50" s="23"/>
    </row>
    <row r="51" spans="1:49">
      <c r="A51" s="23" t="s">
        <v>108</v>
      </c>
      <c r="B51" s="37"/>
      <c r="C51" s="37"/>
      <c r="D51" s="37"/>
      <c r="E51" s="37"/>
      <c r="F51" s="77">
        <v>48382.947999999997</v>
      </c>
      <c r="G51" s="37"/>
      <c r="H51" s="37"/>
      <c r="I51" s="37">
        <v>58340.341999999997</v>
      </c>
      <c r="J51" s="37"/>
      <c r="K51" s="37">
        <v>62987.783000000003</v>
      </c>
      <c r="L51" s="37">
        <v>83133.043999999994</v>
      </c>
      <c r="M51" s="37">
        <v>91910.471999999994</v>
      </c>
      <c r="N51" s="37">
        <v>87391.214000000007</v>
      </c>
      <c r="O51" s="37">
        <v>88728.804999999993</v>
      </c>
      <c r="P51" s="37">
        <v>93382.326000000001</v>
      </c>
      <c r="Q51" s="37">
        <v>93046.394</v>
      </c>
      <c r="R51" s="37">
        <v>103712.19500000001</v>
      </c>
      <c r="S51" s="37">
        <v>106200.883</v>
      </c>
      <c r="T51" s="23">
        <v>70589.808999999994</v>
      </c>
      <c r="U51" s="23">
        <v>78040.817999999999</v>
      </c>
      <c r="V51" s="23"/>
    </row>
    <row r="52" spans="1:49">
      <c r="A52" s="23" t="s">
        <v>112</v>
      </c>
      <c r="B52" s="37"/>
      <c r="C52" s="37"/>
      <c r="D52" s="37"/>
      <c r="E52" s="37"/>
      <c r="F52" s="77">
        <v>79.465000000000003</v>
      </c>
      <c r="G52" s="37"/>
      <c r="H52" s="37"/>
      <c r="I52" s="37">
        <v>79.066999999999993</v>
      </c>
      <c r="J52" s="37"/>
      <c r="K52" s="37">
        <v>2844.9511699999998</v>
      </c>
      <c r="L52" s="37">
        <v>2952.1880000000001</v>
      </c>
      <c r="M52" s="37">
        <v>4250.3890000000001</v>
      </c>
      <c r="N52" s="37">
        <v>3546.1329999999998</v>
      </c>
      <c r="O52" s="37">
        <v>4507.5780000000004</v>
      </c>
      <c r="P52" s="37">
        <v>4417.7539999999999</v>
      </c>
      <c r="Q52" s="37">
        <v>3817.1849999999999</v>
      </c>
      <c r="R52" s="37">
        <v>4679.8109999999997</v>
      </c>
      <c r="S52" s="37">
        <v>7002.9769999999999</v>
      </c>
      <c r="T52" s="23">
        <v>5355.9650000000001</v>
      </c>
      <c r="U52" s="23">
        <v>11600.561</v>
      </c>
      <c r="V52" s="23"/>
    </row>
    <row r="53" spans="1:49">
      <c r="A53" s="45" t="s">
        <v>116</v>
      </c>
      <c r="B53" s="63"/>
      <c r="C53" s="63"/>
      <c r="D53" s="63"/>
      <c r="E53" s="63"/>
      <c r="F53" s="82">
        <v>40066.260999999999</v>
      </c>
      <c r="G53" s="63"/>
      <c r="H53" s="63"/>
      <c r="I53" s="63">
        <v>51248.144999999997</v>
      </c>
      <c r="J53" s="63"/>
      <c r="K53" s="63">
        <v>55410.360999999997</v>
      </c>
      <c r="L53" s="63">
        <v>85234.134999999995</v>
      </c>
      <c r="M53" s="63">
        <v>78607.308000000005</v>
      </c>
      <c r="N53" s="63">
        <v>75729.303</v>
      </c>
      <c r="O53" s="63">
        <v>84559.914999999994</v>
      </c>
      <c r="P53" s="63">
        <v>91034.683999999994</v>
      </c>
      <c r="Q53" s="63">
        <v>90591.812999999995</v>
      </c>
      <c r="R53" s="63">
        <v>94398.021999999997</v>
      </c>
      <c r="S53" s="63">
        <v>82186.331000000006</v>
      </c>
      <c r="T53" s="45">
        <v>70925.625</v>
      </c>
      <c r="U53" s="45">
        <v>46138.762999999999</v>
      </c>
      <c r="V53" s="45"/>
    </row>
    <row r="54" spans="1:49" s="23" customFormat="1">
      <c r="A54" s="79" t="s">
        <v>122</v>
      </c>
      <c r="B54" s="90">
        <f>SUM(B56:B64)</f>
        <v>0</v>
      </c>
      <c r="C54" s="90">
        <f t="shared" ref="C54:V54" si="6">SUM(C56:C64)</f>
        <v>0</v>
      </c>
      <c r="D54" s="90">
        <f t="shared" si="6"/>
        <v>0</v>
      </c>
      <c r="E54" s="90">
        <f t="shared" si="6"/>
        <v>0</v>
      </c>
      <c r="F54" s="90">
        <f t="shared" si="6"/>
        <v>260539.44899999999</v>
      </c>
      <c r="G54" s="90">
        <f t="shared" si="6"/>
        <v>0</v>
      </c>
      <c r="H54" s="90">
        <f t="shared" si="6"/>
        <v>0</v>
      </c>
      <c r="I54" s="90">
        <f t="shared" si="6"/>
        <v>305389.93799999997</v>
      </c>
      <c r="J54" s="90">
        <f t="shared" si="6"/>
        <v>0</v>
      </c>
      <c r="K54" s="90">
        <f t="shared" si="6"/>
        <v>328407.92895000003</v>
      </c>
      <c r="L54" s="90">
        <f t="shared" si="6"/>
        <v>331604.02600000001</v>
      </c>
      <c r="M54" s="90">
        <f t="shared" si="6"/>
        <v>377512.49</v>
      </c>
      <c r="N54" s="90">
        <f t="shared" si="6"/>
        <v>394338.01699999999</v>
      </c>
      <c r="O54" s="90">
        <f t="shared" si="6"/>
        <v>443665.57</v>
      </c>
      <c r="P54" s="90">
        <f t="shared" si="6"/>
        <v>478020.973</v>
      </c>
      <c r="Q54" s="90">
        <f t="shared" si="6"/>
        <v>504409.35499999998</v>
      </c>
      <c r="R54" s="90">
        <f t="shared" si="6"/>
        <v>552769.15599999996</v>
      </c>
      <c r="S54" s="90">
        <f t="shared" si="6"/>
        <v>582518.0070000001</v>
      </c>
      <c r="T54" s="90">
        <f t="shared" si="6"/>
        <v>578578.70600000001</v>
      </c>
      <c r="U54" s="90">
        <f t="shared" si="6"/>
        <v>448473.10399999993</v>
      </c>
      <c r="V54" s="90">
        <f t="shared" si="6"/>
        <v>0</v>
      </c>
    </row>
    <row r="55" spans="1:49">
      <c r="A55" s="79" t="s">
        <v>119</v>
      </c>
      <c r="B55" s="37"/>
      <c r="C55" s="37"/>
      <c r="D55" s="37"/>
      <c r="E55" s="37"/>
      <c r="F55" s="37"/>
      <c r="G55" s="37"/>
      <c r="H55" s="37"/>
      <c r="I55" s="37"/>
      <c r="J55" s="37"/>
      <c r="K55" s="37"/>
      <c r="L55" s="37"/>
      <c r="M55" s="37"/>
      <c r="N55" s="37"/>
      <c r="O55" s="37"/>
      <c r="P55" s="37"/>
      <c r="Q55" s="37"/>
      <c r="R55" s="37"/>
      <c r="S55" s="37"/>
      <c r="T55" s="23"/>
      <c r="U55" s="23"/>
      <c r="V55" s="23"/>
    </row>
    <row r="56" spans="1:49" s="23" customFormat="1">
      <c r="A56" s="23" t="s">
        <v>89</v>
      </c>
      <c r="B56" s="36"/>
      <c r="C56" s="36"/>
      <c r="D56" s="36"/>
      <c r="E56" s="36"/>
      <c r="F56" s="77">
        <v>7584.6589999999997</v>
      </c>
      <c r="G56" s="36"/>
      <c r="H56" s="36"/>
      <c r="I56" s="37">
        <v>10957.975</v>
      </c>
      <c r="J56" s="37"/>
      <c r="K56" s="37">
        <v>14028.170079999998</v>
      </c>
      <c r="L56" s="37">
        <v>16028.99</v>
      </c>
      <c r="M56" s="37">
        <v>17551.952000000001</v>
      </c>
      <c r="N56" s="37">
        <v>24487.231</v>
      </c>
      <c r="O56" s="37">
        <v>30301.278999999999</v>
      </c>
      <c r="P56" s="37">
        <v>31637.41</v>
      </c>
      <c r="Q56" s="37">
        <v>31536.172999999999</v>
      </c>
      <c r="R56" s="37">
        <v>32834.021999999997</v>
      </c>
      <c r="S56" s="37">
        <v>35716.006000000001</v>
      </c>
      <c r="T56" s="23">
        <v>41353.112000000001</v>
      </c>
      <c r="U56" s="23">
        <v>45732.161999999997</v>
      </c>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row>
    <row r="57" spans="1:49" s="23" customFormat="1">
      <c r="A57" s="23" t="s">
        <v>96</v>
      </c>
      <c r="B57" s="36"/>
      <c r="C57" s="36"/>
      <c r="D57" s="36"/>
      <c r="E57" s="36"/>
      <c r="F57" s="77">
        <v>4554.1189999999997</v>
      </c>
      <c r="G57" s="36"/>
      <c r="H57" s="36"/>
      <c r="I57" s="37">
        <v>4807.4840000000004</v>
      </c>
      <c r="J57" s="37"/>
      <c r="K57" s="37">
        <v>5440.6419999999998</v>
      </c>
      <c r="L57" s="37">
        <v>6325.7629999999999</v>
      </c>
      <c r="M57" s="37">
        <v>6644.9359999999997</v>
      </c>
      <c r="N57" s="37">
        <v>6885.0379999999996</v>
      </c>
      <c r="O57" s="37">
        <v>7625.59</v>
      </c>
      <c r="P57" s="37">
        <v>8130.7820000000002</v>
      </c>
      <c r="Q57" s="37">
        <v>9113.0020000000004</v>
      </c>
      <c r="R57" s="37">
        <v>9474.6540000000005</v>
      </c>
      <c r="S57" s="37">
        <v>9555.8349999999991</v>
      </c>
      <c r="T57" s="23">
        <v>10501.19</v>
      </c>
      <c r="U57" s="23">
        <v>0</v>
      </c>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row>
    <row r="58" spans="1:49" s="17" customFormat="1">
      <c r="A58" s="23" t="s">
        <v>97</v>
      </c>
      <c r="B58" s="36"/>
      <c r="C58" s="36"/>
      <c r="D58" s="36"/>
      <c r="E58" s="37"/>
      <c r="F58" s="77">
        <v>26079.044000000002</v>
      </c>
      <c r="G58" s="36"/>
      <c r="H58" s="36"/>
      <c r="I58" s="37">
        <v>32580.02</v>
      </c>
      <c r="J58" s="37"/>
      <c r="K58" s="37">
        <v>37348.232000000004</v>
      </c>
      <c r="L58" s="37">
        <v>42387.883000000002</v>
      </c>
      <c r="M58" s="37">
        <v>47178.273000000001</v>
      </c>
      <c r="N58" s="37">
        <v>50921.877999999997</v>
      </c>
      <c r="O58" s="37">
        <v>49214.904000000002</v>
      </c>
      <c r="P58" s="37">
        <v>49577.819000000003</v>
      </c>
      <c r="Q58" s="37">
        <v>56310.472999999998</v>
      </c>
      <c r="R58" s="37">
        <v>60944.735000000001</v>
      </c>
      <c r="S58" s="37">
        <v>64043.569000000003</v>
      </c>
      <c r="T58" s="23">
        <v>74045.75</v>
      </c>
      <c r="U58" s="23">
        <v>69667.195000000007</v>
      </c>
      <c r="V58" s="23"/>
    </row>
    <row r="59" spans="1:49">
      <c r="A59" s="23" t="s">
        <v>103</v>
      </c>
      <c r="B59" s="37"/>
      <c r="C59" s="37"/>
      <c r="D59" s="37"/>
      <c r="E59" s="37"/>
      <c r="F59" s="77">
        <v>2760.4160000000002</v>
      </c>
      <c r="G59" s="37"/>
      <c r="H59" s="37"/>
      <c r="I59" s="37">
        <v>3484.0160000000001</v>
      </c>
      <c r="J59" s="37"/>
      <c r="K59" s="37">
        <v>3924.1167699999996</v>
      </c>
      <c r="L59" s="37">
        <v>3635.134</v>
      </c>
      <c r="M59" s="37">
        <v>3823.3180000000002</v>
      </c>
      <c r="N59" s="37">
        <v>4565.6689999999999</v>
      </c>
      <c r="O59" s="37">
        <v>4630.6220000000003</v>
      </c>
      <c r="P59" s="37">
        <v>4869.3379999999997</v>
      </c>
      <c r="Q59" s="37">
        <v>4986.0450000000001</v>
      </c>
      <c r="R59" s="37">
        <v>5446.3819999999996</v>
      </c>
      <c r="S59" s="37">
        <v>5566.17</v>
      </c>
      <c r="T59" s="23">
        <v>6911.82</v>
      </c>
      <c r="U59" s="23">
        <v>8196.3089999999993</v>
      </c>
      <c r="V59" s="23"/>
    </row>
    <row r="60" spans="1:49">
      <c r="A60" s="23" t="s">
        <v>104</v>
      </c>
      <c r="B60" s="37"/>
      <c r="C60" s="37"/>
      <c r="D60" s="37"/>
      <c r="E60" s="37"/>
      <c r="F60" s="77">
        <v>52261.714</v>
      </c>
      <c r="G60" s="37"/>
      <c r="H60" s="37"/>
      <c r="I60" s="37">
        <v>58207.866999999998</v>
      </c>
      <c r="J60" s="37"/>
      <c r="K60" s="37">
        <v>61003.273000000001</v>
      </c>
      <c r="L60" s="37">
        <v>64668.014000000003</v>
      </c>
      <c r="M60" s="37">
        <v>70718.376999999993</v>
      </c>
      <c r="N60" s="37">
        <v>75278.858999999997</v>
      </c>
      <c r="O60" s="37">
        <v>79991.716</v>
      </c>
      <c r="P60" s="37">
        <v>84924.172000000006</v>
      </c>
      <c r="Q60" s="37">
        <v>86578.49</v>
      </c>
      <c r="R60" s="37">
        <v>103186.99400000001</v>
      </c>
      <c r="S60" s="37">
        <v>107471.88499999999</v>
      </c>
      <c r="T60" s="23">
        <v>95550.592000000004</v>
      </c>
      <c r="U60" s="23">
        <v>67474.520999999993</v>
      </c>
      <c r="V60" s="23"/>
    </row>
    <row r="61" spans="1:49">
      <c r="A61" s="23" t="s">
        <v>106</v>
      </c>
      <c r="B61" s="37"/>
      <c r="C61" s="37"/>
      <c r="D61" s="37"/>
      <c r="E61" s="37"/>
      <c r="F61" s="77">
        <v>124187.55499999999</v>
      </c>
      <c r="G61" s="37"/>
      <c r="H61" s="37"/>
      <c r="I61" s="37">
        <v>149756.74</v>
      </c>
      <c r="J61" s="37"/>
      <c r="K61" s="37">
        <v>157602.74100000001</v>
      </c>
      <c r="L61" s="37">
        <v>142210.016</v>
      </c>
      <c r="M61" s="37">
        <v>169287.69099999999</v>
      </c>
      <c r="N61" s="37">
        <v>163924.03599999999</v>
      </c>
      <c r="O61" s="37">
        <v>191966.106</v>
      </c>
      <c r="P61" s="37">
        <v>213391.177</v>
      </c>
      <c r="Q61" s="37">
        <v>230346.24299999999</v>
      </c>
      <c r="R61" s="37">
        <v>249396.12400000001</v>
      </c>
      <c r="S61" s="37">
        <v>259824.003</v>
      </c>
      <c r="T61" s="23">
        <v>277017.53399999999</v>
      </c>
      <c r="U61" s="23">
        <v>194542.98499999999</v>
      </c>
      <c r="V61" s="23"/>
    </row>
    <row r="62" spans="1:49">
      <c r="A62" s="23" t="s">
        <v>110</v>
      </c>
      <c r="B62" s="37"/>
      <c r="C62" s="37"/>
      <c r="D62" s="37"/>
      <c r="E62" s="37"/>
      <c r="F62" s="77">
        <v>36885.243999999999</v>
      </c>
      <c r="G62" s="37"/>
      <c r="H62" s="37"/>
      <c r="I62" s="37">
        <v>38738.726000000002</v>
      </c>
      <c r="J62" s="37"/>
      <c r="K62" s="37">
        <v>41590.963100000023</v>
      </c>
      <c r="L62" s="37">
        <v>47093.256000000001</v>
      </c>
      <c r="M62" s="37">
        <v>52277.944000000003</v>
      </c>
      <c r="N62" s="37">
        <v>57741.123</v>
      </c>
      <c r="O62" s="37">
        <v>69162.365000000005</v>
      </c>
      <c r="P62" s="37">
        <v>74100.054000000004</v>
      </c>
      <c r="Q62" s="37">
        <v>75323.028999999995</v>
      </c>
      <c r="R62" s="37">
        <v>80601.37</v>
      </c>
      <c r="S62" s="37">
        <v>89055.044999999998</v>
      </c>
      <c r="T62" s="23">
        <v>61608.142999999996</v>
      </c>
      <c r="U62" s="23">
        <v>64360.006999999998</v>
      </c>
      <c r="V62" s="23"/>
    </row>
    <row r="63" spans="1:49">
      <c r="A63" s="23" t="s">
        <v>111</v>
      </c>
      <c r="B63" s="37"/>
      <c r="C63" s="37"/>
      <c r="D63" s="37"/>
      <c r="E63" s="37"/>
      <c r="F63" s="77">
        <v>5490.5659999999998</v>
      </c>
      <c r="G63" s="37"/>
      <c r="H63" s="37"/>
      <c r="I63" s="37">
        <v>5909.1130000000003</v>
      </c>
      <c r="J63" s="37"/>
      <c r="K63" s="37">
        <v>6458.585</v>
      </c>
      <c r="L63" s="37">
        <v>8057.6540000000005</v>
      </c>
      <c r="M63" s="37">
        <v>8404.3960000000006</v>
      </c>
      <c r="N63" s="37">
        <v>9187.2510000000002</v>
      </c>
      <c r="O63" s="37">
        <v>9312.7430000000004</v>
      </c>
      <c r="P63" s="37">
        <v>10003.56</v>
      </c>
      <c r="Q63" s="37">
        <v>8685.1790000000001</v>
      </c>
      <c r="R63" s="37">
        <v>9022.8250000000007</v>
      </c>
      <c r="S63" s="37">
        <v>9262.9050000000007</v>
      </c>
      <c r="T63" s="23">
        <v>9542.3060000000005</v>
      </c>
      <c r="U63" s="23">
        <v>0</v>
      </c>
      <c r="V63" s="23"/>
    </row>
    <row r="64" spans="1:49">
      <c r="A64" s="45" t="s">
        <v>114</v>
      </c>
      <c r="B64" s="63"/>
      <c r="C64" s="63"/>
      <c r="D64" s="63"/>
      <c r="E64" s="63"/>
      <c r="F64" s="82">
        <v>736.13199999999995</v>
      </c>
      <c r="G64" s="63"/>
      <c r="H64" s="63"/>
      <c r="I64" s="63">
        <v>947.99699999999996</v>
      </c>
      <c r="J64" s="63"/>
      <c r="K64" s="63">
        <v>1011.206</v>
      </c>
      <c r="L64" s="63">
        <v>1197.316</v>
      </c>
      <c r="M64" s="63">
        <v>1625.6030000000001</v>
      </c>
      <c r="N64" s="63">
        <v>1346.932</v>
      </c>
      <c r="O64" s="63">
        <v>1460.2449999999999</v>
      </c>
      <c r="P64" s="63">
        <v>1386.6610000000001</v>
      </c>
      <c r="Q64" s="63">
        <v>1530.721</v>
      </c>
      <c r="R64" s="63">
        <v>1862.05</v>
      </c>
      <c r="S64" s="63">
        <v>2022.5889999999999</v>
      </c>
      <c r="T64" s="45">
        <v>2048.259</v>
      </c>
      <c r="U64" s="45">
        <v>-1500.075</v>
      </c>
      <c r="V64" s="45"/>
    </row>
    <row r="65" spans="1:49">
      <c r="A65" s="88" t="s">
        <v>90</v>
      </c>
      <c r="B65" s="84"/>
      <c r="C65" s="84"/>
      <c r="D65" s="84"/>
      <c r="E65" s="84"/>
      <c r="F65" s="85">
        <v>0</v>
      </c>
      <c r="G65" s="84"/>
      <c r="H65" s="84"/>
      <c r="I65" s="86">
        <v>0</v>
      </c>
      <c r="J65" s="86"/>
      <c r="K65" s="86">
        <v>0</v>
      </c>
      <c r="L65" s="86">
        <v>0</v>
      </c>
      <c r="M65" s="86">
        <v>0</v>
      </c>
      <c r="N65" s="86">
        <v>0</v>
      </c>
      <c r="O65" s="86">
        <v>0</v>
      </c>
      <c r="P65" s="86">
        <v>0</v>
      </c>
      <c r="Q65" s="86">
        <v>0</v>
      </c>
      <c r="R65" s="86">
        <v>0</v>
      </c>
      <c r="S65" s="86">
        <v>0</v>
      </c>
      <c r="T65" s="87">
        <v>0</v>
      </c>
      <c r="U65" s="87">
        <v>0</v>
      </c>
      <c r="V65" s="87"/>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row>
    <row r="66" spans="1:49">
      <c r="F66" s="27"/>
      <c r="T66" s="14"/>
      <c r="U66" s="14"/>
      <c r="V66" s="14"/>
    </row>
    <row r="67" spans="1:49">
      <c r="I67" s="34" t="s">
        <v>78</v>
      </c>
      <c r="J67" s="34" t="s">
        <v>76</v>
      </c>
      <c r="K67" s="34"/>
      <c r="L67" s="34" t="s">
        <v>69</v>
      </c>
      <c r="M67" s="34"/>
      <c r="N67" s="34"/>
      <c r="O67" s="34" t="s">
        <v>78</v>
      </c>
      <c r="P67" s="34" t="s">
        <v>78</v>
      </c>
      <c r="Q67" s="34" t="s">
        <v>78</v>
      </c>
      <c r="R67" s="34" t="s">
        <v>78</v>
      </c>
      <c r="S67" s="34"/>
    </row>
    <row r="68" spans="1:49">
      <c r="I68" s="14" t="s">
        <v>79</v>
      </c>
      <c r="J68" s="14" t="s">
        <v>72</v>
      </c>
      <c r="L68" s="14" t="s">
        <v>70</v>
      </c>
      <c r="O68" s="14" t="s">
        <v>79</v>
      </c>
      <c r="P68" s="14" t="s">
        <v>79</v>
      </c>
      <c r="Q68" s="14" t="s">
        <v>79</v>
      </c>
      <c r="R68" s="14" t="s">
        <v>79</v>
      </c>
    </row>
    <row r="69" spans="1:49">
      <c r="I69" s="14" t="s">
        <v>80</v>
      </c>
      <c r="J69" s="14" t="s">
        <v>73</v>
      </c>
      <c r="O69" s="14" t="s">
        <v>80</v>
      </c>
      <c r="P69" s="14" t="s">
        <v>80</v>
      </c>
      <c r="Q69" s="14" t="s">
        <v>80</v>
      </c>
      <c r="R69" s="14" t="s">
        <v>80</v>
      </c>
    </row>
    <row r="70" spans="1:49">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abColor rgb="FF0099FF"/>
  </sheetPr>
  <dimension ref="A1:BA70"/>
  <sheetViews>
    <sheetView showGridLines="0" zoomScale="80" zoomScaleNormal="80" workbookViewId="0">
      <pane xSplit="1" ySplit="5" topLeftCell="P15" activePane="bottomRight" state="frozen"/>
      <selection activeCell="H72" sqref="H72"/>
      <selection pane="topRight" activeCell="H72" sqref="H72"/>
      <selection pane="bottomLeft" activeCell="H72" sqref="H72"/>
      <selection pane="bottomRight" activeCell="AA31" sqref="AA31"/>
    </sheetView>
  </sheetViews>
  <sheetFormatPr defaultColWidth="9.7109375" defaultRowHeight="12.75"/>
  <cols>
    <col min="1" max="1" width="23.42578125" style="80" customWidth="1"/>
    <col min="2" max="19" width="12.42578125" style="14" customWidth="1"/>
    <col min="20" max="46" width="12.42578125" style="2" customWidth="1"/>
    <col min="47" max="47" width="12.42578125" style="23" customWidth="1"/>
    <col min="48" max="48" width="13.5703125" style="23" bestFit="1" customWidth="1"/>
    <col min="49" max="50" width="11.28515625" style="23" bestFit="1" customWidth="1"/>
    <col min="51" max="16384" width="9.7109375" style="23"/>
  </cols>
  <sheetData>
    <row r="1" spans="1:53">
      <c r="A1" s="8" t="s">
        <v>39</v>
      </c>
      <c r="B1" s="13"/>
      <c r="C1" s="13"/>
      <c r="D1" s="12"/>
      <c r="E1" s="12"/>
      <c r="F1" s="12"/>
      <c r="G1" s="13"/>
      <c r="H1" s="13"/>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row>
    <row r="2" spans="1:53">
      <c r="A2" s="1"/>
      <c r="B2" s="13"/>
      <c r="C2" s="13"/>
      <c r="D2" s="12"/>
      <c r="E2" s="12"/>
      <c r="F2" s="12"/>
      <c r="G2" s="13"/>
      <c r="H2" s="13"/>
      <c r="AB2" s="130" t="s">
        <v>77</v>
      </c>
      <c r="AC2" s="131"/>
      <c r="AD2" s="131"/>
      <c r="AE2" s="131"/>
      <c r="AF2" s="131"/>
      <c r="AG2" s="131"/>
      <c r="AH2" s="131"/>
      <c r="AI2" s="131"/>
      <c r="AJ2" s="131"/>
      <c r="AK2" s="131"/>
      <c r="AL2" s="131"/>
      <c r="AM2" s="131"/>
      <c r="AN2" s="131"/>
      <c r="AO2" s="131"/>
      <c r="AP2" s="131"/>
      <c r="AQ2" s="131"/>
      <c r="AR2" s="131"/>
      <c r="AS2" s="131"/>
      <c r="AT2" s="131"/>
      <c r="AU2" s="130" t="s">
        <v>77</v>
      </c>
      <c r="AV2" s="130" t="s">
        <v>77</v>
      </c>
      <c r="AW2" s="130" t="s">
        <v>77</v>
      </c>
      <c r="AX2" s="130"/>
      <c r="AY2" s="130"/>
      <c r="AZ2" s="130"/>
      <c r="BA2" s="130"/>
    </row>
    <row r="3" spans="1:53">
      <c r="A3" s="1" t="s">
        <v>40</v>
      </c>
      <c r="B3" s="13"/>
      <c r="C3" s="13"/>
      <c r="D3" s="12"/>
      <c r="E3" s="12"/>
      <c r="F3" s="12"/>
      <c r="G3" s="13"/>
      <c r="H3" s="13"/>
      <c r="AB3" s="130"/>
      <c r="AC3" s="131"/>
      <c r="AD3" s="131"/>
      <c r="AE3" s="131"/>
      <c r="AF3" s="131"/>
      <c r="AG3" s="131"/>
      <c r="AH3" s="131"/>
      <c r="AI3" s="131"/>
      <c r="AJ3" s="131"/>
      <c r="AK3" s="131"/>
      <c r="AL3" s="131"/>
      <c r="AM3" s="131"/>
      <c r="AN3" s="131"/>
      <c r="AO3" s="131"/>
      <c r="AP3" s="131"/>
      <c r="AQ3" s="131"/>
      <c r="AR3" s="131"/>
      <c r="AS3" s="131"/>
      <c r="AT3" s="131"/>
      <c r="AU3" s="130"/>
      <c r="AV3" s="130"/>
      <c r="AW3" s="130"/>
      <c r="AX3" s="130"/>
      <c r="AY3" s="130"/>
      <c r="AZ3" s="130"/>
      <c r="BA3" s="130"/>
    </row>
    <row r="4" spans="1:53" s="81" customFormat="1">
      <c r="A4" s="65"/>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60">
        <v>2005</v>
      </c>
      <c r="R4" s="60">
        <v>2006</v>
      </c>
      <c r="S4" s="74">
        <v>2007</v>
      </c>
      <c r="T4" s="74">
        <v>2008</v>
      </c>
      <c r="U4" s="74">
        <v>2009</v>
      </c>
      <c r="V4" s="74">
        <v>2010</v>
      </c>
      <c r="W4" s="74">
        <v>2011</v>
      </c>
      <c r="X4" s="74">
        <v>2012</v>
      </c>
      <c r="Y4" s="74">
        <v>2013</v>
      </c>
      <c r="Z4" s="175">
        <v>2014</v>
      </c>
      <c r="AA4" s="175">
        <v>2015</v>
      </c>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row>
    <row r="5" spans="1:53">
      <c r="B5" s="15" t="s">
        <v>1</v>
      </c>
      <c r="C5" s="15" t="s">
        <v>1</v>
      </c>
      <c r="D5" s="15" t="s">
        <v>1</v>
      </c>
      <c r="E5" s="15" t="s">
        <v>1</v>
      </c>
      <c r="F5" s="15" t="s">
        <v>1</v>
      </c>
      <c r="G5" s="15" t="s">
        <v>1</v>
      </c>
      <c r="H5" s="15" t="s">
        <v>1</v>
      </c>
      <c r="I5" s="15" t="s">
        <v>1</v>
      </c>
      <c r="J5" s="15" t="s">
        <v>1</v>
      </c>
      <c r="K5" s="15" t="s">
        <v>1</v>
      </c>
      <c r="L5" s="15" t="s">
        <v>1</v>
      </c>
      <c r="M5" s="15" t="s">
        <v>1</v>
      </c>
      <c r="N5" s="15" t="s">
        <v>1</v>
      </c>
      <c r="O5" s="15" t="s">
        <v>1</v>
      </c>
      <c r="P5" s="15" t="s">
        <v>1</v>
      </c>
      <c r="Q5" s="15" t="s">
        <v>1</v>
      </c>
      <c r="R5" s="15" t="s">
        <v>1</v>
      </c>
      <c r="S5" s="15" t="s">
        <v>1</v>
      </c>
      <c r="T5" s="15" t="s">
        <v>1</v>
      </c>
      <c r="U5" s="15" t="s">
        <v>1</v>
      </c>
      <c r="V5" s="15" t="s">
        <v>1</v>
      </c>
      <c r="W5" s="15" t="s">
        <v>1</v>
      </c>
      <c r="X5" s="15" t="s">
        <v>1</v>
      </c>
      <c r="Y5" s="15" t="s">
        <v>1</v>
      </c>
      <c r="Z5" s="15" t="s">
        <v>1</v>
      </c>
      <c r="AA5" s="15" t="s">
        <v>1</v>
      </c>
      <c r="AB5" s="132">
        <f t="shared" ref="AB5:AW5" si="0">+B4</f>
        <v>1984</v>
      </c>
      <c r="AC5" s="132">
        <f t="shared" si="0"/>
        <v>1985</v>
      </c>
      <c r="AD5" s="132">
        <f t="shared" si="0"/>
        <v>1986</v>
      </c>
      <c r="AE5" s="132">
        <f t="shared" si="0"/>
        <v>1991</v>
      </c>
      <c r="AF5" s="132">
        <f t="shared" si="0"/>
        <v>1992</v>
      </c>
      <c r="AG5" s="132">
        <f t="shared" si="0"/>
        <v>1993</v>
      </c>
      <c r="AH5" s="132">
        <f t="shared" si="0"/>
        <v>1994</v>
      </c>
      <c r="AI5" s="132">
        <f t="shared" si="0"/>
        <v>1995</v>
      </c>
      <c r="AJ5" s="132">
        <f t="shared" si="0"/>
        <v>1996</v>
      </c>
      <c r="AK5" s="132">
        <f t="shared" si="0"/>
        <v>1997</v>
      </c>
      <c r="AL5" s="132">
        <f t="shared" si="0"/>
        <v>2000</v>
      </c>
      <c r="AM5" s="132">
        <f t="shared" si="0"/>
        <v>2001</v>
      </c>
      <c r="AN5" s="132">
        <f t="shared" si="0"/>
        <v>2002</v>
      </c>
      <c r="AO5" s="132">
        <f t="shared" si="0"/>
        <v>2003</v>
      </c>
      <c r="AP5" s="132">
        <f t="shared" si="0"/>
        <v>2004</v>
      </c>
      <c r="AQ5" s="132">
        <f t="shared" si="0"/>
        <v>2005</v>
      </c>
      <c r="AR5" s="132">
        <f t="shared" si="0"/>
        <v>2006</v>
      </c>
      <c r="AS5" s="132">
        <f t="shared" si="0"/>
        <v>2007</v>
      </c>
      <c r="AT5" s="132">
        <f t="shared" si="0"/>
        <v>2008</v>
      </c>
      <c r="AU5" s="132">
        <f t="shared" si="0"/>
        <v>2009</v>
      </c>
      <c r="AV5" s="132">
        <f t="shared" si="0"/>
        <v>2010</v>
      </c>
      <c r="AW5" s="132">
        <f t="shared" si="0"/>
        <v>2011</v>
      </c>
      <c r="AX5" s="131">
        <v>2012</v>
      </c>
      <c r="AY5" s="131">
        <v>2013</v>
      </c>
      <c r="AZ5" s="181">
        <v>2014</v>
      </c>
      <c r="BA5" s="181">
        <v>2015</v>
      </c>
    </row>
    <row r="6" spans="1:53">
      <c r="A6" s="63" t="s">
        <v>118</v>
      </c>
      <c r="B6" s="66">
        <f>14692148+20043143</f>
        <v>34735291</v>
      </c>
      <c r="C6" s="66">
        <f>16164351+22182388</f>
        <v>38346739</v>
      </c>
      <c r="D6" s="66">
        <f>17739540+24088718</f>
        <v>41828258</v>
      </c>
      <c r="E6" s="66">
        <v>60717016.428999998</v>
      </c>
      <c r="F6" s="91">
        <f>+F7+F25+F40+F54+F65</f>
        <v>63086595.118000001</v>
      </c>
      <c r="G6" s="66">
        <v>68094627.483999997</v>
      </c>
      <c r="H6" s="66">
        <v>70972121.620000005</v>
      </c>
      <c r="I6" s="91">
        <f>+I7+I25+I40+I54+I65</f>
        <v>72983322.177000001</v>
      </c>
      <c r="J6" s="63">
        <v>78112280.522</v>
      </c>
      <c r="K6" s="91">
        <f t="shared" ref="K6:U6" si="1">+K7+K25+K40+K54+K65</f>
        <v>82791254.839900002</v>
      </c>
      <c r="L6" s="91">
        <f t="shared" si="1"/>
        <v>97344402.655000001</v>
      </c>
      <c r="M6" s="91">
        <f t="shared" si="1"/>
        <v>105255878.21100001</v>
      </c>
      <c r="N6" s="91">
        <f t="shared" si="1"/>
        <v>114476664.09300001</v>
      </c>
      <c r="O6" s="91">
        <f t="shared" si="1"/>
        <v>119158293.78999999</v>
      </c>
      <c r="P6" s="91">
        <f t="shared" si="1"/>
        <v>126324849.40000001</v>
      </c>
      <c r="Q6" s="91">
        <f t="shared" si="1"/>
        <v>136254441.289</v>
      </c>
      <c r="R6" s="91">
        <f t="shared" si="1"/>
        <v>142077199.52599999</v>
      </c>
      <c r="S6" s="91">
        <f t="shared" si="1"/>
        <v>151644586.63</v>
      </c>
      <c r="T6" s="91">
        <f t="shared" si="1"/>
        <v>163699695.785</v>
      </c>
      <c r="U6" s="91">
        <f t="shared" si="1"/>
        <v>155006693.76300001</v>
      </c>
      <c r="V6" s="91">
        <f t="shared" ref="V6:W6" si="2">+V7+V25+V40+V54+V65</f>
        <v>170626200.972</v>
      </c>
      <c r="W6" s="91">
        <f t="shared" si="2"/>
        <v>180374626.90999997</v>
      </c>
      <c r="X6" s="91">
        <f t="shared" ref="X6:Y6" si="3">+X7+X25+X40+X54+X65</f>
        <v>185296911.405</v>
      </c>
      <c r="Y6" s="91">
        <f t="shared" si="3"/>
        <v>185186822.30999997</v>
      </c>
      <c r="Z6" s="91">
        <f t="shared" ref="Z6:AA6" si="4">+Z7+Z25+Z40+Z54+Z65</f>
        <v>194215935.35000002</v>
      </c>
      <c r="AA6" s="91">
        <f t="shared" si="4"/>
        <v>201396526.74600002</v>
      </c>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row>
    <row r="7" spans="1:53">
      <c r="A7" s="22" t="s">
        <v>56</v>
      </c>
      <c r="B7" s="89">
        <f>SUM(B8:B24)</f>
        <v>11195623</v>
      </c>
      <c r="C7" s="89">
        <f t="shared" ref="C7:U7" si="5">SUM(C8:C24)</f>
        <v>12289870</v>
      </c>
      <c r="D7" s="89">
        <f t="shared" si="5"/>
        <v>13604883</v>
      </c>
      <c r="E7" s="89">
        <f t="shared" si="5"/>
        <v>20283096.723000001</v>
      </c>
      <c r="F7" s="89">
        <f t="shared" si="5"/>
        <v>20986763.502</v>
      </c>
      <c r="G7" s="89">
        <f t="shared" si="5"/>
        <v>22401225.125999995</v>
      </c>
      <c r="H7" s="89">
        <f t="shared" si="5"/>
        <v>23546651.619999997</v>
      </c>
      <c r="I7" s="89">
        <f t="shared" si="5"/>
        <v>25247528.560000002</v>
      </c>
      <c r="J7" s="89">
        <f t="shared" si="5"/>
        <v>26935678.545999996</v>
      </c>
      <c r="K7" s="89">
        <f t="shared" si="5"/>
        <v>28768130.757919997</v>
      </c>
      <c r="L7" s="89">
        <f t="shared" si="5"/>
        <v>34617800.920000002</v>
      </c>
      <c r="M7" s="89">
        <f t="shared" si="5"/>
        <v>37491545.475000001</v>
      </c>
      <c r="N7" s="89">
        <f t="shared" si="5"/>
        <v>42425641.704999998</v>
      </c>
      <c r="O7" s="89">
        <f t="shared" si="5"/>
        <v>45161487.040999994</v>
      </c>
      <c r="P7" s="89">
        <f t="shared" si="5"/>
        <v>47927207.759000011</v>
      </c>
      <c r="Q7" s="89">
        <f t="shared" si="5"/>
        <v>51563018.194000006</v>
      </c>
      <c r="R7" s="89">
        <f t="shared" si="5"/>
        <v>53248986.096000001</v>
      </c>
      <c r="S7" s="89">
        <f t="shared" si="5"/>
        <v>56716844.725999996</v>
      </c>
      <c r="T7" s="89">
        <f t="shared" si="5"/>
        <v>61746202.609999999</v>
      </c>
      <c r="U7" s="89">
        <f t="shared" si="5"/>
        <v>56093672.956000008</v>
      </c>
      <c r="V7" s="89">
        <f t="shared" ref="V7:W7" si="6">SUM(V8:V24)</f>
        <v>65200095.023999996</v>
      </c>
      <c r="W7" s="89">
        <f t="shared" si="6"/>
        <v>68844749.775000006</v>
      </c>
      <c r="X7" s="89">
        <f t="shared" ref="X7:Y7" si="7">SUM(X8:X24)</f>
        <v>70028189.103</v>
      </c>
      <c r="Y7" s="89">
        <f t="shared" si="7"/>
        <v>67344997.675999999</v>
      </c>
      <c r="Z7" s="89">
        <f t="shared" ref="Z7:AA7" si="8">SUM(Z8:Z24)</f>
        <v>70579336.119000003</v>
      </c>
      <c r="AA7" s="89">
        <f t="shared" si="8"/>
        <v>73487913.803000003</v>
      </c>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row>
    <row r="8" spans="1:53">
      <c r="A8" s="79" t="s">
        <v>119</v>
      </c>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row>
    <row r="9" spans="1:53">
      <c r="A9" s="22" t="s">
        <v>3</v>
      </c>
      <c r="B9" s="13">
        <v>672396</v>
      </c>
      <c r="C9" s="13">
        <v>762502</v>
      </c>
      <c r="D9" s="13">
        <v>844481</v>
      </c>
      <c r="E9" s="13">
        <v>1252084.4680000001</v>
      </c>
      <c r="F9" s="76">
        <v>1292610.4850000001</v>
      </c>
      <c r="G9" s="13">
        <v>1390108.5719999999</v>
      </c>
      <c r="H9" s="13">
        <v>1495473.66</v>
      </c>
      <c r="I9" s="13">
        <v>1612440.4739999999</v>
      </c>
      <c r="J9" s="13">
        <v>1659985.3689999999</v>
      </c>
      <c r="K9" s="13">
        <v>1695708.2879999999</v>
      </c>
      <c r="L9" s="14">
        <v>2032126.4439999999</v>
      </c>
      <c r="M9" s="14">
        <v>2151222.5660000001</v>
      </c>
      <c r="N9" s="14">
        <v>2380230.048</v>
      </c>
      <c r="O9" s="14">
        <v>2563775.7370000002</v>
      </c>
      <c r="P9" s="14">
        <v>2820309.8229999999</v>
      </c>
      <c r="Q9" s="14">
        <v>2923819.5329999998</v>
      </c>
      <c r="R9" s="14">
        <v>3151654.2880000002</v>
      </c>
      <c r="S9" s="14">
        <v>3454020.1</v>
      </c>
      <c r="T9" s="2">
        <v>4016071.1880000001</v>
      </c>
      <c r="U9" s="2">
        <v>4103818.2820000001</v>
      </c>
      <c r="V9" s="2">
        <v>4213609.1469999999</v>
      </c>
      <c r="W9" s="2">
        <v>4118915.5959999999</v>
      </c>
      <c r="X9" s="2">
        <v>4044047.6779999998</v>
      </c>
      <c r="Y9" s="2">
        <v>4226042.3210000005</v>
      </c>
      <c r="Z9" s="2">
        <v>4388581.841</v>
      </c>
      <c r="AA9" s="2">
        <v>4528543.7539999997</v>
      </c>
      <c r="AB9" s="130">
        <f>('Instruction-4YR'!B9+'RESEARCH 4yr'!B9+'PUBLIC SERVICE 4yr'!B9+'ASptISptSSv 4yr'!B9+'PLANT OPER MAIN 4yr'!B9+'SCHOLAR FELLOW 4yr'!B9+'All Other 4yr'!B9)-B9</f>
        <v>0</v>
      </c>
      <c r="AC9" s="130">
        <f>('Instruction-4YR'!C9+'RESEARCH 4yr'!C9+'PUBLIC SERVICE 4yr'!C9+'ASptISptSSv 4yr'!C9+'PLANT OPER MAIN 4yr'!C9+'SCHOLAR FELLOW 4yr'!C9+'All Other 4yr'!C9)-C9</f>
        <v>0</v>
      </c>
      <c r="AD9" s="130">
        <f>('Instruction-4YR'!D9+'RESEARCH 4yr'!D9+'PUBLIC SERVICE 4yr'!D9+'ASptISptSSv 4yr'!D9+'PLANT OPER MAIN 4yr'!D9+'SCHOLAR FELLOW 4yr'!D9+'All Other 4yr'!D9)-D9</f>
        <v>0</v>
      </c>
      <c r="AE9" s="130">
        <f>('Instruction-4YR'!E9+'RESEARCH 4yr'!E9+'PUBLIC SERVICE 4yr'!E9+'ASptISptSSv 4yr'!E9+'PLANT OPER MAIN 4yr'!E9+'SCHOLAR FELLOW 4yr'!E9+'All Other 4yr'!E9)-E9</f>
        <v>0</v>
      </c>
      <c r="AF9" s="130">
        <f>('Instruction-4YR'!F9+'RESEARCH 4yr'!F9+'PUBLIC SERVICE 4yr'!F9+'ASptISptSSv 4yr'!F9+'PLANT OPER MAIN 4yr'!F9+'SCHOLAR FELLOW 4yr'!F9+'All Other 4yr'!F9)-F9</f>
        <v>0</v>
      </c>
      <c r="AG9" s="130">
        <f>('Instruction-4YR'!G9+'RESEARCH 4yr'!G9+'PUBLIC SERVICE 4yr'!G9+'ASptISptSSv 4yr'!G9+'PLANT OPER MAIN 4yr'!G9+'SCHOLAR FELLOW 4yr'!G9+'All Other 4yr'!G9)-G9</f>
        <v>0</v>
      </c>
      <c r="AH9" s="130">
        <f>('Instruction-4YR'!H9+'RESEARCH 4yr'!H9+'PUBLIC SERVICE 4yr'!H9+'ASptISptSSv 4yr'!H9+'PLANT OPER MAIN 4yr'!H9+'SCHOLAR FELLOW 4yr'!H9+'All Other 4yr'!H9)-H9</f>
        <v>0</v>
      </c>
      <c r="AI9" s="130">
        <f>('Instruction-4YR'!I9+'RESEARCH 4yr'!I9+'PUBLIC SERVICE 4yr'!I9+'ASptISptSSv 4yr'!I9+'PLANT OPER MAIN 4yr'!I9+'SCHOLAR FELLOW 4yr'!I9+'All Other 4yr'!I9)-I9</f>
        <v>0</v>
      </c>
      <c r="AJ9" s="130">
        <f>('Instruction-4YR'!J9+'RESEARCH 4yr'!J9+'PUBLIC SERVICE 4yr'!J9+'ASptISptSSv 4yr'!J9+'PLANT OPER MAIN 4yr'!J9+'SCHOLAR FELLOW 4yr'!J9+'All Other 4yr'!J9)-J9</f>
        <v>0</v>
      </c>
      <c r="AK9" s="130">
        <f>('Instruction-4YR'!K9+'RESEARCH 4yr'!K9+'PUBLIC SERVICE 4yr'!K9+'ASptISptSSv 4yr'!K9+'PLANT OPER MAIN 4yr'!K9+'SCHOLAR FELLOW 4yr'!K9+'All Other 4yr'!K9)-K9</f>
        <v>0</v>
      </c>
      <c r="AL9" s="130">
        <f>('Instruction-4YR'!L9+'RESEARCH 4yr'!L9+'PUBLIC SERVICE 4yr'!L9+'ASptISptSSv 4yr'!L9+'PLANT OPER MAIN 4yr'!L9+'SCHOLAR FELLOW 4yr'!L9+'All Other 4yr'!L9)-L9</f>
        <v>0</v>
      </c>
      <c r="AM9" s="130">
        <f>('Instruction-4YR'!M9+'RESEARCH 4yr'!M9+'PUBLIC SERVICE 4yr'!M9+'ASptISptSSv 4yr'!M9+'PLANT OPER MAIN 4yr'!M9+'SCHOLAR FELLOW 4yr'!M9+'All Other 4yr'!M9)-M9</f>
        <v>0</v>
      </c>
      <c r="AN9" s="130">
        <f>('Instruction-4YR'!N9+'RESEARCH 4yr'!N9+'PUBLIC SERVICE 4yr'!N9+'ASptISptSSv 4yr'!N9+'PLANT OPER MAIN 4yr'!N9+'SCHOLAR FELLOW 4yr'!N9+'All Other 4yr'!N9)-N9</f>
        <v>0</v>
      </c>
      <c r="AO9" s="130">
        <f>('Instruction-4YR'!O9+'RESEARCH 4yr'!O9+'PUBLIC SERVICE 4yr'!O9+'ASptISptSSv 4yr'!O9+'PLANT OPER MAIN 4yr'!O9+'SCHOLAR FELLOW 4yr'!O9+'All Other 4yr'!O9)-O9</f>
        <v>0</v>
      </c>
      <c r="AP9" s="130">
        <f>('Instruction-4YR'!P9+'RESEARCH 4yr'!P9+'PUBLIC SERVICE 4yr'!P9+'ASptISptSSv 4yr'!P9+'PLANT OPER MAIN 4yr'!P9+'SCHOLAR FELLOW 4yr'!P9+'All Other 4yr'!P9)-P9</f>
        <v>0</v>
      </c>
      <c r="AQ9" s="130">
        <f>('Instruction-4YR'!Q9+'RESEARCH 4yr'!Q9+'PUBLIC SERVICE 4yr'!Q9+'ASptISptSSv 4yr'!Q9+'PLANT OPER MAIN 4yr'!Q9+'SCHOLAR FELLOW 4yr'!Q9+'All Other 4yr'!Q9)-Q9</f>
        <v>0</v>
      </c>
      <c r="AR9" s="130">
        <f>('Instruction-4YR'!R9+'RESEARCH 4yr'!R9+'PUBLIC SERVICE 4yr'!R9+'ASptISptSSv 4yr'!R9+'PLANT OPER MAIN 4yr'!R9+'SCHOLAR FELLOW 4yr'!R9+'All Other 4yr'!R9)-R9</f>
        <v>0</v>
      </c>
      <c r="AS9" s="130">
        <f>('Instruction-4YR'!S9+'RESEARCH 4yr'!S9+'PUBLIC SERVICE 4yr'!S9+'ASptISptSSv 4yr'!S9+'PLANT OPER MAIN 4yr'!S9+'SCHOLAR FELLOW 4yr'!S9+'All Other 4yr'!S9)-S9</f>
        <v>0</v>
      </c>
      <c r="AT9" s="130">
        <f>('Instruction-4YR'!T9+'RESEARCH 4yr'!T9+'PUBLIC SERVICE 4yr'!T9+'ASptISptSSv 4yr'!T9+'PLANT OPER MAIN 4yr'!T9+'SCHOLAR FELLOW 4yr'!T9+'All Other 4yr'!T9)-T9</f>
        <v>0</v>
      </c>
      <c r="AU9" s="130">
        <f>('Instruction-4YR'!U9+'RESEARCH 4yr'!U9+'PUBLIC SERVICE 4yr'!U9+'ASptISptSSv 4yr'!U9+'PLANT OPER MAIN 4yr'!U9+'SCHOLAR FELLOW 4yr'!U9+'All Other 4yr'!U9)-U9</f>
        <v>0</v>
      </c>
      <c r="AV9" s="130">
        <f>('Instruction-4YR'!V9+'RESEARCH 4yr'!V9+'PUBLIC SERVICE 4yr'!V9+'ASptISptSSv 4yr'!V9+'PLANT OPER MAIN 4yr'!V9+'SCHOLAR FELLOW 4yr'!V9+'All Other 4yr'!V9)-V9</f>
        <v>0</v>
      </c>
      <c r="AW9" s="130">
        <f>('Instruction-4YR'!W9+'RESEARCH 4yr'!W9+'PUBLIC SERVICE 4yr'!W9+'ASptISptSSv 4yr'!W9+'PLANT OPER MAIN 4yr'!W9+'SCHOLAR FELLOW 4yr'!W9+'All Other 4yr'!W9)-W9</f>
        <v>0</v>
      </c>
      <c r="AX9" s="130">
        <f>('Instruction-4YR'!X9+'RESEARCH 4yr'!X9+'PUBLIC SERVICE 4yr'!X9+'ASptISptSSv 4yr'!X9+'PLANT OPER MAIN 4yr'!X9+'SCHOLAR FELLOW 4yr'!X9+'All Other 4yr'!X9)-X9</f>
        <v>0</v>
      </c>
      <c r="AY9" s="130">
        <f>('Instruction-4YR'!Y9+'RESEARCH 4yr'!Y9+'PUBLIC SERVICE 4yr'!Y9+'ASptISptSSv 4yr'!Y9+'PLANT OPER MAIN 4yr'!Y9+'SCHOLAR FELLOW 4yr'!Y9+'All Other 4yr'!Y9)-Y9</f>
        <v>0</v>
      </c>
      <c r="AZ9" s="130">
        <f>('Instruction-4YR'!Z9+'RESEARCH 4yr'!Z9+'PUBLIC SERVICE 4yr'!Z9+'ASptISptSSv 4yr'!Z9+'PLANT OPER MAIN 4yr'!Z9+'SCHOLAR FELLOW 4yr'!Z9+'All Other 4yr'!Z9)-Z9</f>
        <v>0</v>
      </c>
      <c r="BA9" s="130">
        <f>('Instruction-4YR'!AA9+'RESEARCH 4yr'!AA9+'PUBLIC SERVICE 4yr'!AA9+'ASptISptSSv 4yr'!AA9+'PLANT OPER MAIN 4yr'!AA9+'SCHOLAR FELLOW 4yr'!AA9+'All Other 4yr'!AA9)-AA9</f>
        <v>0</v>
      </c>
    </row>
    <row r="10" spans="1:53">
      <c r="A10" s="22" t="s">
        <v>4</v>
      </c>
      <c r="B10" s="13">
        <v>317039</v>
      </c>
      <c r="C10" s="13">
        <v>362811</v>
      </c>
      <c r="D10" s="13">
        <v>399788</v>
      </c>
      <c r="E10" s="13">
        <v>636383.96400000004</v>
      </c>
      <c r="F10" s="76">
        <v>591741.74300000002</v>
      </c>
      <c r="G10" s="13">
        <v>661069.99900000007</v>
      </c>
      <c r="H10" s="13">
        <v>683824.799</v>
      </c>
      <c r="I10" s="14">
        <v>726775.77099999995</v>
      </c>
      <c r="J10" s="14">
        <v>776408.96299999999</v>
      </c>
      <c r="K10" s="14">
        <v>837493.23400000005</v>
      </c>
      <c r="L10" s="14">
        <v>1001360.465</v>
      </c>
      <c r="M10" s="14">
        <v>1104514.075</v>
      </c>
      <c r="N10" s="14">
        <v>1296792.3060000001</v>
      </c>
      <c r="O10" s="14">
        <v>1329441.121</v>
      </c>
      <c r="P10" s="14">
        <v>1430792.2290000001</v>
      </c>
      <c r="Q10" s="14">
        <v>1519958.564</v>
      </c>
      <c r="R10" s="14">
        <v>1642227.5430000001</v>
      </c>
      <c r="S10" s="14">
        <v>1657628.287</v>
      </c>
      <c r="T10" s="2">
        <v>1774806.753</v>
      </c>
      <c r="U10" s="2">
        <v>1460993.0120000001</v>
      </c>
      <c r="V10" s="2">
        <v>1928902.253</v>
      </c>
      <c r="W10" s="2">
        <v>2119527.446</v>
      </c>
      <c r="X10" s="2">
        <v>2211134.5690000001</v>
      </c>
      <c r="Y10" s="2">
        <v>2204686.031</v>
      </c>
      <c r="Z10" s="2">
        <v>2243881.2480000001</v>
      </c>
      <c r="AA10" s="2">
        <v>2305310.42</v>
      </c>
      <c r="AB10" s="130">
        <f>('Instruction-4YR'!B10+'RESEARCH 4yr'!B10+'PUBLIC SERVICE 4yr'!B10+'ASptISptSSv 4yr'!B10+'PLANT OPER MAIN 4yr'!B10+'SCHOLAR FELLOW 4yr'!B10+'All Other 4yr'!B10)-B10</f>
        <v>0</v>
      </c>
      <c r="AC10" s="130">
        <f>('Instruction-4YR'!C10+'RESEARCH 4yr'!C10+'PUBLIC SERVICE 4yr'!C10+'ASptISptSSv 4yr'!C10+'PLANT OPER MAIN 4yr'!C10+'SCHOLAR FELLOW 4yr'!C10+'All Other 4yr'!C10)-C10</f>
        <v>0</v>
      </c>
      <c r="AD10" s="130">
        <f>('Instruction-4YR'!D10+'RESEARCH 4yr'!D10+'PUBLIC SERVICE 4yr'!D10+'ASptISptSSv 4yr'!D10+'PLANT OPER MAIN 4yr'!D10+'SCHOLAR FELLOW 4yr'!D10+'All Other 4yr'!D10)-D10</f>
        <v>0</v>
      </c>
      <c r="AE10" s="130">
        <f>('Instruction-4YR'!E10+'RESEARCH 4yr'!E10+'PUBLIC SERVICE 4yr'!E10+'ASptISptSSv 4yr'!E10+'PLANT OPER MAIN 4yr'!E10+'SCHOLAR FELLOW 4yr'!E10+'All Other 4yr'!E10)-E10</f>
        <v>0</v>
      </c>
      <c r="AF10" s="130">
        <f>('Instruction-4YR'!F10+'RESEARCH 4yr'!F10+'PUBLIC SERVICE 4yr'!F10+'ASptISptSSv 4yr'!F10+'PLANT OPER MAIN 4yr'!F10+'SCHOLAR FELLOW 4yr'!F10+'All Other 4yr'!F10)-F10</f>
        <v>0</v>
      </c>
      <c r="AG10" s="130">
        <f>('Instruction-4YR'!G10+'RESEARCH 4yr'!G10+'PUBLIC SERVICE 4yr'!G10+'ASptISptSSv 4yr'!G10+'PLANT OPER MAIN 4yr'!G10+'SCHOLAR FELLOW 4yr'!G10+'All Other 4yr'!G10)-G10</f>
        <v>0</v>
      </c>
      <c r="AH10" s="130">
        <f>('Instruction-4YR'!H10+'RESEARCH 4yr'!H10+'PUBLIC SERVICE 4yr'!H10+'ASptISptSSv 4yr'!H10+'PLANT OPER MAIN 4yr'!H10+'SCHOLAR FELLOW 4yr'!H10+'All Other 4yr'!H10)-H10</f>
        <v>0</v>
      </c>
      <c r="AI10" s="130">
        <f>('Instruction-4YR'!I10+'RESEARCH 4yr'!I10+'PUBLIC SERVICE 4yr'!I10+'ASptISptSSv 4yr'!I10+'PLANT OPER MAIN 4yr'!I10+'SCHOLAR FELLOW 4yr'!I10+'All Other 4yr'!I10)-I10</f>
        <v>0</v>
      </c>
      <c r="AJ10" s="130">
        <f>('Instruction-4YR'!J10+'RESEARCH 4yr'!J10+'PUBLIC SERVICE 4yr'!J10+'ASptISptSSv 4yr'!J10+'PLANT OPER MAIN 4yr'!J10+'SCHOLAR FELLOW 4yr'!J10+'All Other 4yr'!J10)-J10</f>
        <v>0</v>
      </c>
      <c r="AK10" s="130">
        <f>('Instruction-4YR'!K10+'RESEARCH 4yr'!K10+'PUBLIC SERVICE 4yr'!K10+'ASptISptSSv 4yr'!K10+'PLANT OPER MAIN 4yr'!K10+'SCHOLAR FELLOW 4yr'!K10+'All Other 4yr'!K10)-K10</f>
        <v>0</v>
      </c>
      <c r="AL10" s="130">
        <f>('Instruction-4YR'!L10+'RESEARCH 4yr'!L10+'PUBLIC SERVICE 4yr'!L10+'ASptISptSSv 4yr'!L10+'PLANT OPER MAIN 4yr'!L10+'SCHOLAR FELLOW 4yr'!L10+'All Other 4yr'!L10)-L10</f>
        <v>0</v>
      </c>
      <c r="AM10" s="130">
        <f>('Instruction-4YR'!M10+'RESEARCH 4yr'!M10+'PUBLIC SERVICE 4yr'!M10+'ASptISptSSv 4yr'!M10+'PLANT OPER MAIN 4yr'!M10+'SCHOLAR FELLOW 4yr'!M10+'All Other 4yr'!M10)-M10</f>
        <v>0</v>
      </c>
      <c r="AN10" s="130">
        <f>('Instruction-4YR'!N10+'RESEARCH 4yr'!N10+'PUBLIC SERVICE 4yr'!N10+'ASptISptSSv 4yr'!N10+'PLANT OPER MAIN 4yr'!N10+'SCHOLAR FELLOW 4yr'!N10+'All Other 4yr'!N10)-N10</f>
        <v>0</v>
      </c>
      <c r="AO10" s="130">
        <f>('Instruction-4YR'!O10+'RESEARCH 4yr'!O10+'PUBLIC SERVICE 4yr'!O10+'ASptISptSSv 4yr'!O10+'PLANT OPER MAIN 4yr'!O10+'SCHOLAR FELLOW 4yr'!O10+'All Other 4yr'!O10)-O10</f>
        <v>0</v>
      </c>
      <c r="AP10" s="130">
        <f>('Instruction-4YR'!P10+'RESEARCH 4yr'!P10+'PUBLIC SERVICE 4yr'!P10+'ASptISptSSv 4yr'!P10+'PLANT OPER MAIN 4yr'!P10+'SCHOLAR FELLOW 4yr'!P10+'All Other 4yr'!P10)-P10</f>
        <v>0</v>
      </c>
      <c r="AQ10" s="130">
        <f>('Instruction-4YR'!Q10+'RESEARCH 4yr'!Q10+'PUBLIC SERVICE 4yr'!Q10+'ASptISptSSv 4yr'!Q10+'PLANT OPER MAIN 4yr'!Q10+'SCHOLAR FELLOW 4yr'!Q10+'All Other 4yr'!Q10)-Q10</f>
        <v>0</v>
      </c>
      <c r="AR10" s="130">
        <f>('Instruction-4YR'!R10+'RESEARCH 4yr'!R10+'PUBLIC SERVICE 4yr'!R10+'ASptISptSSv 4yr'!R10+'PLANT OPER MAIN 4yr'!R10+'SCHOLAR FELLOW 4yr'!R10+'All Other 4yr'!R10)-R10</f>
        <v>0</v>
      </c>
      <c r="AS10" s="130">
        <f>('Instruction-4YR'!S10+'RESEARCH 4yr'!S10+'PUBLIC SERVICE 4yr'!S10+'ASptISptSSv 4yr'!S10+'PLANT OPER MAIN 4yr'!S10+'SCHOLAR FELLOW 4yr'!S10+'All Other 4yr'!S10)-S10</f>
        <v>0</v>
      </c>
      <c r="AT10" s="130">
        <f>('Instruction-4YR'!T10+'RESEARCH 4yr'!T10+'PUBLIC SERVICE 4yr'!T10+'ASptISptSSv 4yr'!T10+'PLANT OPER MAIN 4yr'!T10+'SCHOLAR FELLOW 4yr'!T10+'All Other 4yr'!T10)-T10</f>
        <v>0</v>
      </c>
      <c r="AU10" s="130">
        <f>('Instruction-4YR'!U10+'RESEARCH 4yr'!U10+'PUBLIC SERVICE 4yr'!U10+'ASptISptSSv 4yr'!U10+'PLANT OPER MAIN 4yr'!U10+'SCHOLAR FELLOW 4yr'!U10+'All Other 4yr'!U10)-U10</f>
        <v>0</v>
      </c>
      <c r="AV10" s="130">
        <f>('Instruction-4YR'!V10+'RESEARCH 4yr'!V10+'PUBLIC SERVICE 4yr'!V10+'ASptISptSSv 4yr'!V10+'PLANT OPER MAIN 4yr'!V10+'SCHOLAR FELLOW 4yr'!V10+'All Other 4yr'!V10)-V10</f>
        <v>0</v>
      </c>
      <c r="AW10" s="130">
        <f>('Instruction-4YR'!W10+'RESEARCH 4yr'!W10+'PUBLIC SERVICE 4yr'!W10+'ASptISptSSv 4yr'!W10+'PLANT OPER MAIN 4yr'!W10+'SCHOLAR FELLOW 4yr'!W10+'All Other 4yr'!W10)-W10</f>
        <v>0</v>
      </c>
      <c r="AX10" s="130">
        <f>('Instruction-4YR'!X10+'RESEARCH 4yr'!X10+'PUBLIC SERVICE 4yr'!X10+'ASptISptSSv 4yr'!X10+'PLANT OPER MAIN 4yr'!X10+'SCHOLAR FELLOW 4yr'!X10+'All Other 4yr'!X10)-X10</f>
        <v>0</v>
      </c>
      <c r="AY10" s="130">
        <f>('Instruction-4YR'!Y10+'RESEARCH 4yr'!Y10+'PUBLIC SERVICE 4yr'!Y10+'ASptISptSSv 4yr'!Y10+'PLANT OPER MAIN 4yr'!Y10+'SCHOLAR FELLOW 4yr'!Y10+'All Other 4yr'!Y10)-Y10</f>
        <v>0</v>
      </c>
      <c r="AZ10" s="130">
        <f>('Instruction-4YR'!Z10+'RESEARCH 4yr'!Z10+'PUBLIC SERVICE 4yr'!Z10+'ASptISptSSv 4yr'!Z10+'PLANT OPER MAIN 4yr'!Z10+'SCHOLAR FELLOW 4yr'!Z10+'All Other 4yr'!Z10)-Z10</f>
        <v>0</v>
      </c>
      <c r="BA10" s="130">
        <f>('Instruction-4YR'!AA10+'RESEARCH 4yr'!AA10+'PUBLIC SERVICE 4yr'!AA10+'ASptISptSSv 4yr'!AA10+'PLANT OPER MAIN 4yr'!AA10+'SCHOLAR FELLOW 4yr'!AA10+'All Other 4yr'!AA10)-AA10</f>
        <v>0</v>
      </c>
    </row>
    <row r="11" spans="1:53">
      <c r="A11" s="22" t="s">
        <v>52</v>
      </c>
      <c r="B11" s="13">
        <v>0</v>
      </c>
      <c r="C11" s="13">
        <v>0</v>
      </c>
      <c r="D11" s="13">
        <v>182553</v>
      </c>
      <c r="E11" s="13">
        <v>304282.02600000001</v>
      </c>
      <c r="F11" s="76">
        <v>317803.20299999998</v>
      </c>
      <c r="G11" s="13">
        <v>0</v>
      </c>
      <c r="H11" s="13"/>
      <c r="I11" s="14">
        <v>374083.13900000002</v>
      </c>
      <c r="J11" s="14">
        <v>380791.01799999998</v>
      </c>
      <c r="K11" s="14">
        <v>397683.98100000003</v>
      </c>
      <c r="L11" s="14">
        <v>480076.4</v>
      </c>
      <c r="M11" s="14">
        <v>503321.016</v>
      </c>
      <c r="N11" s="14">
        <v>533444.16899999999</v>
      </c>
      <c r="O11" s="14">
        <v>571816.58700000006</v>
      </c>
      <c r="P11" s="14">
        <v>602356.88</v>
      </c>
      <c r="Q11" s="14">
        <v>648260.53200000001</v>
      </c>
      <c r="R11" s="14">
        <v>677539.91099999996</v>
      </c>
      <c r="S11" s="14">
        <v>703185.75300000003</v>
      </c>
      <c r="T11" s="2">
        <v>771316.42099999997</v>
      </c>
      <c r="U11" s="2">
        <v>802243.94200000004</v>
      </c>
      <c r="V11" s="2">
        <v>845074.15599999996</v>
      </c>
      <c r="W11" s="2">
        <v>907613.91700000002</v>
      </c>
      <c r="X11" s="2">
        <v>1003302.505</v>
      </c>
      <c r="Y11" s="2">
        <v>127711.414</v>
      </c>
      <c r="Z11" s="2">
        <v>1030778.606</v>
      </c>
      <c r="AA11" s="2">
        <v>1072243.5859999999</v>
      </c>
      <c r="AB11" s="130">
        <f>('Instruction-4YR'!B11+'RESEARCH 4yr'!B11+'PUBLIC SERVICE 4yr'!B11+'ASptISptSSv 4yr'!B11+'PLANT OPER MAIN 4yr'!B11+'SCHOLAR FELLOW 4yr'!B11+'All Other 4yr'!B11)-B11</f>
        <v>0</v>
      </c>
      <c r="AC11" s="130">
        <f>('Instruction-4YR'!C11+'RESEARCH 4yr'!C11+'PUBLIC SERVICE 4yr'!C11+'ASptISptSSv 4yr'!C11+'PLANT OPER MAIN 4yr'!C11+'SCHOLAR FELLOW 4yr'!C11+'All Other 4yr'!C11)-C11</f>
        <v>0</v>
      </c>
      <c r="AD11" s="130">
        <f>('Instruction-4YR'!D11+'RESEARCH 4yr'!D11+'PUBLIC SERVICE 4yr'!D11+'ASptISptSSv 4yr'!D11+'PLANT OPER MAIN 4yr'!D11+'SCHOLAR FELLOW 4yr'!D11+'All Other 4yr'!D11)-D11</f>
        <v>0</v>
      </c>
      <c r="AE11" s="130">
        <f>('Instruction-4YR'!E11+'RESEARCH 4yr'!E11+'PUBLIC SERVICE 4yr'!E11+'ASptISptSSv 4yr'!E11+'PLANT OPER MAIN 4yr'!E11+'SCHOLAR FELLOW 4yr'!E11+'All Other 4yr'!E11)-E11</f>
        <v>0</v>
      </c>
      <c r="AF11" s="130">
        <f>('Instruction-4YR'!F11+'RESEARCH 4yr'!F11+'PUBLIC SERVICE 4yr'!F11+'ASptISptSSv 4yr'!F11+'PLANT OPER MAIN 4yr'!F11+'SCHOLAR FELLOW 4yr'!F11+'All Other 4yr'!F11)-F11</f>
        <v>0</v>
      </c>
      <c r="AG11" s="130">
        <f>('Instruction-4YR'!G11+'RESEARCH 4yr'!G11+'PUBLIC SERVICE 4yr'!G11+'ASptISptSSv 4yr'!G11+'PLANT OPER MAIN 4yr'!G11+'SCHOLAR FELLOW 4yr'!G11+'All Other 4yr'!G11)-G11</f>
        <v>0</v>
      </c>
      <c r="AH11" s="130">
        <f>('Instruction-4YR'!H11+'RESEARCH 4yr'!H11+'PUBLIC SERVICE 4yr'!H11+'ASptISptSSv 4yr'!H11+'PLANT OPER MAIN 4yr'!H11+'SCHOLAR FELLOW 4yr'!H11+'All Other 4yr'!H11)-H11</f>
        <v>0</v>
      </c>
      <c r="AI11" s="130">
        <f>('Instruction-4YR'!I11+'RESEARCH 4yr'!I11+'PUBLIC SERVICE 4yr'!I11+'ASptISptSSv 4yr'!I11+'PLANT OPER MAIN 4yr'!I11+'SCHOLAR FELLOW 4yr'!I11+'All Other 4yr'!I11)-I11</f>
        <v>0</v>
      </c>
      <c r="AJ11" s="130">
        <f>('Instruction-4YR'!J11+'RESEARCH 4yr'!J11+'PUBLIC SERVICE 4yr'!J11+'ASptISptSSv 4yr'!J11+'PLANT OPER MAIN 4yr'!J11+'SCHOLAR FELLOW 4yr'!J11+'All Other 4yr'!J11)-J11</f>
        <v>0</v>
      </c>
      <c r="AK11" s="130">
        <f>('Instruction-4YR'!K11+'RESEARCH 4yr'!K11+'PUBLIC SERVICE 4yr'!K11+'ASptISptSSv 4yr'!K11+'PLANT OPER MAIN 4yr'!K11+'SCHOLAR FELLOW 4yr'!K11+'All Other 4yr'!K11)-K11</f>
        <v>0</v>
      </c>
      <c r="AL11" s="130">
        <f>('Instruction-4YR'!L11+'RESEARCH 4yr'!L11+'PUBLIC SERVICE 4yr'!L11+'ASptISptSSv 4yr'!L11+'PLANT OPER MAIN 4yr'!L11+'SCHOLAR FELLOW 4yr'!L11+'All Other 4yr'!L11)-L11</f>
        <v>0</v>
      </c>
      <c r="AM11" s="130">
        <f>('Instruction-4YR'!M11+'RESEARCH 4yr'!M11+'PUBLIC SERVICE 4yr'!M11+'ASptISptSSv 4yr'!M11+'PLANT OPER MAIN 4yr'!M11+'SCHOLAR FELLOW 4yr'!M11+'All Other 4yr'!M11)-M11</f>
        <v>0</v>
      </c>
      <c r="AN11" s="130">
        <f>('Instruction-4YR'!N11+'RESEARCH 4yr'!N11+'PUBLIC SERVICE 4yr'!N11+'ASptISptSSv 4yr'!N11+'PLANT OPER MAIN 4yr'!N11+'SCHOLAR FELLOW 4yr'!N11+'All Other 4yr'!N11)-N11</f>
        <v>0</v>
      </c>
      <c r="AO11" s="130">
        <f>('Instruction-4YR'!O11+'RESEARCH 4yr'!O11+'PUBLIC SERVICE 4yr'!O11+'ASptISptSSv 4yr'!O11+'PLANT OPER MAIN 4yr'!O11+'SCHOLAR FELLOW 4yr'!O11+'All Other 4yr'!O11)-O11</f>
        <v>0</v>
      </c>
      <c r="AP11" s="130">
        <f>('Instruction-4YR'!P11+'RESEARCH 4yr'!P11+'PUBLIC SERVICE 4yr'!P11+'ASptISptSSv 4yr'!P11+'PLANT OPER MAIN 4yr'!P11+'SCHOLAR FELLOW 4yr'!P11+'All Other 4yr'!P11)-P11</f>
        <v>0</v>
      </c>
      <c r="AQ11" s="130">
        <f>('Instruction-4YR'!Q11+'RESEARCH 4yr'!Q11+'PUBLIC SERVICE 4yr'!Q11+'ASptISptSSv 4yr'!Q11+'PLANT OPER MAIN 4yr'!Q11+'SCHOLAR FELLOW 4yr'!Q11+'All Other 4yr'!Q11)-Q11</f>
        <v>0</v>
      </c>
      <c r="AR11" s="130">
        <f>('Instruction-4YR'!R11+'RESEARCH 4yr'!R11+'PUBLIC SERVICE 4yr'!R11+'ASptISptSSv 4yr'!R11+'PLANT OPER MAIN 4yr'!R11+'SCHOLAR FELLOW 4yr'!R11+'All Other 4yr'!R11)-R11</f>
        <v>0</v>
      </c>
      <c r="AS11" s="130">
        <f>('Instruction-4YR'!S11+'RESEARCH 4yr'!S11+'PUBLIC SERVICE 4yr'!S11+'ASptISptSSv 4yr'!S11+'PLANT OPER MAIN 4yr'!S11+'SCHOLAR FELLOW 4yr'!S11+'All Other 4yr'!S11)-S11</f>
        <v>0</v>
      </c>
      <c r="AT11" s="130">
        <f>('Instruction-4YR'!T11+'RESEARCH 4yr'!T11+'PUBLIC SERVICE 4yr'!T11+'ASptISptSSv 4yr'!T11+'PLANT OPER MAIN 4yr'!T11+'SCHOLAR FELLOW 4yr'!T11+'All Other 4yr'!T11)-T11</f>
        <v>0</v>
      </c>
      <c r="AU11" s="130">
        <f>('Instruction-4YR'!U11+'RESEARCH 4yr'!U11+'PUBLIC SERVICE 4yr'!U11+'ASptISptSSv 4yr'!U11+'PLANT OPER MAIN 4yr'!U11+'SCHOLAR FELLOW 4yr'!U11+'All Other 4yr'!U11)-U11</f>
        <v>0</v>
      </c>
      <c r="AV11" s="130">
        <f>('Instruction-4YR'!V11+'RESEARCH 4yr'!V11+'PUBLIC SERVICE 4yr'!V11+'ASptISptSSv 4yr'!V11+'PLANT OPER MAIN 4yr'!V11+'SCHOLAR FELLOW 4yr'!V11+'All Other 4yr'!V11)-V11</f>
        <v>0</v>
      </c>
      <c r="AW11" s="130">
        <f>('Instruction-4YR'!W11+'RESEARCH 4yr'!W11+'PUBLIC SERVICE 4yr'!W11+'ASptISptSSv 4yr'!W11+'PLANT OPER MAIN 4yr'!W11+'SCHOLAR FELLOW 4yr'!W11+'All Other 4yr'!W11)-W11</f>
        <v>0</v>
      </c>
      <c r="AX11" s="130">
        <f>('Instruction-4YR'!X11+'RESEARCH 4yr'!X11+'PUBLIC SERVICE 4yr'!X11+'ASptISptSSv 4yr'!X11+'PLANT OPER MAIN 4yr'!X11+'SCHOLAR FELLOW 4yr'!X11+'All Other 4yr'!X11)-X11</f>
        <v>0</v>
      </c>
      <c r="AY11" s="130">
        <f>('Instruction-4YR'!Y11+'RESEARCH 4yr'!Y11+'PUBLIC SERVICE 4yr'!Y11+'ASptISptSSv 4yr'!Y11+'PLANT OPER MAIN 4yr'!Y11+'SCHOLAR FELLOW 4yr'!Y11+'All Other 4yr'!Y11)-Y11</f>
        <v>0</v>
      </c>
      <c r="AZ11" s="130">
        <f>('Instruction-4YR'!Z11+'RESEARCH 4yr'!Z11+'PUBLIC SERVICE 4yr'!Z11+'ASptISptSSv 4yr'!Z11+'PLANT OPER MAIN 4yr'!Z11+'SCHOLAR FELLOW 4yr'!Z11+'All Other 4yr'!Z11)-Z11</f>
        <v>0</v>
      </c>
      <c r="BA11" s="130">
        <f>('Instruction-4YR'!AA11+'RESEARCH 4yr'!AA11+'PUBLIC SERVICE 4yr'!AA11+'ASptISptSSv 4yr'!AA11+'PLANT OPER MAIN 4yr'!AA11+'SCHOLAR FELLOW 4yr'!AA11+'All Other 4yr'!AA11)-AA11</f>
        <v>0</v>
      </c>
    </row>
    <row r="12" spans="1:53">
      <c r="A12" s="22" t="s">
        <v>5</v>
      </c>
      <c r="B12" s="13">
        <v>924985</v>
      </c>
      <c r="C12" s="13">
        <v>1044356</v>
      </c>
      <c r="D12" s="13">
        <v>1145345</v>
      </c>
      <c r="E12" s="13">
        <v>1855634.024</v>
      </c>
      <c r="F12" s="76">
        <v>1881048.3870000001</v>
      </c>
      <c r="G12" s="13">
        <v>2012103.2510000002</v>
      </c>
      <c r="H12" s="13">
        <v>2133489.8330000001</v>
      </c>
      <c r="I12" s="14">
        <v>2247997.98</v>
      </c>
      <c r="J12" s="14">
        <v>2407309.79</v>
      </c>
      <c r="K12" s="14">
        <v>2587336.409</v>
      </c>
      <c r="L12" s="14">
        <v>3226186.4360000002</v>
      </c>
      <c r="M12" s="14">
        <v>3587486.0350000001</v>
      </c>
      <c r="N12" s="14">
        <v>4217290.4680000003</v>
      </c>
      <c r="O12" s="14">
        <v>4991452.1239999998</v>
      </c>
      <c r="P12" s="14">
        <v>5338478.5939999996</v>
      </c>
      <c r="Q12" s="14">
        <v>5775126.7920000004</v>
      </c>
      <c r="R12" s="14">
        <v>6033378.665</v>
      </c>
      <c r="S12" s="14">
        <v>6128318.5719999997</v>
      </c>
      <c r="T12" s="2">
        <v>6438754.1880000001</v>
      </c>
      <c r="U12" s="2">
        <v>6396477.2529999996</v>
      </c>
      <c r="V12" s="2">
        <v>6629193.9289999995</v>
      </c>
      <c r="W12" s="2">
        <v>7173115.8739999998</v>
      </c>
      <c r="X12" s="2">
        <v>7352011.5829999996</v>
      </c>
      <c r="Y12" s="2">
        <v>7525764.6179999998</v>
      </c>
      <c r="Z12" s="2">
        <v>7844083.9919999996</v>
      </c>
      <c r="AA12" s="2">
        <v>8180014.7589999996</v>
      </c>
      <c r="AB12" s="130">
        <f>('Instruction-4YR'!B12+'RESEARCH 4yr'!B12+'PUBLIC SERVICE 4yr'!B12+'ASptISptSSv 4yr'!B12+'PLANT OPER MAIN 4yr'!B12+'SCHOLAR FELLOW 4yr'!B12+'All Other 4yr'!B12)-B12</f>
        <v>0</v>
      </c>
      <c r="AC12" s="130">
        <f>('Instruction-4YR'!C12+'RESEARCH 4yr'!C12+'PUBLIC SERVICE 4yr'!C12+'ASptISptSSv 4yr'!C12+'PLANT OPER MAIN 4yr'!C12+'SCHOLAR FELLOW 4yr'!C12+'All Other 4yr'!C12)-C12</f>
        <v>0</v>
      </c>
      <c r="AD12" s="130">
        <f>('Instruction-4YR'!D12+'RESEARCH 4yr'!D12+'PUBLIC SERVICE 4yr'!D12+'ASptISptSSv 4yr'!D12+'PLANT OPER MAIN 4yr'!D12+'SCHOLAR FELLOW 4yr'!D12+'All Other 4yr'!D12)-D12</f>
        <v>0</v>
      </c>
      <c r="AE12" s="130">
        <f>('Instruction-4YR'!E12+'RESEARCH 4yr'!E12+'PUBLIC SERVICE 4yr'!E12+'ASptISptSSv 4yr'!E12+'PLANT OPER MAIN 4yr'!E12+'SCHOLAR FELLOW 4yr'!E12+'All Other 4yr'!E12)-E12</f>
        <v>0</v>
      </c>
      <c r="AF12" s="130">
        <f>('Instruction-4YR'!F12+'RESEARCH 4yr'!F12+'PUBLIC SERVICE 4yr'!F12+'ASptISptSSv 4yr'!F12+'PLANT OPER MAIN 4yr'!F12+'SCHOLAR FELLOW 4yr'!F12+'All Other 4yr'!F12)-F12</f>
        <v>0</v>
      </c>
      <c r="AG12" s="130">
        <f>('Instruction-4YR'!G12+'RESEARCH 4yr'!G12+'PUBLIC SERVICE 4yr'!G12+'ASptISptSSv 4yr'!G12+'PLANT OPER MAIN 4yr'!G12+'SCHOLAR FELLOW 4yr'!G12+'All Other 4yr'!G12)-G12</f>
        <v>0</v>
      </c>
      <c r="AH12" s="130">
        <f>('Instruction-4YR'!H12+'RESEARCH 4yr'!H12+'PUBLIC SERVICE 4yr'!H12+'ASptISptSSv 4yr'!H12+'PLANT OPER MAIN 4yr'!H12+'SCHOLAR FELLOW 4yr'!H12+'All Other 4yr'!H12)-H12</f>
        <v>0</v>
      </c>
      <c r="AI12" s="130">
        <f>('Instruction-4YR'!I12+'RESEARCH 4yr'!I12+'PUBLIC SERVICE 4yr'!I12+'ASptISptSSv 4yr'!I12+'PLANT OPER MAIN 4yr'!I12+'SCHOLAR FELLOW 4yr'!I12+'All Other 4yr'!I12)-I12</f>
        <v>0</v>
      </c>
      <c r="AJ12" s="130">
        <f>('Instruction-4YR'!J12+'RESEARCH 4yr'!J12+'PUBLIC SERVICE 4yr'!J12+'ASptISptSSv 4yr'!J12+'PLANT OPER MAIN 4yr'!J12+'SCHOLAR FELLOW 4yr'!J12+'All Other 4yr'!J12)-J12</f>
        <v>0</v>
      </c>
      <c r="AK12" s="130">
        <f>('Instruction-4YR'!K12+'RESEARCH 4yr'!K12+'PUBLIC SERVICE 4yr'!K12+'ASptISptSSv 4yr'!K12+'PLANT OPER MAIN 4yr'!K12+'SCHOLAR FELLOW 4yr'!K12+'All Other 4yr'!K12)-K12</f>
        <v>0</v>
      </c>
      <c r="AL12" s="130">
        <f>('Instruction-4YR'!L12+'RESEARCH 4yr'!L12+'PUBLIC SERVICE 4yr'!L12+'ASptISptSSv 4yr'!L12+'PLANT OPER MAIN 4yr'!L12+'SCHOLAR FELLOW 4yr'!L12+'All Other 4yr'!L12)-L12</f>
        <v>0</v>
      </c>
      <c r="AM12" s="130">
        <f>('Instruction-4YR'!M12+'RESEARCH 4yr'!M12+'PUBLIC SERVICE 4yr'!M12+'ASptISptSSv 4yr'!M12+'PLANT OPER MAIN 4yr'!M12+'SCHOLAR FELLOW 4yr'!M12+'All Other 4yr'!M12)-M12</f>
        <v>0</v>
      </c>
      <c r="AN12" s="130">
        <f>('Instruction-4YR'!N12+'RESEARCH 4yr'!N12+'PUBLIC SERVICE 4yr'!N12+'ASptISptSSv 4yr'!N12+'PLANT OPER MAIN 4yr'!N12+'SCHOLAR FELLOW 4yr'!N12+'All Other 4yr'!N12)-N12</f>
        <v>0</v>
      </c>
      <c r="AO12" s="130">
        <f>('Instruction-4YR'!O12+'RESEARCH 4yr'!O12+'PUBLIC SERVICE 4yr'!O12+'ASptISptSSv 4yr'!O12+'PLANT OPER MAIN 4yr'!O12+'SCHOLAR FELLOW 4yr'!O12+'All Other 4yr'!O12)-O12</f>
        <v>0</v>
      </c>
      <c r="AP12" s="130">
        <f>('Instruction-4YR'!P12+'RESEARCH 4yr'!P12+'PUBLIC SERVICE 4yr'!P12+'ASptISptSSv 4yr'!P12+'PLANT OPER MAIN 4yr'!P12+'SCHOLAR FELLOW 4yr'!P12+'All Other 4yr'!P12)-P12</f>
        <v>0</v>
      </c>
      <c r="AQ12" s="130">
        <f>('Instruction-4YR'!Q12+'RESEARCH 4yr'!Q12+'PUBLIC SERVICE 4yr'!Q12+'ASptISptSSv 4yr'!Q12+'PLANT OPER MAIN 4yr'!Q12+'SCHOLAR FELLOW 4yr'!Q12+'All Other 4yr'!Q12)-Q12</f>
        <v>0</v>
      </c>
      <c r="AR12" s="130">
        <f>('Instruction-4YR'!R12+'RESEARCH 4yr'!R12+'PUBLIC SERVICE 4yr'!R12+'ASptISptSSv 4yr'!R12+'PLANT OPER MAIN 4yr'!R12+'SCHOLAR FELLOW 4yr'!R12+'All Other 4yr'!R12)-R12</f>
        <v>0</v>
      </c>
      <c r="AS12" s="130">
        <f>('Instruction-4YR'!S12+'RESEARCH 4yr'!S12+'PUBLIC SERVICE 4yr'!S12+'ASptISptSSv 4yr'!S12+'PLANT OPER MAIN 4yr'!S12+'SCHOLAR FELLOW 4yr'!S12+'All Other 4yr'!S12)-S12</f>
        <v>0</v>
      </c>
      <c r="AT12" s="130">
        <f>('Instruction-4YR'!T12+'RESEARCH 4yr'!T12+'PUBLIC SERVICE 4yr'!T12+'ASptISptSSv 4yr'!T12+'PLANT OPER MAIN 4yr'!T12+'SCHOLAR FELLOW 4yr'!T12+'All Other 4yr'!T12)-T12</f>
        <v>0</v>
      </c>
      <c r="AU12" s="130">
        <f>('Instruction-4YR'!U12+'RESEARCH 4yr'!U12+'PUBLIC SERVICE 4yr'!U12+'ASptISptSSv 4yr'!U12+'PLANT OPER MAIN 4yr'!U12+'SCHOLAR FELLOW 4yr'!U12+'All Other 4yr'!U12)-U12</f>
        <v>0</v>
      </c>
      <c r="AV12" s="130">
        <f>('Instruction-4YR'!V12+'RESEARCH 4yr'!V12+'PUBLIC SERVICE 4yr'!V12+'ASptISptSSv 4yr'!V12+'PLANT OPER MAIN 4yr'!V12+'SCHOLAR FELLOW 4yr'!V12+'All Other 4yr'!V12)-V12</f>
        <v>0</v>
      </c>
      <c r="AW12" s="130">
        <f>('Instruction-4YR'!W12+'RESEARCH 4yr'!W12+'PUBLIC SERVICE 4yr'!W12+'ASptISptSSv 4yr'!W12+'PLANT OPER MAIN 4yr'!W12+'SCHOLAR FELLOW 4yr'!W12+'All Other 4yr'!W12)-W12</f>
        <v>0</v>
      </c>
      <c r="AX12" s="130">
        <f>('Instruction-4YR'!X12+'RESEARCH 4yr'!X12+'PUBLIC SERVICE 4yr'!X12+'ASptISptSSv 4yr'!X12+'PLANT OPER MAIN 4yr'!X12+'SCHOLAR FELLOW 4yr'!X12+'All Other 4yr'!X12)-X12</f>
        <v>0</v>
      </c>
      <c r="AY12" s="130">
        <f>('Instruction-4YR'!Y12+'RESEARCH 4yr'!Y12+'PUBLIC SERVICE 4yr'!Y12+'ASptISptSSv 4yr'!Y12+'PLANT OPER MAIN 4yr'!Y12+'SCHOLAR FELLOW 4yr'!Y12+'All Other 4yr'!Y12)-Y12</f>
        <v>0</v>
      </c>
      <c r="AZ12" s="130">
        <f>('Instruction-4YR'!Z12+'RESEARCH 4yr'!Z12+'PUBLIC SERVICE 4yr'!Z12+'ASptISptSSv 4yr'!Z12+'PLANT OPER MAIN 4yr'!Z12+'SCHOLAR FELLOW 4yr'!Z12+'All Other 4yr'!Z12)-Z12</f>
        <v>0</v>
      </c>
      <c r="BA12" s="130">
        <f>('Instruction-4YR'!AA12+'RESEARCH 4yr'!AA12+'PUBLIC SERVICE 4yr'!AA12+'ASptISptSSv 4yr'!AA12+'PLANT OPER MAIN 4yr'!AA12+'SCHOLAR FELLOW 4yr'!AA12+'All Other 4yr'!AA12)-AA12</f>
        <v>0</v>
      </c>
    </row>
    <row r="13" spans="1:53">
      <c r="A13" s="22" t="s">
        <v>6</v>
      </c>
      <c r="B13" s="13">
        <v>807859</v>
      </c>
      <c r="C13" s="13">
        <v>879052</v>
      </c>
      <c r="D13" s="13">
        <v>970108</v>
      </c>
      <c r="E13" s="13">
        <v>1390066.121</v>
      </c>
      <c r="F13" s="76">
        <v>1419144.747</v>
      </c>
      <c r="G13" s="13">
        <v>1557577.8100000003</v>
      </c>
      <c r="H13" s="13">
        <v>1710861.3940000001</v>
      </c>
      <c r="I13" s="14">
        <v>1893038.5220000001</v>
      </c>
      <c r="J13" s="14">
        <v>2064175.628</v>
      </c>
      <c r="K13" s="14">
        <v>2264600.713</v>
      </c>
      <c r="L13" s="14">
        <v>2763148.3810000001</v>
      </c>
      <c r="M13" s="14">
        <v>3002379.429</v>
      </c>
      <c r="N13" s="14">
        <v>3059796.415</v>
      </c>
      <c r="O13" s="14">
        <v>3315703.0219999999</v>
      </c>
      <c r="P13" s="14">
        <v>3383469.2209999999</v>
      </c>
      <c r="Q13" s="14">
        <v>3441495.574</v>
      </c>
      <c r="R13" s="14">
        <v>3692636.6860000002</v>
      </c>
      <c r="S13" s="14">
        <v>3972563.91</v>
      </c>
      <c r="T13" s="2">
        <v>4311926.0760000004</v>
      </c>
      <c r="U13" s="2">
        <v>4009101.44</v>
      </c>
      <c r="V13" s="2">
        <v>4519042.1009999998</v>
      </c>
      <c r="W13" s="2">
        <v>4970351.585</v>
      </c>
      <c r="X13" s="2">
        <v>5111050.3820000002</v>
      </c>
      <c r="Y13" s="2">
        <v>5441634.5140000004</v>
      </c>
      <c r="Z13" s="2">
        <v>5575900.5240000002</v>
      </c>
      <c r="AA13" s="2">
        <v>5833515.3020000001</v>
      </c>
      <c r="AB13" s="130">
        <f>('Instruction-4YR'!B13+'RESEARCH 4yr'!B13+'PUBLIC SERVICE 4yr'!B13+'ASptISptSSv 4yr'!B13+'PLANT OPER MAIN 4yr'!B13+'SCHOLAR FELLOW 4yr'!B13+'All Other 4yr'!B13)-B13</f>
        <v>0</v>
      </c>
      <c r="AC13" s="130">
        <f>('Instruction-4YR'!C13+'RESEARCH 4yr'!C13+'PUBLIC SERVICE 4yr'!C13+'ASptISptSSv 4yr'!C13+'PLANT OPER MAIN 4yr'!C13+'SCHOLAR FELLOW 4yr'!C13+'All Other 4yr'!C13)-C13</f>
        <v>0</v>
      </c>
      <c r="AD13" s="130">
        <f>('Instruction-4YR'!D13+'RESEARCH 4yr'!D13+'PUBLIC SERVICE 4yr'!D13+'ASptISptSSv 4yr'!D13+'PLANT OPER MAIN 4yr'!D13+'SCHOLAR FELLOW 4yr'!D13+'All Other 4yr'!D13)-D13</f>
        <v>0</v>
      </c>
      <c r="AE13" s="130">
        <f>('Instruction-4YR'!E13+'RESEARCH 4yr'!E13+'PUBLIC SERVICE 4yr'!E13+'ASptISptSSv 4yr'!E13+'PLANT OPER MAIN 4yr'!E13+'SCHOLAR FELLOW 4yr'!E13+'All Other 4yr'!E13)-E13</f>
        <v>0</v>
      </c>
      <c r="AF13" s="130">
        <f>('Instruction-4YR'!F13+'RESEARCH 4yr'!F13+'PUBLIC SERVICE 4yr'!F13+'ASptISptSSv 4yr'!F13+'PLANT OPER MAIN 4yr'!F13+'SCHOLAR FELLOW 4yr'!F13+'All Other 4yr'!F13)-F13</f>
        <v>0</v>
      </c>
      <c r="AG13" s="130">
        <f>('Instruction-4YR'!G13+'RESEARCH 4yr'!G13+'PUBLIC SERVICE 4yr'!G13+'ASptISptSSv 4yr'!G13+'PLANT OPER MAIN 4yr'!G13+'SCHOLAR FELLOW 4yr'!G13+'All Other 4yr'!G13)-G13</f>
        <v>0</v>
      </c>
      <c r="AH13" s="130">
        <f>('Instruction-4YR'!H13+'RESEARCH 4yr'!H13+'PUBLIC SERVICE 4yr'!H13+'ASptISptSSv 4yr'!H13+'PLANT OPER MAIN 4yr'!H13+'SCHOLAR FELLOW 4yr'!H13+'All Other 4yr'!H13)-H13</f>
        <v>0</v>
      </c>
      <c r="AI13" s="130">
        <f>('Instruction-4YR'!I13+'RESEARCH 4yr'!I13+'PUBLIC SERVICE 4yr'!I13+'ASptISptSSv 4yr'!I13+'PLANT OPER MAIN 4yr'!I13+'SCHOLAR FELLOW 4yr'!I13+'All Other 4yr'!I13)-I13</f>
        <v>0</v>
      </c>
      <c r="AJ13" s="130">
        <f>('Instruction-4YR'!J13+'RESEARCH 4yr'!J13+'PUBLIC SERVICE 4yr'!J13+'ASptISptSSv 4yr'!J13+'PLANT OPER MAIN 4yr'!J13+'SCHOLAR FELLOW 4yr'!J13+'All Other 4yr'!J13)-J13</f>
        <v>0</v>
      </c>
      <c r="AK13" s="130">
        <f>('Instruction-4YR'!K13+'RESEARCH 4yr'!K13+'PUBLIC SERVICE 4yr'!K13+'ASptISptSSv 4yr'!K13+'PLANT OPER MAIN 4yr'!K13+'SCHOLAR FELLOW 4yr'!K13+'All Other 4yr'!K13)-K13</f>
        <v>0</v>
      </c>
      <c r="AL13" s="130">
        <f>('Instruction-4YR'!L13+'RESEARCH 4yr'!L13+'PUBLIC SERVICE 4yr'!L13+'ASptISptSSv 4yr'!L13+'PLANT OPER MAIN 4yr'!L13+'SCHOLAR FELLOW 4yr'!L13+'All Other 4yr'!L13)-L13</f>
        <v>0</v>
      </c>
      <c r="AM13" s="130">
        <f>('Instruction-4YR'!M13+'RESEARCH 4yr'!M13+'PUBLIC SERVICE 4yr'!M13+'ASptISptSSv 4yr'!M13+'PLANT OPER MAIN 4yr'!M13+'SCHOLAR FELLOW 4yr'!M13+'All Other 4yr'!M13)-M13</f>
        <v>0</v>
      </c>
      <c r="AN13" s="130">
        <f>('Instruction-4YR'!N13+'RESEARCH 4yr'!N13+'PUBLIC SERVICE 4yr'!N13+'ASptISptSSv 4yr'!N13+'PLANT OPER MAIN 4yr'!N13+'SCHOLAR FELLOW 4yr'!N13+'All Other 4yr'!N13)-N13</f>
        <v>0</v>
      </c>
      <c r="AO13" s="130">
        <f>('Instruction-4YR'!O13+'RESEARCH 4yr'!O13+'PUBLIC SERVICE 4yr'!O13+'ASptISptSSv 4yr'!O13+'PLANT OPER MAIN 4yr'!O13+'SCHOLAR FELLOW 4yr'!O13+'All Other 4yr'!O13)-O13</f>
        <v>0</v>
      </c>
      <c r="AP13" s="130">
        <f>('Instruction-4YR'!P13+'RESEARCH 4yr'!P13+'PUBLIC SERVICE 4yr'!P13+'ASptISptSSv 4yr'!P13+'PLANT OPER MAIN 4yr'!P13+'SCHOLAR FELLOW 4yr'!P13+'All Other 4yr'!P13)-P13</f>
        <v>0</v>
      </c>
      <c r="AQ13" s="130">
        <f>('Instruction-4YR'!Q13+'RESEARCH 4yr'!Q13+'PUBLIC SERVICE 4yr'!Q13+'ASptISptSSv 4yr'!Q13+'PLANT OPER MAIN 4yr'!Q13+'SCHOLAR FELLOW 4yr'!Q13+'All Other 4yr'!Q13)-Q13</f>
        <v>0</v>
      </c>
      <c r="AR13" s="130">
        <f>('Instruction-4YR'!R13+'RESEARCH 4yr'!R13+'PUBLIC SERVICE 4yr'!R13+'ASptISptSSv 4yr'!R13+'PLANT OPER MAIN 4yr'!R13+'SCHOLAR FELLOW 4yr'!R13+'All Other 4yr'!R13)-R13</f>
        <v>0</v>
      </c>
      <c r="AS13" s="130">
        <f>('Instruction-4YR'!S13+'RESEARCH 4yr'!S13+'PUBLIC SERVICE 4yr'!S13+'ASptISptSSv 4yr'!S13+'PLANT OPER MAIN 4yr'!S13+'SCHOLAR FELLOW 4yr'!S13+'All Other 4yr'!S13)-S13</f>
        <v>0</v>
      </c>
      <c r="AT13" s="130">
        <f>('Instruction-4YR'!T13+'RESEARCH 4yr'!T13+'PUBLIC SERVICE 4yr'!T13+'ASptISptSSv 4yr'!T13+'PLANT OPER MAIN 4yr'!T13+'SCHOLAR FELLOW 4yr'!T13+'All Other 4yr'!T13)-T13</f>
        <v>0</v>
      </c>
      <c r="AU13" s="130">
        <f>('Instruction-4YR'!U13+'RESEARCH 4yr'!U13+'PUBLIC SERVICE 4yr'!U13+'ASptISptSSv 4yr'!U13+'PLANT OPER MAIN 4yr'!U13+'SCHOLAR FELLOW 4yr'!U13+'All Other 4yr'!U13)-U13</f>
        <v>0</v>
      </c>
      <c r="AV13" s="130">
        <f>('Instruction-4YR'!V13+'RESEARCH 4yr'!V13+'PUBLIC SERVICE 4yr'!V13+'ASptISptSSv 4yr'!V13+'PLANT OPER MAIN 4yr'!V13+'SCHOLAR FELLOW 4yr'!V13+'All Other 4yr'!V13)-V13</f>
        <v>0</v>
      </c>
      <c r="AW13" s="130">
        <f>('Instruction-4YR'!W13+'RESEARCH 4yr'!W13+'PUBLIC SERVICE 4yr'!W13+'ASptISptSSv 4yr'!W13+'PLANT OPER MAIN 4yr'!W13+'SCHOLAR FELLOW 4yr'!W13+'All Other 4yr'!W13)-W13</f>
        <v>0</v>
      </c>
      <c r="AX13" s="130">
        <f>('Instruction-4YR'!X13+'RESEARCH 4yr'!X13+'PUBLIC SERVICE 4yr'!X13+'ASptISptSSv 4yr'!X13+'PLANT OPER MAIN 4yr'!X13+'SCHOLAR FELLOW 4yr'!X13+'All Other 4yr'!X13)-X13</f>
        <v>0</v>
      </c>
      <c r="AY13" s="130">
        <f>('Instruction-4YR'!Y13+'RESEARCH 4yr'!Y13+'PUBLIC SERVICE 4yr'!Y13+'ASptISptSSv 4yr'!Y13+'PLANT OPER MAIN 4yr'!Y13+'SCHOLAR FELLOW 4yr'!Y13+'All Other 4yr'!Y13)-Y13</f>
        <v>0</v>
      </c>
      <c r="AZ13" s="130">
        <f>('Instruction-4YR'!Z13+'RESEARCH 4yr'!Z13+'PUBLIC SERVICE 4yr'!Z13+'ASptISptSSv 4yr'!Z13+'PLANT OPER MAIN 4yr'!Z13+'SCHOLAR FELLOW 4yr'!Z13+'All Other 4yr'!Z13)-Z13</f>
        <v>0</v>
      </c>
      <c r="BA13" s="130">
        <f>('Instruction-4YR'!AA13+'RESEARCH 4yr'!AA13+'PUBLIC SERVICE 4yr'!AA13+'ASptISptSSv 4yr'!AA13+'PLANT OPER MAIN 4yr'!AA13+'SCHOLAR FELLOW 4yr'!AA13+'All Other 4yr'!AA13)-AA13</f>
        <v>0</v>
      </c>
    </row>
    <row r="14" spans="1:53">
      <c r="A14" s="22" t="s">
        <v>7</v>
      </c>
      <c r="B14" s="13">
        <v>628815</v>
      </c>
      <c r="C14" s="13">
        <v>665794</v>
      </c>
      <c r="D14" s="13">
        <v>715016</v>
      </c>
      <c r="E14" s="13">
        <v>1072983.574</v>
      </c>
      <c r="F14" s="76">
        <v>1150457.7520000001</v>
      </c>
      <c r="G14" s="13">
        <v>1158150.81</v>
      </c>
      <c r="H14" s="13">
        <v>1192817.753</v>
      </c>
      <c r="I14" s="14">
        <v>1257125.8529999999</v>
      </c>
      <c r="J14" s="14">
        <v>1342184.3489999999</v>
      </c>
      <c r="K14" s="14">
        <v>1479294.3389999999</v>
      </c>
      <c r="L14" s="14">
        <v>1761461.2390000001</v>
      </c>
      <c r="M14" s="14">
        <v>1876517.142</v>
      </c>
      <c r="N14" s="14">
        <v>2042078.3770000001</v>
      </c>
      <c r="O14" s="14">
        <v>2172397.5260000001</v>
      </c>
      <c r="P14" s="14">
        <v>2281209.4700000002</v>
      </c>
      <c r="Q14" s="14">
        <v>2405702.557</v>
      </c>
      <c r="R14" s="14">
        <v>2593105.3280000002</v>
      </c>
      <c r="S14" s="14">
        <v>2814474.1519999998</v>
      </c>
      <c r="T14" s="2">
        <v>2992753.273</v>
      </c>
      <c r="U14" s="2">
        <v>3083955.87</v>
      </c>
      <c r="V14" s="2">
        <v>3282846.841</v>
      </c>
      <c r="W14" s="2">
        <v>3418773.3080000002</v>
      </c>
      <c r="X14" s="2">
        <v>3545538.9109999998</v>
      </c>
      <c r="Y14" s="2">
        <v>3528168.1609999998</v>
      </c>
      <c r="Z14" s="2">
        <v>3549577.0290000001</v>
      </c>
      <c r="AA14" s="2">
        <v>3769150.165</v>
      </c>
      <c r="AB14" s="130">
        <f>('Instruction-4YR'!B14+'RESEARCH 4yr'!B14+'PUBLIC SERVICE 4yr'!B14+'ASptISptSSv 4yr'!B14+'PLANT OPER MAIN 4yr'!B14+'SCHOLAR FELLOW 4yr'!B14+'All Other 4yr'!B14)-B14</f>
        <v>0</v>
      </c>
      <c r="AC14" s="130">
        <f>('Instruction-4YR'!C14+'RESEARCH 4yr'!C14+'PUBLIC SERVICE 4yr'!C14+'ASptISptSSv 4yr'!C14+'PLANT OPER MAIN 4yr'!C14+'SCHOLAR FELLOW 4yr'!C14+'All Other 4yr'!C14)-C14</f>
        <v>0</v>
      </c>
      <c r="AD14" s="130">
        <f>('Instruction-4YR'!D14+'RESEARCH 4yr'!D14+'PUBLIC SERVICE 4yr'!D14+'ASptISptSSv 4yr'!D14+'PLANT OPER MAIN 4yr'!D14+'SCHOLAR FELLOW 4yr'!D14+'All Other 4yr'!D14)-D14</f>
        <v>0</v>
      </c>
      <c r="AE14" s="130">
        <f>('Instruction-4YR'!E14+'RESEARCH 4yr'!E14+'PUBLIC SERVICE 4yr'!E14+'ASptISptSSv 4yr'!E14+'PLANT OPER MAIN 4yr'!E14+'SCHOLAR FELLOW 4yr'!E14+'All Other 4yr'!E14)-E14</f>
        <v>0</v>
      </c>
      <c r="AF14" s="130">
        <f>('Instruction-4YR'!F14+'RESEARCH 4yr'!F14+'PUBLIC SERVICE 4yr'!F14+'ASptISptSSv 4yr'!F14+'PLANT OPER MAIN 4yr'!F14+'SCHOLAR FELLOW 4yr'!F14+'All Other 4yr'!F14)-F14</f>
        <v>0</v>
      </c>
      <c r="AG14" s="130">
        <f>('Instruction-4YR'!G14+'RESEARCH 4yr'!G14+'PUBLIC SERVICE 4yr'!G14+'ASptISptSSv 4yr'!G14+'PLANT OPER MAIN 4yr'!G14+'SCHOLAR FELLOW 4yr'!G14+'All Other 4yr'!G14)-G14</f>
        <v>0</v>
      </c>
      <c r="AH14" s="130">
        <f>('Instruction-4YR'!H14+'RESEARCH 4yr'!H14+'PUBLIC SERVICE 4yr'!H14+'ASptISptSSv 4yr'!H14+'PLANT OPER MAIN 4yr'!H14+'SCHOLAR FELLOW 4yr'!H14+'All Other 4yr'!H14)-H14</f>
        <v>0</v>
      </c>
      <c r="AI14" s="130">
        <f>('Instruction-4YR'!I14+'RESEARCH 4yr'!I14+'PUBLIC SERVICE 4yr'!I14+'ASptISptSSv 4yr'!I14+'PLANT OPER MAIN 4yr'!I14+'SCHOLAR FELLOW 4yr'!I14+'All Other 4yr'!I14)-I14</f>
        <v>0</v>
      </c>
      <c r="AJ14" s="130">
        <f>('Instruction-4YR'!J14+'RESEARCH 4yr'!J14+'PUBLIC SERVICE 4yr'!J14+'ASptISptSSv 4yr'!J14+'PLANT OPER MAIN 4yr'!J14+'SCHOLAR FELLOW 4yr'!J14+'All Other 4yr'!J14)-J14</f>
        <v>0</v>
      </c>
      <c r="AK14" s="130">
        <f>('Instruction-4YR'!K14+'RESEARCH 4yr'!K14+'PUBLIC SERVICE 4yr'!K14+'ASptISptSSv 4yr'!K14+'PLANT OPER MAIN 4yr'!K14+'SCHOLAR FELLOW 4yr'!K14+'All Other 4yr'!K14)-K14</f>
        <v>0</v>
      </c>
      <c r="AL14" s="130">
        <f>('Instruction-4YR'!L14+'RESEARCH 4yr'!L14+'PUBLIC SERVICE 4yr'!L14+'ASptISptSSv 4yr'!L14+'PLANT OPER MAIN 4yr'!L14+'SCHOLAR FELLOW 4yr'!L14+'All Other 4yr'!L14)-L14</f>
        <v>0</v>
      </c>
      <c r="AM14" s="130">
        <f>('Instruction-4YR'!M14+'RESEARCH 4yr'!M14+'PUBLIC SERVICE 4yr'!M14+'ASptISptSSv 4yr'!M14+'PLANT OPER MAIN 4yr'!M14+'SCHOLAR FELLOW 4yr'!M14+'All Other 4yr'!M14)-M14</f>
        <v>0</v>
      </c>
      <c r="AN14" s="130">
        <f>('Instruction-4YR'!N14+'RESEARCH 4yr'!N14+'PUBLIC SERVICE 4yr'!N14+'ASptISptSSv 4yr'!N14+'PLANT OPER MAIN 4yr'!N14+'SCHOLAR FELLOW 4yr'!N14+'All Other 4yr'!N14)-N14</f>
        <v>0</v>
      </c>
      <c r="AO14" s="130">
        <f>('Instruction-4YR'!O14+'RESEARCH 4yr'!O14+'PUBLIC SERVICE 4yr'!O14+'ASptISptSSv 4yr'!O14+'PLANT OPER MAIN 4yr'!O14+'SCHOLAR FELLOW 4yr'!O14+'All Other 4yr'!O14)-O14</f>
        <v>0</v>
      </c>
      <c r="AP14" s="130">
        <f>('Instruction-4YR'!P14+'RESEARCH 4yr'!P14+'PUBLIC SERVICE 4yr'!P14+'ASptISptSSv 4yr'!P14+'PLANT OPER MAIN 4yr'!P14+'SCHOLAR FELLOW 4yr'!P14+'All Other 4yr'!P14)-P14</f>
        <v>0</v>
      </c>
      <c r="AQ14" s="130">
        <f>('Instruction-4YR'!Q14+'RESEARCH 4yr'!Q14+'PUBLIC SERVICE 4yr'!Q14+'ASptISptSSv 4yr'!Q14+'PLANT OPER MAIN 4yr'!Q14+'SCHOLAR FELLOW 4yr'!Q14+'All Other 4yr'!Q14)-Q14</f>
        <v>0</v>
      </c>
      <c r="AR14" s="130">
        <f>('Instruction-4YR'!R14+'RESEARCH 4yr'!R14+'PUBLIC SERVICE 4yr'!R14+'ASptISptSSv 4yr'!R14+'PLANT OPER MAIN 4yr'!R14+'SCHOLAR FELLOW 4yr'!R14+'All Other 4yr'!R14)-R14</f>
        <v>0</v>
      </c>
      <c r="AS14" s="130">
        <f>('Instruction-4YR'!S14+'RESEARCH 4yr'!S14+'PUBLIC SERVICE 4yr'!S14+'ASptISptSSv 4yr'!S14+'PLANT OPER MAIN 4yr'!S14+'SCHOLAR FELLOW 4yr'!S14+'All Other 4yr'!S14)-S14</f>
        <v>0</v>
      </c>
      <c r="AT14" s="130">
        <f>('Instruction-4YR'!T14+'RESEARCH 4yr'!T14+'PUBLIC SERVICE 4yr'!T14+'ASptISptSSv 4yr'!T14+'PLANT OPER MAIN 4yr'!T14+'SCHOLAR FELLOW 4yr'!T14+'All Other 4yr'!T14)-T14</f>
        <v>0</v>
      </c>
      <c r="AU14" s="130">
        <f>('Instruction-4YR'!U14+'RESEARCH 4yr'!U14+'PUBLIC SERVICE 4yr'!U14+'ASptISptSSv 4yr'!U14+'PLANT OPER MAIN 4yr'!U14+'SCHOLAR FELLOW 4yr'!U14+'All Other 4yr'!U14)-U14</f>
        <v>0</v>
      </c>
      <c r="AV14" s="130">
        <f>('Instruction-4YR'!V14+'RESEARCH 4yr'!V14+'PUBLIC SERVICE 4yr'!V14+'ASptISptSSv 4yr'!V14+'PLANT OPER MAIN 4yr'!V14+'SCHOLAR FELLOW 4yr'!V14+'All Other 4yr'!V14)-V14</f>
        <v>0</v>
      </c>
      <c r="AW14" s="130">
        <f>('Instruction-4YR'!W14+'RESEARCH 4yr'!W14+'PUBLIC SERVICE 4yr'!W14+'ASptISptSSv 4yr'!W14+'PLANT OPER MAIN 4yr'!W14+'SCHOLAR FELLOW 4yr'!W14+'All Other 4yr'!W14)-W14</f>
        <v>0</v>
      </c>
      <c r="AX14" s="130">
        <f>('Instruction-4YR'!X14+'RESEARCH 4yr'!X14+'PUBLIC SERVICE 4yr'!X14+'ASptISptSSv 4yr'!X14+'PLANT OPER MAIN 4yr'!X14+'SCHOLAR FELLOW 4yr'!X14+'All Other 4yr'!X14)-X14</f>
        <v>0</v>
      </c>
      <c r="AY14" s="130">
        <f>('Instruction-4YR'!Y14+'RESEARCH 4yr'!Y14+'PUBLIC SERVICE 4yr'!Y14+'ASptISptSSv 4yr'!Y14+'PLANT OPER MAIN 4yr'!Y14+'SCHOLAR FELLOW 4yr'!Y14+'All Other 4yr'!Y14)-Y14</f>
        <v>0</v>
      </c>
      <c r="AZ14" s="130">
        <f>('Instruction-4YR'!Z14+'RESEARCH 4yr'!Z14+'PUBLIC SERVICE 4yr'!Z14+'ASptISptSSv 4yr'!Z14+'PLANT OPER MAIN 4yr'!Z14+'SCHOLAR FELLOW 4yr'!Z14+'All Other 4yr'!Z14)-Z14</f>
        <v>0</v>
      </c>
      <c r="BA14" s="130">
        <f>('Instruction-4YR'!AA14+'RESEARCH 4yr'!AA14+'PUBLIC SERVICE 4yr'!AA14+'ASptISptSSv 4yr'!AA14+'PLANT OPER MAIN 4yr'!AA14+'SCHOLAR FELLOW 4yr'!AA14+'All Other 4yr'!AA14)-AA14</f>
        <v>0</v>
      </c>
    </row>
    <row r="15" spans="1:53">
      <c r="A15" s="22" t="s">
        <v>8</v>
      </c>
      <c r="B15" s="36">
        <v>717334</v>
      </c>
      <c r="C15" s="36">
        <v>781557</v>
      </c>
      <c r="D15" s="36">
        <v>817246</v>
      </c>
      <c r="E15" s="36">
        <v>1158122.371</v>
      </c>
      <c r="F15" s="77">
        <v>1227587.1040000001</v>
      </c>
      <c r="G15" s="36">
        <v>1306806.69</v>
      </c>
      <c r="H15" s="36">
        <v>1350792.314</v>
      </c>
      <c r="I15" s="37">
        <v>1479879.66</v>
      </c>
      <c r="J15" s="37">
        <v>1526302.976</v>
      </c>
      <c r="K15" s="37">
        <v>1605496.5919999999</v>
      </c>
      <c r="L15" s="37">
        <v>1876075.8189999999</v>
      </c>
      <c r="M15" s="37">
        <v>1961494.2320000001</v>
      </c>
      <c r="N15" s="37">
        <v>2044827.2720000001</v>
      </c>
      <c r="O15" s="37">
        <v>2230786.8169999998</v>
      </c>
      <c r="P15" s="37">
        <v>2467873.781</v>
      </c>
      <c r="Q15" s="37">
        <v>2579727.5789999999</v>
      </c>
      <c r="R15" s="37">
        <v>2549160.1940000001</v>
      </c>
      <c r="S15" s="37">
        <v>2673196.2439999999</v>
      </c>
      <c r="T15" s="23">
        <v>3137734.5959999999</v>
      </c>
      <c r="U15" s="23">
        <v>2509278.3330000001</v>
      </c>
      <c r="V15" s="23">
        <v>3057992.0079999999</v>
      </c>
      <c r="W15" s="23">
        <v>3083894.5380000002</v>
      </c>
      <c r="X15" s="23">
        <v>3088234.162</v>
      </c>
      <c r="Y15" s="2">
        <v>3091437.2790000001</v>
      </c>
      <c r="Z15" s="2">
        <v>3146487.4559999998</v>
      </c>
      <c r="AA15" s="2">
        <v>3145790.6359999999</v>
      </c>
      <c r="AB15" s="130">
        <f>('Instruction-4YR'!B15+'RESEARCH 4yr'!B15+'PUBLIC SERVICE 4yr'!B15+'ASptISptSSv 4yr'!B15+'PLANT OPER MAIN 4yr'!B15+'SCHOLAR FELLOW 4yr'!B15+'All Other 4yr'!B15)-B15</f>
        <v>0</v>
      </c>
      <c r="AC15" s="130">
        <f>('Instruction-4YR'!C15+'RESEARCH 4yr'!C15+'PUBLIC SERVICE 4yr'!C15+'ASptISptSSv 4yr'!C15+'PLANT OPER MAIN 4yr'!C15+'SCHOLAR FELLOW 4yr'!C15+'All Other 4yr'!C15)-C15</f>
        <v>0</v>
      </c>
      <c r="AD15" s="130">
        <f>('Instruction-4YR'!D15+'RESEARCH 4yr'!D15+'PUBLIC SERVICE 4yr'!D15+'ASptISptSSv 4yr'!D15+'PLANT OPER MAIN 4yr'!D15+'SCHOLAR FELLOW 4yr'!D15+'All Other 4yr'!D15)-D15</f>
        <v>0</v>
      </c>
      <c r="AE15" s="130">
        <f>('Instruction-4YR'!E15+'RESEARCH 4yr'!E15+'PUBLIC SERVICE 4yr'!E15+'ASptISptSSv 4yr'!E15+'PLANT OPER MAIN 4yr'!E15+'SCHOLAR FELLOW 4yr'!E15+'All Other 4yr'!E15)-E15</f>
        <v>0</v>
      </c>
      <c r="AF15" s="130">
        <f>('Instruction-4YR'!F15+'RESEARCH 4yr'!F15+'PUBLIC SERVICE 4yr'!F15+'ASptISptSSv 4yr'!F15+'PLANT OPER MAIN 4yr'!F15+'SCHOLAR FELLOW 4yr'!F15+'All Other 4yr'!F15)-F15</f>
        <v>0</v>
      </c>
      <c r="AG15" s="130">
        <f>('Instruction-4YR'!G15+'RESEARCH 4yr'!G15+'PUBLIC SERVICE 4yr'!G15+'ASptISptSSv 4yr'!G15+'PLANT OPER MAIN 4yr'!G15+'SCHOLAR FELLOW 4yr'!G15+'All Other 4yr'!G15)-G15</f>
        <v>0</v>
      </c>
      <c r="AH15" s="130">
        <f>('Instruction-4YR'!H15+'RESEARCH 4yr'!H15+'PUBLIC SERVICE 4yr'!H15+'ASptISptSSv 4yr'!H15+'PLANT OPER MAIN 4yr'!H15+'SCHOLAR FELLOW 4yr'!H15+'All Other 4yr'!H15)-H15</f>
        <v>0</v>
      </c>
      <c r="AI15" s="130">
        <f>('Instruction-4YR'!I15+'RESEARCH 4yr'!I15+'PUBLIC SERVICE 4yr'!I15+'ASptISptSSv 4yr'!I15+'PLANT OPER MAIN 4yr'!I15+'SCHOLAR FELLOW 4yr'!I15+'All Other 4yr'!I15)-I15</f>
        <v>0</v>
      </c>
      <c r="AJ15" s="130">
        <f>('Instruction-4YR'!J15+'RESEARCH 4yr'!J15+'PUBLIC SERVICE 4yr'!J15+'ASptISptSSv 4yr'!J15+'PLANT OPER MAIN 4yr'!J15+'SCHOLAR FELLOW 4yr'!J15+'All Other 4yr'!J15)-J15</f>
        <v>0</v>
      </c>
      <c r="AK15" s="130">
        <f>('Instruction-4YR'!K15+'RESEARCH 4yr'!K15+'PUBLIC SERVICE 4yr'!K15+'ASptISptSSv 4yr'!K15+'PLANT OPER MAIN 4yr'!K15+'SCHOLAR FELLOW 4yr'!K15+'All Other 4yr'!K15)-K15</f>
        <v>0</v>
      </c>
      <c r="AL15" s="130">
        <f>('Instruction-4YR'!L15+'RESEARCH 4yr'!L15+'PUBLIC SERVICE 4yr'!L15+'ASptISptSSv 4yr'!L15+'PLANT OPER MAIN 4yr'!L15+'SCHOLAR FELLOW 4yr'!L15+'All Other 4yr'!L15)-L15</f>
        <v>0</v>
      </c>
      <c r="AM15" s="130">
        <f>('Instruction-4YR'!M15+'RESEARCH 4yr'!M15+'PUBLIC SERVICE 4yr'!M15+'ASptISptSSv 4yr'!M15+'PLANT OPER MAIN 4yr'!M15+'SCHOLAR FELLOW 4yr'!M15+'All Other 4yr'!M15)-M15</f>
        <v>0</v>
      </c>
      <c r="AN15" s="130">
        <f>('Instruction-4YR'!N15+'RESEARCH 4yr'!N15+'PUBLIC SERVICE 4yr'!N15+'ASptISptSSv 4yr'!N15+'PLANT OPER MAIN 4yr'!N15+'SCHOLAR FELLOW 4yr'!N15+'All Other 4yr'!N15)-N15</f>
        <v>0</v>
      </c>
      <c r="AO15" s="130">
        <f>('Instruction-4YR'!O15+'RESEARCH 4yr'!O15+'PUBLIC SERVICE 4yr'!O15+'ASptISptSSv 4yr'!O15+'PLANT OPER MAIN 4yr'!O15+'SCHOLAR FELLOW 4yr'!O15+'All Other 4yr'!O15)-O15</f>
        <v>0</v>
      </c>
      <c r="AP15" s="130">
        <f>('Instruction-4YR'!P15+'RESEARCH 4yr'!P15+'PUBLIC SERVICE 4yr'!P15+'ASptISptSSv 4yr'!P15+'PLANT OPER MAIN 4yr'!P15+'SCHOLAR FELLOW 4yr'!P15+'All Other 4yr'!P15)-P15</f>
        <v>0</v>
      </c>
      <c r="AQ15" s="130">
        <f>('Instruction-4YR'!Q15+'RESEARCH 4yr'!Q15+'PUBLIC SERVICE 4yr'!Q15+'ASptISptSSv 4yr'!Q15+'PLANT OPER MAIN 4yr'!Q15+'SCHOLAR FELLOW 4yr'!Q15+'All Other 4yr'!Q15)-Q15</f>
        <v>0</v>
      </c>
      <c r="AR15" s="130">
        <f>('Instruction-4YR'!R15+'RESEARCH 4yr'!R15+'PUBLIC SERVICE 4yr'!R15+'ASptISptSSv 4yr'!R15+'PLANT OPER MAIN 4yr'!R15+'SCHOLAR FELLOW 4yr'!R15+'All Other 4yr'!R15)-R15</f>
        <v>0</v>
      </c>
      <c r="AS15" s="130">
        <f>('Instruction-4YR'!S15+'RESEARCH 4yr'!S15+'PUBLIC SERVICE 4yr'!S15+'ASptISptSSv 4yr'!S15+'PLANT OPER MAIN 4yr'!S15+'SCHOLAR FELLOW 4yr'!S15+'All Other 4yr'!S15)-S15</f>
        <v>0</v>
      </c>
      <c r="AT15" s="130">
        <f>('Instruction-4YR'!T15+'RESEARCH 4yr'!T15+'PUBLIC SERVICE 4yr'!T15+'ASptISptSSv 4yr'!T15+'PLANT OPER MAIN 4yr'!T15+'SCHOLAR FELLOW 4yr'!T15+'All Other 4yr'!T15)-T15</f>
        <v>0</v>
      </c>
      <c r="AU15" s="130">
        <f>('Instruction-4YR'!U15+'RESEARCH 4yr'!U15+'PUBLIC SERVICE 4yr'!U15+'ASptISptSSv 4yr'!U15+'PLANT OPER MAIN 4yr'!U15+'SCHOLAR FELLOW 4yr'!U15+'All Other 4yr'!U15)-U15</f>
        <v>0</v>
      </c>
      <c r="AV15" s="130">
        <f>('Instruction-4YR'!V15+'RESEARCH 4yr'!V15+'PUBLIC SERVICE 4yr'!V15+'ASptISptSSv 4yr'!V15+'PLANT OPER MAIN 4yr'!V15+'SCHOLAR FELLOW 4yr'!V15+'All Other 4yr'!V15)-V15</f>
        <v>0</v>
      </c>
      <c r="AW15" s="130">
        <f>('Instruction-4YR'!W15+'RESEARCH 4yr'!W15+'PUBLIC SERVICE 4yr'!W15+'ASptISptSSv 4yr'!W15+'PLANT OPER MAIN 4yr'!W15+'SCHOLAR FELLOW 4yr'!W15+'All Other 4yr'!W15)-W15</f>
        <v>0</v>
      </c>
      <c r="AX15" s="130">
        <f>('Instruction-4YR'!X15+'RESEARCH 4yr'!X15+'PUBLIC SERVICE 4yr'!X15+'ASptISptSSv 4yr'!X15+'PLANT OPER MAIN 4yr'!X15+'SCHOLAR FELLOW 4yr'!X15+'All Other 4yr'!X15)-X15</f>
        <v>0</v>
      </c>
      <c r="AY15" s="130">
        <f>('Instruction-4YR'!Y15+'RESEARCH 4yr'!Y15+'PUBLIC SERVICE 4yr'!Y15+'ASptISptSSv 4yr'!Y15+'PLANT OPER MAIN 4yr'!Y15+'SCHOLAR FELLOW 4yr'!Y15+'All Other 4yr'!Y15)-Y15</f>
        <v>0</v>
      </c>
      <c r="AZ15" s="130">
        <f>('Instruction-4YR'!Z15+'RESEARCH 4yr'!Z15+'PUBLIC SERVICE 4yr'!Z15+'ASptISptSSv 4yr'!Z15+'PLANT OPER MAIN 4yr'!Z15+'SCHOLAR FELLOW 4yr'!Z15+'All Other 4yr'!Z15)-Z15</f>
        <v>0</v>
      </c>
      <c r="BA15" s="130">
        <f>('Instruction-4YR'!AA15+'RESEARCH 4yr'!AA15+'PUBLIC SERVICE 4yr'!AA15+'ASptISptSSv 4yr'!AA15+'PLANT OPER MAIN 4yr'!AA15+'SCHOLAR FELLOW 4yr'!AA15+'All Other 4yr'!AA15)-AA15</f>
        <v>0</v>
      </c>
    </row>
    <row r="16" spans="1:53">
      <c r="A16" s="22" t="s">
        <v>9</v>
      </c>
      <c r="B16" s="36">
        <v>595745</v>
      </c>
      <c r="C16" s="36">
        <v>673736</v>
      </c>
      <c r="D16" s="36">
        <v>683825</v>
      </c>
      <c r="E16" s="36">
        <v>1231712.375</v>
      </c>
      <c r="F16" s="77">
        <v>1131985.602</v>
      </c>
      <c r="G16" s="36">
        <v>1247433.4149999998</v>
      </c>
      <c r="H16" s="36">
        <v>1327932.0819999999</v>
      </c>
      <c r="I16" s="37">
        <v>1369508.14</v>
      </c>
      <c r="J16" s="37">
        <v>1501624.3</v>
      </c>
      <c r="K16" s="37">
        <v>1681478.6124699998</v>
      </c>
      <c r="L16" s="37">
        <v>2115743.92</v>
      </c>
      <c r="M16" s="37">
        <v>2225057.122</v>
      </c>
      <c r="N16" s="37">
        <v>2613655.8569999998</v>
      </c>
      <c r="O16" s="37">
        <v>2647060.5129999998</v>
      </c>
      <c r="P16" s="37">
        <v>2689825.037</v>
      </c>
      <c r="Q16" s="37">
        <v>3226455.3190000001</v>
      </c>
      <c r="R16" s="37">
        <v>3034005.3870000001</v>
      </c>
      <c r="S16" s="37">
        <v>3198597.0079999999</v>
      </c>
      <c r="T16" s="23">
        <v>3389878.014</v>
      </c>
      <c r="U16" s="23">
        <v>2795462.7340000002</v>
      </c>
      <c r="V16" s="23">
        <v>3684104.3119999999</v>
      </c>
      <c r="W16" s="23">
        <v>3864702.1830000002</v>
      </c>
      <c r="X16" s="23">
        <v>3988069.6639999999</v>
      </c>
      <c r="Y16" s="2">
        <v>4088845.6379999998</v>
      </c>
      <c r="Z16" s="2">
        <v>4256710.7130000005</v>
      </c>
      <c r="AA16" s="2">
        <v>4329103.9639999997</v>
      </c>
      <c r="AB16" s="130">
        <f>('Instruction-4YR'!B16+'RESEARCH 4yr'!B16+'PUBLIC SERVICE 4yr'!B16+'ASptISptSSv 4yr'!B16+'PLANT OPER MAIN 4yr'!B16+'SCHOLAR FELLOW 4yr'!B16+'All Other 4yr'!B16)-B16</f>
        <v>0</v>
      </c>
      <c r="AC16" s="130">
        <f>('Instruction-4YR'!C16+'RESEARCH 4yr'!C16+'PUBLIC SERVICE 4yr'!C16+'ASptISptSSv 4yr'!C16+'PLANT OPER MAIN 4yr'!C16+'SCHOLAR FELLOW 4yr'!C16+'All Other 4yr'!C16)-C16</f>
        <v>0</v>
      </c>
      <c r="AD16" s="130">
        <f>('Instruction-4YR'!D16+'RESEARCH 4yr'!D16+'PUBLIC SERVICE 4yr'!D16+'ASptISptSSv 4yr'!D16+'PLANT OPER MAIN 4yr'!D16+'SCHOLAR FELLOW 4yr'!D16+'All Other 4yr'!D16)-D16</f>
        <v>0</v>
      </c>
      <c r="AE16" s="130">
        <f>('Instruction-4YR'!E16+'RESEARCH 4yr'!E16+'PUBLIC SERVICE 4yr'!E16+'ASptISptSSv 4yr'!E16+'PLANT OPER MAIN 4yr'!E16+'SCHOLAR FELLOW 4yr'!E16+'All Other 4yr'!E16)-E16</f>
        <v>0</v>
      </c>
      <c r="AF16" s="130">
        <f>('Instruction-4YR'!F16+'RESEARCH 4yr'!F16+'PUBLIC SERVICE 4yr'!F16+'ASptISptSSv 4yr'!F16+'PLANT OPER MAIN 4yr'!F16+'SCHOLAR FELLOW 4yr'!F16+'All Other 4yr'!F16)-F16</f>
        <v>0</v>
      </c>
      <c r="AG16" s="130">
        <f>('Instruction-4YR'!G16+'RESEARCH 4yr'!G16+'PUBLIC SERVICE 4yr'!G16+'ASptISptSSv 4yr'!G16+'PLANT OPER MAIN 4yr'!G16+'SCHOLAR FELLOW 4yr'!G16+'All Other 4yr'!G16)-G16</f>
        <v>0</v>
      </c>
      <c r="AH16" s="130">
        <f>('Instruction-4YR'!H16+'RESEARCH 4yr'!H16+'PUBLIC SERVICE 4yr'!H16+'ASptISptSSv 4yr'!H16+'PLANT OPER MAIN 4yr'!H16+'SCHOLAR FELLOW 4yr'!H16+'All Other 4yr'!H16)-H16</f>
        <v>0</v>
      </c>
      <c r="AI16" s="130">
        <f>('Instruction-4YR'!I16+'RESEARCH 4yr'!I16+'PUBLIC SERVICE 4yr'!I16+'ASptISptSSv 4yr'!I16+'PLANT OPER MAIN 4yr'!I16+'SCHOLAR FELLOW 4yr'!I16+'All Other 4yr'!I16)-I16</f>
        <v>0</v>
      </c>
      <c r="AJ16" s="130">
        <f>('Instruction-4YR'!J16+'RESEARCH 4yr'!J16+'PUBLIC SERVICE 4yr'!J16+'ASptISptSSv 4yr'!J16+'PLANT OPER MAIN 4yr'!J16+'SCHOLAR FELLOW 4yr'!J16+'All Other 4yr'!J16)-J16</f>
        <v>0</v>
      </c>
      <c r="AK16" s="130">
        <f>('Instruction-4YR'!K16+'RESEARCH 4yr'!K16+'PUBLIC SERVICE 4yr'!K16+'ASptISptSSv 4yr'!K16+'PLANT OPER MAIN 4yr'!K16+'SCHOLAR FELLOW 4yr'!K16+'All Other 4yr'!K16)-K16</f>
        <v>0</v>
      </c>
      <c r="AL16" s="130">
        <f>('Instruction-4YR'!L16+'RESEARCH 4yr'!L16+'PUBLIC SERVICE 4yr'!L16+'ASptISptSSv 4yr'!L16+'PLANT OPER MAIN 4yr'!L16+'SCHOLAR FELLOW 4yr'!L16+'All Other 4yr'!L16)-L16</f>
        <v>0</v>
      </c>
      <c r="AM16" s="130">
        <f>('Instruction-4YR'!M16+'RESEARCH 4yr'!M16+'PUBLIC SERVICE 4yr'!M16+'ASptISptSSv 4yr'!M16+'PLANT OPER MAIN 4yr'!M16+'SCHOLAR FELLOW 4yr'!M16+'All Other 4yr'!M16)-M16</f>
        <v>0</v>
      </c>
      <c r="AN16" s="130">
        <f>('Instruction-4YR'!N16+'RESEARCH 4yr'!N16+'PUBLIC SERVICE 4yr'!N16+'ASptISptSSv 4yr'!N16+'PLANT OPER MAIN 4yr'!N16+'SCHOLAR FELLOW 4yr'!N16+'All Other 4yr'!N16)-N16</f>
        <v>0</v>
      </c>
      <c r="AO16" s="130">
        <f>('Instruction-4YR'!O16+'RESEARCH 4yr'!O16+'PUBLIC SERVICE 4yr'!O16+'ASptISptSSv 4yr'!O16+'PLANT OPER MAIN 4yr'!O16+'SCHOLAR FELLOW 4yr'!O16+'All Other 4yr'!O16)-O16</f>
        <v>0</v>
      </c>
      <c r="AP16" s="130">
        <f>('Instruction-4YR'!P16+'RESEARCH 4yr'!P16+'PUBLIC SERVICE 4yr'!P16+'ASptISptSSv 4yr'!P16+'PLANT OPER MAIN 4yr'!P16+'SCHOLAR FELLOW 4yr'!P16+'All Other 4yr'!P16)-P16</f>
        <v>0</v>
      </c>
      <c r="AQ16" s="130">
        <f>('Instruction-4YR'!Q16+'RESEARCH 4yr'!Q16+'PUBLIC SERVICE 4yr'!Q16+'ASptISptSSv 4yr'!Q16+'PLANT OPER MAIN 4yr'!Q16+'SCHOLAR FELLOW 4yr'!Q16+'All Other 4yr'!Q16)-Q16</f>
        <v>0</v>
      </c>
      <c r="AR16" s="130">
        <f>('Instruction-4YR'!R16+'RESEARCH 4yr'!R16+'PUBLIC SERVICE 4yr'!R16+'ASptISptSSv 4yr'!R16+'PLANT OPER MAIN 4yr'!R16+'SCHOLAR FELLOW 4yr'!R16+'All Other 4yr'!R16)-R16</f>
        <v>0</v>
      </c>
      <c r="AS16" s="130">
        <f>('Instruction-4YR'!S16+'RESEARCH 4yr'!S16+'PUBLIC SERVICE 4yr'!S16+'ASptISptSSv 4yr'!S16+'PLANT OPER MAIN 4yr'!S16+'SCHOLAR FELLOW 4yr'!S16+'All Other 4yr'!S16)-S16</f>
        <v>0</v>
      </c>
      <c r="AT16" s="130">
        <f>('Instruction-4YR'!T16+'RESEARCH 4yr'!T16+'PUBLIC SERVICE 4yr'!T16+'ASptISptSSv 4yr'!T16+'PLANT OPER MAIN 4yr'!T16+'SCHOLAR FELLOW 4yr'!T16+'All Other 4yr'!T16)-T16</f>
        <v>0</v>
      </c>
      <c r="AU16" s="130">
        <f>('Instruction-4YR'!U16+'RESEARCH 4yr'!U16+'PUBLIC SERVICE 4yr'!U16+'ASptISptSSv 4yr'!U16+'PLANT OPER MAIN 4yr'!U16+'SCHOLAR FELLOW 4yr'!U16+'All Other 4yr'!U16)-U16</f>
        <v>0</v>
      </c>
      <c r="AV16" s="130">
        <f>('Instruction-4YR'!V16+'RESEARCH 4yr'!V16+'PUBLIC SERVICE 4yr'!V16+'ASptISptSSv 4yr'!V16+'PLANT OPER MAIN 4yr'!V16+'SCHOLAR FELLOW 4yr'!V16+'All Other 4yr'!V16)-V16</f>
        <v>0</v>
      </c>
      <c r="AW16" s="130">
        <f>('Instruction-4YR'!W16+'RESEARCH 4yr'!W16+'PUBLIC SERVICE 4yr'!W16+'ASptISptSSv 4yr'!W16+'PLANT OPER MAIN 4yr'!W16+'SCHOLAR FELLOW 4yr'!W16+'All Other 4yr'!W16)-W16</f>
        <v>0</v>
      </c>
      <c r="AX16" s="130">
        <f>('Instruction-4YR'!X16+'RESEARCH 4yr'!X16+'PUBLIC SERVICE 4yr'!X16+'ASptISptSSv 4yr'!X16+'PLANT OPER MAIN 4yr'!X16+'SCHOLAR FELLOW 4yr'!X16+'All Other 4yr'!X16)-X16</f>
        <v>0</v>
      </c>
      <c r="AY16" s="130">
        <f>('Instruction-4YR'!Y16+'RESEARCH 4yr'!Y16+'PUBLIC SERVICE 4yr'!Y16+'ASptISptSSv 4yr'!Y16+'PLANT OPER MAIN 4yr'!Y16+'SCHOLAR FELLOW 4yr'!Y16+'All Other 4yr'!Y16)-Y16</f>
        <v>0</v>
      </c>
      <c r="AZ16" s="130">
        <f>('Instruction-4YR'!Z16+'RESEARCH 4yr'!Z16+'PUBLIC SERVICE 4yr'!Z16+'ASptISptSSv 4yr'!Z16+'PLANT OPER MAIN 4yr'!Z16+'SCHOLAR FELLOW 4yr'!Z16+'All Other 4yr'!Z16)-Z16</f>
        <v>0</v>
      </c>
      <c r="BA16" s="130">
        <f>('Instruction-4YR'!AA16+'RESEARCH 4yr'!AA16+'PUBLIC SERVICE 4yr'!AA16+'ASptISptSSv 4yr'!AA16+'PLANT OPER MAIN 4yr'!AA16+'SCHOLAR FELLOW 4yr'!AA16+'All Other 4yr'!AA16)-AA16</f>
        <v>0</v>
      </c>
    </row>
    <row r="17" spans="1:53">
      <c r="A17" s="22" t="s">
        <v>10</v>
      </c>
      <c r="B17" s="36">
        <v>385761</v>
      </c>
      <c r="C17" s="36">
        <v>404603</v>
      </c>
      <c r="D17" s="36">
        <v>436296</v>
      </c>
      <c r="E17" s="36">
        <v>615461.22100000002</v>
      </c>
      <c r="F17" s="77">
        <v>628395.93299999996</v>
      </c>
      <c r="G17" s="36">
        <v>689741.09500000009</v>
      </c>
      <c r="H17" s="36">
        <v>739825.2</v>
      </c>
      <c r="I17" s="37">
        <v>833636.995</v>
      </c>
      <c r="J17" s="37">
        <v>881037.64300000004</v>
      </c>
      <c r="K17" s="37">
        <v>894298.92099999997</v>
      </c>
      <c r="L17" s="37">
        <v>1190159.7479999999</v>
      </c>
      <c r="M17" s="37">
        <v>1240070.7209999999</v>
      </c>
      <c r="N17" s="37">
        <v>1402368.1140000001</v>
      </c>
      <c r="O17" s="37">
        <v>1488250.371</v>
      </c>
      <c r="P17" s="37">
        <v>1553674.9129999999</v>
      </c>
      <c r="Q17" s="37">
        <v>1631963.942</v>
      </c>
      <c r="R17" s="37">
        <v>1687158.3770000001</v>
      </c>
      <c r="S17" s="37">
        <v>1812640.5989999999</v>
      </c>
      <c r="T17" s="23">
        <v>1906192.402</v>
      </c>
      <c r="U17" s="23">
        <v>1648926.898</v>
      </c>
      <c r="V17" s="23">
        <v>1960469.9680000001</v>
      </c>
      <c r="W17" s="23">
        <v>2006587.4990000001</v>
      </c>
      <c r="X17" s="23">
        <v>2104793.35</v>
      </c>
      <c r="Y17" s="2">
        <v>2063346.746</v>
      </c>
      <c r="Z17" s="2">
        <v>2154649.4330000002</v>
      </c>
      <c r="AA17" s="2">
        <v>2228936.7590000001</v>
      </c>
      <c r="AB17" s="130">
        <f>('Instruction-4YR'!B17+'RESEARCH 4yr'!B17+'PUBLIC SERVICE 4yr'!B17+'ASptISptSSv 4yr'!B17+'PLANT OPER MAIN 4yr'!B17+'SCHOLAR FELLOW 4yr'!B17+'All Other 4yr'!B17)-B17</f>
        <v>0</v>
      </c>
      <c r="AC17" s="130">
        <f>('Instruction-4YR'!C17+'RESEARCH 4yr'!C17+'PUBLIC SERVICE 4yr'!C17+'ASptISptSSv 4yr'!C17+'PLANT OPER MAIN 4yr'!C17+'SCHOLAR FELLOW 4yr'!C17+'All Other 4yr'!C17)-C17</f>
        <v>0</v>
      </c>
      <c r="AD17" s="130">
        <f>('Instruction-4YR'!D17+'RESEARCH 4yr'!D17+'PUBLIC SERVICE 4yr'!D17+'ASptISptSSv 4yr'!D17+'PLANT OPER MAIN 4yr'!D17+'SCHOLAR FELLOW 4yr'!D17+'All Other 4yr'!D17)-D17</f>
        <v>0</v>
      </c>
      <c r="AE17" s="130">
        <f>('Instruction-4YR'!E17+'RESEARCH 4yr'!E17+'PUBLIC SERVICE 4yr'!E17+'ASptISptSSv 4yr'!E17+'PLANT OPER MAIN 4yr'!E17+'SCHOLAR FELLOW 4yr'!E17+'All Other 4yr'!E17)-E17</f>
        <v>0</v>
      </c>
      <c r="AF17" s="130">
        <f>('Instruction-4YR'!F17+'RESEARCH 4yr'!F17+'PUBLIC SERVICE 4yr'!F17+'ASptISptSSv 4yr'!F17+'PLANT OPER MAIN 4yr'!F17+'SCHOLAR FELLOW 4yr'!F17+'All Other 4yr'!F17)-F17</f>
        <v>0</v>
      </c>
      <c r="AG17" s="130">
        <f>('Instruction-4YR'!G17+'RESEARCH 4yr'!G17+'PUBLIC SERVICE 4yr'!G17+'ASptISptSSv 4yr'!G17+'PLANT OPER MAIN 4yr'!G17+'SCHOLAR FELLOW 4yr'!G17+'All Other 4yr'!G17)-G17</f>
        <v>0</v>
      </c>
      <c r="AH17" s="130">
        <f>('Instruction-4YR'!H17+'RESEARCH 4yr'!H17+'PUBLIC SERVICE 4yr'!H17+'ASptISptSSv 4yr'!H17+'PLANT OPER MAIN 4yr'!H17+'SCHOLAR FELLOW 4yr'!H17+'All Other 4yr'!H17)-H17</f>
        <v>0</v>
      </c>
      <c r="AI17" s="130">
        <f>('Instruction-4YR'!I17+'RESEARCH 4yr'!I17+'PUBLIC SERVICE 4yr'!I17+'ASptISptSSv 4yr'!I17+'PLANT OPER MAIN 4yr'!I17+'SCHOLAR FELLOW 4yr'!I17+'All Other 4yr'!I17)-I17</f>
        <v>0</v>
      </c>
      <c r="AJ17" s="130">
        <f>('Instruction-4YR'!J17+'RESEARCH 4yr'!J17+'PUBLIC SERVICE 4yr'!J17+'ASptISptSSv 4yr'!J17+'PLANT OPER MAIN 4yr'!J17+'SCHOLAR FELLOW 4yr'!J17+'All Other 4yr'!J17)-J17</f>
        <v>0</v>
      </c>
      <c r="AK17" s="130">
        <f>('Instruction-4YR'!K17+'RESEARCH 4yr'!K17+'PUBLIC SERVICE 4yr'!K17+'ASptISptSSv 4yr'!K17+'PLANT OPER MAIN 4yr'!K17+'SCHOLAR FELLOW 4yr'!K17+'All Other 4yr'!K17)-K17</f>
        <v>0</v>
      </c>
      <c r="AL17" s="130">
        <f>('Instruction-4YR'!L17+'RESEARCH 4yr'!L17+'PUBLIC SERVICE 4yr'!L17+'ASptISptSSv 4yr'!L17+'PLANT OPER MAIN 4yr'!L17+'SCHOLAR FELLOW 4yr'!L17+'All Other 4yr'!L17)-L17</f>
        <v>0</v>
      </c>
      <c r="AM17" s="130">
        <f>('Instruction-4YR'!M17+'RESEARCH 4yr'!M17+'PUBLIC SERVICE 4yr'!M17+'ASptISptSSv 4yr'!M17+'PLANT OPER MAIN 4yr'!M17+'SCHOLAR FELLOW 4yr'!M17+'All Other 4yr'!M17)-M17</f>
        <v>0</v>
      </c>
      <c r="AN17" s="130">
        <f>('Instruction-4YR'!N17+'RESEARCH 4yr'!N17+'PUBLIC SERVICE 4yr'!N17+'ASptISptSSv 4yr'!N17+'PLANT OPER MAIN 4yr'!N17+'SCHOLAR FELLOW 4yr'!N17+'All Other 4yr'!N17)-N17</f>
        <v>0</v>
      </c>
      <c r="AO17" s="130">
        <f>('Instruction-4YR'!O17+'RESEARCH 4yr'!O17+'PUBLIC SERVICE 4yr'!O17+'ASptISptSSv 4yr'!O17+'PLANT OPER MAIN 4yr'!O17+'SCHOLAR FELLOW 4yr'!O17+'All Other 4yr'!O17)-O17</f>
        <v>0</v>
      </c>
      <c r="AP17" s="130">
        <f>('Instruction-4YR'!P17+'RESEARCH 4yr'!P17+'PUBLIC SERVICE 4yr'!P17+'ASptISptSSv 4yr'!P17+'PLANT OPER MAIN 4yr'!P17+'SCHOLAR FELLOW 4yr'!P17+'All Other 4yr'!P17)-P17</f>
        <v>0</v>
      </c>
      <c r="AQ17" s="130">
        <f>('Instruction-4YR'!Q17+'RESEARCH 4yr'!Q17+'PUBLIC SERVICE 4yr'!Q17+'ASptISptSSv 4yr'!Q17+'PLANT OPER MAIN 4yr'!Q17+'SCHOLAR FELLOW 4yr'!Q17+'All Other 4yr'!Q17)-Q17</f>
        <v>0</v>
      </c>
      <c r="AR17" s="130">
        <f>('Instruction-4YR'!R17+'RESEARCH 4yr'!R17+'PUBLIC SERVICE 4yr'!R17+'ASptISptSSv 4yr'!R17+'PLANT OPER MAIN 4yr'!R17+'SCHOLAR FELLOW 4yr'!R17+'All Other 4yr'!R17)-R17</f>
        <v>0</v>
      </c>
      <c r="AS17" s="130">
        <f>('Instruction-4YR'!S17+'RESEARCH 4yr'!S17+'PUBLIC SERVICE 4yr'!S17+'ASptISptSSv 4yr'!S17+'PLANT OPER MAIN 4yr'!S17+'SCHOLAR FELLOW 4yr'!S17+'All Other 4yr'!S17)-S17</f>
        <v>0</v>
      </c>
      <c r="AT17" s="130">
        <f>('Instruction-4YR'!T17+'RESEARCH 4yr'!T17+'PUBLIC SERVICE 4yr'!T17+'ASptISptSSv 4yr'!T17+'PLANT OPER MAIN 4yr'!T17+'SCHOLAR FELLOW 4yr'!T17+'All Other 4yr'!T17)-T17</f>
        <v>0</v>
      </c>
      <c r="AU17" s="130">
        <f>('Instruction-4YR'!U17+'RESEARCH 4yr'!U17+'PUBLIC SERVICE 4yr'!U17+'ASptISptSSv 4yr'!U17+'PLANT OPER MAIN 4yr'!U17+'SCHOLAR FELLOW 4yr'!U17+'All Other 4yr'!U17)-U17</f>
        <v>0</v>
      </c>
      <c r="AV17" s="130">
        <f>('Instruction-4YR'!V17+'RESEARCH 4yr'!V17+'PUBLIC SERVICE 4yr'!V17+'ASptISptSSv 4yr'!V17+'PLANT OPER MAIN 4yr'!V17+'SCHOLAR FELLOW 4yr'!V17+'All Other 4yr'!V17)-V17</f>
        <v>0</v>
      </c>
      <c r="AW17" s="130">
        <f>('Instruction-4YR'!W17+'RESEARCH 4yr'!W17+'PUBLIC SERVICE 4yr'!W17+'ASptISptSSv 4yr'!W17+'PLANT OPER MAIN 4yr'!W17+'SCHOLAR FELLOW 4yr'!W17+'All Other 4yr'!W17)-W17</f>
        <v>0</v>
      </c>
      <c r="AX17" s="130">
        <f>('Instruction-4YR'!X17+'RESEARCH 4yr'!X17+'PUBLIC SERVICE 4yr'!X17+'ASptISptSSv 4yr'!X17+'PLANT OPER MAIN 4yr'!X17+'SCHOLAR FELLOW 4yr'!X17+'All Other 4yr'!X17)-X17</f>
        <v>0</v>
      </c>
      <c r="AY17" s="130">
        <f>('Instruction-4YR'!Y17+'RESEARCH 4yr'!Y17+'PUBLIC SERVICE 4yr'!Y17+'ASptISptSSv 4yr'!Y17+'PLANT OPER MAIN 4yr'!Y17+'SCHOLAR FELLOW 4yr'!Y17+'All Other 4yr'!Y17)-Y17</f>
        <v>0</v>
      </c>
      <c r="AZ17" s="130">
        <f>('Instruction-4YR'!Z17+'RESEARCH 4yr'!Z17+'PUBLIC SERVICE 4yr'!Z17+'ASptISptSSv 4yr'!Z17+'PLANT OPER MAIN 4yr'!Z17+'SCHOLAR FELLOW 4yr'!Z17+'All Other 4yr'!Z17)-Z17</f>
        <v>0</v>
      </c>
      <c r="BA17" s="130">
        <f>('Instruction-4YR'!AA17+'RESEARCH 4yr'!AA17+'PUBLIC SERVICE 4yr'!AA17+'ASptISptSSv 4yr'!AA17+'PLANT OPER MAIN 4yr'!AA17+'SCHOLAR FELLOW 4yr'!AA17+'All Other 4yr'!AA17)-AA17</f>
        <v>0</v>
      </c>
    </row>
    <row r="18" spans="1:53">
      <c r="A18" s="22" t="s">
        <v>11</v>
      </c>
      <c r="B18" s="36">
        <v>1003012</v>
      </c>
      <c r="C18" s="36">
        <v>1115030</v>
      </c>
      <c r="D18" s="36">
        <v>1221057</v>
      </c>
      <c r="E18" s="36">
        <v>1778491.4129999999</v>
      </c>
      <c r="F18" s="77">
        <v>1882854.9569999999</v>
      </c>
      <c r="G18" s="36">
        <v>2120929.9769999995</v>
      </c>
      <c r="H18" s="36">
        <v>2141224.8190000001</v>
      </c>
      <c r="I18" s="37">
        <v>2202746.824</v>
      </c>
      <c r="J18" s="37">
        <v>2313927.9530000002</v>
      </c>
      <c r="K18" s="37">
        <v>2482737.2560000001</v>
      </c>
      <c r="L18" s="37">
        <v>2859906.2930000001</v>
      </c>
      <c r="M18" s="37">
        <v>3098880.6940000001</v>
      </c>
      <c r="N18" s="37">
        <v>3498589.0980000002</v>
      </c>
      <c r="O18" s="37">
        <v>3708591.9079999998</v>
      </c>
      <c r="P18" s="37">
        <v>3962555.1940000001</v>
      </c>
      <c r="Q18" s="37">
        <v>4273373.824</v>
      </c>
      <c r="R18" s="37">
        <v>4502645.1069999998</v>
      </c>
      <c r="S18" s="37">
        <v>4944720.4610000001</v>
      </c>
      <c r="T18" s="23">
        <v>5342734.966</v>
      </c>
      <c r="U18" s="23">
        <v>5535885.4890000001</v>
      </c>
      <c r="V18" s="23">
        <v>5440952.9139999999</v>
      </c>
      <c r="W18" s="23">
        <v>5806183.1710000001</v>
      </c>
      <c r="X18" s="23">
        <v>5718097.9369999999</v>
      </c>
      <c r="Y18" s="2">
        <v>6094650.1160000004</v>
      </c>
      <c r="Z18" s="2">
        <v>6189638.9859999996</v>
      </c>
      <c r="AA18" s="2">
        <v>6519305.3020000001</v>
      </c>
      <c r="AB18" s="130">
        <f>('Instruction-4YR'!B18+'RESEARCH 4yr'!B18+'PUBLIC SERVICE 4yr'!B18+'ASptISptSSv 4yr'!B18+'PLANT OPER MAIN 4yr'!B18+'SCHOLAR FELLOW 4yr'!B18+'All Other 4yr'!B18)-B18</f>
        <v>0</v>
      </c>
      <c r="AC18" s="130">
        <f>('Instruction-4YR'!C18+'RESEARCH 4yr'!C18+'PUBLIC SERVICE 4yr'!C18+'ASptISptSSv 4yr'!C18+'PLANT OPER MAIN 4yr'!C18+'SCHOLAR FELLOW 4yr'!C18+'All Other 4yr'!C18)-C18</f>
        <v>0</v>
      </c>
      <c r="AD18" s="130">
        <f>('Instruction-4YR'!D18+'RESEARCH 4yr'!D18+'PUBLIC SERVICE 4yr'!D18+'ASptISptSSv 4yr'!D18+'PLANT OPER MAIN 4yr'!D18+'SCHOLAR FELLOW 4yr'!D18+'All Other 4yr'!D18)-D18</f>
        <v>0</v>
      </c>
      <c r="AE18" s="130">
        <f>('Instruction-4YR'!E18+'RESEARCH 4yr'!E18+'PUBLIC SERVICE 4yr'!E18+'ASptISptSSv 4yr'!E18+'PLANT OPER MAIN 4yr'!E18+'SCHOLAR FELLOW 4yr'!E18+'All Other 4yr'!E18)-E18</f>
        <v>0</v>
      </c>
      <c r="AF18" s="130">
        <f>('Instruction-4YR'!F18+'RESEARCH 4yr'!F18+'PUBLIC SERVICE 4yr'!F18+'ASptISptSSv 4yr'!F18+'PLANT OPER MAIN 4yr'!F18+'SCHOLAR FELLOW 4yr'!F18+'All Other 4yr'!F18)-F18</f>
        <v>0</v>
      </c>
      <c r="AG18" s="130">
        <f>('Instruction-4YR'!G18+'RESEARCH 4yr'!G18+'PUBLIC SERVICE 4yr'!G18+'ASptISptSSv 4yr'!G18+'PLANT OPER MAIN 4yr'!G18+'SCHOLAR FELLOW 4yr'!G18+'All Other 4yr'!G18)-G18</f>
        <v>0</v>
      </c>
      <c r="AH18" s="130">
        <f>('Instruction-4YR'!H18+'RESEARCH 4yr'!H18+'PUBLIC SERVICE 4yr'!H18+'ASptISptSSv 4yr'!H18+'PLANT OPER MAIN 4yr'!H18+'SCHOLAR FELLOW 4yr'!H18+'All Other 4yr'!H18)-H18</f>
        <v>0</v>
      </c>
      <c r="AI18" s="130">
        <f>('Instruction-4YR'!I18+'RESEARCH 4yr'!I18+'PUBLIC SERVICE 4yr'!I18+'ASptISptSSv 4yr'!I18+'PLANT OPER MAIN 4yr'!I18+'SCHOLAR FELLOW 4yr'!I18+'All Other 4yr'!I18)-I18</f>
        <v>0</v>
      </c>
      <c r="AJ18" s="130">
        <f>('Instruction-4YR'!J18+'RESEARCH 4yr'!J18+'PUBLIC SERVICE 4yr'!J18+'ASptISptSSv 4yr'!J18+'PLANT OPER MAIN 4yr'!J18+'SCHOLAR FELLOW 4yr'!J18+'All Other 4yr'!J18)-J18</f>
        <v>0</v>
      </c>
      <c r="AK18" s="130">
        <f>('Instruction-4YR'!K18+'RESEARCH 4yr'!K18+'PUBLIC SERVICE 4yr'!K18+'ASptISptSSv 4yr'!K18+'PLANT OPER MAIN 4yr'!K18+'SCHOLAR FELLOW 4yr'!K18+'All Other 4yr'!K18)-K18</f>
        <v>0</v>
      </c>
      <c r="AL18" s="130">
        <f>('Instruction-4YR'!L18+'RESEARCH 4yr'!L18+'PUBLIC SERVICE 4yr'!L18+'ASptISptSSv 4yr'!L18+'PLANT OPER MAIN 4yr'!L18+'SCHOLAR FELLOW 4yr'!L18+'All Other 4yr'!L18)-L18</f>
        <v>0</v>
      </c>
      <c r="AM18" s="130">
        <f>('Instruction-4YR'!M18+'RESEARCH 4yr'!M18+'PUBLIC SERVICE 4yr'!M18+'ASptISptSSv 4yr'!M18+'PLANT OPER MAIN 4yr'!M18+'SCHOLAR FELLOW 4yr'!M18+'All Other 4yr'!M18)-M18</f>
        <v>0</v>
      </c>
      <c r="AN18" s="130">
        <f>('Instruction-4YR'!N18+'RESEARCH 4yr'!N18+'PUBLIC SERVICE 4yr'!N18+'ASptISptSSv 4yr'!N18+'PLANT OPER MAIN 4yr'!N18+'SCHOLAR FELLOW 4yr'!N18+'All Other 4yr'!N18)-N18</f>
        <v>0</v>
      </c>
      <c r="AO18" s="130">
        <f>('Instruction-4YR'!O18+'RESEARCH 4yr'!O18+'PUBLIC SERVICE 4yr'!O18+'ASptISptSSv 4yr'!O18+'PLANT OPER MAIN 4yr'!O18+'SCHOLAR FELLOW 4yr'!O18+'All Other 4yr'!O18)-O18</f>
        <v>0</v>
      </c>
      <c r="AP18" s="130">
        <f>('Instruction-4YR'!P18+'RESEARCH 4yr'!P18+'PUBLIC SERVICE 4yr'!P18+'ASptISptSSv 4yr'!P18+'PLANT OPER MAIN 4yr'!P18+'SCHOLAR FELLOW 4yr'!P18+'All Other 4yr'!P18)-P18</f>
        <v>0</v>
      </c>
      <c r="AQ18" s="130">
        <f>('Instruction-4YR'!Q18+'RESEARCH 4yr'!Q18+'PUBLIC SERVICE 4yr'!Q18+'ASptISptSSv 4yr'!Q18+'PLANT OPER MAIN 4yr'!Q18+'SCHOLAR FELLOW 4yr'!Q18+'All Other 4yr'!Q18)-Q18</f>
        <v>0</v>
      </c>
      <c r="AR18" s="130">
        <f>('Instruction-4YR'!R18+'RESEARCH 4yr'!R18+'PUBLIC SERVICE 4yr'!R18+'ASptISptSSv 4yr'!R18+'PLANT OPER MAIN 4yr'!R18+'SCHOLAR FELLOW 4yr'!R18+'All Other 4yr'!R18)-R18</f>
        <v>0</v>
      </c>
      <c r="AS18" s="130">
        <f>('Instruction-4YR'!S18+'RESEARCH 4yr'!S18+'PUBLIC SERVICE 4yr'!S18+'ASptISptSSv 4yr'!S18+'PLANT OPER MAIN 4yr'!S18+'SCHOLAR FELLOW 4yr'!S18+'All Other 4yr'!S18)-S18</f>
        <v>0</v>
      </c>
      <c r="AT18" s="130">
        <f>('Instruction-4YR'!T18+'RESEARCH 4yr'!T18+'PUBLIC SERVICE 4yr'!T18+'ASptISptSSv 4yr'!T18+'PLANT OPER MAIN 4yr'!T18+'SCHOLAR FELLOW 4yr'!T18+'All Other 4yr'!T18)-T18</f>
        <v>0</v>
      </c>
      <c r="AU18" s="130">
        <f>('Instruction-4YR'!U18+'RESEARCH 4yr'!U18+'PUBLIC SERVICE 4yr'!U18+'ASptISptSSv 4yr'!U18+'PLANT OPER MAIN 4yr'!U18+'SCHOLAR FELLOW 4yr'!U18+'All Other 4yr'!U18)-U18</f>
        <v>0</v>
      </c>
      <c r="AV18" s="130">
        <f>('Instruction-4YR'!V18+'RESEARCH 4yr'!V18+'PUBLIC SERVICE 4yr'!V18+'ASptISptSSv 4yr'!V18+'PLANT OPER MAIN 4yr'!V18+'SCHOLAR FELLOW 4yr'!V18+'All Other 4yr'!V18)-V18</f>
        <v>0</v>
      </c>
      <c r="AW18" s="130">
        <f>('Instruction-4YR'!W18+'RESEARCH 4yr'!W18+'PUBLIC SERVICE 4yr'!W18+'ASptISptSSv 4yr'!W18+'PLANT OPER MAIN 4yr'!W18+'SCHOLAR FELLOW 4yr'!W18+'All Other 4yr'!W18)-W18</f>
        <v>0</v>
      </c>
      <c r="AX18" s="130">
        <f>('Instruction-4YR'!X18+'RESEARCH 4yr'!X18+'PUBLIC SERVICE 4yr'!X18+'ASptISptSSv 4yr'!X18+'PLANT OPER MAIN 4yr'!X18+'SCHOLAR FELLOW 4yr'!X18+'All Other 4yr'!X18)-X18</f>
        <v>0</v>
      </c>
      <c r="AY18" s="130">
        <f>('Instruction-4YR'!Y18+'RESEARCH 4yr'!Y18+'PUBLIC SERVICE 4yr'!Y18+'ASptISptSSv 4yr'!Y18+'PLANT OPER MAIN 4yr'!Y18+'SCHOLAR FELLOW 4yr'!Y18+'All Other 4yr'!Y18)-Y18</f>
        <v>0</v>
      </c>
      <c r="AZ18" s="130">
        <f>('Instruction-4YR'!Z18+'RESEARCH 4yr'!Z18+'PUBLIC SERVICE 4yr'!Z18+'ASptISptSSv 4yr'!Z18+'PLANT OPER MAIN 4yr'!Z18+'SCHOLAR FELLOW 4yr'!Z18+'All Other 4yr'!Z18)-Z18</f>
        <v>0</v>
      </c>
      <c r="BA18" s="130">
        <f>('Instruction-4YR'!AA18+'RESEARCH 4yr'!AA18+'PUBLIC SERVICE 4yr'!AA18+'ASptISptSSv 4yr'!AA18+'PLANT OPER MAIN 4yr'!AA18+'SCHOLAR FELLOW 4yr'!AA18+'All Other 4yr'!AA18)-AA18</f>
        <v>0</v>
      </c>
    </row>
    <row r="19" spans="1:53">
      <c r="A19" s="22" t="s">
        <v>12</v>
      </c>
      <c r="B19" s="36">
        <v>433015</v>
      </c>
      <c r="C19" s="36">
        <v>454365</v>
      </c>
      <c r="D19" s="37">
        <v>515858</v>
      </c>
      <c r="E19" s="36">
        <v>726552.72199999995</v>
      </c>
      <c r="F19" s="77">
        <v>794078.32400000002</v>
      </c>
      <c r="G19" s="36">
        <v>870072.3949999999</v>
      </c>
      <c r="H19" s="36">
        <v>819995.06400000001</v>
      </c>
      <c r="I19" s="37">
        <v>865622.34299999999</v>
      </c>
      <c r="J19" s="37">
        <v>898576.01800000004</v>
      </c>
      <c r="K19" s="37">
        <v>967894.9416100001</v>
      </c>
      <c r="L19" s="37">
        <v>1255768.0149999999</v>
      </c>
      <c r="M19" s="37">
        <v>1352605.8670000001</v>
      </c>
      <c r="N19" s="37">
        <v>1467924.328</v>
      </c>
      <c r="O19" s="37">
        <v>1580433.298</v>
      </c>
      <c r="P19" s="37">
        <v>1660652.699</v>
      </c>
      <c r="Q19" s="37">
        <v>1759968.4180000001</v>
      </c>
      <c r="R19" s="37">
        <v>1921367.4210000001</v>
      </c>
      <c r="S19" s="37">
        <v>2089626.3740000001</v>
      </c>
      <c r="T19" s="23">
        <v>2233680.1910000001</v>
      </c>
      <c r="U19" s="23">
        <v>1837194.09</v>
      </c>
      <c r="V19" s="23">
        <v>2348928.5449999999</v>
      </c>
      <c r="W19" s="23">
        <v>2458427.1340000001</v>
      </c>
      <c r="X19" s="23">
        <v>2527367.716</v>
      </c>
      <c r="Y19" s="2">
        <v>2563684.4939999999</v>
      </c>
      <c r="Z19" s="2">
        <v>2647259.96</v>
      </c>
      <c r="AA19" s="2">
        <v>2724150.1719999998</v>
      </c>
      <c r="AB19" s="130">
        <f>('Instruction-4YR'!B19+'RESEARCH 4yr'!B19+'PUBLIC SERVICE 4yr'!B19+'ASptISptSSv 4yr'!B19+'PLANT OPER MAIN 4yr'!B19+'SCHOLAR FELLOW 4yr'!B19+'All Other 4yr'!B19)-B19</f>
        <v>0</v>
      </c>
      <c r="AC19" s="130">
        <f>('Instruction-4YR'!C19+'RESEARCH 4yr'!C19+'PUBLIC SERVICE 4yr'!C19+'ASptISptSSv 4yr'!C19+'PLANT OPER MAIN 4yr'!C19+'SCHOLAR FELLOW 4yr'!C19+'All Other 4yr'!C19)-C19</f>
        <v>0</v>
      </c>
      <c r="AD19" s="130">
        <f>('Instruction-4YR'!D19+'RESEARCH 4yr'!D19+'PUBLIC SERVICE 4yr'!D19+'ASptISptSSv 4yr'!D19+'PLANT OPER MAIN 4yr'!D19+'SCHOLAR FELLOW 4yr'!D19+'All Other 4yr'!D19)-D19</f>
        <v>0</v>
      </c>
      <c r="AE19" s="130">
        <f>('Instruction-4YR'!E19+'RESEARCH 4yr'!E19+'PUBLIC SERVICE 4yr'!E19+'ASptISptSSv 4yr'!E19+'PLANT OPER MAIN 4yr'!E19+'SCHOLAR FELLOW 4yr'!E19+'All Other 4yr'!E19)-E19</f>
        <v>0</v>
      </c>
      <c r="AF19" s="130">
        <f>('Instruction-4YR'!F19+'RESEARCH 4yr'!F19+'PUBLIC SERVICE 4yr'!F19+'ASptISptSSv 4yr'!F19+'PLANT OPER MAIN 4yr'!F19+'SCHOLAR FELLOW 4yr'!F19+'All Other 4yr'!F19)-F19</f>
        <v>0</v>
      </c>
      <c r="AG19" s="130">
        <f>('Instruction-4YR'!G19+'RESEARCH 4yr'!G19+'PUBLIC SERVICE 4yr'!G19+'ASptISptSSv 4yr'!G19+'PLANT OPER MAIN 4yr'!G19+'SCHOLAR FELLOW 4yr'!G19+'All Other 4yr'!G19)-G19</f>
        <v>0</v>
      </c>
      <c r="AH19" s="130">
        <f>('Instruction-4YR'!H19+'RESEARCH 4yr'!H19+'PUBLIC SERVICE 4yr'!H19+'ASptISptSSv 4yr'!H19+'PLANT OPER MAIN 4yr'!H19+'SCHOLAR FELLOW 4yr'!H19+'All Other 4yr'!H19)-H19</f>
        <v>0</v>
      </c>
      <c r="AI19" s="130">
        <f>('Instruction-4YR'!I19+'RESEARCH 4yr'!I19+'PUBLIC SERVICE 4yr'!I19+'ASptISptSSv 4yr'!I19+'PLANT OPER MAIN 4yr'!I19+'SCHOLAR FELLOW 4yr'!I19+'All Other 4yr'!I19)-I19</f>
        <v>0</v>
      </c>
      <c r="AJ19" s="130">
        <f>('Instruction-4YR'!J19+'RESEARCH 4yr'!J19+'PUBLIC SERVICE 4yr'!J19+'ASptISptSSv 4yr'!J19+'PLANT OPER MAIN 4yr'!J19+'SCHOLAR FELLOW 4yr'!J19+'All Other 4yr'!J19)-J19</f>
        <v>0</v>
      </c>
      <c r="AK19" s="130">
        <f>('Instruction-4YR'!K19+'RESEARCH 4yr'!K19+'PUBLIC SERVICE 4yr'!K19+'ASptISptSSv 4yr'!K19+'PLANT OPER MAIN 4yr'!K19+'SCHOLAR FELLOW 4yr'!K19+'All Other 4yr'!K19)-K19</f>
        <v>0</v>
      </c>
      <c r="AL19" s="130">
        <f>('Instruction-4YR'!L19+'RESEARCH 4yr'!L19+'PUBLIC SERVICE 4yr'!L19+'ASptISptSSv 4yr'!L19+'PLANT OPER MAIN 4yr'!L19+'SCHOLAR FELLOW 4yr'!L19+'All Other 4yr'!L19)-L19</f>
        <v>0</v>
      </c>
      <c r="AM19" s="130">
        <f>('Instruction-4YR'!M19+'RESEARCH 4yr'!M19+'PUBLIC SERVICE 4yr'!M19+'ASptISptSSv 4yr'!M19+'PLANT OPER MAIN 4yr'!M19+'SCHOLAR FELLOW 4yr'!M19+'All Other 4yr'!M19)-M19</f>
        <v>0</v>
      </c>
      <c r="AN19" s="130">
        <f>('Instruction-4YR'!N19+'RESEARCH 4yr'!N19+'PUBLIC SERVICE 4yr'!N19+'ASptISptSSv 4yr'!N19+'PLANT OPER MAIN 4yr'!N19+'SCHOLAR FELLOW 4yr'!N19+'All Other 4yr'!N19)-N19</f>
        <v>0</v>
      </c>
      <c r="AO19" s="130">
        <f>('Instruction-4YR'!O19+'RESEARCH 4yr'!O19+'PUBLIC SERVICE 4yr'!O19+'ASptISptSSv 4yr'!O19+'PLANT OPER MAIN 4yr'!O19+'SCHOLAR FELLOW 4yr'!O19+'All Other 4yr'!O19)-O19</f>
        <v>0</v>
      </c>
      <c r="AP19" s="130">
        <f>('Instruction-4YR'!P19+'RESEARCH 4yr'!P19+'PUBLIC SERVICE 4yr'!P19+'ASptISptSSv 4yr'!P19+'PLANT OPER MAIN 4yr'!P19+'SCHOLAR FELLOW 4yr'!P19+'All Other 4yr'!P19)-P19</f>
        <v>0</v>
      </c>
      <c r="AQ19" s="130">
        <f>('Instruction-4YR'!Q19+'RESEARCH 4yr'!Q19+'PUBLIC SERVICE 4yr'!Q19+'ASptISptSSv 4yr'!Q19+'PLANT OPER MAIN 4yr'!Q19+'SCHOLAR FELLOW 4yr'!Q19+'All Other 4yr'!Q19)-Q19</f>
        <v>0</v>
      </c>
      <c r="AR19" s="130">
        <f>('Instruction-4YR'!R19+'RESEARCH 4yr'!R19+'PUBLIC SERVICE 4yr'!R19+'ASptISptSSv 4yr'!R19+'PLANT OPER MAIN 4yr'!R19+'SCHOLAR FELLOW 4yr'!R19+'All Other 4yr'!R19)-R19</f>
        <v>0</v>
      </c>
      <c r="AS19" s="130">
        <f>('Instruction-4YR'!S19+'RESEARCH 4yr'!S19+'PUBLIC SERVICE 4yr'!S19+'ASptISptSSv 4yr'!S19+'PLANT OPER MAIN 4yr'!S19+'SCHOLAR FELLOW 4yr'!S19+'All Other 4yr'!S19)-S19</f>
        <v>0</v>
      </c>
      <c r="AT19" s="130">
        <f>('Instruction-4YR'!T19+'RESEARCH 4yr'!T19+'PUBLIC SERVICE 4yr'!T19+'ASptISptSSv 4yr'!T19+'PLANT OPER MAIN 4yr'!T19+'SCHOLAR FELLOW 4yr'!T19+'All Other 4yr'!T19)-T19</f>
        <v>0</v>
      </c>
      <c r="AU19" s="130">
        <f>('Instruction-4YR'!U19+'RESEARCH 4yr'!U19+'PUBLIC SERVICE 4yr'!U19+'ASptISptSSv 4yr'!U19+'PLANT OPER MAIN 4yr'!U19+'SCHOLAR FELLOW 4yr'!U19+'All Other 4yr'!U19)-U19</f>
        <v>0</v>
      </c>
      <c r="AV19" s="130">
        <f>('Instruction-4YR'!V19+'RESEARCH 4yr'!V19+'PUBLIC SERVICE 4yr'!V19+'ASptISptSSv 4yr'!V19+'PLANT OPER MAIN 4yr'!V19+'SCHOLAR FELLOW 4yr'!V19+'All Other 4yr'!V19)-V19</f>
        <v>0</v>
      </c>
      <c r="AW19" s="130">
        <f>('Instruction-4YR'!W19+'RESEARCH 4yr'!W19+'PUBLIC SERVICE 4yr'!W19+'ASptISptSSv 4yr'!W19+'PLANT OPER MAIN 4yr'!W19+'SCHOLAR FELLOW 4yr'!W19+'All Other 4yr'!W19)-W19</f>
        <v>0</v>
      </c>
      <c r="AX19" s="130">
        <f>('Instruction-4YR'!X19+'RESEARCH 4yr'!X19+'PUBLIC SERVICE 4yr'!X19+'ASptISptSSv 4yr'!X19+'PLANT OPER MAIN 4yr'!X19+'SCHOLAR FELLOW 4yr'!X19+'All Other 4yr'!X19)-X19</f>
        <v>0</v>
      </c>
      <c r="AY19" s="130">
        <f>('Instruction-4YR'!Y19+'RESEARCH 4yr'!Y19+'PUBLIC SERVICE 4yr'!Y19+'ASptISptSSv 4yr'!Y19+'PLANT OPER MAIN 4yr'!Y19+'SCHOLAR FELLOW 4yr'!Y19+'All Other 4yr'!Y19)-Y19</f>
        <v>0</v>
      </c>
      <c r="AZ19" s="130">
        <f>('Instruction-4YR'!Z19+'RESEARCH 4yr'!Z19+'PUBLIC SERVICE 4yr'!Z19+'ASptISptSSv 4yr'!Z19+'PLANT OPER MAIN 4yr'!Z19+'SCHOLAR FELLOW 4yr'!Z19+'All Other 4yr'!Z19)-Z19</f>
        <v>0</v>
      </c>
      <c r="BA19" s="130">
        <f>('Instruction-4YR'!AA19+'RESEARCH 4yr'!AA19+'PUBLIC SERVICE 4yr'!AA19+'ASptISptSSv 4yr'!AA19+'PLANT OPER MAIN 4yr'!AA19+'SCHOLAR FELLOW 4yr'!AA19+'All Other 4yr'!AA19)-AA19</f>
        <v>0</v>
      </c>
    </row>
    <row r="20" spans="1:53">
      <c r="A20" s="22" t="s">
        <v>13</v>
      </c>
      <c r="B20" s="36">
        <v>484110</v>
      </c>
      <c r="C20" s="36">
        <v>561897</v>
      </c>
      <c r="D20" s="36">
        <v>624399</v>
      </c>
      <c r="E20" s="36">
        <v>890891.07799999998</v>
      </c>
      <c r="F20" s="77">
        <v>920187.95600000001</v>
      </c>
      <c r="G20" s="36">
        <v>982759.09699999983</v>
      </c>
      <c r="H20" s="36">
        <v>1042580.4570000001</v>
      </c>
      <c r="I20" s="37">
        <v>1106193.8489999999</v>
      </c>
      <c r="J20" s="37">
        <v>1140334.294</v>
      </c>
      <c r="K20" s="37">
        <v>1226495.797</v>
      </c>
      <c r="L20" s="37">
        <v>1573713.625</v>
      </c>
      <c r="M20" s="37">
        <v>1622099.72</v>
      </c>
      <c r="N20" s="37">
        <v>1738759.5759999999</v>
      </c>
      <c r="O20" s="37">
        <v>1918692.8430000001</v>
      </c>
      <c r="P20" s="37">
        <v>1996628.186</v>
      </c>
      <c r="Q20" s="37">
        <v>2164162.165</v>
      </c>
      <c r="R20" s="37">
        <v>2326513.7680000002</v>
      </c>
      <c r="S20" s="37">
        <v>2496248.9550000001</v>
      </c>
      <c r="T20" s="23">
        <v>2728488.5789999999</v>
      </c>
      <c r="U20" s="23">
        <v>2238939.6439999999</v>
      </c>
      <c r="V20" s="23">
        <v>2827576.713</v>
      </c>
      <c r="W20" s="23">
        <v>2968147.8459999999</v>
      </c>
      <c r="X20" s="23">
        <v>3049651.4360000002</v>
      </c>
      <c r="Y20" s="2">
        <v>3244993.682</v>
      </c>
      <c r="Z20" s="2">
        <v>3381560.0920000002</v>
      </c>
      <c r="AA20" s="2">
        <v>3574005.7969999998</v>
      </c>
      <c r="AB20" s="130">
        <f>('Instruction-4YR'!B20+'RESEARCH 4yr'!B20+'PUBLIC SERVICE 4yr'!B20+'ASptISptSSv 4yr'!B20+'PLANT OPER MAIN 4yr'!B20+'SCHOLAR FELLOW 4yr'!B20+'All Other 4yr'!B20)-B20</f>
        <v>0</v>
      </c>
      <c r="AC20" s="130">
        <f>('Instruction-4YR'!C20+'RESEARCH 4yr'!C20+'PUBLIC SERVICE 4yr'!C20+'ASptISptSSv 4yr'!C20+'PLANT OPER MAIN 4yr'!C20+'SCHOLAR FELLOW 4yr'!C20+'All Other 4yr'!C20)-C20</f>
        <v>0</v>
      </c>
      <c r="AD20" s="130">
        <f>('Instruction-4YR'!D20+'RESEARCH 4yr'!D20+'PUBLIC SERVICE 4yr'!D20+'ASptISptSSv 4yr'!D20+'PLANT OPER MAIN 4yr'!D20+'SCHOLAR FELLOW 4yr'!D20+'All Other 4yr'!D20)-D20</f>
        <v>0</v>
      </c>
      <c r="AE20" s="130">
        <f>('Instruction-4YR'!E20+'RESEARCH 4yr'!E20+'PUBLIC SERVICE 4yr'!E20+'ASptISptSSv 4yr'!E20+'PLANT OPER MAIN 4yr'!E20+'SCHOLAR FELLOW 4yr'!E20+'All Other 4yr'!E20)-E20</f>
        <v>0</v>
      </c>
      <c r="AF20" s="130">
        <f>('Instruction-4YR'!F20+'RESEARCH 4yr'!F20+'PUBLIC SERVICE 4yr'!F20+'ASptISptSSv 4yr'!F20+'PLANT OPER MAIN 4yr'!F20+'SCHOLAR FELLOW 4yr'!F20+'All Other 4yr'!F20)-F20</f>
        <v>0</v>
      </c>
      <c r="AG20" s="130">
        <f>('Instruction-4YR'!G20+'RESEARCH 4yr'!G20+'PUBLIC SERVICE 4yr'!G20+'ASptISptSSv 4yr'!G20+'PLANT OPER MAIN 4yr'!G20+'SCHOLAR FELLOW 4yr'!G20+'All Other 4yr'!G20)-G20</f>
        <v>0</v>
      </c>
      <c r="AH20" s="130">
        <f>('Instruction-4YR'!H20+'RESEARCH 4yr'!H20+'PUBLIC SERVICE 4yr'!H20+'ASptISptSSv 4yr'!H20+'PLANT OPER MAIN 4yr'!H20+'SCHOLAR FELLOW 4yr'!H20+'All Other 4yr'!H20)-H20</f>
        <v>0</v>
      </c>
      <c r="AI20" s="130">
        <f>('Instruction-4YR'!I20+'RESEARCH 4yr'!I20+'PUBLIC SERVICE 4yr'!I20+'ASptISptSSv 4yr'!I20+'PLANT OPER MAIN 4yr'!I20+'SCHOLAR FELLOW 4yr'!I20+'All Other 4yr'!I20)-I20</f>
        <v>0</v>
      </c>
      <c r="AJ20" s="130">
        <f>('Instruction-4YR'!J20+'RESEARCH 4yr'!J20+'PUBLIC SERVICE 4yr'!J20+'ASptISptSSv 4yr'!J20+'PLANT OPER MAIN 4yr'!J20+'SCHOLAR FELLOW 4yr'!J20+'All Other 4yr'!J20)-J20</f>
        <v>0</v>
      </c>
      <c r="AK20" s="130">
        <f>('Instruction-4YR'!K20+'RESEARCH 4yr'!K20+'PUBLIC SERVICE 4yr'!K20+'ASptISptSSv 4yr'!K20+'PLANT OPER MAIN 4yr'!K20+'SCHOLAR FELLOW 4yr'!K20+'All Other 4yr'!K20)-K20</f>
        <v>0</v>
      </c>
      <c r="AL20" s="130">
        <f>('Instruction-4YR'!L20+'RESEARCH 4yr'!L20+'PUBLIC SERVICE 4yr'!L20+'ASptISptSSv 4yr'!L20+'PLANT OPER MAIN 4yr'!L20+'SCHOLAR FELLOW 4yr'!L20+'All Other 4yr'!L20)-L20</f>
        <v>0</v>
      </c>
      <c r="AM20" s="130">
        <f>('Instruction-4YR'!M20+'RESEARCH 4yr'!M20+'PUBLIC SERVICE 4yr'!M20+'ASptISptSSv 4yr'!M20+'PLANT OPER MAIN 4yr'!M20+'SCHOLAR FELLOW 4yr'!M20+'All Other 4yr'!M20)-M20</f>
        <v>0</v>
      </c>
      <c r="AN20" s="130">
        <f>('Instruction-4YR'!N20+'RESEARCH 4yr'!N20+'PUBLIC SERVICE 4yr'!N20+'ASptISptSSv 4yr'!N20+'PLANT OPER MAIN 4yr'!N20+'SCHOLAR FELLOW 4yr'!N20+'All Other 4yr'!N20)-N20</f>
        <v>0</v>
      </c>
      <c r="AO20" s="130">
        <f>('Instruction-4YR'!O20+'RESEARCH 4yr'!O20+'PUBLIC SERVICE 4yr'!O20+'ASptISptSSv 4yr'!O20+'PLANT OPER MAIN 4yr'!O20+'SCHOLAR FELLOW 4yr'!O20+'All Other 4yr'!O20)-O20</f>
        <v>0</v>
      </c>
      <c r="AP20" s="130">
        <f>('Instruction-4YR'!P20+'RESEARCH 4yr'!P20+'PUBLIC SERVICE 4yr'!P20+'ASptISptSSv 4yr'!P20+'PLANT OPER MAIN 4yr'!P20+'SCHOLAR FELLOW 4yr'!P20+'All Other 4yr'!P20)-P20</f>
        <v>0</v>
      </c>
      <c r="AQ20" s="130">
        <f>('Instruction-4YR'!Q20+'RESEARCH 4yr'!Q20+'PUBLIC SERVICE 4yr'!Q20+'ASptISptSSv 4yr'!Q20+'PLANT OPER MAIN 4yr'!Q20+'SCHOLAR FELLOW 4yr'!Q20+'All Other 4yr'!Q20)-Q20</f>
        <v>0</v>
      </c>
      <c r="AR20" s="130">
        <f>('Instruction-4YR'!R20+'RESEARCH 4yr'!R20+'PUBLIC SERVICE 4yr'!R20+'ASptISptSSv 4yr'!R20+'PLANT OPER MAIN 4yr'!R20+'SCHOLAR FELLOW 4yr'!R20+'All Other 4yr'!R20)-R20</f>
        <v>0</v>
      </c>
      <c r="AS20" s="130">
        <f>('Instruction-4YR'!S20+'RESEARCH 4yr'!S20+'PUBLIC SERVICE 4yr'!S20+'ASptISptSSv 4yr'!S20+'PLANT OPER MAIN 4yr'!S20+'SCHOLAR FELLOW 4yr'!S20+'All Other 4yr'!S20)-S20</f>
        <v>0</v>
      </c>
      <c r="AT20" s="130">
        <f>('Instruction-4YR'!T20+'RESEARCH 4yr'!T20+'PUBLIC SERVICE 4yr'!T20+'ASptISptSSv 4yr'!T20+'PLANT OPER MAIN 4yr'!T20+'SCHOLAR FELLOW 4yr'!T20+'All Other 4yr'!T20)-T20</f>
        <v>0</v>
      </c>
      <c r="AU20" s="130">
        <f>('Instruction-4YR'!U20+'RESEARCH 4yr'!U20+'PUBLIC SERVICE 4yr'!U20+'ASptISptSSv 4yr'!U20+'PLANT OPER MAIN 4yr'!U20+'SCHOLAR FELLOW 4yr'!U20+'All Other 4yr'!U20)-U20</f>
        <v>0</v>
      </c>
      <c r="AV20" s="130">
        <f>('Instruction-4YR'!V20+'RESEARCH 4yr'!V20+'PUBLIC SERVICE 4yr'!V20+'ASptISptSSv 4yr'!V20+'PLANT OPER MAIN 4yr'!V20+'SCHOLAR FELLOW 4yr'!V20+'All Other 4yr'!V20)-V20</f>
        <v>0</v>
      </c>
      <c r="AW20" s="130">
        <f>('Instruction-4YR'!W20+'RESEARCH 4yr'!W20+'PUBLIC SERVICE 4yr'!W20+'ASptISptSSv 4yr'!W20+'PLANT OPER MAIN 4yr'!W20+'SCHOLAR FELLOW 4yr'!W20+'All Other 4yr'!W20)-W20</f>
        <v>0</v>
      </c>
      <c r="AX20" s="130">
        <f>('Instruction-4YR'!X20+'RESEARCH 4yr'!X20+'PUBLIC SERVICE 4yr'!X20+'ASptISptSSv 4yr'!X20+'PLANT OPER MAIN 4yr'!X20+'SCHOLAR FELLOW 4yr'!X20+'All Other 4yr'!X20)-X20</f>
        <v>0</v>
      </c>
      <c r="AY20" s="130">
        <f>('Instruction-4YR'!Y20+'RESEARCH 4yr'!Y20+'PUBLIC SERVICE 4yr'!Y20+'ASptISptSSv 4yr'!Y20+'PLANT OPER MAIN 4yr'!Y20+'SCHOLAR FELLOW 4yr'!Y20+'All Other 4yr'!Y20)-Y20</f>
        <v>0</v>
      </c>
      <c r="AZ20" s="130">
        <f>('Instruction-4YR'!Z20+'RESEARCH 4yr'!Z20+'PUBLIC SERVICE 4yr'!Z20+'ASptISptSSv 4yr'!Z20+'PLANT OPER MAIN 4yr'!Z20+'SCHOLAR FELLOW 4yr'!Z20+'All Other 4yr'!Z20)-Z20</f>
        <v>0</v>
      </c>
      <c r="BA20" s="130">
        <f>('Instruction-4YR'!AA20+'RESEARCH 4yr'!AA20+'PUBLIC SERVICE 4yr'!AA20+'ASptISptSSv 4yr'!AA20+'PLANT OPER MAIN 4yr'!AA20+'SCHOLAR FELLOW 4yr'!AA20+'All Other 4yr'!AA20)-AA20</f>
        <v>0</v>
      </c>
    </row>
    <row r="21" spans="1:53">
      <c r="A21" s="22" t="s">
        <v>14</v>
      </c>
      <c r="B21" s="36">
        <v>558830</v>
      </c>
      <c r="C21" s="36">
        <v>640982</v>
      </c>
      <c r="D21" s="36">
        <v>743324</v>
      </c>
      <c r="E21" s="36">
        <v>1068740.041</v>
      </c>
      <c r="F21" s="77">
        <v>1060233.3319999999</v>
      </c>
      <c r="G21" s="36">
        <v>1178551.2820000001</v>
      </c>
      <c r="H21" s="36">
        <v>1280435.5530000001</v>
      </c>
      <c r="I21" s="37">
        <v>1325479.7309999999</v>
      </c>
      <c r="J21" s="37">
        <v>1399783.97</v>
      </c>
      <c r="K21" s="37">
        <v>1448146.6161200001</v>
      </c>
      <c r="L21" s="37">
        <v>1671221.4240000001</v>
      </c>
      <c r="M21" s="37">
        <v>1810085.9069999999</v>
      </c>
      <c r="N21" s="37">
        <v>2047434.2520000001</v>
      </c>
      <c r="O21" s="37">
        <v>2142281.2149999999</v>
      </c>
      <c r="P21" s="37">
        <v>2267547.6510000001</v>
      </c>
      <c r="Q21" s="37">
        <v>2472529.341</v>
      </c>
      <c r="R21" s="37">
        <v>2585231.6680000001</v>
      </c>
      <c r="S21" s="37">
        <v>2741478.085</v>
      </c>
      <c r="T21" s="23">
        <v>2962711.6490000002</v>
      </c>
      <c r="U21" s="23">
        <v>3052560.1189999999</v>
      </c>
      <c r="V21" s="23">
        <v>3137308.6069999998</v>
      </c>
      <c r="W21" s="23">
        <v>3331778.9479999999</v>
      </c>
      <c r="X21" s="23">
        <v>3508516.9109999998</v>
      </c>
      <c r="Y21" s="2">
        <v>3521604.45</v>
      </c>
      <c r="Z21" s="2">
        <v>3678648.2140000002</v>
      </c>
      <c r="AA21" s="2">
        <v>3653427.9369999999</v>
      </c>
      <c r="AB21" s="130">
        <f>('Instruction-4YR'!B21+'RESEARCH 4yr'!B21+'PUBLIC SERVICE 4yr'!B21+'ASptISptSSv 4yr'!B21+'PLANT OPER MAIN 4yr'!B21+'SCHOLAR FELLOW 4yr'!B21+'All Other 4yr'!B21)-B21</f>
        <v>0</v>
      </c>
      <c r="AC21" s="130">
        <f>('Instruction-4YR'!C21+'RESEARCH 4yr'!C21+'PUBLIC SERVICE 4yr'!C21+'ASptISptSSv 4yr'!C21+'PLANT OPER MAIN 4yr'!C21+'SCHOLAR FELLOW 4yr'!C21+'All Other 4yr'!C21)-C21</f>
        <v>0</v>
      </c>
      <c r="AD21" s="130">
        <f>('Instruction-4YR'!D21+'RESEARCH 4yr'!D21+'PUBLIC SERVICE 4yr'!D21+'ASptISptSSv 4yr'!D21+'PLANT OPER MAIN 4yr'!D21+'SCHOLAR FELLOW 4yr'!D21+'All Other 4yr'!D21)-D21</f>
        <v>0</v>
      </c>
      <c r="AE21" s="130">
        <f>('Instruction-4YR'!E21+'RESEARCH 4yr'!E21+'PUBLIC SERVICE 4yr'!E21+'ASptISptSSv 4yr'!E21+'PLANT OPER MAIN 4yr'!E21+'SCHOLAR FELLOW 4yr'!E21+'All Other 4yr'!E21)-E21</f>
        <v>0</v>
      </c>
      <c r="AF21" s="130">
        <f>('Instruction-4YR'!F21+'RESEARCH 4yr'!F21+'PUBLIC SERVICE 4yr'!F21+'ASptISptSSv 4yr'!F21+'PLANT OPER MAIN 4yr'!F21+'SCHOLAR FELLOW 4yr'!F21+'All Other 4yr'!F21)-F21</f>
        <v>0</v>
      </c>
      <c r="AG21" s="130">
        <f>('Instruction-4YR'!G21+'RESEARCH 4yr'!G21+'PUBLIC SERVICE 4yr'!G21+'ASptISptSSv 4yr'!G21+'PLANT OPER MAIN 4yr'!G21+'SCHOLAR FELLOW 4yr'!G21+'All Other 4yr'!G21)-G21</f>
        <v>0</v>
      </c>
      <c r="AH21" s="130">
        <f>('Instruction-4YR'!H21+'RESEARCH 4yr'!H21+'PUBLIC SERVICE 4yr'!H21+'ASptISptSSv 4yr'!H21+'PLANT OPER MAIN 4yr'!H21+'SCHOLAR FELLOW 4yr'!H21+'All Other 4yr'!H21)-H21</f>
        <v>0</v>
      </c>
      <c r="AI21" s="130">
        <f>('Instruction-4YR'!I21+'RESEARCH 4yr'!I21+'PUBLIC SERVICE 4yr'!I21+'ASptISptSSv 4yr'!I21+'PLANT OPER MAIN 4yr'!I21+'SCHOLAR FELLOW 4yr'!I21+'All Other 4yr'!I21)-I21</f>
        <v>0</v>
      </c>
      <c r="AJ21" s="130">
        <f>('Instruction-4YR'!J21+'RESEARCH 4yr'!J21+'PUBLIC SERVICE 4yr'!J21+'ASptISptSSv 4yr'!J21+'PLANT OPER MAIN 4yr'!J21+'SCHOLAR FELLOW 4yr'!J21+'All Other 4yr'!J21)-J21</f>
        <v>0</v>
      </c>
      <c r="AK21" s="130">
        <f>('Instruction-4YR'!K21+'RESEARCH 4yr'!K21+'PUBLIC SERVICE 4yr'!K21+'ASptISptSSv 4yr'!K21+'PLANT OPER MAIN 4yr'!K21+'SCHOLAR FELLOW 4yr'!K21+'All Other 4yr'!K21)-K21</f>
        <v>0</v>
      </c>
      <c r="AL21" s="130">
        <f>('Instruction-4YR'!L21+'RESEARCH 4yr'!L21+'PUBLIC SERVICE 4yr'!L21+'ASptISptSSv 4yr'!L21+'PLANT OPER MAIN 4yr'!L21+'SCHOLAR FELLOW 4yr'!L21+'All Other 4yr'!L21)-L21</f>
        <v>0</v>
      </c>
      <c r="AM21" s="130">
        <f>('Instruction-4YR'!M21+'RESEARCH 4yr'!M21+'PUBLIC SERVICE 4yr'!M21+'ASptISptSSv 4yr'!M21+'PLANT OPER MAIN 4yr'!M21+'SCHOLAR FELLOW 4yr'!M21+'All Other 4yr'!M21)-M21</f>
        <v>0</v>
      </c>
      <c r="AN21" s="130">
        <f>('Instruction-4YR'!N21+'RESEARCH 4yr'!N21+'PUBLIC SERVICE 4yr'!N21+'ASptISptSSv 4yr'!N21+'PLANT OPER MAIN 4yr'!N21+'SCHOLAR FELLOW 4yr'!N21+'All Other 4yr'!N21)-N21</f>
        <v>0</v>
      </c>
      <c r="AO21" s="130">
        <f>('Instruction-4YR'!O21+'RESEARCH 4yr'!O21+'PUBLIC SERVICE 4yr'!O21+'ASptISptSSv 4yr'!O21+'PLANT OPER MAIN 4yr'!O21+'SCHOLAR FELLOW 4yr'!O21+'All Other 4yr'!O21)-O21</f>
        <v>0</v>
      </c>
      <c r="AP21" s="130">
        <f>('Instruction-4YR'!P21+'RESEARCH 4yr'!P21+'PUBLIC SERVICE 4yr'!P21+'ASptISptSSv 4yr'!P21+'PLANT OPER MAIN 4yr'!P21+'SCHOLAR FELLOW 4yr'!P21+'All Other 4yr'!P21)-P21</f>
        <v>0</v>
      </c>
      <c r="AQ21" s="130">
        <f>('Instruction-4YR'!Q21+'RESEARCH 4yr'!Q21+'PUBLIC SERVICE 4yr'!Q21+'ASptISptSSv 4yr'!Q21+'PLANT OPER MAIN 4yr'!Q21+'SCHOLAR FELLOW 4yr'!Q21+'All Other 4yr'!Q21)-Q21</f>
        <v>0</v>
      </c>
      <c r="AR21" s="130">
        <f>('Instruction-4YR'!R21+'RESEARCH 4yr'!R21+'PUBLIC SERVICE 4yr'!R21+'ASptISptSSv 4yr'!R21+'PLANT OPER MAIN 4yr'!R21+'SCHOLAR FELLOW 4yr'!R21+'All Other 4yr'!R21)-R21</f>
        <v>0</v>
      </c>
      <c r="AS21" s="130">
        <f>('Instruction-4YR'!S21+'RESEARCH 4yr'!S21+'PUBLIC SERVICE 4yr'!S21+'ASptISptSSv 4yr'!S21+'PLANT OPER MAIN 4yr'!S21+'SCHOLAR FELLOW 4yr'!S21+'All Other 4yr'!S21)-S21</f>
        <v>0</v>
      </c>
      <c r="AT21" s="130">
        <f>('Instruction-4YR'!T21+'RESEARCH 4yr'!T21+'PUBLIC SERVICE 4yr'!T21+'ASptISptSSv 4yr'!T21+'PLANT OPER MAIN 4yr'!T21+'SCHOLAR FELLOW 4yr'!T21+'All Other 4yr'!T21)-T21</f>
        <v>0</v>
      </c>
      <c r="AU21" s="130">
        <f>('Instruction-4YR'!U21+'RESEARCH 4yr'!U21+'PUBLIC SERVICE 4yr'!U21+'ASptISptSSv 4yr'!U21+'PLANT OPER MAIN 4yr'!U21+'SCHOLAR FELLOW 4yr'!U21+'All Other 4yr'!U21)-U21</f>
        <v>0</v>
      </c>
      <c r="AV21" s="130">
        <f>('Instruction-4YR'!V21+'RESEARCH 4yr'!V21+'PUBLIC SERVICE 4yr'!V21+'ASptISptSSv 4yr'!V21+'PLANT OPER MAIN 4yr'!V21+'SCHOLAR FELLOW 4yr'!V21+'All Other 4yr'!V21)-V21</f>
        <v>0</v>
      </c>
      <c r="AW21" s="130">
        <f>('Instruction-4YR'!W21+'RESEARCH 4yr'!W21+'PUBLIC SERVICE 4yr'!W21+'ASptISptSSv 4yr'!W21+'PLANT OPER MAIN 4yr'!W21+'SCHOLAR FELLOW 4yr'!W21+'All Other 4yr'!W21)-W21</f>
        <v>0</v>
      </c>
      <c r="AX21" s="130">
        <f>('Instruction-4YR'!X21+'RESEARCH 4yr'!X21+'PUBLIC SERVICE 4yr'!X21+'ASptISptSSv 4yr'!X21+'PLANT OPER MAIN 4yr'!X21+'SCHOLAR FELLOW 4yr'!X21+'All Other 4yr'!X21)-X21</f>
        <v>0</v>
      </c>
      <c r="AY21" s="130">
        <f>('Instruction-4YR'!Y21+'RESEARCH 4yr'!Y21+'PUBLIC SERVICE 4yr'!Y21+'ASptISptSSv 4yr'!Y21+'PLANT OPER MAIN 4yr'!Y21+'SCHOLAR FELLOW 4yr'!Y21+'All Other 4yr'!Y21)-Y21</f>
        <v>0</v>
      </c>
      <c r="AZ21" s="130">
        <f>('Instruction-4YR'!Z21+'RESEARCH 4yr'!Z21+'PUBLIC SERVICE 4yr'!Z21+'ASptISptSSv 4yr'!Z21+'PLANT OPER MAIN 4yr'!Z21+'SCHOLAR FELLOW 4yr'!Z21+'All Other 4yr'!Z21)-Z21</f>
        <v>0</v>
      </c>
      <c r="BA21" s="130">
        <f>('Instruction-4YR'!AA21+'RESEARCH 4yr'!AA21+'PUBLIC SERVICE 4yr'!AA21+'ASptISptSSv 4yr'!AA21+'PLANT OPER MAIN 4yr'!AA21+'SCHOLAR FELLOW 4yr'!AA21+'All Other 4yr'!AA21)-AA21</f>
        <v>0</v>
      </c>
    </row>
    <row r="22" spans="1:53">
      <c r="A22" s="22" t="s">
        <v>15</v>
      </c>
      <c r="B22" s="36">
        <v>2547449</v>
      </c>
      <c r="C22" s="36">
        <v>2688477</v>
      </c>
      <c r="D22" s="36">
        <v>2936282</v>
      </c>
      <c r="E22" s="36">
        <v>4204855.67</v>
      </c>
      <c r="F22" s="77">
        <v>4523647.5889999997</v>
      </c>
      <c r="G22" s="36">
        <v>4944869.1469999989</v>
      </c>
      <c r="H22" s="36">
        <v>5212441.84</v>
      </c>
      <c r="I22" s="37">
        <v>5394870.6220000004</v>
      </c>
      <c r="J22" s="37">
        <v>6022033.7189999996</v>
      </c>
      <c r="K22" s="37">
        <v>6360767.0250000004</v>
      </c>
      <c r="L22" s="37">
        <v>7452823.6579999998</v>
      </c>
      <c r="M22" s="37">
        <v>8355822.2019999996</v>
      </c>
      <c r="N22" s="37">
        <v>9989120.8310000002</v>
      </c>
      <c r="O22" s="37">
        <v>10319686.097999999</v>
      </c>
      <c r="P22" s="37">
        <v>11122615.182</v>
      </c>
      <c r="Q22" s="37">
        <v>12065286.507999999</v>
      </c>
      <c r="R22" s="37">
        <v>11820517.748</v>
      </c>
      <c r="S22" s="37">
        <v>12627990.726</v>
      </c>
      <c r="T22" s="23">
        <v>13831947.595000001</v>
      </c>
      <c r="U22" s="23">
        <v>10465698.163000001</v>
      </c>
      <c r="V22" s="23">
        <v>15201780.804</v>
      </c>
      <c r="W22" s="23">
        <v>16187257.799000001</v>
      </c>
      <c r="X22" s="23">
        <v>16053918.252</v>
      </c>
      <c r="Y22" s="2">
        <v>12682297.187999999</v>
      </c>
      <c r="Z22" s="2">
        <v>13324918.356000001</v>
      </c>
      <c r="AA22" s="2">
        <v>14154507.751</v>
      </c>
      <c r="AB22" s="130">
        <f>('Instruction-4YR'!B22+'RESEARCH 4yr'!B22+'PUBLIC SERVICE 4yr'!B22+'ASptISptSSv 4yr'!B22+'PLANT OPER MAIN 4yr'!B22+'SCHOLAR FELLOW 4yr'!B22+'All Other 4yr'!B22)-B22</f>
        <v>0</v>
      </c>
      <c r="AC22" s="130">
        <f>('Instruction-4YR'!C22+'RESEARCH 4yr'!C22+'PUBLIC SERVICE 4yr'!C22+'ASptISptSSv 4yr'!C22+'PLANT OPER MAIN 4yr'!C22+'SCHOLAR FELLOW 4yr'!C22+'All Other 4yr'!C22)-C22</f>
        <v>0</v>
      </c>
      <c r="AD22" s="130">
        <f>('Instruction-4YR'!D22+'RESEARCH 4yr'!D22+'PUBLIC SERVICE 4yr'!D22+'ASptISptSSv 4yr'!D22+'PLANT OPER MAIN 4yr'!D22+'SCHOLAR FELLOW 4yr'!D22+'All Other 4yr'!D22)-D22</f>
        <v>0</v>
      </c>
      <c r="AE22" s="130">
        <f>('Instruction-4YR'!E22+'RESEARCH 4yr'!E22+'PUBLIC SERVICE 4yr'!E22+'ASptISptSSv 4yr'!E22+'PLANT OPER MAIN 4yr'!E22+'SCHOLAR FELLOW 4yr'!E22+'All Other 4yr'!E22)-E22</f>
        <v>0</v>
      </c>
      <c r="AF22" s="130">
        <f>('Instruction-4YR'!F22+'RESEARCH 4yr'!F22+'PUBLIC SERVICE 4yr'!F22+'ASptISptSSv 4yr'!F22+'PLANT OPER MAIN 4yr'!F22+'SCHOLAR FELLOW 4yr'!F22+'All Other 4yr'!F22)-F22</f>
        <v>0</v>
      </c>
      <c r="AG22" s="130">
        <f>('Instruction-4YR'!G22+'RESEARCH 4yr'!G22+'PUBLIC SERVICE 4yr'!G22+'ASptISptSSv 4yr'!G22+'PLANT OPER MAIN 4yr'!G22+'SCHOLAR FELLOW 4yr'!G22+'All Other 4yr'!G22)-G22</f>
        <v>0</v>
      </c>
      <c r="AH22" s="130">
        <f>('Instruction-4YR'!H22+'RESEARCH 4yr'!H22+'PUBLIC SERVICE 4yr'!H22+'ASptISptSSv 4yr'!H22+'PLANT OPER MAIN 4yr'!H22+'SCHOLAR FELLOW 4yr'!H22+'All Other 4yr'!H22)-H22</f>
        <v>0</v>
      </c>
      <c r="AI22" s="130">
        <f>('Instruction-4YR'!I22+'RESEARCH 4yr'!I22+'PUBLIC SERVICE 4yr'!I22+'ASptISptSSv 4yr'!I22+'PLANT OPER MAIN 4yr'!I22+'SCHOLAR FELLOW 4yr'!I22+'All Other 4yr'!I22)-I22</f>
        <v>0</v>
      </c>
      <c r="AJ22" s="130">
        <f>('Instruction-4YR'!J22+'RESEARCH 4yr'!J22+'PUBLIC SERVICE 4yr'!J22+'ASptISptSSv 4yr'!J22+'PLANT OPER MAIN 4yr'!J22+'SCHOLAR FELLOW 4yr'!J22+'All Other 4yr'!J22)-J22</f>
        <v>0</v>
      </c>
      <c r="AK22" s="130">
        <f>('Instruction-4YR'!K22+'RESEARCH 4yr'!K22+'PUBLIC SERVICE 4yr'!K22+'ASptISptSSv 4yr'!K22+'PLANT OPER MAIN 4yr'!K22+'SCHOLAR FELLOW 4yr'!K22+'All Other 4yr'!K22)-K22</f>
        <v>0</v>
      </c>
      <c r="AL22" s="130">
        <f>('Instruction-4YR'!L22+'RESEARCH 4yr'!L22+'PUBLIC SERVICE 4yr'!L22+'ASptISptSSv 4yr'!L22+'PLANT OPER MAIN 4yr'!L22+'SCHOLAR FELLOW 4yr'!L22+'All Other 4yr'!L22)-L22</f>
        <v>0</v>
      </c>
      <c r="AM22" s="130">
        <f>('Instruction-4YR'!M22+'RESEARCH 4yr'!M22+'PUBLIC SERVICE 4yr'!M22+'ASptISptSSv 4yr'!M22+'PLANT OPER MAIN 4yr'!M22+'SCHOLAR FELLOW 4yr'!M22+'All Other 4yr'!M22)-M22</f>
        <v>0</v>
      </c>
      <c r="AN22" s="130">
        <f>('Instruction-4YR'!N22+'RESEARCH 4yr'!N22+'PUBLIC SERVICE 4yr'!N22+'ASptISptSSv 4yr'!N22+'PLANT OPER MAIN 4yr'!N22+'SCHOLAR FELLOW 4yr'!N22+'All Other 4yr'!N22)-N22</f>
        <v>0</v>
      </c>
      <c r="AO22" s="130">
        <f>('Instruction-4YR'!O22+'RESEARCH 4yr'!O22+'PUBLIC SERVICE 4yr'!O22+'ASptISptSSv 4yr'!O22+'PLANT OPER MAIN 4yr'!O22+'SCHOLAR FELLOW 4yr'!O22+'All Other 4yr'!O22)-O22</f>
        <v>0</v>
      </c>
      <c r="AP22" s="130">
        <f>('Instruction-4YR'!P22+'RESEARCH 4yr'!P22+'PUBLIC SERVICE 4yr'!P22+'ASptISptSSv 4yr'!P22+'PLANT OPER MAIN 4yr'!P22+'SCHOLAR FELLOW 4yr'!P22+'All Other 4yr'!P22)-P22</f>
        <v>0</v>
      </c>
      <c r="AQ22" s="130">
        <f>('Instruction-4YR'!Q22+'RESEARCH 4yr'!Q22+'PUBLIC SERVICE 4yr'!Q22+'ASptISptSSv 4yr'!Q22+'PLANT OPER MAIN 4yr'!Q22+'SCHOLAR FELLOW 4yr'!Q22+'All Other 4yr'!Q22)-Q22</f>
        <v>0</v>
      </c>
      <c r="AR22" s="130">
        <f>('Instruction-4YR'!R22+'RESEARCH 4yr'!R22+'PUBLIC SERVICE 4yr'!R22+'ASptISptSSv 4yr'!R22+'PLANT OPER MAIN 4yr'!R22+'SCHOLAR FELLOW 4yr'!R22+'All Other 4yr'!R22)-R22</f>
        <v>0</v>
      </c>
      <c r="AS22" s="130">
        <f>('Instruction-4YR'!S22+'RESEARCH 4yr'!S22+'PUBLIC SERVICE 4yr'!S22+'ASptISptSSv 4yr'!S22+'PLANT OPER MAIN 4yr'!S22+'SCHOLAR FELLOW 4yr'!S22+'All Other 4yr'!S22)-S22</f>
        <v>0</v>
      </c>
      <c r="AT22" s="130">
        <f>('Instruction-4YR'!T22+'RESEARCH 4yr'!T22+'PUBLIC SERVICE 4yr'!T22+'ASptISptSSv 4yr'!T22+'PLANT OPER MAIN 4yr'!T22+'SCHOLAR FELLOW 4yr'!T22+'All Other 4yr'!T22)-T22</f>
        <v>0</v>
      </c>
      <c r="AU22" s="130">
        <f>('Instruction-4YR'!U22+'RESEARCH 4yr'!U22+'PUBLIC SERVICE 4yr'!U22+'ASptISptSSv 4yr'!U22+'PLANT OPER MAIN 4yr'!U22+'SCHOLAR FELLOW 4yr'!U22+'All Other 4yr'!U22)-U22</f>
        <v>0</v>
      </c>
      <c r="AV22" s="130">
        <f>('Instruction-4YR'!V22+'RESEARCH 4yr'!V22+'PUBLIC SERVICE 4yr'!V22+'ASptISptSSv 4yr'!V22+'PLANT OPER MAIN 4yr'!V22+'SCHOLAR FELLOW 4yr'!V22+'All Other 4yr'!V22)-V22</f>
        <v>0</v>
      </c>
      <c r="AW22" s="130">
        <f>('Instruction-4YR'!W22+'RESEARCH 4yr'!W22+'PUBLIC SERVICE 4yr'!W22+'ASptISptSSv 4yr'!W22+'PLANT OPER MAIN 4yr'!W22+'SCHOLAR FELLOW 4yr'!W22+'All Other 4yr'!W22)-W22</f>
        <v>0</v>
      </c>
      <c r="AX22" s="130">
        <f>('Instruction-4YR'!X22+'RESEARCH 4yr'!X22+'PUBLIC SERVICE 4yr'!X22+'ASptISptSSv 4yr'!X22+'PLANT OPER MAIN 4yr'!X22+'SCHOLAR FELLOW 4yr'!X22+'All Other 4yr'!X22)-X22</f>
        <v>0</v>
      </c>
      <c r="AY22" s="130">
        <f>('Instruction-4YR'!Y22+'RESEARCH 4yr'!Y22+'PUBLIC SERVICE 4yr'!Y22+'ASptISptSSv 4yr'!Y22+'PLANT OPER MAIN 4yr'!Y22+'SCHOLAR FELLOW 4yr'!Y22+'All Other 4yr'!Y22)-Y22</f>
        <v>0</v>
      </c>
      <c r="AZ22" s="130">
        <f>('Instruction-4YR'!Z22+'RESEARCH 4yr'!Z22+'PUBLIC SERVICE 4yr'!Z22+'ASptISptSSv 4yr'!Z22+'PLANT OPER MAIN 4yr'!Z22+'SCHOLAR FELLOW 4yr'!Z22+'All Other 4yr'!Z22)-Z22</f>
        <v>0</v>
      </c>
      <c r="BA22" s="130">
        <f>('Instruction-4YR'!AA22+'RESEARCH 4yr'!AA22+'PUBLIC SERVICE 4yr'!AA22+'ASptISptSSv 4yr'!AA22+'PLANT OPER MAIN 4yr'!AA22+'SCHOLAR FELLOW 4yr'!AA22+'All Other 4yr'!AA22)-AA22</f>
        <v>0</v>
      </c>
    </row>
    <row r="23" spans="1:53">
      <c r="A23" s="22" t="s">
        <v>16</v>
      </c>
      <c r="B23" s="36">
        <v>836699</v>
      </c>
      <c r="C23" s="36">
        <v>968032</v>
      </c>
      <c r="D23" s="36">
        <v>1062500</v>
      </c>
      <c r="E23" s="36">
        <v>1632493.2009999999</v>
      </c>
      <c r="F23" s="77">
        <v>1644968.798</v>
      </c>
      <c r="G23" s="36">
        <v>1737164.1160000002</v>
      </c>
      <c r="H23" s="36">
        <v>1829738.5530000001</v>
      </c>
      <c r="I23" s="37">
        <v>1960739.2849999999</v>
      </c>
      <c r="J23" s="37">
        <v>1987380.2590000001</v>
      </c>
      <c r="K23" s="37">
        <v>2171465.6880000001</v>
      </c>
      <c r="L23" s="37">
        <v>2596929.8309999998</v>
      </c>
      <c r="M23" s="37">
        <v>2786642.946</v>
      </c>
      <c r="N23" s="37">
        <v>3173724.3</v>
      </c>
      <c r="O23" s="37">
        <v>3210967.48</v>
      </c>
      <c r="P23" s="37">
        <v>3355308.6669999999</v>
      </c>
      <c r="Q23" s="37">
        <v>3660073.1349999998</v>
      </c>
      <c r="R23" s="37">
        <v>3912325.0060000001</v>
      </c>
      <c r="S23" s="37">
        <v>4239462.1260000002</v>
      </c>
      <c r="T23" s="23">
        <v>4656856.22</v>
      </c>
      <c r="U23" s="23">
        <v>4851634.68</v>
      </c>
      <c r="V23" s="23">
        <v>4747404.3550000004</v>
      </c>
      <c r="W23" s="23">
        <v>4964750.17</v>
      </c>
      <c r="X23" s="23">
        <v>5190823.9740000004</v>
      </c>
      <c r="Y23" s="2">
        <v>5444671.9890000001</v>
      </c>
      <c r="Z23" s="2">
        <v>5660193.4050000003</v>
      </c>
      <c r="AA23" s="2">
        <v>5903318.6059999997</v>
      </c>
      <c r="AB23" s="130">
        <f>('Instruction-4YR'!B23+'RESEARCH 4yr'!B23+'PUBLIC SERVICE 4yr'!B23+'ASptISptSSv 4yr'!B23+'PLANT OPER MAIN 4yr'!B23+'SCHOLAR FELLOW 4yr'!B23+'All Other 4yr'!B23)-B23</f>
        <v>0</v>
      </c>
      <c r="AC23" s="130">
        <f>('Instruction-4YR'!C23+'RESEARCH 4yr'!C23+'PUBLIC SERVICE 4yr'!C23+'ASptISptSSv 4yr'!C23+'PLANT OPER MAIN 4yr'!C23+'SCHOLAR FELLOW 4yr'!C23+'All Other 4yr'!C23)-C23</f>
        <v>0</v>
      </c>
      <c r="AD23" s="130">
        <f>('Instruction-4YR'!D23+'RESEARCH 4yr'!D23+'PUBLIC SERVICE 4yr'!D23+'ASptISptSSv 4yr'!D23+'PLANT OPER MAIN 4yr'!D23+'SCHOLAR FELLOW 4yr'!D23+'All Other 4yr'!D23)-D23</f>
        <v>0</v>
      </c>
      <c r="AE23" s="130">
        <f>('Instruction-4YR'!E23+'RESEARCH 4yr'!E23+'PUBLIC SERVICE 4yr'!E23+'ASptISptSSv 4yr'!E23+'PLANT OPER MAIN 4yr'!E23+'SCHOLAR FELLOW 4yr'!E23+'All Other 4yr'!E23)-E23</f>
        <v>0</v>
      </c>
      <c r="AF23" s="130">
        <f>('Instruction-4YR'!F23+'RESEARCH 4yr'!F23+'PUBLIC SERVICE 4yr'!F23+'ASptISptSSv 4yr'!F23+'PLANT OPER MAIN 4yr'!F23+'SCHOLAR FELLOW 4yr'!F23+'All Other 4yr'!F23)-F23</f>
        <v>0</v>
      </c>
      <c r="AG23" s="130">
        <f>('Instruction-4YR'!G23+'RESEARCH 4yr'!G23+'PUBLIC SERVICE 4yr'!G23+'ASptISptSSv 4yr'!G23+'PLANT OPER MAIN 4yr'!G23+'SCHOLAR FELLOW 4yr'!G23+'All Other 4yr'!G23)-G23</f>
        <v>0</v>
      </c>
      <c r="AH23" s="130">
        <f>('Instruction-4YR'!H23+'RESEARCH 4yr'!H23+'PUBLIC SERVICE 4yr'!H23+'ASptISptSSv 4yr'!H23+'PLANT OPER MAIN 4yr'!H23+'SCHOLAR FELLOW 4yr'!H23+'All Other 4yr'!H23)-H23</f>
        <v>0</v>
      </c>
      <c r="AI23" s="130">
        <f>('Instruction-4YR'!I23+'RESEARCH 4yr'!I23+'PUBLIC SERVICE 4yr'!I23+'ASptISptSSv 4yr'!I23+'PLANT OPER MAIN 4yr'!I23+'SCHOLAR FELLOW 4yr'!I23+'All Other 4yr'!I23)-I23</f>
        <v>0</v>
      </c>
      <c r="AJ23" s="130">
        <f>('Instruction-4YR'!J23+'RESEARCH 4yr'!J23+'PUBLIC SERVICE 4yr'!J23+'ASptISptSSv 4yr'!J23+'PLANT OPER MAIN 4yr'!J23+'SCHOLAR FELLOW 4yr'!J23+'All Other 4yr'!J23)-J23</f>
        <v>0</v>
      </c>
      <c r="AK23" s="130">
        <f>('Instruction-4YR'!K23+'RESEARCH 4yr'!K23+'PUBLIC SERVICE 4yr'!K23+'ASptISptSSv 4yr'!K23+'PLANT OPER MAIN 4yr'!K23+'SCHOLAR FELLOW 4yr'!K23+'All Other 4yr'!K23)-K23</f>
        <v>0</v>
      </c>
      <c r="AL23" s="130">
        <f>('Instruction-4YR'!L23+'RESEARCH 4yr'!L23+'PUBLIC SERVICE 4yr'!L23+'ASptISptSSv 4yr'!L23+'PLANT OPER MAIN 4yr'!L23+'SCHOLAR FELLOW 4yr'!L23+'All Other 4yr'!L23)-L23</f>
        <v>0</v>
      </c>
      <c r="AM23" s="130">
        <f>('Instruction-4YR'!M23+'RESEARCH 4yr'!M23+'PUBLIC SERVICE 4yr'!M23+'ASptISptSSv 4yr'!M23+'PLANT OPER MAIN 4yr'!M23+'SCHOLAR FELLOW 4yr'!M23+'All Other 4yr'!M23)-M23</f>
        <v>0</v>
      </c>
      <c r="AN23" s="130">
        <f>('Instruction-4YR'!N23+'RESEARCH 4yr'!N23+'PUBLIC SERVICE 4yr'!N23+'ASptISptSSv 4yr'!N23+'PLANT OPER MAIN 4yr'!N23+'SCHOLAR FELLOW 4yr'!N23+'All Other 4yr'!N23)-N23</f>
        <v>0</v>
      </c>
      <c r="AO23" s="130">
        <f>('Instruction-4YR'!O23+'RESEARCH 4yr'!O23+'PUBLIC SERVICE 4yr'!O23+'ASptISptSSv 4yr'!O23+'PLANT OPER MAIN 4yr'!O23+'SCHOLAR FELLOW 4yr'!O23+'All Other 4yr'!O23)-O23</f>
        <v>0</v>
      </c>
      <c r="AP23" s="130">
        <f>('Instruction-4YR'!P23+'RESEARCH 4yr'!P23+'PUBLIC SERVICE 4yr'!P23+'ASptISptSSv 4yr'!P23+'PLANT OPER MAIN 4yr'!P23+'SCHOLAR FELLOW 4yr'!P23+'All Other 4yr'!P23)-P23</f>
        <v>0</v>
      </c>
      <c r="AQ23" s="130">
        <f>('Instruction-4YR'!Q23+'RESEARCH 4yr'!Q23+'PUBLIC SERVICE 4yr'!Q23+'ASptISptSSv 4yr'!Q23+'PLANT OPER MAIN 4yr'!Q23+'SCHOLAR FELLOW 4yr'!Q23+'All Other 4yr'!Q23)-Q23</f>
        <v>0</v>
      </c>
      <c r="AR23" s="130">
        <f>('Instruction-4YR'!R23+'RESEARCH 4yr'!R23+'PUBLIC SERVICE 4yr'!R23+'ASptISptSSv 4yr'!R23+'PLANT OPER MAIN 4yr'!R23+'SCHOLAR FELLOW 4yr'!R23+'All Other 4yr'!R23)-R23</f>
        <v>0</v>
      </c>
      <c r="AS23" s="130">
        <f>('Instruction-4YR'!S23+'RESEARCH 4yr'!S23+'PUBLIC SERVICE 4yr'!S23+'ASptISptSSv 4yr'!S23+'PLANT OPER MAIN 4yr'!S23+'SCHOLAR FELLOW 4yr'!S23+'All Other 4yr'!S23)-S23</f>
        <v>0</v>
      </c>
      <c r="AT23" s="130">
        <f>('Instruction-4YR'!T23+'RESEARCH 4yr'!T23+'PUBLIC SERVICE 4yr'!T23+'ASptISptSSv 4yr'!T23+'PLANT OPER MAIN 4yr'!T23+'SCHOLAR FELLOW 4yr'!T23+'All Other 4yr'!T23)-T23</f>
        <v>0</v>
      </c>
      <c r="AU23" s="130">
        <f>('Instruction-4YR'!U23+'RESEARCH 4yr'!U23+'PUBLIC SERVICE 4yr'!U23+'ASptISptSSv 4yr'!U23+'PLANT OPER MAIN 4yr'!U23+'SCHOLAR FELLOW 4yr'!U23+'All Other 4yr'!U23)-U23</f>
        <v>0</v>
      </c>
      <c r="AV23" s="130">
        <f>('Instruction-4YR'!V23+'RESEARCH 4yr'!V23+'PUBLIC SERVICE 4yr'!V23+'ASptISptSSv 4yr'!V23+'PLANT OPER MAIN 4yr'!V23+'SCHOLAR FELLOW 4yr'!V23+'All Other 4yr'!V23)-V23</f>
        <v>0</v>
      </c>
      <c r="AW23" s="130">
        <f>('Instruction-4YR'!W23+'RESEARCH 4yr'!W23+'PUBLIC SERVICE 4yr'!W23+'ASptISptSSv 4yr'!W23+'PLANT OPER MAIN 4yr'!W23+'SCHOLAR FELLOW 4yr'!W23+'All Other 4yr'!W23)-W23</f>
        <v>0</v>
      </c>
      <c r="AX23" s="130">
        <f>('Instruction-4YR'!X23+'RESEARCH 4yr'!X23+'PUBLIC SERVICE 4yr'!X23+'ASptISptSSv 4yr'!X23+'PLANT OPER MAIN 4yr'!X23+'SCHOLAR FELLOW 4yr'!X23+'All Other 4yr'!X23)-X23</f>
        <v>0</v>
      </c>
      <c r="AY23" s="130">
        <f>('Instruction-4YR'!Y23+'RESEARCH 4yr'!Y23+'PUBLIC SERVICE 4yr'!Y23+'ASptISptSSv 4yr'!Y23+'PLANT OPER MAIN 4yr'!Y23+'SCHOLAR FELLOW 4yr'!Y23+'All Other 4yr'!Y23)-Y23</f>
        <v>0</v>
      </c>
      <c r="AZ23" s="130">
        <f>('Instruction-4YR'!Z23+'RESEARCH 4yr'!Z23+'PUBLIC SERVICE 4yr'!Z23+'ASptISptSSv 4yr'!Z23+'PLANT OPER MAIN 4yr'!Z23+'SCHOLAR FELLOW 4yr'!Z23+'All Other 4yr'!Z23)-Z23</f>
        <v>0</v>
      </c>
      <c r="BA23" s="130">
        <f>('Instruction-4YR'!AA23+'RESEARCH 4yr'!AA23+'PUBLIC SERVICE 4yr'!AA23+'ASptISptSSv 4yr'!AA23+'PLANT OPER MAIN 4yr'!AA23+'SCHOLAR FELLOW 4yr'!AA23+'All Other 4yr'!AA23)-AA23</f>
        <v>0</v>
      </c>
    </row>
    <row r="24" spans="1:53">
      <c r="A24" s="83" t="s">
        <v>17</v>
      </c>
      <c r="B24" s="66">
        <v>282574</v>
      </c>
      <c r="C24" s="66">
        <v>286676</v>
      </c>
      <c r="D24" s="66">
        <v>306805</v>
      </c>
      <c r="E24" s="66">
        <v>464342.45400000003</v>
      </c>
      <c r="F24" s="82">
        <v>520017.59</v>
      </c>
      <c r="G24" s="66">
        <v>543887.47</v>
      </c>
      <c r="H24" s="66">
        <v>585218.299</v>
      </c>
      <c r="I24" s="63">
        <v>597389.37199999997</v>
      </c>
      <c r="J24" s="63">
        <v>633822.29700000002</v>
      </c>
      <c r="K24" s="63">
        <v>667232.34472000005</v>
      </c>
      <c r="L24" s="63">
        <v>761099.22199999995</v>
      </c>
      <c r="M24" s="63">
        <v>813345.80099999998</v>
      </c>
      <c r="N24" s="63">
        <v>919606.29399999999</v>
      </c>
      <c r="O24" s="63">
        <v>970150.38100000005</v>
      </c>
      <c r="P24" s="63">
        <v>993910.23199999996</v>
      </c>
      <c r="Q24" s="63">
        <v>1015114.411</v>
      </c>
      <c r="R24" s="63">
        <v>1119518.9990000001</v>
      </c>
      <c r="S24" s="63">
        <v>1162693.3740000001</v>
      </c>
      <c r="T24" s="45">
        <v>1250350.4990000001</v>
      </c>
      <c r="U24" s="45">
        <v>1301503.007</v>
      </c>
      <c r="V24" s="45">
        <v>1374908.371</v>
      </c>
      <c r="W24" s="45">
        <v>1464722.7609999999</v>
      </c>
      <c r="X24" s="45">
        <v>1531630.0730000001</v>
      </c>
      <c r="Y24" s="45">
        <v>1495459.0349999999</v>
      </c>
      <c r="Z24" s="45">
        <v>1506466.264</v>
      </c>
      <c r="AA24" s="45">
        <v>1566588.8929999999</v>
      </c>
      <c r="AB24" s="130">
        <f>('Instruction-4YR'!B24+'RESEARCH 4yr'!B24+'PUBLIC SERVICE 4yr'!B24+'ASptISptSSv 4yr'!B24+'PLANT OPER MAIN 4yr'!B24+'SCHOLAR FELLOW 4yr'!B24+'All Other 4yr'!B24)-B24</f>
        <v>0</v>
      </c>
      <c r="AC24" s="130">
        <f>('Instruction-4YR'!C24+'RESEARCH 4yr'!C24+'PUBLIC SERVICE 4yr'!C24+'ASptISptSSv 4yr'!C24+'PLANT OPER MAIN 4yr'!C24+'SCHOLAR FELLOW 4yr'!C24+'All Other 4yr'!C24)-C24</f>
        <v>0</v>
      </c>
      <c r="AD24" s="130">
        <f>('Instruction-4YR'!D24+'RESEARCH 4yr'!D24+'PUBLIC SERVICE 4yr'!D24+'ASptISptSSv 4yr'!D24+'PLANT OPER MAIN 4yr'!D24+'SCHOLAR FELLOW 4yr'!D24+'All Other 4yr'!D24)-D24</f>
        <v>0</v>
      </c>
      <c r="AE24" s="130">
        <f>('Instruction-4YR'!E24+'RESEARCH 4yr'!E24+'PUBLIC SERVICE 4yr'!E24+'ASptISptSSv 4yr'!E24+'PLANT OPER MAIN 4yr'!E24+'SCHOLAR FELLOW 4yr'!E24+'All Other 4yr'!E24)-E24</f>
        <v>0</v>
      </c>
      <c r="AF24" s="130">
        <f>('Instruction-4YR'!F24+'RESEARCH 4yr'!F24+'PUBLIC SERVICE 4yr'!F24+'ASptISptSSv 4yr'!F24+'PLANT OPER MAIN 4yr'!F24+'SCHOLAR FELLOW 4yr'!F24+'All Other 4yr'!F24)-F24</f>
        <v>0</v>
      </c>
      <c r="AG24" s="130">
        <f>('Instruction-4YR'!G24+'RESEARCH 4yr'!G24+'PUBLIC SERVICE 4yr'!G24+'ASptISptSSv 4yr'!G24+'PLANT OPER MAIN 4yr'!G24+'SCHOLAR FELLOW 4yr'!G24+'All Other 4yr'!G24)-G24</f>
        <v>0</v>
      </c>
      <c r="AH24" s="130">
        <f>('Instruction-4YR'!H24+'RESEARCH 4yr'!H24+'PUBLIC SERVICE 4yr'!H24+'ASptISptSSv 4yr'!H24+'PLANT OPER MAIN 4yr'!H24+'SCHOLAR FELLOW 4yr'!H24+'All Other 4yr'!H24)-H24</f>
        <v>0</v>
      </c>
      <c r="AI24" s="130">
        <f>('Instruction-4YR'!I24+'RESEARCH 4yr'!I24+'PUBLIC SERVICE 4yr'!I24+'ASptISptSSv 4yr'!I24+'PLANT OPER MAIN 4yr'!I24+'SCHOLAR FELLOW 4yr'!I24+'All Other 4yr'!I24)-I24</f>
        <v>0</v>
      </c>
      <c r="AJ24" s="130">
        <f>('Instruction-4YR'!J24+'RESEARCH 4yr'!J24+'PUBLIC SERVICE 4yr'!J24+'ASptISptSSv 4yr'!J24+'PLANT OPER MAIN 4yr'!J24+'SCHOLAR FELLOW 4yr'!J24+'All Other 4yr'!J24)-J24</f>
        <v>0</v>
      </c>
      <c r="AK24" s="130">
        <f>('Instruction-4YR'!K24+'RESEARCH 4yr'!K24+'PUBLIC SERVICE 4yr'!K24+'ASptISptSSv 4yr'!K24+'PLANT OPER MAIN 4yr'!K24+'SCHOLAR FELLOW 4yr'!K24+'All Other 4yr'!K24)-K24</f>
        <v>0</v>
      </c>
      <c r="AL24" s="130">
        <f>('Instruction-4YR'!L24+'RESEARCH 4yr'!L24+'PUBLIC SERVICE 4yr'!L24+'ASptISptSSv 4yr'!L24+'PLANT OPER MAIN 4yr'!L24+'SCHOLAR FELLOW 4yr'!L24+'All Other 4yr'!L24)-L24</f>
        <v>0</v>
      </c>
      <c r="AM24" s="130">
        <f>('Instruction-4YR'!M24+'RESEARCH 4yr'!M24+'PUBLIC SERVICE 4yr'!M24+'ASptISptSSv 4yr'!M24+'PLANT OPER MAIN 4yr'!M24+'SCHOLAR FELLOW 4yr'!M24+'All Other 4yr'!M24)-M24</f>
        <v>0</v>
      </c>
      <c r="AN24" s="130">
        <f>('Instruction-4YR'!N24+'RESEARCH 4yr'!N24+'PUBLIC SERVICE 4yr'!N24+'ASptISptSSv 4yr'!N24+'PLANT OPER MAIN 4yr'!N24+'SCHOLAR FELLOW 4yr'!N24+'All Other 4yr'!N24)-N24</f>
        <v>0</v>
      </c>
      <c r="AO24" s="130">
        <f>('Instruction-4YR'!O24+'RESEARCH 4yr'!O24+'PUBLIC SERVICE 4yr'!O24+'ASptISptSSv 4yr'!O24+'PLANT OPER MAIN 4yr'!O24+'SCHOLAR FELLOW 4yr'!O24+'All Other 4yr'!O24)-O24</f>
        <v>0</v>
      </c>
      <c r="AP24" s="130">
        <f>('Instruction-4YR'!P24+'RESEARCH 4yr'!P24+'PUBLIC SERVICE 4yr'!P24+'ASptISptSSv 4yr'!P24+'PLANT OPER MAIN 4yr'!P24+'SCHOLAR FELLOW 4yr'!P24+'All Other 4yr'!P24)-P24</f>
        <v>0</v>
      </c>
      <c r="AQ24" s="130">
        <f>('Instruction-4YR'!Q24+'RESEARCH 4yr'!Q24+'PUBLIC SERVICE 4yr'!Q24+'ASptISptSSv 4yr'!Q24+'PLANT OPER MAIN 4yr'!Q24+'SCHOLAR FELLOW 4yr'!Q24+'All Other 4yr'!Q24)-Q24</f>
        <v>0</v>
      </c>
      <c r="AR24" s="130">
        <f>('Instruction-4YR'!R24+'RESEARCH 4yr'!R24+'PUBLIC SERVICE 4yr'!R24+'ASptISptSSv 4yr'!R24+'PLANT OPER MAIN 4yr'!R24+'SCHOLAR FELLOW 4yr'!R24+'All Other 4yr'!R24)-R24</f>
        <v>0</v>
      </c>
      <c r="AS24" s="130">
        <f>('Instruction-4YR'!S24+'RESEARCH 4yr'!S24+'PUBLIC SERVICE 4yr'!S24+'ASptISptSSv 4yr'!S24+'PLANT OPER MAIN 4yr'!S24+'SCHOLAR FELLOW 4yr'!S24+'All Other 4yr'!S24)-S24</f>
        <v>0</v>
      </c>
      <c r="AT24" s="130">
        <f>('Instruction-4YR'!T24+'RESEARCH 4yr'!T24+'PUBLIC SERVICE 4yr'!T24+'ASptISptSSv 4yr'!T24+'PLANT OPER MAIN 4yr'!T24+'SCHOLAR FELLOW 4yr'!T24+'All Other 4yr'!T24)-T24</f>
        <v>0</v>
      </c>
      <c r="AU24" s="130">
        <f>('Instruction-4YR'!U24+'RESEARCH 4yr'!U24+'PUBLIC SERVICE 4yr'!U24+'ASptISptSSv 4yr'!U24+'PLANT OPER MAIN 4yr'!U24+'SCHOLAR FELLOW 4yr'!U24+'All Other 4yr'!U24)-U24</f>
        <v>0</v>
      </c>
      <c r="AV24" s="130">
        <f>('Instruction-4YR'!V24+'RESEARCH 4yr'!V24+'PUBLIC SERVICE 4yr'!V24+'ASptISptSSv 4yr'!V24+'PLANT OPER MAIN 4yr'!V24+'SCHOLAR FELLOW 4yr'!V24+'All Other 4yr'!V24)-V24</f>
        <v>0</v>
      </c>
      <c r="AW24" s="130">
        <f>('Instruction-4YR'!W24+'RESEARCH 4yr'!W24+'PUBLIC SERVICE 4yr'!W24+'ASptISptSSv 4yr'!W24+'PLANT OPER MAIN 4yr'!W24+'SCHOLAR FELLOW 4yr'!W24+'All Other 4yr'!W24)-W24</f>
        <v>0</v>
      </c>
      <c r="AX24" s="130">
        <f>('Instruction-4YR'!X24+'RESEARCH 4yr'!X24+'PUBLIC SERVICE 4yr'!X24+'ASptISptSSv 4yr'!X24+'PLANT OPER MAIN 4yr'!X24+'SCHOLAR FELLOW 4yr'!X24+'All Other 4yr'!X24)-X24</f>
        <v>0</v>
      </c>
      <c r="AY24" s="130">
        <f>('Instruction-4YR'!Y24+'RESEARCH 4yr'!Y24+'PUBLIC SERVICE 4yr'!Y24+'ASptISptSSv 4yr'!Y24+'PLANT OPER MAIN 4yr'!Y24+'SCHOLAR FELLOW 4yr'!Y24+'All Other 4yr'!Y24)-Y24</f>
        <v>0</v>
      </c>
      <c r="AZ24" s="130">
        <f>('Instruction-4YR'!Z24+'RESEARCH 4yr'!Z24+'PUBLIC SERVICE 4yr'!Z24+'ASptISptSSv 4yr'!Z24+'PLANT OPER MAIN 4yr'!Z24+'SCHOLAR FELLOW 4yr'!Z24+'All Other 4yr'!Z24)-Z24</f>
        <v>0</v>
      </c>
      <c r="BA24" s="130">
        <f>('Instruction-4YR'!AA24+'RESEARCH 4yr'!AA24+'PUBLIC SERVICE 4yr'!AA24+'ASptISptSSv 4yr'!AA24+'PLANT OPER MAIN 4yr'!AA24+'SCHOLAR FELLOW 4yr'!AA24+'All Other 4yr'!AA24)-AA24</f>
        <v>0</v>
      </c>
    </row>
    <row r="25" spans="1:53">
      <c r="A25" s="79" t="s">
        <v>120</v>
      </c>
      <c r="B25" s="90">
        <f>SUM(B27:B39)</f>
        <v>0</v>
      </c>
      <c r="C25" s="90">
        <f t="shared" ref="C25:Z25" si="9">SUM(C27:C39)</f>
        <v>0</v>
      </c>
      <c r="D25" s="90">
        <f t="shared" si="9"/>
        <v>0</v>
      </c>
      <c r="E25" s="90">
        <f t="shared" si="9"/>
        <v>0</v>
      </c>
      <c r="F25" s="90">
        <f t="shared" si="9"/>
        <v>14717272.106000002</v>
      </c>
      <c r="G25" s="90">
        <f t="shared" si="9"/>
        <v>0</v>
      </c>
      <c r="H25" s="90">
        <f t="shared" si="9"/>
        <v>0</v>
      </c>
      <c r="I25" s="90">
        <f t="shared" si="9"/>
        <v>16894434.700000003</v>
      </c>
      <c r="J25" s="90">
        <f t="shared" si="9"/>
        <v>0</v>
      </c>
      <c r="K25" s="90">
        <f t="shared" si="9"/>
        <v>19256476.607140005</v>
      </c>
      <c r="L25" s="90">
        <f t="shared" si="9"/>
        <v>23388456.199000005</v>
      </c>
      <c r="M25" s="90">
        <f t="shared" si="9"/>
        <v>25456269.580000002</v>
      </c>
      <c r="N25" s="90">
        <f t="shared" si="9"/>
        <v>27589098.608000007</v>
      </c>
      <c r="O25" s="90">
        <f t="shared" si="9"/>
        <v>29107116.313000001</v>
      </c>
      <c r="P25" s="90">
        <f t="shared" si="9"/>
        <v>30262961.221999999</v>
      </c>
      <c r="Q25" s="90">
        <f t="shared" si="9"/>
        <v>32528864.206999999</v>
      </c>
      <c r="R25" s="90">
        <f t="shared" si="9"/>
        <v>34288258.023999996</v>
      </c>
      <c r="S25" s="90">
        <f t="shared" si="9"/>
        <v>37197671.822999999</v>
      </c>
      <c r="T25" s="90">
        <f t="shared" si="9"/>
        <v>39448933.096000001</v>
      </c>
      <c r="U25" s="90">
        <f t="shared" si="9"/>
        <v>38370651.974999994</v>
      </c>
      <c r="V25" s="90">
        <f t="shared" si="9"/>
        <v>40871291.208000004</v>
      </c>
      <c r="W25" s="90">
        <f t="shared" si="9"/>
        <v>44140144.253999986</v>
      </c>
      <c r="X25" s="90">
        <f t="shared" si="9"/>
        <v>46618615.942000002</v>
      </c>
      <c r="Y25" s="90">
        <f t="shared" si="9"/>
        <v>48335723.839999996</v>
      </c>
      <c r="Z25" s="90">
        <f t="shared" si="9"/>
        <v>50874124.66799999</v>
      </c>
      <c r="AA25" s="90">
        <f>SUM(AA27:AA39)</f>
        <v>53311750.158</v>
      </c>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row>
    <row r="26" spans="1:53">
      <c r="A26" s="79" t="s">
        <v>119</v>
      </c>
      <c r="B26" s="37"/>
      <c r="C26" s="37"/>
      <c r="D26" s="37"/>
      <c r="E26" s="37"/>
      <c r="F26" s="37"/>
      <c r="G26" s="37"/>
      <c r="H26" s="37"/>
      <c r="I26" s="37"/>
      <c r="J26" s="37"/>
      <c r="K26" s="37"/>
      <c r="L26" s="37"/>
      <c r="M26" s="37"/>
      <c r="N26" s="37"/>
      <c r="O26" s="37"/>
      <c r="P26" s="37"/>
      <c r="Q26" s="37"/>
      <c r="R26" s="37"/>
      <c r="S26" s="37"/>
      <c r="T26" s="23"/>
      <c r="U26" s="23"/>
      <c r="V26" s="23"/>
      <c r="W26" s="23"/>
      <c r="X26" s="23"/>
      <c r="Y26" s="2">
        <v>0</v>
      </c>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c r="AY26" s="130"/>
      <c r="AZ26" s="130"/>
      <c r="BA26" s="130"/>
    </row>
    <row r="27" spans="1:53">
      <c r="A27" s="23" t="s">
        <v>85</v>
      </c>
      <c r="B27" s="36"/>
      <c r="C27" s="36"/>
      <c r="D27" s="37"/>
      <c r="E27" s="36"/>
      <c r="F27" s="77">
        <v>266775.435</v>
      </c>
      <c r="G27" s="36"/>
      <c r="H27" s="36"/>
      <c r="I27" s="37">
        <v>303178.78399999999</v>
      </c>
      <c r="J27" s="37"/>
      <c r="K27" s="37">
        <v>327986.967</v>
      </c>
      <c r="L27" s="37">
        <v>327213.01400000002</v>
      </c>
      <c r="M27" s="37">
        <v>364248.72600000002</v>
      </c>
      <c r="N27" s="37">
        <v>399747.79100000003</v>
      </c>
      <c r="O27" s="37">
        <v>476684.39600000001</v>
      </c>
      <c r="P27" s="37">
        <v>500492.413</v>
      </c>
      <c r="Q27" s="37">
        <v>547938.79700000002</v>
      </c>
      <c r="R27" s="37">
        <v>573270.44099999999</v>
      </c>
      <c r="S27" s="37">
        <v>605071.826</v>
      </c>
      <c r="T27" s="23">
        <v>640950.88899999997</v>
      </c>
      <c r="U27" s="23">
        <v>644093.36499999999</v>
      </c>
      <c r="V27" s="23">
        <v>674701.89500000002</v>
      </c>
      <c r="W27" s="23">
        <v>701274.40399999998</v>
      </c>
      <c r="X27" s="23">
        <v>723218.68599999999</v>
      </c>
      <c r="Y27" s="2">
        <v>731414.56499999994</v>
      </c>
      <c r="Z27" s="2">
        <v>746289.48899999994</v>
      </c>
      <c r="AA27" s="2">
        <v>744106.34</v>
      </c>
      <c r="AB27" s="130">
        <f>('Instruction-4YR'!B27+'RESEARCH 4yr'!B27+'PUBLIC SERVICE 4yr'!B27+'ASptISptSSv 4yr'!B27+'PLANT OPER MAIN 4yr'!B27+'SCHOLAR FELLOW 4yr'!B27+'All Other 4yr'!B27)-B27</f>
        <v>0</v>
      </c>
      <c r="AC27" s="130">
        <f>('Instruction-4YR'!C27+'RESEARCH 4yr'!C27+'PUBLIC SERVICE 4yr'!C27+'ASptISptSSv 4yr'!C27+'PLANT OPER MAIN 4yr'!C27+'SCHOLAR FELLOW 4yr'!C27+'All Other 4yr'!C27)-C27</f>
        <v>0</v>
      </c>
      <c r="AD27" s="130">
        <f>('Instruction-4YR'!D27+'RESEARCH 4yr'!D27+'PUBLIC SERVICE 4yr'!D27+'ASptISptSSv 4yr'!D27+'PLANT OPER MAIN 4yr'!D27+'SCHOLAR FELLOW 4yr'!D27+'All Other 4yr'!D27)-D27</f>
        <v>0</v>
      </c>
      <c r="AE27" s="130">
        <f>('Instruction-4YR'!E27+'RESEARCH 4yr'!E27+'PUBLIC SERVICE 4yr'!E27+'ASptISptSSv 4yr'!E27+'PLANT OPER MAIN 4yr'!E27+'SCHOLAR FELLOW 4yr'!E27+'All Other 4yr'!E27)-E27</f>
        <v>0</v>
      </c>
      <c r="AF27" s="130">
        <f>('Instruction-4YR'!F27+'RESEARCH 4yr'!F27+'PUBLIC SERVICE 4yr'!F27+'ASptISptSSv 4yr'!F27+'PLANT OPER MAIN 4yr'!F27+'SCHOLAR FELLOW 4yr'!F27+'All Other 4yr'!F27)-F27</f>
        <v>0</v>
      </c>
      <c r="AG27" s="130">
        <f>('Instruction-4YR'!G27+'RESEARCH 4yr'!G27+'PUBLIC SERVICE 4yr'!G27+'ASptISptSSv 4yr'!G27+'PLANT OPER MAIN 4yr'!G27+'SCHOLAR FELLOW 4yr'!G27+'All Other 4yr'!G27)-G27</f>
        <v>0</v>
      </c>
      <c r="AH27" s="130">
        <f>('Instruction-4YR'!H27+'RESEARCH 4yr'!H27+'PUBLIC SERVICE 4yr'!H27+'ASptISptSSv 4yr'!H27+'PLANT OPER MAIN 4yr'!H27+'SCHOLAR FELLOW 4yr'!H27+'All Other 4yr'!H27)-H27</f>
        <v>0</v>
      </c>
      <c r="AI27" s="130">
        <f>('Instruction-4YR'!I27+'RESEARCH 4yr'!I27+'PUBLIC SERVICE 4yr'!I27+'ASptISptSSv 4yr'!I27+'PLANT OPER MAIN 4yr'!I27+'SCHOLAR FELLOW 4yr'!I27+'All Other 4yr'!I27)-I27</f>
        <v>0</v>
      </c>
      <c r="AJ27" s="130">
        <f>('Instruction-4YR'!J27+'RESEARCH 4yr'!J27+'PUBLIC SERVICE 4yr'!J27+'ASptISptSSv 4yr'!J27+'PLANT OPER MAIN 4yr'!J27+'SCHOLAR FELLOW 4yr'!J27+'All Other 4yr'!J27)-J27</f>
        <v>0</v>
      </c>
      <c r="AK27" s="130">
        <f>('Instruction-4YR'!K27+'RESEARCH 4yr'!K27+'PUBLIC SERVICE 4yr'!K27+'ASptISptSSv 4yr'!K27+'PLANT OPER MAIN 4yr'!K27+'SCHOLAR FELLOW 4yr'!K27+'All Other 4yr'!K27)-K27</f>
        <v>0</v>
      </c>
      <c r="AL27" s="130">
        <f>('Instruction-4YR'!L27+'RESEARCH 4yr'!L27+'PUBLIC SERVICE 4yr'!L27+'ASptISptSSv 4yr'!L27+'PLANT OPER MAIN 4yr'!L27+'SCHOLAR FELLOW 4yr'!L27+'All Other 4yr'!L27)-L27</f>
        <v>0</v>
      </c>
      <c r="AM27" s="130">
        <f>('Instruction-4YR'!M27+'RESEARCH 4yr'!M27+'PUBLIC SERVICE 4yr'!M27+'ASptISptSSv 4yr'!M27+'PLANT OPER MAIN 4yr'!M27+'SCHOLAR FELLOW 4yr'!M27+'All Other 4yr'!M27)-M27</f>
        <v>0</v>
      </c>
      <c r="AN27" s="130">
        <f>('Instruction-4YR'!N27+'RESEARCH 4yr'!N27+'PUBLIC SERVICE 4yr'!N27+'ASptISptSSv 4yr'!N27+'PLANT OPER MAIN 4yr'!N27+'SCHOLAR FELLOW 4yr'!N27+'All Other 4yr'!N27)-N27</f>
        <v>0</v>
      </c>
      <c r="AO27" s="130">
        <f>('Instruction-4YR'!O27+'RESEARCH 4yr'!O27+'PUBLIC SERVICE 4yr'!O27+'ASptISptSSv 4yr'!O27+'PLANT OPER MAIN 4yr'!O27+'SCHOLAR FELLOW 4yr'!O27+'All Other 4yr'!O27)-O27</f>
        <v>0</v>
      </c>
      <c r="AP27" s="130">
        <f>('Instruction-4YR'!P27+'RESEARCH 4yr'!P27+'PUBLIC SERVICE 4yr'!P27+'ASptISptSSv 4yr'!P27+'PLANT OPER MAIN 4yr'!P27+'SCHOLAR FELLOW 4yr'!P27+'All Other 4yr'!P27)-P27</f>
        <v>0</v>
      </c>
      <c r="AQ27" s="130">
        <f>('Instruction-4YR'!Q27+'RESEARCH 4yr'!Q27+'PUBLIC SERVICE 4yr'!Q27+'ASptISptSSv 4yr'!Q27+'PLANT OPER MAIN 4yr'!Q27+'SCHOLAR FELLOW 4yr'!Q27+'All Other 4yr'!Q27)-Q27</f>
        <v>0</v>
      </c>
      <c r="AR27" s="130">
        <f>('Instruction-4YR'!R27+'RESEARCH 4yr'!R27+'PUBLIC SERVICE 4yr'!R27+'ASptISptSSv 4yr'!R27+'PLANT OPER MAIN 4yr'!R27+'SCHOLAR FELLOW 4yr'!R27+'All Other 4yr'!R27)-R27</f>
        <v>0</v>
      </c>
      <c r="AS27" s="130">
        <f>('Instruction-4YR'!S27+'RESEARCH 4yr'!S27+'PUBLIC SERVICE 4yr'!S27+'ASptISptSSv 4yr'!S27+'PLANT OPER MAIN 4yr'!S27+'SCHOLAR FELLOW 4yr'!S27+'All Other 4yr'!S27)-S27</f>
        <v>0</v>
      </c>
      <c r="AT27" s="130">
        <f>('Instruction-4YR'!T27+'RESEARCH 4yr'!T27+'PUBLIC SERVICE 4yr'!T27+'ASptISptSSv 4yr'!T27+'PLANT OPER MAIN 4yr'!T27+'SCHOLAR FELLOW 4yr'!T27+'All Other 4yr'!T27)-T27</f>
        <v>0</v>
      </c>
      <c r="AU27" s="130">
        <f>('Instruction-4YR'!U27+'RESEARCH 4yr'!U27+'PUBLIC SERVICE 4yr'!U27+'ASptISptSSv 4yr'!U27+'PLANT OPER MAIN 4yr'!U27+'SCHOLAR FELLOW 4yr'!U27+'All Other 4yr'!U27)-U27</f>
        <v>0</v>
      </c>
      <c r="AV27" s="130">
        <f>('Instruction-4YR'!V27+'RESEARCH 4yr'!V27+'PUBLIC SERVICE 4yr'!V27+'ASptISptSSv 4yr'!V27+'PLANT OPER MAIN 4yr'!V27+'SCHOLAR FELLOW 4yr'!V27+'All Other 4yr'!V27)-V27</f>
        <v>0</v>
      </c>
      <c r="AW27" s="130">
        <f>('Instruction-4YR'!W27+'RESEARCH 4yr'!W27+'PUBLIC SERVICE 4yr'!W27+'ASptISptSSv 4yr'!W27+'PLANT OPER MAIN 4yr'!W27+'SCHOLAR FELLOW 4yr'!W27+'All Other 4yr'!W27)-W27</f>
        <v>0</v>
      </c>
      <c r="AX27" s="130">
        <f>('Instruction-4YR'!X27+'RESEARCH 4yr'!X27+'PUBLIC SERVICE 4yr'!X27+'ASptISptSSv 4yr'!X27+'PLANT OPER MAIN 4yr'!X27+'SCHOLAR FELLOW 4yr'!X27+'All Other 4yr'!X27)-X27</f>
        <v>0</v>
      </c>
      <c r="AY27" s="130">
        <f>('Instruction-4YR'!Y27+'RESEARCH 4yr'!Y27+'PUBLIC SERVICE 4yr'!Y27+'ASptISptSSv 4yr'!Y27+'PLANT OPER MAIN 4yr'!Y27+'SCHOLAR FELLOW 4yr'!Y27+'All Other 4yr'!Y27)-Y27</f>
        <v>0</v>
      </c>
      <c r="AZ27" s="130">
        <f>('Instruction-4YR'!Z27+'RESEARCH 4yr'!Z27+'PUBLIC SERVICE 4yr'!Z27+'ASptISptSSv 4yr'!Z27+'PLANT OPER MAIN 4yr'!Z27+'SCHOLAR FELLOW 4yr'!Z27+'All Other 4yr'!Z27)-Z27</f>
        <v>0</v>
      </c>
      <c r="BA27" s="130">
        <f>('Instruction-4YR'!AA27+'RESEARCH 4yr'!AA27+'PUBLIC SERVICE 4yr'!AA27+'ASptISptSSv 4yr'!AA27+'PLANT OPER MAIN 4yr'!AA27+'SCHOLAR FELLOW 4yr'!AA27+'All Other 4yr'!AA27)-AA27</f>
        <v>0</v>
      </c>
    </row>
    <row r="28" spans="1:53">
      <c r="A28" s="23" t="s">
        <v>86</v>
      </c>
      <c r="B28" s="36"/>
      <c r="C28" s="36"/>
      <c r="D28" s="36"/>
      <c r="E28" s="36"/>
      <c r="F28" s="77">
        <v>1108802.2590000001</v>
      </c>
      <c r="G28" s="36"/>
      <c r="H28" s="36"/>
      <c r="I28" s="37">
        <v>1313292.8959999999</v>
      </c>
      <c r="J28" s="37"/>
      <c r="K28" s="37">
        <v>1430500.65</v>
      </c>
      <c r="L28" s="37">
        <v>1713549.078</v>
      </c>
      <c r="M28" s="37">
        <v>1819211.8970000001</v>
      </c>
      <c r="N28" s="37">
        <v>1948858.1459999999</v>
      </c>
      <c r="O28" s="37">
        <v>2055839.9609999999</v>
      </c>
      <c r="P28" s="37">
        <v>2269211.4700000002</v>
      </c>
      <c r="Q28" s="37">
        <v>2460884.628</v>
      </c>
      <c r="R28" s="37">
        <v>2678298.855</v>
      </c>
      <c r="S28" s="37">
        <v>2898704.5290000001</v>
      </c>
      <c r="T28" s="23">
        <v>3183594.3169999998</v>
      </c>
      <c r="U28" s="23">
        <v>3248979.9029999999</v>
      </c>
      <c r="V28" s="23">
        <v>3292129.1839999999</v>
      </c>
      <c r="W28" s="23">
        <v>3521661.8450000002</v>
      </c>
      <c r="X28" s="23">
        <v>3697010.4010000001</v>
      </c>
      <c r="Y28" s="2">
        <v>3842086.1329999999</v>
      </c>
      <c r="Z28" s="2">
        <v>4092474.2250000001</v>
      </c>
      <c r="AA28" s="2">
        <v>4413044.2649999997</v>
      </c>
      <c r="AB28" s="130">
        <f>('Instruction-4YR'!B28+'RESEARCH 4yr'!B28+'PUBLIC SERVICE 4yr'!B28+'ASptISptSSv 4yr'!B28+'PLANT OPER MAIN 4yr'!B28+'SCHOLAR FELLOW 4yr'!B28+'All Other 4yr'!B28)-B28</f>
        <v>0</v>
      </c>
      <c r="AC28" s="130">
        <f>('Instruction-4YR'!C28+'RESEARCH 4yr'!C28+'PUBLIC SERVICE 4yr'!C28+'ASptISptSSv 4yr'!C28+'PLANT OPER MAIN 4yr'!C28+'SCHOLAR FELLOW 4yr'!C28+'All Other 4yr'!C28)-C28</f>
        <v>0</v>
      </c>
      <c r="AD28" s="130">
        <f>('Instruction-4YR'!D28+'RESEARCH 4yr'!D28+'PUBLIC SERVICE 4yr'!D28+'ASptISptSSv 4yr'!D28+'PLANT OPER MAIN 4yr'!D28+'SCHOLAR FELLOW 4yr'!D28+'All Other 4yr'!D28)-D28</f>
        <v>0</v>
      </c>
      <c r="AE28" s="130">
        <f>('Instruction-4YR'!E28+'RESEARCH 4yr'!E28+'PUBLIC SERVICE 4yr'!E28+'ASptISptSSv 4yr'!E28+'PLANT OPER MAIN 4yr'!E28+'SCHOLAR FELLOW 4yr'!E28+'All Other 4yr'!E28)-E28</f>
        <v>0</v>
      </c>
      <c r="AF28" s="130">
        <f>('Instruction-4YR'!F28+'RESEARCH 4yr'!F28+'PUBLIC SERVICE 4yr'!F28+'ASptISptSSv 4yr'!F28+'PLANT OPER MAIN 4yr'!F28+'SCHOLAR FELLOW 4yr'!F28+'All Other 4yr'!F28)-F28</f>
        <v>0</v>
      </c>
      <c r="AG28" s="130">
        <f>('Instruction-4YR'!G28+'RESEARCH 4yr'!G28+'PUBLIC SERVICE 4yr'!G28+'ASptISptSSv 4yr'!G28+'PLANT OPER MAIN 4yr'!G28+'SCHOLAR FELLOW 4yr'!G28+'All Other 4yr'!G28)-G28</f>
        <v>0</v>
      </c>
      <c r="AH28" s="130">
        <f>('Instruction-4YR'!H28+'RESEARCH 4yr'!H28+'PUBLIC SERVICE 4yr'!H28+'ASptISptSSv 4yr'!H28+'PLANT OPER MAIN 4yr'!H28+'SCHOLAR FELLOW 4yr'!H28+'All Other 4yr'!H28)-H28</f>
        <v>0</v>
      </c>
      <c r="AI28" s="130">
        <f>('Instruction-4YR'!I28+'RESEARCH 4yr'!I28+'PUBLIC SERVICE 4yr'!I28+'ASptISptSSv 4yr'!I28+'PLANT OPER MAIN 4yr'!I28+'SCHOLAR FELLOW 4yr'!I28+'All Other 4yr'!I28)-I28</f>
        <v>0</v>
      </c>
      <c r="AJ28" s="130">
        <f>('Instruction-4YR'!J28+'RESEARCH 4yr'!J28+'PUBLIC SERVICE 4yr'!J28+'ASptISptSSv 4yr'!J28+'PLANT OPER MAIN 4yr'!J28+'SCHOLAR FELLOW 4yr'!J28+'All Other 4yr'!J28)-J28</f>
        <v>0</v>
      </c>
      <c r="AK28" s="130">
        <f>('Instruction-4YR'!K28+'RESEARCH 4yr'!K28+'PUBLIC SERVICE 4yr'!K28+'ASptISptSSv 4yr'!K28+'PLANT OPER MAIN 4yr'!K28+'SCHOLAR FELLOW 4yr'!K28+'All Other 4yr'!K28)-K28</f>
        <v>0</v>
      </c>
      <c r="AL28" s="130">
        <f>('Instruction-4YR'!L28+'RESEARCH 4yr'!L28+'PUBLIC SERVICE 4yr'!L28+'ASptISptSSv 4yr'!L28+'PLANT OPER MAIN 4yr'!L28+'SCHOLAR FELLOW 4yr'!L28+'All Other 4yr'!L28)-L28</f>
        <v>0</v>
      </c>
      <c r="AM28" s="130">
        <f>('Instruction-4YR'!M28+'RESEARCH 4yr'!M28+'PUBLIC SERVICE 4yr'!M28+'ASptISptSSv 4yr'!M28+'PLANT OPER MAIN 4yr'!M28+'SCHOLAR FELLOW 4yr'!M28+'All Other 4yr'!M28)-M28</f>
        <v>0</v>
      </c>
      <c r="AN28" s="130">
        <f>('Instruction-4YR'!N28+'RESEARCH 4yr'!N28+'PUBLIC SERVICE 4yr'!N28+'ASptISptSSv 4yr'!N28+'PLANT OPER MAIN 4yr'!N28+'SCHOLAR FELLOW 4yr'!N28+'All Other 4yr'!N28)-N28</f>
        <v>0</v>
      </c>
      <c r="AO28" s="130">
        <f>('Instruction-4YR'!O28+'RESEARCH 4yr'!O28+'PUBLIC SERVICE 4yr'!O28+'ASptISptSSv 4yr'!O28+'PLANT OPER MAIN 4yr'!O28+'SCHOLAR FELLOW 4yr'!O28+'All Other 4yr'!O28)-O28</f>
        <v>0</v>
      </c>
      <c r="AP28" s="130">
        <f>('Instruction-4YR'!P28+'RESEARCH 4yr'!P28+'PUBLIC SERVICE 4yr'!P28+'ASptISptSSv 4yr'!P28+'PLANT OPER MAIN 4yr'!P28+'SCHOLAR FELLOW 4yr'!P28+'All Other 4yr'!P28)-P28</f>
        <v>0</v>
      </c>
      <c r="AQ28" s="130">
        <f>('Instruction-4YR'!Q28+'RESEARCH 4yr'!Q28+'PUBLIC SERVICE 4yr'!Q28+'ASptISptSSv 4yr'!Q28+'PLANT OPER MAIN 4yr'!Q28+'SCHOLAR FELLOW 4yr'!Q28+'All Other 4yr'!Q28)-Q28</f>
        <v>0</v>
      </c>
      <c r="AR28" s="130">
        <f>('Instruction-4YR'!R28+'RESEARCH 4yr'!R28+'PUBLIC SERVICE 4yr'!R28+'ASptISptSSv 4yr'!R28+'PLANT OPER MAIN 4yr'!R28+'SCHOLAR FELLOW 4yr'!R28+'All Other 4yr'!R28)-R28</f>
        <v>0</v>
      </c>
      <c r="AS28" s="130">
        <f>('Instruction-4YR'!S28+'RESEARCH 4yr'!S28+'PUBLIC SERVICE 4yr'!S28+'ASptISptSSv 4yr'!S28+'PLANT OPER MAIN 4yr'!S28+'SCHOLAR FELLOW 4yr'!S28+'All Other 4yr'!S28)-S28</f>
        <v>0</v>
      </c>
      <c r="AT28" s="130">
        <f>('Instruction-4YR'!T28+'RESEARCH 4yr'!T28+'PUBLIC SERVICE 4yr'!T28+'ASptISptSSv 4yr'!T28+'PLANT OPER MAIN 4yr'!T28+'SCHOLAR FELLOW 4yr'!T28+'All Other 4yr'!T28)-T28</f>
        <v>0</v>
      </c>
      <c r="AU28" s="130">
        <f>('Instruction-4YR'!U28+'RESEARCH 4yr'!U28+'PUBLIC SERVICE 4yr'!U28+'ASptISptSSv 4yr'!U28+'PLANT OPER MAIN 4yr'!U28+'SCHOLAR FELLOW 4yr'!U28+'All Other 4yr'!U28)-U28</f>
        <v>0</v>
      </c>
      <c r="AV28" s="130">
        <f>('Instruction-4YR'!V28+'RESEARCH 4yr'!V28+'PUBLIC SERVICE 4yr'!V28+'ASptISptSSv 4yr'!V28+'PLANT OPER MAIN 4yr'!V28+'SCHOLAR FELLOW 4yr'!V28+'All Other 4yr'!V28)-V28</f>
        <v>0</v>
      </c>
      <c r="AW28" s="130">
        <f>('Instruction-4YR'!W28+'RESEARCH 4yr'!W28+'PUBLIC SERVICE 4yr'!W28+'ASptISptSSv 4yr'!W28+'PLANT OPER MAIN 4yr'!W28+'SCHOLAR FELLOW 4yr'!W28+'All Other 4yr'!W28)-W28</f>
        <v>0</v>
      </c>
      <c r="AX28" s="130">
        <f>('Instruction-4YR'!X28+'RESEARCH 4yr'!X28+'PUBLIC SERVICE 4yr'!X28+'ASptISptSSv 4yr'!X28+'PLANT OPER MAIN 4yr'!X28+'SCHOLAR FELLOW 4yr'!X28+'All Other 4yr'!X28)-X28</f>
        <v>0</v>
      </c>
      <c r="AY28" s="130">
        <f>('Instruction-4YR'!Y28+'RESEARCH 4yr'!Y28+'PUBLIC SERVICE 4yr'!Y28+'ASptISptSSv 4yr'!Y28+'PLANT OPER MAIN 4yr'!Y28+'SCHOLAR FELLOW 4yr'!Y28+'All Other 4yr'!Y28)-Y28</f>
        <v>0</v>
      </c>
      <c r="AZ28" s="130">
        <f>('Instruction-4YR'!Z28+'RESEARCH 4yr'!Z28+'PUBLIC SERVICE 4yr'!Z28+'ASptISptSSv 4yr'!Z28+'PLANT OPER MAIN 4yr'!Z28+'SCHOLAR FELLOW 4yr'!Z28+'All Other 4yr'!Z28)-Z28</f>
        <v>0</v>
      </c>
      <c r="BA28" s="130">
        <f>('Instruction-4YR'!AA28+'RESEARCH 4yr'!AA28+'PUBLIC SERVICE 4yr'!AA28+'ASptISptSSv 4yr'!AA28+'PLANT OPER MAIN 4yr'!AA28+'SCHOLAR FELLOW 4yr'!AA28+'All Other 4yr'!AA28)-AA28</f>
        <v>0</v>
      </c>
    </row>
    <row r="29" spans="1:53">
      <c r="A29" s="23" t="s">
        <v>87</v>
      </c>
      <c r="B29" s="36"/>
      <c r="C29" s="36"/>
      <c r="D29" s="36"/>
      <c r="E29" s="36"/>
      <c r="F29" s="77">
        <v>7063759.034</v>
      </c>
      <c r="G29" s="36"/>
      <c r="H29" s="36"/>
      <c r="I29" s="37">
        <v>7987212.7350000003</v>
      </c>
      <c r="J29" s="37"/>
      <c r="K29" s="37">
        <v>9323512.807</v>
      </c>
      <c r="L29" s="37">
        <v>11595878.028999999</v>
      </c>
      <c r="M29" s="37">
        <v>12778434.366</v>
      </c>
      <c r="N29" s="37">
        <v>12984138.591</v>
      </c>
      <c r="O29" s="37">
        <v>13801257.778999999</v>
      </c>
      <c r="P29" s="37">
        <v>14590448.314999999</v>
      </c>
      <c r="Q29" s="37">
        <v>14974056.075999999</v>
      </c>
      <c r="R29" s="37">
        <v>15947716.208000001</v>
      </c>
      <c r="S29" s="37">
        <v>17505759.096999999</v>
      </c>
      <c r="T29" s="23">
        <v>18465479.567000002</v>
      </c>
      <c r="U29" s="23">
        <v>17590895.473999999</v>
      </c>
      <c r="V29" s="23">
        <v>19071145.603999998</v>
      </c>
      <c r="W29" s="23">
        <v>20865726.515999999</v>
      </c>
      <c r="X29" s="23">
        <v>22517740.782000002</v>
      </c>
      <c r="Y29" s="2">
        <v>23400619.138</v>
      </c>
      <c r="Z29" s="2">
        <v>24766717.804000001</v>
      </c>
      <c r="AA29" s="2">
        <v>26142586.717999998</v>
      </c>
      <c r="AB29" s="130">
        <f>('Instruction-4YR'!B29+'RESEARCH 4yr'!B29+'PUBLIC SERVICE 4yr'!B29+'ASptISptSSv 4yr'!B29+'PLANT OPER MAIN 4yr'!B29+'SCHOLAR FELLOW 4yr'!B29+'All Other 4yr'!B29)-B29</f>
        <v>0</v>
      </c>
      <c r="AC29" s="130">
        <f>('Instruction-4YR'!C29+'RESEARCH 4yr'!C29+'PUBLIC SERVICE 4yr'!C29+'ASptISptSSv 4yr'!C29+'PLANT OPER MAIN 4yr'!C29+'SCHOLAR FELLOW 4yr'!C29+'All Other 4yr'!C29)-C29</f>
        <v>0</v>
      </c>
      <c r="AD29" s="130">
        <f>('Instruction-4YR'!D29+'RESEARCH 4yr'!D29+'PUBLIC SERVICE 4yr'!D29+'ASptISptSSv 4yr'!D29+'PLANT OPER MAIN 4yr'!D29+'SCHOLAR FELLOW 4yr'!D29+'All Other 4yr'!D29)-D29</f>
        <v>0</v>
      </c>
      <c r="AE29" s="130">
        <f>('Instruction-4YR'!E29+'RESEARCH 4yr'!E29+'PUBLIC SERVICE 4yr'!E29+'ASptISptSSv 4yr'!E29+'PLANT OPER MAIN 4yr'!E29+'SCHOLAR FELLOW 4yr'!E29+'All Other 4yr'!E29)-E29</f>
        <v>0</v>
      </c>
      <c r="AF29" s="130">
        <f>('Instruction-4YR'!F29+'RESEARCH 4yr'!F29+'PUBLIC SERVICE 4yr'!F29+'ASptISptSSv 4yr'!F29+'PLANT OPER MAIN 4yr'!F29+'SCHOLAR FELLOW 4yr'!F29+'All Other 4yr'!F29)-F29</f>
        <v>0</v>
      </c>
      <c r="AG29" s="130">
        <f>('Instruction-4YR'!G29+'RESEARCH 4yr'!G29+'PUBLIC SERVICE 4yr'!G29+'ASptISptSSv 4yr'!G29+'PLANT OPER MAIN 4yr'!G29+'SCHOLAR FELLOW 4yr'!G29+'All Other 4yr'!G29)-G29</f>
        <v>0</v>
      </c>
      <c r="AH29" s="130">
        <f>('Instruction-4YR'!H29+'RESEARCH 4yr'!H29+'PUBLIC SERVICE 4yr'!H29+'ASptISptSSv 4yr'!H29+'PLANT OPER MAIN 4yr'!H29+'SCHOLAR FELLOW 4yr'!H29+'All Other 4yr'!H29)-H29</f>
        <v>0</v>
      </c>
      <c r="AI29" s="130">
        <f>('Instruction-4YR'!I29+'RESEARCH 4yr'!I29+'PUBLIC SERVICE 4yr'!I29+'ASptISptSSv 4yr'!I29+'PLANT OPER MAIN 4yr'!I29+'SCHOLAR FELLOW 4yr'!I29+'All Other 4yr'!I29)-I29</f>
        <v>0</v>
      </c>
      <c r="AJ29" s="130">
        <f>('Instruction-4YR'!J29+'RESEARCH 4yr'!J29+'PUBLIC SERVICE 4yr'!J29+'ASptISptSSv 4yr'!J29+'PLANT OPER MAIN 4yr'!J29+'SCHOLAR FELLOW 4yr'!J29+'All Other 4yr'!J29)-J29</f>
        <v>0</v>
      </c>
      <c r="AK29" s="130">
        <f>('Instruction-4YR'!K29+'RESEARCH 4yr'!K29+'PUBLIC SERVICE 4yr'!K29+'ASptISptSSv 4yr'!K29+'PLANT OPER MAIN 4yr'!K29+'SCHOLAR FELLOW 4yr'!K29+'All Other 4yr'!K29)-K29</f>
        <v>0</v>
      </c>
      <c r="AL29" s="130">
        <f>('Instruction-4YR'!L29+'RESEARCH 4yr'!L29+'PUBLIC SERVICE 4yr'!L29+'ASptISptSSv 4yr'!L29+'PLANT OPER MAIN 4yr'!L29+'SCHOLAR FELLOW 4yr'!L29+'All Other 4yr'!L29)-L29</f>
        <v>0</v>
      </c>
      <c r="AM29" s="130">
        <f>('Instruction-4YR'!M29+'RESEARCH 4yr'!M29+'PUBLIC SERVICE 4yr'!M29+'ASptISptSSv 4yr'!M29+'PLANT OPER MAIN 4yr'!M29+'SCHOLAR FELLOW 4yr'!M29+'All Other 4yr'!M29)-M29</f>
        <v>0</v>
      </c>
      <c r="AN29" s="130">
        <f>('Instruction-4YR'!N29+'RESEARCH 4yr'!N29+'PUBLIC SERVICE 4yr'!N29+'ASptISptSSv 4yr'!N29+'PLANT OPER MAIN 4yr'!N29+'SCHOLAR FELLOW 4yr'!N29+'All Other 4yr'!N29)-N29</f>
        <v>0</v>
      </c>
      <c r="AO29" s="130">
        <f>('Instruction-4YR'!O29+'RESEARCH 4yr'!O29+'PUBLIC SERVICE 4yr'!O29+'ASptISptSSv 4yr'!O29+'PLANT OPER MAIN 4yr'!O29+'SCHOLAR FELLOW 4yr'!O29+'All Other 4yr'!O29)-O29</f>
        <v>0</v>
      </c>
      <c r="AP29" s="130">
        <f>('Instruction-4YR'!P29+'RESEARCH 4yr'!P29+'PUBLIC SERVICE 4yr'!P29+'ASptISptSSv 4yr'!P29+'PLANT OPER MAIN 4yr'!P29+'SCHOLAR FELLOW 4yr'!P29+'All Other 4yr'!P29)-P29</f>
        <v>0</v>
      </c>
      <c r="AQ29" s="130">
        <f>('Instruction-4YR'!Q29+'RESEARCH 4yr'!Q29+'PUBLIC SERVICE 4yr'!Q29+'ASptISptSSv 4yr'!Q29+'PLANT OPER MAIN 4yr'!Q29+'SCHOLAR FELLOW 4yr'!Q29+'All Other 4yr'!Q29)-Q29</f>
        <v>0</v>
      </c>
      <c r="AR29" s="130">
        <f>('Instruction-4YR'!R29+'RESEARCH 4yr'!R29+'PUBLIC SERVICE 4yr'!R29+'ASptISptSSv 4yr'!R29+'PLANT OPER MAIN 4yr'!R29+'SCHOLAR FELLOW 4yr'!R29+'All Other 4yr'!R29)-R29</f>
        <v>0</v>
      </c>
      <c r="AS29" s="130">
        <f>('Instruction-4YR'!S29+'RESEARCH 4yr'!S29+'PUBLIC SERVICE 4yr'!S29+'ASptISptSSv 4yr'!S29+'PLANT OPER MAIN 4yr'!S29+'SCHOLAR FELLOW 4yr'!S29+'All Other 4yr'!S29)-S29</f>
        <v>0</v>
      </c>
      <c r="AT29" s="130">
        <f>('Instruction-4YR'!T29+'RESEARCH 4yr'!T29+'PUBLIC SERVICE 4yr'!T29+'ASptISptSSv 4yr'!T29+'PLANT OPER MAIN 4yr'!T29+'SCHOLAR FELLOW 4yr'!T29+'All Other 4yr'!T29)-T29</f>
        <v>0</v>
      </c>
      <c r="AU29" s="130">
        <f>('Instruction-4YR'!U29+'RESEARCH 4yr'!U29+'PUBLIC SERVICE 4yr'!U29+'ASptISptSSv 4yr'!U29+'PLANT OPER MAIN 4yr'!U29+'SCHOLAR FELLOW 4yr'!U29+'All Other 4yr'!U29)-U29</f>
        <v>0</v>
      </c>
      <c r="AV29" s="130">
        <f>('Instruction-4YR'!V29+'RESEARCH 4yr'!V29+'PUBLIC SERVICE 4yr'!V29+'ASptISptSSv 4yr'!V29+'PLANT OPER MAIN 4yr'!V29+'SCHOLAR FELLOW 4yr'!V29+'All Other 4yr'!V29)-V29</f>
        <v>0</v>
      </c>
      <c r="AW29" s="130">
        <f>('Instruction-4YR'!W29+'RESEARCH 4yr'!W29+'PUBLIC SERVICE 4yr'!W29+'ASptISptSSv 4yr'!W29+'PLANT OPER MAIN 4yr'!W29+'SCHOLAR FELLOW 4yr'!W29+'All Other 4yr'!W29)-W29</f>
        <v>0</v>
      </c>
      <c r="AX29" s="130">
        <f>('Instruction-4YR'!X29+'RESEARCH 4yr'!X29+'PUBLIC SERVICE 4yr'!X29+'ASptISptSSv 4yr'!X29+'PLANT OPER MAIN 4yr'!X29+'SCHOLAR FELLOW 4yr'!X29+'All Other 4yr'!X29)-X29</f>
        <v>0</v>
      </c>
      <c r="AY29" s="130">
        <f>('Instruction-4YR'!Y29+'RESEARCH 4yr'!Y29+'PUBLIC SERVICE 4yr'!Y29+'ASptISptSSv 4yr'!Y29+'PLANT OPER MAIN 4yr'!Y29+'SCHOLAR FELLOW 4yr'!Y29+'All Other 4yr'!Y29)-Y29</f>
        <v>0</v>
      </c>
      <c r="AZ29" s="130">
        <f>('Instruction-4YR'!Z29+'RESEARCH 4yr'!Z29+'PUBLIC SERVICE 4yr'!Z29+'ASptISptSSv 4yr'!Z29+'PLANT OPER MAIN 4yr'!Z29+'SCHOLAR FELLOW 4yr'!Z29+'All Other 4yr'!Z29)-Z29</f>
        <v>0</v>
      </c>
      <c r="BA29" s="130">
        <f>('Instruction-4YR'!AA29+'RESEARCH 4yr'!AA29+'PUBLIC SERVICE 4yr'!AA29+'ASptISptSSv 4yr'!AA29+'PLANT OPER MAIN 4yr'!AA29+'SCHOLAR FELLOW 4yr'!AA29+'All Other 4yr'!AA29)-AA29</f>
        <v>0</v>
      </c>
    </row>
    <row r="30" spans="1:53">
      <c r="A30" s="23" t="s">
        <v>88</v>
      </c>
      <c r="B30" s="36"/>
      <c r="C30" s="36"/>
      <c r="D30" s="36"/>
      <c r="E30" s="36"/>
      <c r="F30" s="77">
        <v>1261223.844</v>
      </c>
      <c r="G30" s="36"/>
      <c r="H30" s="36"/>
      <c r="I30" s="37">
        <v>1428647.0630000001</v>
      </c>
      <c r="J30" s="37"/>
      <c r="K30" s="37">
        <v>1580090.0767399999</v>
      </c>
      <c r="L30" s="37">
        <v>1903160.2749999999</v>
      </c>
      <c r="M30" s="37">
        <v>2064215.2779999999</v>
      </c>
      <c r="N30" s="37">
        <v>2245914.9049999998</v>
      </c>
      <c r="O30" s="37">
        <v>2313930.1880000001</v>
      </c>
      <c r="P30" s="37">
        <v>1888147.04</v>
      </c>
      <c r="Q30" s="37">
        <v>2910416.523</v>
      </c>
      <c r="R30" s="37">
        <v>2644288.719</v>
      </c>
      <c r="S30" s="37">
        <v>2802046.9840000002</v>
      </c>
      <c r="T30" s="23">
        <v>3021789.273</v>
      </c>
      <c r="U30" s="23">
        <v>3130807.3489999999</v>
      </c>
      <c r="V30" s="23">
        <v>3368292.4029999999</v>
      </c>
      <c r="W30" s="23">
        <v>3611207.372</v>
      </c>
      <c r="X30" s="23">
        <v>3804052.605</v>
      </c>
      <c r="Y30" s="2">
        <v>3892832.6370000001</v>
      </c>
      <c r="Z30" s="2">
        <v>4128779.0729999999</v>
      </c>
      <c r="AA30" s="2">
        <v>4425877.7860000003</v>
      </c>
      <c r="AB30" s="130">
        <f>('Instruction-4YR'!B30+'RESEARCH 4yr'!B30+'PUBLIC SERVICE 4yr'!B30+'ASptISptSSv 4yr'!B30+'PLANT OPER MAIN 4yr'!B30+'SCHOLAR FELLOW 4yr'!B30+'All Other 4yr'!B30)-B30</f>
        <v>0</v>
      </c>
      <c r="AC30" s="130">
        <f>('Instruction-4YR'!C30+'RESEARCH 4yr'!C30+'PUBLIC SERVICE 4yr'!C30+'ASptISptSSv 4yr'!C30+'PLANT OPER MAIN 4yr'!C30+'SCHOLAR FELLOW 4yr'!C30+'All Other 4yr'!C30)-C30</f>
        <v>0</v>
      </c>
      <c r="AD30" s="130">
        <f>('Instruction-4YR'!D30+'RESEARCH 4yr'!D30+'PUBLIC SERVICE 4yr'!D30+'ASptISptSSv 4yr'!D30+'PLANT OPER MAIN 4yr'!D30+'SCHOLAR FELLOW 4yr'!D30+'All Other 4yr'!D30)-D30</f>
        <v>0</v>
      </c>
      <c r="AE30" s="130">
        <f>('Instruction-4YR'!E30+'RESEARCH 4yr'!E30+'PUBLIC SERVICE 4yr'!E30+'ASptISptSSv 4yr'!E30+'PLANT OPER MAIN 4yr'!E30+'SCHOLAR FELLOW 4yr'!E30+'All Other 4yr'!E30)-E30</f>
        <v>0</v>
      </c>
      <c r="AF30" s="130">
        <f>('Instruction-4YR'!F30+'RESEARCH 4yr'!F30+'PUBLIC SERVICE 4yr'!F30+'ASptISptSSv 4yr'!F30+'PLANT OPER MAIN 4yr'!F30+'SCHOLAR FELLOW 4yr'!F30+'All Other 4yr'!F30)-F30</f>
        <v>0</v>
      </c>
      <c r="AG30" s="130">
        <f>('Instruction-4YR'!G30+'RESEARCH 4yr'!G30+'PUBLIC SERVICE 4yr'!G30+'ASptISptSSv 4yr'!G30+'PLANT OPER MAIN 4yr'!G30+'SCHOLAR FELLOW 4yr'!G30+'All Other 4yr'!G30)-G30</f>
        <v>0</v>
      </c>
      <c r="AH30" s="130">
        <f>('Instruction-4YR'!H30+'RESEARCH 4yr'!H30+'PUBLIC SERVICE 4yr'!H30+'ASptISptSSv 4yr'!H30+'PLANT OPER MAIN 4yr'!H30+'SCHOLAR FELLOW 4yr'!H30+'All Other 4yr'!H30)-H30</f>
        <v>0</v>
      </c>
      <c r="AI30" s="130">
        <f>('Instruction-4YR'!I30+'RESEARCH 4yr'!I30+'PUBLIC SERVICE 4yr'!I30+'ASptISptSSv 4yr'!I30+'PLANT OPER MAIN 4yr'!I30+'SCHOLAR FELLOW 4yr'!I30+'All Other 4yr'!I30)-I30</f>
        <v>0</v>
      </c>
      <c r="AJ30" s="130">
        <f>('Instruction-4YR'!J30+'RESEARCH 4yr'!J30+'PUBLIC SERVICE 4yr'!J30+'ASptISptSSv 4yr'!J30+'PLANT OPER MAIN 4yr'!J30+'SCHOLAR FELLOW 4yr'!J30+'All Other 4yr'!J30)-J30</f>
        <v>0</v>
      </c>
      <c r="AK30" s="130">
        <f>('Instruction-4YR'!K30+'RESEARCH 4yr'!K30+'PUBLIC SERVICE 4yr'!K30+'ASptISptSSv 4yr'!K30+'PLANT OPER MAIN 4yr'!K30+'SCHOLAR FELLOW 4yr'!K30+'All Other 4yr'!K30)-K30</f>
        <v>0</v>
      </c>
      <c r="AL30" s="130">
        <f>('Instruction-4YR'!L30+'RESEARCH 4yr'!L30+'PUBLIC SERVICE 4yr'!L30+'ASptISptSSv 4yr'!L30+'PLANT OPER MAIN 4yr'!L30+'SCHOLAR FELLOW 4yr'!L30+'All Other 4yr'!L30)-L30</f>
        <v>0</v>
      </c>
      <c r="AM30" s="130">
        <f>('Instruction-4YR'!M30+'RESEARCH 4yr'!M30+'PUBLIC SERVICE 4yr'!M30+'ASptISptSSv 4yr'!M30+'PLANT OPER MAIN 4yr'!M30+'SCHOLAR FELLOW 4yr'!M30+'All Other 4yr'!M30)-M30</f>
        <v>0</v>
      </c>
      <c r="AN30" s="130">
        <f>('Instruction-4YR'!N30+'RESEARCH 4yr'!N30+'PUBLIC SERVICE 4yr'!N30+'ASptISptSSv 4yr'!N30+'PLANT OPER MAIN 4yr'!N30+'SCHOLAR FELLOW 4yr'!N30+'All Other 4yr'!N30)-N30</f>
        <v>0</v>
      </c>
      <c r="AO30" s="130">
        <f>('Instruction-4YR'!O30+'RESEARCH 4yr'!O30+'PUBLIC SERVICE 4yr'!O30+'ASptISptSSv 4yr'!O30+'PLANT OPER MAIN 4yr'!O30+'SCHOLAR FELLOW 4yr'!O30+'All Other 4yr'!O30)-O30</f>
        <v>0</v>
      </c>
      <c r="AP30" s="130">
        <f>('Instruction-4YR'!P30+'RESEARCH 4yr'!P30+'PUBLIC SERVICE 4yr'!P30+'ASptISptSSv 4yr'!P30+'PLANT OPER MAIN 4yr'!P30+'SCHOLAR FELLOW 4yr'!P30+'All Other 4yr'!P30)-P30</f>
        <v>0</v>
      </c>
      <c r="AQ30" s="130">
        <f>('Instruction-4YR'!Q30+'RESEARCH 4yr'!Q30+'PUBLIC SERVICE 4yr'!Q30+'ASptISptSSv 4yr'!Q30+'PLANT OPER MAIN 4yr'!Q30+'SCHOLAR FELLOW 4yr'!Q30+'All Other 4yr'!Q30)-Q30</f>
        <v>0</v>
      </c>
      <c r="AR30" s="130">
        <f>('Instruction-4YR'!R30+'RESEARCH 4yr'!R30+'PUBLIC SERVICE 4yr'!R30+'ASptISptSSv 4yr'!R30+'PLANT OPER MAIN 4yr'!R30+'SCHOLAR FELLOW 4yr'!R30+'All Other 4yr'!R30)-R30</f>
        <v>0</v>
      </c>
      <c r="AS30" s="130">
        <f>('Instruction-4YR'!S30+'RESEARCH 4yr'!S30+'PUBLIC SERVICE 4yr'!S30+'ASptISptSSv 4yr'!S30+'PLANT OPER MAIN 4yr'!S30+'SCHOLAR FELLOW 4yr'!S30+'All Other 4yr'!S30)-S30</f>
        <v>0</v>
      </c>
      <c r="AT30" s="130">
        <f>('Instruction-4YR'!T30+'RESEARCH 4yr'!T30+'PUBLIC SERVICE 4yr'!T30+'ASptISptSSv 4yr'!T30+'PLANT OPER MAIN 4yr'!T30+'SCHOLAR FELLOW 4yr'!T30+'All Other 4yr'!T30)-T30</f>
        <v>0</v>
      </c>
      <c r="AU30" s="130">
        <f>('Instruction-4YR'!U30+'RESEARCH 4yr'!U30+'PUBLIC SERVICE 4yr'!U30+'ASptISptSSv 4yr'!U30+'PLANT OPER MAIN 4yr'!U30+'SCHOLAR FELLOW 4yr'!U30+'All Other 4yr'!U30)-U30</f>
        <v>0</v>
      </c>
      <c r="AV30" s="130">
        <f>('Instruction-4YR'!V30+'RESEARCH 4yr'!V30+'PUBLIC SERVICE 4yr'!V30+'ASptISptSSv 4yr'!V30+'PLANT OPER MAIN 4yr'!V30+'SCHOLAR FELLOW 4yr'!V30+'All Other 4yr'!V30)-V30</f>
        <v>0</v>
      </c>
      <c r="AW30" s="130">
        <f>('Instruction-4YR'!W30+'RESEARCH 4yr'!W30+'PUBLIC SERVICE 4yr'!W30+'ASptISptSSv 4yr'!W30+'PLANT OPER MAIN 4yr'!W30+'SCHOLAR FELLOW 4yr'!W30+'All Other 4yr'!W30)-W30</f>
        <v>0</v>
      </c>
      <c r="AX30" s="130">
        <f>('Instruction-4YR'!X30+'RESEARCH 4yr'!X30+'PUBLIC SERVICE 4yr'!X30+'ASptISptSSv 4yr'!X30+'PLANT OPER MAIN 4yr'!X30+'SCHOLAR FELLOW 4yr'!X30+'All Other 4yr'!X30)-X30</f>
        <v>0</v>
      </c>
      <c r="AY30" s="130">
        <f>('Instruction-4YR'!Y30+'RESEARCH 4yr'!Y30+'PUBLIC SERVICE 4yr'!Y30+'ASptISptSSv 4yr'!Y30+'PLANT OPER MAIN 4yr'!Y30+'SCHOLAR FELLOW 4yr'!Y30+'All Other 4yr'!Y30)-Y30</f>
        <v>0</v>
      </c>
      <c r="AZ30" s="130">
        <f>('Instruction-4YR'!Z30+'RESEARCH 4yr'!Z30+'PUBLIC SERVICE 4yr'!Z30+'ASptISptSSv 4yr'!Z30+'PLANT OPER MAIN 4yr'!Z30+'SCHOLAR FELLOW 4yr'!Z30+'All Other 4yr'!Z30)-Z30</f>
        <v>0</v>
      </c>
      <c r="BA30" s="130">
        <f>('Instruction-4YR'!AA30+'RESEARCH 4yr'!AA30+'PUBLIC SERVICE 4yr'!AA30+'ASptISptSSv 4yr'!AA30+'PLANT OPER MAIN 4yr'!AA30+'SCHOLAR FELLOW 4yr'!AA30+'All Other 4yr'!AA30)-AA30</f>
        <v>0</v>
      </c>
    </row>
    <row r="31" spans="1:53">
      <c r="A31" s="23" t="s">
        <v>91</v>
      </c>
      <c r="B31" s="36"/>
      <c r="C31" s="36"/>
      <c r="D31" s="36"/>
      <c r="E31" s="36"/>
      <c r="F31" s="77">
        <v>404487.81099999999</v>
      </c>
      <c r="G31" s="36"/>
      <c r="H31" s="36"/>
      <c r="I31" s="37">
        <v>447897.12800000003</v>
      </c>
      <c r="J31" s="37"/>
      <c r="K31" s="37">
        <v>471961.50699999998</v>
      </c>
      <c r="L31" s="37">
        <v>473283.22700000001</v>
      </c>
      <c r="M31" s="37">
        <v>483242.49400000001</v>
      </c>
      <c r="N31" s="37">
        <v>635825.11300000001</v>
      </c>
      <c r="O31" s="37">
        <v>649420.05099999998</v>
      </c>
      <c r="P31" s="37">
        <v>701971.14</v>
      </c>
      <c r="Q31" s="37">
        <v>737030.08299999998</v>
      </c>
      <c r="R31" s="37">
        <v>805184.44299999997</v>
      </c>
      <c r="S31" s="37">
        <v>859195.29200000002</v>
      </c>
      <c r="T31" s="23">
        <v>944279.66700000002</v>
      </c>
      <c r="U31" s="23">
        <v>991524.08700000006</v>
      </c>
      <c r="V31" s="23">
        <v>918439.90500000003</v>
      </c>
      <c r="W31" s="23">
        <v>989277.00399999996</v>
      </c>
      <c r="X31" s="23">
        <v>1076766.7080000001</v>
      </c>
      <c r="Y31" s="2">
        <v>1123513.057</v>
      </c>
      <c r="Z31" s="2">
        <v>1168745.1669999999</v>
      </c>
      <c r="AA31" s="2">
        <v>1141999.4210000001</v>
      </c>
      <c r="AB31" s="130">
        <f>('Instruction-4YR'!B31+'RESEARCH 4yr'!B31+'PUBLIC SERVICE 4yr'!B31+'ASptISptSSv 4yr'!B31+'PLANT OPER MAIN 4yr'!B31+'SCHOLAR FELLOW 4yr'!B31+'All Other 4yr'!B31)-B31</f>
        <v>0</v>
      </c>
      <c r="AC31" s="130">
        <f>('Instruction-4YR'!C31+'RESEARCH 4yr'!C31+'PUBLIC SERVICE 4yr'!C31+'ASptISptSSv 4yr'!C31+'PLANT OPER MAIN 4yr'!C31+'SCHOLAR FELLOW 4yr'!C31+'All Other 4yr'!C31)-C31</f>
        <v>0</v>
      </c>
      <c r="AD31" s="130">
        <f>('Instruction-4YR'!D31+'RESEARCH 4yr'!D31+'PUBLIC SERVICE 4yr'!D31+'ASptISptSSv 4yr'!D31+'PLANT OPER MAIN 4yr'!D31+'SCHOLAR FELLOW 4yr'!D31+'All Other 4yr'!D31)-D31</f>
        <v>0</v>
      </c>
      <c r="AE31" s="130">
        <f>('Instruction-4YR'!E31+'RESEARCH 4yr'!E31+'PUBLIC SERVICE 4yr'!E31+'ASptISptSSv 4yr'!E31+'PLANT OPER MAIN 4yr'!E31+'SCHOLAR FELLOW 4yr'!E31+'All Other 4yr'!E31)-E31</f>
        <v>0</v>
      </c>
      <c r="AF31" s="130">
        <f>('Instruction-4YR'!F31+'RESEARCH 4yr'!F31+'PUBLIC SERVICE 4yr'!F31+'ASptISptSSv 4yr'!F31+'PLANT OPER MAIN 4yr'!F31+'SCHOLAR FELLOW 4yr'!F31+'All Other 4yr'!F31)-F31</f>
        <v>0</v>
      </c>
      <c r="AG31" s="130">
        <f>('Instruction-4YR'!G31+'RESEARCH 4yr'!G31+'PUBLIC SERVICE 4yr'!G31+'ASptISptSSv 4yr'!G31+'PLANT OPER MAIN 4yr'!G31+'SCHOLAR FELLOW 4yr'!G31+'All Other 4yr'!G31)-G31</f>
        <v>0</v>
      </c>
      <c r="AH31" s="130">
        <f>('Instruction-4YR'!H31+'RESEARCH 4yr'!H31+'PUBLIC SERVICE 4yr'!H31+'ASptISptSSv 4yr'!H31+'PLANT OPER MAIN 4yr'!H31+'SCHOLAR FELLOW 4yr'!H31+'All Other 4yr'!H31)-H31</f>
        <v>0</v>
      </c>
      <c r="AI31" s="130">
        <f>('Instruction-4YR'!I31+'RESEARCH 4yr'!I31+'PUBLIC SERVICE 4yr'!I31+'ASptISptSSv 4yr'!I31+'PLANT OPER MAIN 4yr'!I31+'SCHOLAR FELLOW 4yr'!I31+'All Other 4yr'!I31)-I31</f>
        <v>0</v>
      </c>
      <c r="AJ31" s="130">
        <f>('Instruction-4YR'!J31+'RESEARCH 4yr'!J31+'PUBLIC SERVICE 4yr'!J31+'ASptISptSSv 4yr'!J31+'PLANT OPER MAIN 4yr'!J31+'SCHOLAR FELLOW 4yr'!J31+'All Other 4yr'!J31)-J31</f>
        <v>0</v>
      </c>
      <c r="AK31" s="130">
        <f>('Instruction-4YR'!K31+'RESEARCH 4yr'!K31+'PUBLIC SERVICE 4yr'!K31+'ASptISptSSv 4yr'!K31+'PLANT OPER MAIN 4yr'!K31+'SCHOLAR FELLOW 4yr'!K31+'All Other 4yr'!K31)-K31</f>
        <v>0</v>
      </c>
      <c r="AL31" s="130">
        <f>('Instruction-4YR'!L31+'RESEARCH 4yr'!L31+'PUBLIC SERVICE 4yr'!L31+'ASptISptSSv 4yr'!L31+'PLANT OPER MAIN 4yr'!L31+'SCHOLAR FELLOW 4yr'!L31+'All Other 4yr'!L31)-L31</f>
        <v>0</v>
      </c>
      <c r="AM31" s="130">
        <f>('Instruction-4YR'!M31+'RESEARCH 4yr'!M31+'PUBLIC SERVICE 4yr'!M31+'ASptISptSSv 4yr'!M31+'PLANT OPER MAIN 4yr'!M31+'SCHOLAR FELLOW 4yr'!M31+'All Other 4yr'!M31)-M31</f>
        <v>0</v>
      </c>
      <c r="AN31" s="130">
        <f>('Instruction-4YR'!N31+'RESEARCH 4yr'!N31+'PUBLIC SERVICE 4yr'!N31+'ASptISptSSv 4yr'!N31+'PLANT OPER MAIN 4yr'!N31+'SCHOLAR FELLOW 4yr'!N31+'All Other 4yr'!N31)-N31</f>
        <v>0</v>
      </c>
      <c r="AO31" s="130">
        <f>('Instruction-4YR'!O31+'RESEARCH 4yr'!O31+'PUBLIC SERVICE 4yr'!O31+'ASptISptSSv 4yr'!O31+'PLANT OPER MAIN 4yr'!O31+'SCHOLAR FELLOW 4yr'!O31+'All Other 4yr'!O31)-O31</f>
        <v>0</v>
      </c>
      <c r="AP31" s="130">
        <f>('Instruction-4YR'!P31+'RESEARCH 4yr'!P31+'PUBLIC SERVICE 4yr'!P31+'ASptISptSSv 4yr'!P31+'PLANT OPER MAIN 4yr'!P31+'SCHOLAR FELLOW 4yr'!P31+'All Other 4yr'!P31)-P31</f>
        <v>0</v>
      </c>
      <c r="AQ31" s="130">
        <f>('Instruction-4YR'!Q31+'RESEARCH 4yr'!Q31+'PUBLIC SERVICE 4yr'!Q31+'ASptISptSSv 4yr'!Q31+'PLANT OPER MAIN 4yr'!Q31+'SCHOLAR FELLOW 4yr'!Q31+'All Other 4yr'!Q31)-Q31</f>
        <v>0</v>
      </c>
      <c r="AR31" s="130">
        <f>('Instruction-4YR'!R31+'RESEARCH 4yr'!R31+'PUBLIC SERVICE 4yr'!R31+'ASptISptSSv 4yr'!R31+'PLANT OPER MAIN 4yr'!R31+'SCHOLAR FELLOW 4yr'!R31+'All Other 4yr'!R31)-R31</f>
        <v>0</v>
      </c>
      <c r="AS31" s="130">
        <f>('Instruction-4YR'!S31+'RESEARCH 4yr'!S31+'PUBLIC SERVICE 4yr'!S31+'ASptISptSSv 4yr'!S31+'PLANT OPER MAIN 4yr'!S31+'SCHOLAR FELLOW 4yr'!S31+'All Other 4yr'!S31)-S31</f>
        <v>0</v>
      </c>
      <c r="AT31" s="130">
        <f>('Instruction-4YR'!T31+'RESEARCH 4yr'!T31+'PUBLIC SERVICE 4yr'!T31+'ASptISptSSv 4yr'!T31+'PLANT OPER MAIN 4yr'!T31+'SCHOLAR FELLOW 4yr'!T31+'All Other 4yr'!T31)-T31</f>
        <v>0</v>
      </c>
      <c r="AU31" s="130">
        <f>('Instruction-4YR'!U31+'RESEARCH 4yr'!U31+'PUBLIC SERVICE 4yr'!U31+'ASptISptSSv 4yr'!U31+'PLANT OPER MAIN 4yr'!U31+'SCHOLAR FELLOW 4yr'!U31+'All Other 4yr'!U31)-U31</f>
        <v>0</v>
      </c>
      <c r="AV31" s="130">
        <f>('Instruction-4YR'!V31+'RESEARCH 4yr'!V31+'PUBLIC SERVICE 4yr'!V31+'ASptISptSSv 4yr'!V31+'PLANT OPER MAIN 4yr'!V31+'SCHOLAR FELLOW 4yr'!V31+'All Other 4yr'!V31)-V31</f>
        <v>0</v>
      </c>
      <c r="AW31" s="130">
        <f>('Instruction-4YR'!W31+'RESEARCH 4yr'!W31+'PUBLIC SERVICE 4yr'!W31+'ASptISptSSv 4yr'!W31+'PLANT OPER MAIN 4yr'!W31+'SCHOLAR FELLOW 4yr'!W31+'All Other 4yr'!W31)-W31</f>
        <v>0</v>
      </c>
      <c r="AX31" s="130">
        <f>('Instruction-4YR'!X31+'RESEARCH 4yr'!X31+'PUBLIC SERVICE 4yr'!X31+'ASptISptSSv 4yr'!X31+'PLANT OPER MAIN 4yr'!X31+'SCHOLAR FELLOW 4yr'!X31+'All Other 4yr'!X31)-X31</f>
        <v>0</v>
      </c>
      <c r="AY31" s="130">
        <f>('Instruction-4YR'!Y31+'RESEARCH 4yr'!Y31+'PUBLIC SERVICE 4yr'!Y31+'ASptISptSSv 4yr'!Y31+'PLANT OPER MAIN 4yr'!Y31+'SCHOLAR FELLOW 4yr'!Y31+'All Other 4yr'!Y31)-Y31</f>
        <v>0</v>
      </c>
      <c r="AZ31" s="130">
        <f>('Instruction-4YR'!Z31+'RESEARCH 4yr'!Z31+'PUBLIC SERVICE 4yr'!Z31+'ASptISptSSv 4yr'!Z31+'PLANT OPER MAIN 4yr'!Z31+'SCHOLAR FELLOW 4yr'!Z31+'All Other 4yr'!Z31)-Z31</f>
        <v>0</v>
      </c>
      <c r="BA31" s="130">
        <f>('Instruction-4YR'!AA31+'RESEARCH 4yr'!AA31+'PUBLIC SERVICE 4yr'!AA31+'ASptISptSSv 4yr'!AA31+'PLANT OPER MAIN 4yr'!AA31+'SCHOLAR FELLOW 4yr'!AA31+'All Other 4yr'!AA31)-AA31</f>
        <v>0</v>
      </c>
    </row>
    <row r="32" spans="1:53">
      <c r="A32" s="23" t="s">
        <v>92</v>
      </c>
      <c r="B32" s="36"/>
      <c r="C32" s="36"/>
      <c r="D32" s="36"/>
      <c r="E32" s="36"/>
      <c r="F32" s="77">
        <v>320354.50699999998</v>
      </c>
      <c r="G32" s="36"/>
      <c r="H32" s="36"/>
      <c r="I32" s="37">
        <v>373993.48</v>
      </c>
      <c r="J32" s="37"/>
      <c r="K32" s="37">
        <v>415097.11700000003</v>
      </c>
      <c r="L32" s="37">
        <v>495521.69799999997</v>
      </c>
      <c r="M32" s="37">
        <v>549653.54299999995</v>
      </c>
      <c r="N32" s="37">
        <v>619337.44200000004</v>
      </c>
      <c r="O32" s="37">
        <v>619017.28500000003</v>
      </c>
      <c r="P32" s="37">
        <v>646880.89399999997</v>
      </c>
      <c r="Q32" s="37">
        <v>690627.84600000002</v>
      </c>
      <c r="R32" s="37">
        <v>712011.89099999995</v>
      </c>
      <c r="S32" s="37">
        <v>738334.451</v>
      </c>
      <c r="T32" s="23">
        <v>798121.89199999999</v>
      </c>
      <c r="U32" s="23">
        <v>824208.37100000004</v>
      </c>
      <c r="V32" s="23">
        <v>818363.91099999996</v>
      </c>
      <c r="W32" s="23">
        <v>846304.51</v>
      </c>
      <c r="X32" s="23">
        <v>873269.30099999998</v>
      </c>
      <c r="Y32" s="2">
        <v>898663.75300000003</v>
      </c>
      <c r="Z32" s="2">
        <v>907055.74199999997</v>
      </c>
      <c r="AA32" s="2">
        <v>933373.05799999996</v>
      </c>
      <c r="AB32" s="130">
        <f>('Instruction-4YR'!B32+'RESEARCH 4yr'!B32+'PUBLIC SERVICE 4yr'!B32+'ASptISptSSv 4yr'!B32+'PLANT OPER MAIN 4yr'!B32+'SCHOLAR FELLOW 4yr'!B32+'All Other 4yr'!B32)-B32</f>
        <v>0</v>
      </c>
      <c r="AC32" s="130">
        <f>('Instruction-4YR'!C32+'RESEARCH 4yr'!C32+'PUBLIC SERVICE 4yr'!C32+'ASptISptSSv 4yr'!C32+'PLANT OPER MAIN 4yr'!C32+'SCHOLAR FELLOW 4yr'!C32+'All Other 4yr'!C32)-C32</f>
        <v>0</v>
      </c>
      <c r="AD32" s="130">
        <f>('Instruction-4YR'!D32+'RESEARCH 4yr'!D32+'PUBLIC SERVICE 4yr'!D32+'ASptISptSSv 4yr'!D32+'PLANT OPER MAIN 4yr'!D32+'SCHOLAR FELLOW 4yr'!D32+'All Other 4yr'!D32)-D32</f>
        <v>0</v>
      </c>
      <c r="AE32" s="130">
        <f>('Instruction-4YR'!E32+'RESEARCH 4yr'!E32+'PUBLIC SERVICE 4yr'!E32+'ASptISptSSv 4yr'!E32+'PLANT OPER MAIN 4yr'!E32+'SCHOLAR FELLOW 4yr'!E32+'All Other 4yr'!E32)-E32</f>
        <v>0</v>
      </c>
      <c r="AF32" s="130">
        <f>('Instruction-4YR'!F32+'RESEARCH 4yr'!F32+'PUBLIC SERVICE 4yr'!F32+'ASptISptSSv 4yr'!F32+'PLANT OPER MAIN 4yr'!F32+'SCHOLAR FELLOW 4yr'!F32+'All Other 4yr'!F32)-F32</f>
        <v>0</v>
      </c>
      <c r="AG32" s="130">
        <f>('Instruction-4YR'!G32+'RESEARCH 4yr'!G32+'PUBLIC SERVICE 4yr'!G32+'ASptISptSSv 4yr'!G32+'PLANT OPER MAIN 4yr'!G32+'SCHOLAR FELLOW 4yr'!G32+'All Other 4yr'!G32)-G32</f>
        <v>0</v>
      </c>
      <c r="AH32" s="130">
        <f>('Instruction-4YR'!H32+'RESEARCH 4yr'!H32+'PUBLIC SERVICE 4yr'!H32+'ASptISptSSv 4yr'!H32+'PLANT OPER MAIN 4yr'!H32+'SCHOLAR FELLOW 4yr'!H32+'All Other 4yr'!H32)-H32</f>
        <v>0</v>
      </c>
      <c r="AI32" s="130">
        <f>('Instruction-4YR'!I32+'RESEARCH 4yr'!I32+'PUBLIC SERVICE 4yr'!I32+'ASptISptSSv 4yr'!I32+'PLANT OPER MAIN 4yr'!I32+'SCHOLAR FELLOW 4yr'!I32+'All Other 4yr'!I32)-I32</f>
        <v>0</v>
      </c>
      <c r="AJ32" s="130">
        <f>('Instruction-4YR'!J32+'RESEARCH 4yr'!J32+'PUBLIC SERVICE 4yr'!J32+'ASptISptSSv 4yr'!J32+'PLANT OPER MAIN 4yr'!J32+'SCHOLAR FELLOW 4yr'!J32+'All Other 4yr'!J32)-J32</f>
        <v>0</v>
      </c>
      <c r="AK32" s="130">
        <f>('Instruction-4YR'!K32+'RESEARCH 4yr'!K32+'PUBLIC SERVICE 4yr'!K32+'ASptISptSSv 4yr'!K32+'PLANT OPER MAIN 4yr'!K32+'SCHOLAR FELLOW 4yr'!K32+'All Other 4yr'!K32)-K32</f>
        <v>0</v>
      </c>
      <c r="AL32" s="130">
        <f>('Instruction-4YR'!L32+'RESEARCH 4yr'!L32+'PUBLIC SERVICE 4yr'!L32+'ASptISptSSv 4yr'!L32+'PLANT OPER MAIN 4yr'!L32+'SCHOLAR FELLOW 4yr'!L32+'All Other 4yr'!L32)-L32</f>
        <v>0</v>
      </c>
      <c r="AM32" s="130">
        <f>('Instruction-4YR'!M32+'RESEARCH 4yr'!M32+'PUBLIC SERVICE 4yr'!M32+'ASptISptSSv 4yr'!M32+'PLANT OPER MAIN 4yr'!M32+'SCHOLAR FELLOW 4yr'!M32+'All Other 4yr'!M32)-M32</f>
        <v>0</v>
      </c>
      <c r="AN32" s="130">
        <f>('Instruction-4YR'!N32+'RESEARCH 4yr'!N32+'PUBLIC SERVICE 4yr'!N32+'ASptISptSSv 4yr'!N32+'PLANT OPER MAIN 4yr'!N32+'SCHOLAR FELLOW 4yr'!N32+'All Other 4yr'!N32)-N32</f>
        <v>0</v>
      </c>
      <c r="AO32" s="130">
        <f>('Instruction-4YR'!O32+'RESEARCH 4yr'!O32+'PUBLIC SERVICE 4yr'!O32+'ASptISptSSv 4yr'!O32+'PLANT OPER MAIN 4yr'!O32+'SCHOLAR FELLOW 4yr'!O32+'All Other 4yr'!O32)-O32</f>
        <v>0</v>
      </c>
      <c r="AP32" s="130">
        <f>('Instruction-4YR'!P32+'RESEARCH 4yr'!P32+'PUBLIC SERVICE 4yr'!P32+'ASptISptSSv 4yr'!P32+'PLANT OPER MAIN 4yr'!P32+'SCHOLAR FELLOW 4yr'!P32+'All Other 4yr'!P32)-P32</f>
        <v>0</v>
      </c>
      <c r="AQ32" s="130">
        <f>('Instruction-4YR'!Q32+'RESEARCH 4yr'!Q32+'PUBLIC SERVICE 4yr'!Q32+'ASptISptSSv 4yr'!Q32+'PLANT OPER MAIN 4yr'!Q32+'SCHOLAR FELLOW 4yr'!Q32+'All Other 4yr'!Q32)-Q32</f>
        <v>0</v>
      </c>
      <c r="AR32" s="130">
        <f>('Instruction-4YR'!R32+'RESEARCH 4yr'!R32+'PUBLIC SERVICE 4yr'!R32+'ASptISptSSv 4yr'!R32+'PLANT OPER MAIN 4yr'!R32+'SCHOLAR FELLOW 4yr'!R32+'All Other 4yr'!R32)-R32</f>
        <v>0</v>
      </c>
      <c r="AS32" s="130">
        <f>('Instruction-4YR'!S32+'RESEARCH 4yr'!S32+'PUBLIC SERVICE 4yr'!S32+'ASptISptSSv 4yr'!S32+'PLANT OPER MAIN 4yr'!S32+'SCHOLAR FELLOW 4yr'!S32+'All Other 4yr'!S32)-S32</f>
        <v>0</v>
      </c>
      <c r="AT32" s="130">
        <f>('Instruction-4YR'!T32+'RESEARCH 4yr'!T32+'PUBLIC SERVICE 4yr'!T32+'ASptISptSSv 4yr'!T32+'PLANT OPER MAIN 4yr'!T32+'SCHOLAR FELLOW 4yr'!T32+'All Other 4yr'!T32)-T32</f>
        <v>0</v>
      </c>
      <c r="AU32" s="130">
        <f>('Instruction-4YR'!U32+'RESEARCH 4yr'!U32+'PUBLIC SERVICE 4yr'!U32+'ASptISptSSv 4yr'!U32+'PLANT OPER MAIN 4yr'!U32+'SCHOLAR FELLOW 4yr'!U32+'All Other 4yr'!U32)-U32</f>
        <v>0</v>
      </c>
      <c r="AV32" s="130">
        <f>('Instruction-4YR'!V32+'RESEARCH 4yr'!V32+'PUBLIC SERVICE 4yr'!V32+'ASptISptSSv 4yr'!V32+'PLANT OPER MAIN 4yr'!V32+'SCHOLAR FELLOW 4yr'!V32+'All Other 4yr'!V32)-V32</f>
        <v>0</v>
      </c>
      <c r="AW32" s="130">
        <f>('Instruction-4YR'!W32+'RESEARCH 4yr'!W32+'PUBLIC SERVICE 4yr'!W32+'ASptISptSSv 4yr'!W32+'PLANT OPER MAIN 4yr'!W32+'SCHOLAR FELLOW 4yr'!W32+'All Other 4yr'!W32)-W32</f>
        <v>0</v>
      </c>
      <c r="AX32" s="130">
        <f>('Instruction-4YR'!X32+'RESEARCH 4yr'!X32+'PUBLIC SERVICE 4yr'!X32+'ASptISptSSv 4yr'!X32+'PLANT OPER MAIN 4yr'!X32+'SCHOLAR FELLOW 4yr'!X32+'All Other 4yr'!X32)-X32</f>
        <v>0</v>
      </c>
      <c r="AY32" s="130">
        <f>('Instruction-4YR'!Y32+'RESEARCH 4yr'!Y32+'PUBLIC SERVICE 4yr'!Y32+'ASptISptSSv 4yr'!Y32+'PLANT OPER MAIN 4yr'!Y32+'SCHOLAR FELLOW 4yr'!Y32+'All Other 4yr'!Y32)-Y32</f>
        <v>0</v>
      </c>
      <c r="AZ32" s="130">
        <f>('Instruction-4YR'!Z32+'RESEARCH 4yr'!Z32+'PUBLIC SERVICE 4yr'!Z32+'ASptISptSSv 4yr'!Z32+'PLANT OPER MAIN 4yr'!Z32+'SCHOLAR FELLOW 4yr'!Z32+'All Other 4yr'!Z32)-Z32</f>
        <v>0</v>
      </c>
      <c r="BA32" s="130">
        <f>('Instruction-4YR'!AA32+'RESEARCH 4yr'!AA32+'PUBLIC SERVICE 4yr'!AA32+'ASptISptSSv 4yr'!AA32+'PLANT OPER MAIN 4yr'!AA32+'SCHOLAR FELLOW 4yr'!AA32+'All Other 4yr'!AA32)-AA32</f>
        <v>0</v>
      </c>
    </row>
    <row r="33" spans="1:53">
      <c r="A33" s="23" t="s">
        <v>100</v>
      </c>
      <c r="B33" s="37"/>
      <c r="C33" s="37"/>
      <c r="D33" s="37"/>
      <c r="E33" s="37"/>
      <c r="F33" s="77">
        <v>245651.08300000001</v>
      </c>
      <c r="G33" s="37"/>
      <c r="H33" s="37"/>
      <c r="I33" s="37">
        <v>289628.071</v>
      </c>
      <c r="J33" s="37"/>
      <c r="K33" s="37">
        <v>367186.967</v>
      </c>
      <c r="L33" s="37">
        <v>419766.86800000002</v>
      </c>
      <c r="M33" s="37">
        <v>435575.43900000001</v>
      </c>
      <c r="N33" s="37">
        <v>484561.03100000002</v>
      </c>
      <c r="O33" s="37">
        <v>555358.06799999997</v>
      </c>
      <c r="P33" s="37">
        <v>587557.97499999998</v>
      </c>
      <c r="Q33" s="37">
        <v>617137.48899999994</v>
      </c>
      <c r="R33" s="37">
        <v>649706.26199999999</v>
      </c>
      <c r="S33" s="37">
        <v>677052.71299999999</v>
      </c>
      <c r="T33" s="23">
        <v>720660.37699999998</v>
      </c>
      <c r="U33" s="23">
        <v>749832.78300000005</v>
      </c>
      <c r="V33" s="23">
        <v>773382.05</v>
      </c>
      <c r="W33" s="23">
        <v>803529.36699999997</v>
      </c>
      <c r="X33" s="23">
        <v>816840.679</v>
      </c>
      <c r="Y33" s="2">
        <v>830285.45499999996</v>
      </c>
      <c r="Z33" s="2">
        <v>843556.70600000001</v>
      </c>
      <c r="AA33" s="2">
        <v>853917.37399999995</v>
      </c>
      <c r="AB33" s="130">
        <f>('Instruction-4YR'!B33+'RESEARCH 4yr'!B33+'PUBLIC SERVICE 4yr'!B33+'ASptISptSSv 4yr'!B33+'PLANT OPER MAIN 4yr'!B33+'SCHOLAR FELLOW 4yr'!B33+'All Other 4yr'!B33)-B33</f>
        <v>0</v>
      </c>
      <c r="AC33" s="130">
        <f>('Instruction-4YR'!C33+'RESEARCH 4yr'!C33+'PUBLIC SERVICE 4yr'!C33+'ASptISptSSv 4yr'!C33+'PLANT OPER MAIN 4yr'!C33+'SCHOLAR FELLOW 4yr'!C33+'All Other 4yr'!C33)-C33</f>
        <v>0</v>
      </c>
      <c r="AD33" s="130">
        <f>('Instruction-4YR'!D33+'RESEARCH 4yr'!D33+'PUBLIC SERVICE 4yr'!D33+'ASptISptSSv 4yr'!D33+'PLANT OPER MAIN 4yr'!D33+'SCHOLAR FELLOW 4yr'!D33+'All Other 4yr'!D33)-D33</f>
        <v>0</v>
      </c>
      <c r="AE33" s="130">
        <f>('Instruction-4YR'!E33+'RESEARCH 4yr'!E33+'PUBLIC SERVICE 4yr'!E33+'ASptISptSSv 4yr'!E33+'PLANT OPER MAIN 4yr'!E33+'SCHOLAR FELLOW 4yr'!E33+'All Other 4yr'!E33)-E33</f>
        <v>0</v>
      </c>
      <c r="AF33" s="130">
        <f>('Instruction-4YR'!F33+'RESEARCH 4yr'!F33+'PUBLIC SERVICE 4yr'!F33+'ASptISptSSv 4yr'!F33+'PLANT OPER MAIN 4yr'!F33+'SCHOLAR FELLOW 4yr'!F33+'All Other 4yr'!F33)-F33</f>
        <v>0</v>
      </c>
      <c r="AG33" s="130">
        <f>('Instruction-4YR'!G33+'RESEARCH 4yr'!G33+'PUBLIC SERVICE 4yr'!G33+'ASptISptSSv 4yr'!G33+'PLANT OPER MAIN 4yr'!G33+'SCHOLAR FELLOW 4yr'!G33+'All Other 4yr'!G33)-G33</f>
        <v>0</v>
      </c>
      <c r="AH33" s="130">
        <f>('Instruction-4YR'!H33+'RESEARCH 4yr'!H33+'PUBLIC SERVICE 4yr'!H33+'ASptISptSSv 4yr'!H33+'PLANT OPER MAIN 4yr'!H33+'SCHOLAR FELLOW 4yr'!H33+'All Other 4yr'!H33)-H33</f>
        <v>0</v>
      </c>
      <c r="AI33" s="130">
        <f>('Instruction-4YR'!I33+'RESEARCH 4yr'!I33+'PUBLIC SERVICE 4yr'!I33+'ASptISptSSv 4yr'!I33+'PLANT OPER MAIN 4yr'!I33+'SCHOLAR FELLOW 4yr'!I33+'All Other 4yr'!I33)-I33</f>
        <v>0</v>
      </c>
      <c r="AJ33" s="130">
        <f>('Instruction-4YR'!J33+'RESEARCH 4yr'!J33+'PUBLIC SERVICE 4yr'!J33+'ASptISptSSv 4yr'!J33+'PLANT OPER MAIN 4yr'!J33+'SCHOLAR FELLOW 4yr'!J33+'All Other 4yr'!J33)-J33</f>
        <v>0</v>
      </c>
      <c r="AK33" s="130">
        <f>('Instruction-4YR'!K33+'RESEARCH 4yr'!K33+'PUBLIC SERVICE 4yr'!K33+'ASptISptSSv 4yr'!K33+'PLANT OPER MAIN 4yr'!K33+'SCHOLAR FELLOW 4yr'!K33+'All Other 4yr'!K33)-K33</f>
        <v>0</v>
      </c>
      <c r="AL33" s="130">
        <f>('Instruction-4YR'!L33+'RESEARCH 4yr'!L33+'PUBLIC SERVICE 4yr'!L33+'ASptISptSSv 4yr'!L33+'PLANT OPER MAIN 4yr'!L33+'SCHOLAR FELLOW 4yr'!L33+'All Other 4yr'!L33)-L33</f>
        <v>0</v>
      </c>
      <c r="AM33" s="130">
        <f>('Instruction-4YR'!M33+'RESEARCH 4yr'!M33+'PUBLIC SERVICE 4yr'!M33+'ASptISptSSv 4yr'!M33+'PLANT OPER MAIN 4yr'!M33+'SCHOLAR FELLOW 4yr'!M33+'All Other 4yr'!M33)-M33</f>
        <v>0</v>
      </c>
      <c r="AN33" s="130">
        <f>('Instruction-4YR'!N33+'RESEARCH 4yr'!N33+'PUBLIC SERVICE 4yr'!N33+'ASptISptSSv 4yr'!N33+'PLANT OPER MAIN 4yr'!N33+'SCHOLAR FELLOW 4yr'!N33+'All Other 4yr'!N33)-N33</f>
        <v>0</v>
      </c>
      <c r="AO33" s="130">
        <f>('Instruction-4YR'!O33+'RESEARCH 4yr'!O33+'PUBLIC SERVICE 4yr'!O33+'ASptISptSSv 4yr'!O33+'PLANT OPER MAIN 4yr'!O33+'SCHOLAR FELLOW 4yr'!O33+'All Other 4yr'!O33)-O33</f>
        <v>0</v>
      </c>
      <c r="AP33" s="130">
        <f>('Instruction-4YR'!P33+'RESEARCH 4yr'!P33+'PUBLIC SERVICE 4yr'!P33+'ASptISptSSv 4yr'!P33+'PLANT OPER MAIN 4yr'!P33+'SCHOLAR FELLOW 4yr'!P33+'All Other 4yr'!P33)-P33</f>
        <v>0</v>
      </c>
      <c r="AQ33" s="130">
        <f>('Instruction-4YR'!Q33+'RESEARCH 4yr'!Q33+'PUBLIC SERVICE 4yr'!Q33+'ASptISptSSv 4yr'!Q33+'PLANT OPER MAIN 4yr'!Q33+'SCHOLAR FELLOW 4yr'!Q33+'All Other 4yr'!Q33)-Q33</f>
        <v>0</v>
      </c>
      <c r="AR33" s="130">
        <f>('Instruction-4YR'!R33+'RESEARCH 4yr'!R33+'PUBLIC SERVICE 4yr'!R33+'ASptISptSSv 4yr'!R33+'PLANT OPER MAIN 4yr'!R33+'SCHOLAR FELLOW 4yr'!R33+'All Other 4yr'!R33)-R33</f>
        <v>0</v>
      </c>
      <c r="AS33" s="130">
        <f>('Instruction-4YR'!S33+'RESEARCH 4yr'!S33+'PUBLIC SERVICE 4yr'!S33+'ASptISptSSv 4yr'!S33+'PLANT OPER MAIN 4yr'!S33+'SCHOLAR FELLOW 4yr'!S33+'All Other 4yr'!S33)-S33</f>
        <v>0</v>
      </c>
      <c r="AT33" s="130">
        <f>('Instruction-4YR'!T33+'RESEARCH 4yr'!T33+'PUBLIC SERVICE 4yr'!T33+'ASptISptSSv 4yr'!T33+'PLANT OPER MAIN 4yr'!T33+'SCHOLAR FELLOW 4yr'!T33+'All Other 4yr'!T33)-T33</f>
        <v>0</v>
      </c>
      <c r="AU33" s="130">
        <f>('Instruction-4YR'!U33+'RESEARCH 4yr'!U33+'PUBLIC SERVICE 4yr'!U33+'ASptISptSSv 4yr'!U33+'PLANT OPER MAIN 4yr'!U33+'SCHOLAR FELLOW 4yr'!U33+'All Other 4yr'!U33)-U33</f>
        <v>0</v>
      </c>
      <c r="AV33" s="130">
        <f>('Instruction-4YR'!V33+'RESEARCH 4yr'!V33+'PUBLIC SERVICE 4yr'!V33+'ASptISptSSv 4yr'!V33+'PLANT OPER MAIN 4yr'!V33+'SCHOLAR FELLOW 4yr'!V33+'All Other 4yr'!V33)-V33</f>
        <v>0</v>
      </c>
      <c r="AW33" s="130">
        <f>('Instruction-4YR'!W33+'RESEARCH 4yr'!W33+'PUBLIC SERVICE 4yr'!W33+'ASptISptSSv 4yr'!W33+'PLANT OPER MAIN 4yr'!W33+'SCHOLAR FELLOW 4yr'!W33+'All Other 4yr'!W33)-W33</f>
        <v>0</v>
      </c>
      <c r="AX33" s="130">
        <f>('Instruction-4YR'!X33+'RESEARCH 4yr'!X33+'PUBLIC SERVICE 4yr'!X33+'ASptISptSSv 4yr'!X33+'PLANT OPER MAIN 4yr'!X33+'SCHOLAR FELLOW 4yr'!X33+'All Other 4yr'!X33)-X33</f>
        <v>0</v>
      </c>
      <c r="AY33" s="130">
        <f>('Instruction-4YR'!Y33+'RESEARCH 4yr'!Y33+'PUBLIC SERVICE 4yr'!Y33+'ASptISptSSv 4yr'!Y33+'PLANT OPER MAIN 4yr'!Y33+'SCHOLAR FELLOW 4yr'!Y33+'All Other 4yr'!Y33)-Y33</f>
        <v>0</v>
      </c>
      <c r="AZ33" s="130">
        <f>('Instruction-4YR'!Z33+'RESEARCH 4yr'!Z33+'PUBLIC SERVICE 4yr'!Z33+'ASptISptSSv 4yr'!Z33+'PLANT OPER MAIN 4yr'!Z33+'SCHOLAR FELLOW 4yr'!Z33+'All Other 4yr'!Z33)-Z33</f>
        <v>0</v>
      </c>
      <c r="BA33" s="130">
        <f>('Instruction-4YR'!AA33+'RESEARCH 4yr'!AA33+'PUBLIC SERVICE 4yr'!AA33+'ASptISptSSv 4yr'!AA33+'PLANT OPER MAIN 4yr'!AA33+'SCHOLAR FELLOW 4yr'!AA33+'All Other 4yr'!AA33)-AA33</f>
        <v>0</v>
      </c>
    </row>
    <row r="34" spans="1:53">
      <c r="A34" s="23" t="s">
        <v>102</v>
      </c>
      <c r="B34" s="37"/>
      <c r="C34" s="37"/>
      <c r="D34" s="37"/>
      <c r="E34" s="37"/>
      <c r="F34" s="77">
        <v>279269.64199999999</v>
      </c>
      <c r="G34" s="37"/>
      <c r="H34" s="37"/>
      <c r="I34" s="37">
        <v>326090.63</v>
      </c>
      <c r="J34" s="37"/>
      <c r="K34" s="37">
        <v>394762.77500000002</v>
      </c>
      <c r="L34" s="37">
        <v>471260.11300000001</v>
      </c>
      <c r="M34" s="37">
        <v>518672.679</v>
      </c>
      <c r="N34" s="37">
        <v>615684.61600000004</v>
      </c>
      <c r="O34" s="37">
        <v>682850.674</v>
      </c>
      <c r="P34" s="37">
        <v>888319.58200000005</v>
      </c>
      <c r="Q34" s="37">
        <v>974886.65700000001</v>
      </c>
      <c r="R34" s="37">
        <v>1066290.453</v>
      </c>
      <c r="S34" s="37">
        <v>1183994.2479999999</v>
      </c>
      <c r="T34" s="23">
        <v>1238696.986</v>
      </c>
      <c r="U34" s="23">
        <v>1052796.21</v>
      </c>
      <c r="V34" s="23">
        <v>1029932.4840000001</v>
      </c>
      <c r="W34" s="23">
        <v>1052986.5619999999</v>
      </c>
      <c r="X34" s="23">
        <v>1010279.179</v>
      </c>
      <c r="Y34" s="2">
        <v>1076792.253</v>
      </c>
      <c r="Z34" s="2">
        <v>1155320.5120000001</v>
      </c>
      <c r="AA34" s="2">
        <v>1161869.128</v>
      </c>
      <c r="AB34" s="130">
        <f>('Instruction-4YR'!B34+'RESEARCH 4yr'!B34+'PUBLIC SERVICE 4yr'!B34+'ASptISptSSv 4yr'!B34+'PLANT OPER MAIN 4yr'!B34+'SCHOLAR FELLOW 4yr'!B34+'All Other 4yr'!B34)-B34</f>
        <v>0</v>
      </c>
      <c r="AC34" s="130">
        <f>('Instruction-4YR'!C34+'RESEARCH 4yr'!C34+'PUBLIC SERVICE 4yr'!C34+'ASptISptSSv 4yr'!C34+'PLANT OPER MAIN 4yr'!C34+'SCHOLAR FELLOW 4yr'!C34+'All Other 4yr'!C34)-C34</f>
        <v>0</v>
      </c>
      <c r="AD34" s="130">
        <f>('Instruction-4YR'!D34+'RESEARCH 4yr'!D34+'PUBLIC SERVICE 4yr'!D34+'ASptISptSSv 4yr'!D34+'PLANT OPER MAIN 4yr'!D34+'SCHOLAR FELLOW 4yr'!D34+'All Other 4yr'!D34)-D34</f>
        <v>0</v>
      </c>
      <c r="AE34" s="130">
        <f>('Instruction-4YR'!E34+'RESEARCH 4yr'!E34+'PUBLIC SERVICE 4yr'!E34+'ASptISptSSv 4yr'!E34+'PLANT OPER MAIN 4yr'!E34+'SCHOLAR FELLOW 4yr'!E34+'All Other 4yr'!E34)-E34</f>
        <v>0</v>
      </c>
      <c r="AF34" s="130">
        <f>('Instruction-4YR'!F34+'RESEARCH 4yr'!F34+'PUBLIC SERVICE 4yr'!F34+'ASptISptSSv 4yr'!F34+'PLANT OPER MAIN 4yr'!F34+'SCHOLAR FELLOW 4yr'!F34+'All Other 4yr'!F34)-F34</f>
        <v>0</v>
      </c>
      <c r="AG34" s="130">
        <f>('Instruction-4YR'!G34+'RESEARCH 4yr'!G34+'PUBLIC SERVICE 4yr'!G34+'ASptISptSSv 4yr'!G34+'PLANT OPER MAIN 4yr'!G34+'SCHOLAR FELLOW 4yr'!G34+'All Other 4yr'!G34)-G34</f>
        <v>0</v>
      </c>
      <c r="AH34" s="130">
        <f>('Instruction-4YR'!H34+'RESEARCH 4yr'!H34+'PUBLIC SERVICE 4yr'!H34+'ASptISptSSv 4yr'!H34+'PLANT OPER MAIN 4yr'!H34+'SCHOLAR FELLOW 4yr'!H34+'All Other 4yr'!H34)-H34</f>
        <v>0</v>
      </c>
      <c r="AI34" s="130">
        <f>('Instruction-4YR'!I34+'RESEARCH 4yr'!I34+'PUBLIC SERVICE 4yr'!I34+'ASptISptSSv 4yr'!I34+'PLANT OPER MAIN 4yr'!I34+'SCHOLAR FELLOW 4yr'!I34+'All Other 4yr'!I34)-I34</f>
        <v>0</v>
      </c>
      <c r="AJ34" s="130">
        <f>('Instruction-4YR'!J34+'RESEARCH 4yr'!J34+'PUBLIC SERVICE 4yr'!J34+'ASptISptSSv 4yr'!J34+'PLANT OPER MAIN 4yr'!J34+'SCHOLAR FELLOW 4yr'!J34+'All Other 4yr'!J34)-J34</f>
        <v>0</v>
      </c>
      <c r="AK34" s="130">
        <f>('Instruction-4YR'!K34+'RESEARCH 4yr'!K34+'PUBLIC SERVICE 4yr'!K34+'ASptISptSSv 4yr'!K34+'PLANT OPER MAIN 4yr'!K34+'SCHOLAR FELLOW 4yr'!K34+'All Other 4yr'!K34)-K34</f>
        <v>0</v>
      </c>
      <c r="AL34" s="130">
        <f>('Instruction-4YR'!L34+'RESEARCH 4yr'!L34+'PUBLIC SERVICE 4yr'!L34+'ASptISptSSv 4yr'!L34+'PLANT OPER MAIN 4yr'!L34+'SCHOLAR FELLOW 4yr'!L34+'All Other 4yr'!L34)-L34</f>
        <v>0</v>
      </c>
      <c r="AM34" s="130">
        <f>('Instruction-4YR'!M34+'RESEARCH 4yr'!M34+'PUBLIC SERVICE 4yr'!M34+'ASptISptSSv 4yr'!M34+'PLANT OPER MAIN 4yr'!M34+'SCHOLAR FELLOW 4yr'!M34+'All Other 4yr'!M34)-M34</f>
        <v>0</v>
      </c>
      <c r="AN34" s="130">
        <f>('Instruction-4YR'!N34+'RESEARCH 4yr'!N34+'PUBLIC SERVICE 4yr'!N34+'ASptISptSSv 4yr'!N34+'PLANT OPER MAIN 4yr'!N34+'SCHOLAR FELLOW 4yr'!N34+'All Other 4yr'!N34)-N34</f>
        <v>0</v>
      </c>
      <c r="AO34" s="130">
        <f>('Instruction-4YR'!O34+'RESEARCH 4yr'!O34+'PUBLIC SERVICE 4yr'!O34+'ASptISptSSv 4yr'!O34+'PLANT OPER MAIN 4yr'!O34+'SCHOLAR FELLOW 4yr'!O34+'All Other 4yr'!O34)-O34</f>
        <v>0</v>
      </c>
      <c r="AP34" s="130">
        <f>('Instruction-4YR'!P34+'RESEARCH 4yr'!P34+'PUBLIC SERVICE 4yr'!P34+'ASptISptSSv 4yr'!P34+'PLANT OPER MAIN 4yr'!P34+'SCHOLAR FELLOW 4yr'!P34+'All Other 4yr'!P34)-P34</f>
        <v>0</v>
      </c>
      <c r="AQ34" s="130">
        <f>('Instruction-4YR'!Q34+'RESEARCH 4yr'!Q34+'PUBLIC SERVICE 4yr'!Q34+'ASptISptSSv 4yr'!Q34+'PLANT OPER MAIN 4yr'!Q34+'SCHOLAR FELLOW 4yr'!Q34+'All Other 4yr'!Q34)-Q34</f>
        <v>0</v>
      </c>
      <c r="AR34" s="130">
        <f>('Instruction-4YR'!R34+'RESEARCH 4yr'!R34+'PUBLIC SERVICE 4yr'!R34+'ASptISptSSv 4yr'!R34+'PLANT OPER MAIN 4yr'!R34+'SCHOLAR FELLOW 4yr'!R34+'All Other 4yr'!R34)-R34</f>
        <v>0</v>
      </c>
      <c r="AS34" s="130">
        <f>('Instruction-4YR'!S34+'RESEARCH 4yr'!S34+'PUBLIC SERVICE 4yr'!S34+'ASptISptSSv 4yr'!S34+'PLANT OPER MAIN 4yr'!S34+'SCHOLAR FELLOW 4yr'!S34+'All Other 4yr'!S34)-S34</f>
        <v>0</v>
      </c>
      <c r="AT34" s="130">
        <f>('Instruction-4YR'!T34+'RESEARCH 4yr'!T34+'PUBLIC SERVICE 4yr'!T34+'ASptISptSSv 4yr'!T34+'PLANT OPER MAIN 4yr'!T34+'SCHOLAR FELLOW 4yr'!T34+'All Other 4yr'!T34)-T34</f>
        <v>0</v>
      </c>
      <c r="AU34" s="130">
        <f>('Instruction-4YR'!U34+'RESEARCH 4yr'!U34+'PUBLIC SERVICE 4yr'!U34+'ASptISptSSv 4yr'!U34+'PLANT OPER MAIN 4yr'!U34+'SCHOLAR FELLOW 4yr'!U34+'All Other 4yr'!U34)-U34</f>
        <v>0</v>
      </c>
      <c r="AV34" s="130">
        <f>('Instruction-4YR'!V34+'RESEARCH 4yr'!V34+'PUBLIC SERVICE 4yr'!V34+'ASptISptSSv 4yr'!V34+'PLANT OPER MAIN 4yr'!V34+'SCHOLAR FELLOW 4yr'!V34+'All Other 4yr'!V34)-V34</f>
        <v>0</v>
      </c>
      <c r="AW34" s="130">
        <f>('Instruction-4YR'!W34+'RESEARCH 4yr'!W34+'PUBLIC SERVICE 4yr'!W34+'ASptISptSSv 4yr'!W34+'PLANT OPER MAIN 4yr'!W34+'SCHOLAR FELLOW 4yr'!W34+'All Other 4yr'!W34)-W34</f>
        <v>0</v>
      </c>
      <c r="AX34" s="130">
        <f>('Instruction-4YR'!X34+'RESEARCH 4yr'!X34+'PUBLIC SERVICE 4yr'!X34+'ASptISptSSv 4yr'!X34+'PLANT OPER MAIN 4yr'!X34+'SCHOLAR FELLOW 4yr'!X34+'All Other 4yr'!X34)-X34</f>
        <v>0</v>
      </c>
      <c r="AY34" s="130">
        <f>('Instruction-4YR'!Y34+'RESEARCH 4yr'!Y34+'PUBLIC SERVICE 4yr'!Y34+'ASptISptSSv 4yr'!Y34+'PLANT OPER MAIN 4yr'!Y34+'SCHOLAR FELLOW 4yr'!Y34+'All Other 4yr'!Y34)-Y34</f>
        <v>0</v>
      </c>
      <c r="AZ34" s="130">
        <f>('Instruction-4YR'!Z34+'RESEARCH 4yr'!Z34+'PUBLIC SERVICE 4yr'!Z34+'ASptISptSSv 4yr'!Z34+'PLANT OPER MAIN 4yr'!Z34+'SCHOLAR FELLOW 4yr'!Z34+'All Other 4yr'!Z34)-Z34</f>
        <v>0</v>
      </c>
      <c r="BA34" s="130">
        <f>('Instruction-4YR'!AA34+'RESEARCH 4yr'!AA34+'PUBLIC SERVICE 4yr'!AA34+'ASptISptSSv 4yr'!AA34+'PLANT OPER MAIN 4yr'!AA34+'SCHOLAR FELLOW 4yr'!AA34+'All Other 4yr'!AA34)-AA34</f>
        <v>0</v>
      </c>
    </row>
    <row r="35" spans="1:53">
      <c r="A35" s="23" t="s">
        <v>105</v>
      </c>
      <c r="B35" s="37"/>
      <c r="C35" s="37"/>
      <c r="D35" s="37"/>
      <c r="E35" s="37"/>
      <c r="F35" s="77">
        <v>640054.73899999994</v>
      </c>
      <c r="G35" s="37"/>
      <c r="H35" s="37"/>
      <c r="I35" s="37">
        <v>769315.47</v>
      </c>
      <c r="J35" s="37"/>
      <c r="K35" s="37">
        <v>845380.81540000008</v>
      </c>
      <c r="L35" s="37">
        <v>927265.23</v>
      </c>
      <c r="M35" s="37">
        <v>1000528.821</v>
      </c>
      <c r="N35" s="37">
        <v>1244279.6470000001</v>
      </c>
      <c r="O35" s="37">
        <v>1265335.578</v>
      </c>
      <c r="P35" s="37">
        <v>1350147.807</v>
      </c>
      <c r="Q35" s="37">
        <v>1447449.088</v>
      </c>
      <c r="R35" s="37">
        <v>1524857.7479999999</v>
      </c>
      <c r="S35" s="37">
        <v>1622412.811</v>
      </c>
      <c r="T35" s="23">
        <v>1663506.8770000001</v>
      </c>
      <c r="U35" s="23">
        <v>1752274.5430000001</v>
      </c>
      <c r="V35" s="23">
        <v>1756285.402</v>
      </c>
      <c r="W35" s="23">
        <v>1888707.3419999999</v>
      </c>
      <c r="X35" s="23">
        <v>1844149.4820000001</v>
      </c>
      <c r="Y35" s="2">
        <v>1882496.824</v>
      </c>
      <c r="Z35" s="2">
        <v>1933661.4909999999</v>
      </c>
      <c r="AA35" s="2">
        <v>2012347.426</v>
      </c>
      <c r="AB35" s="130">
        <f>('Instruction-4YR'!B35+'RESEARCH 4yr'!B35+'PUBLIC SERVICE 4yr'!B35+'ASptISptSSv 4yr'!B35+'PLANT OPER MAIN 4yr'!B35+'SCHOLAR FELLOW 4yr'!B35+'All Other 4yr'!B35)-B35</f>
        <v>0</v>
      </c>
      <c r="AC35" s="130">
        <f>('Instruction-4YR'!C35+'RESEARCH 4yr'!C35+'PUBLIC SERVICE 4yr'!C35+'ASptISptSSv 4yr'!C35+'PLANT OPER MAIN 4yr'!C35+'SCHOLAR FELLOW 4yr'!C35+'All Other 4yr'!C35)-C35</f>
        <v>0</v>
      </c>
      <c r="AD35" s="130">
        <f>('Instruction-4YR'!D35+'RESEARCH 4yr'!D35+'PUBLIC SERVICE 4yr'!D35+'ASptISptSSv 4yr'!D35+'PLANT OPER MAIN 4yr'!D35+'SCHOLAR FELLOW 4yr'!D35+'All Other 4yr'!D35)-D35</f>
        <v>0</v>
      </c>
      <c r="AE35" s="130">
        <f>('Instruction-4YR'!E35+'RESEARCH 4yr'!E35+'PUBLIC SERVICE 4yr'!E35+'ASptISptSSv 4yr'!E35+'PLANT OPER MAIN 4yr'!E35+'SCHOLAR FELLOW 4yr'!E35+'All Other 4yr'!E35)-E35</f>
        <v>0</v>
      </c>
      <c r="AF35" s="130">
        <f>('Instruction-4YR'!F35+'RESEARCH 4yr'!F35+'PUBLIC SERVICE 4yr'!F35+'ASptISptSSv 4yr'!F35+'PLANT OPER MAIN 4yr'!F35+'SCHOLAR FELLOW 4yr'!F35+'All Other 4yr'!F35)-F35</f>
        <v>0</v>
      </c>
      <c r="AG35" s="130">
        <f>('Instruction-4YR'!G35+'RESEARCH 4yr'!G35+'PUBLIC SERVICE 4yr'!G35+'ASptISptSSv 4yr'!G35+'PLANT OPER MAIN 4yr'!G35+'SCHOLAR FELLOW 4yr'!G35+'All Other 4yr'!G35)-G35</f>
        <v>0</v>
      </c>
      <c r="AH35" s="130">
        <f>('Instruction-4YR'!H35+'RESEARCH 4yr'!H35+'PUBLIC SERVICE 4yr'!H35+'ASptISptSSv 4yr'!H35+'PLANT OPER MAIN 4yr'!H35+'SCHOLAR FELLOW 4yr'!H35+'All Other 4yr'!H35)-H35</f>
        <v>0</v>
      </c>
      <c r="AI35" s="130">
        <f>('Instruction-4YR'!I35+'RESEARCH 4yr'!I35+'PUBLIC SERVICE 4yr'!I35+'ASptISptSSv 4yr'!I35+'PLANT OPER MAIN 4yr'!I35+'SCHOLAR FELLOW 4yr'!I35+'All Other 4yr'!I35)-I35</f>
        <v>0</v>
      </c>
      <c r="AJ35" s="130">
        <f>('Instruction-4YR'!J35+'RESEARCH 4yr'!J35+'PUBLIC SERVICE 4yr'!J35+'ASptISptSSv 4yr'!J35+'PLANT OPER MAIN 4yr'!J35+'SCHOLAR FELLOW 4yr'!J35+'All Other 4yr'!J35)-J35</f>
        <v>0</v>
      </c>
      <c r="AK35" s="130">
        <f>('Instruction-4YR'!K35+'RESEARCH 4yr'!K35+'PUBLIC SERVICE 4yr'!K35+'ASptISptSSv 4yr'!K35+'PLANT OPER MAIN 4yr'!K35+'SCHOLAR FELLOW 4yr'!K35+'All Other 4yr'!K35)-K35</f>
        <v>0</v>
      </c>
      <c r="AL35" s="130">
        <f>('Instruction-4YR'!L35+'RESEARCH 4yr'!L35+'PUBLIC SERVICE 4yr'!L35+'ASptISptSSv 4yr'!L35+'PLANT OPER MAIN 4yr'!L35+'SCHOLAR FELLOW 4yr'!L35+'All Other 4yr'!L35)-L35</f>
        <v>0</v>
      </c>
      <c r="AM35" s="130">
        <f>('Instruction-4YR'!M35+'RESEARCH 4yr'!M35+'PUBLIC SERVICE 4yr'!M35+'ASptISptSSv 4yr'!M35+'PLANT OPER MAIN 4yr'!M35+'SCHOLAR FELLOW 4yr'!M35+'All Other 4yr'!M35)-M35</f>
        <v>0</v>
      </c>
      <c r="AN35" s="130">
        <f>('Instruction-4YR'!N35+'RESEARCH 4yr'!N35+'PUBLIC SERVICE 4yr'!N35+'ASptISptSSv 4yr'!N35+'PLANT OPER MAIN 4yr'!N35+'SCHOLAR FELLOW 4yr'!N35+'All Other 4yr'!N35)-N35</f>
        <v>0</v>
      </c>
      <c r="AO35" s="130">
        <f>('Instruction-4YR'!O35+'RESEARCH 4yr'!O35+'PUBLIC SERVICE 4yr'!O35+'ASptISptSSv 4yr'!O35+'PLANT OPER MAIN 4yr'!O35+'SCHOLAR FELLOW 4yr'!O35+'All Other 4yr'!O35)-O35</f>
        <v>0</v>
      </c>
      <c r="AP35" s="130">
        <f>('Instruction-4YR'!P35+'RESEARCH 4yr'!P35+'PUBLIC SERVICE 4yr'!P35+'ASptISptSSv 4yr'!P35+'PLANT OPER MAIN 4yr'!P35+'SCHOLAR FELLOW 4yr'!P35+'All Other 4yr'!P35)-P35</f>
        <v>0</v>
      </c>
      <c r="AQ35" s="130">
        <f>('Instruction-4YR'!Q35+'RESEARCH 4yr'!Q35+'PUBLIC SERVICE 4yr'!Q35+'ASptISptSSv 4yr'!Q35+'PLANT OPER MAIN 4yr'!Q35+'SCHOLAR FELLOW 4yr'!Q35+'All Other 4yr'!Q35)-Q35</f>
        <v>0</v>
      </c>
      <c r="AR35" s="130">
        <f>('Instruction-4YR'!R35+'RESEARCH 4yr'!R35+'PUBLIC SERVICE 4yr'!R35+'ASptISptSSv 4yr'!R35+'PLANT OPER MAIN 4yr'!R35+'SCHOLAR FELLOW 4yr'!R35+'All Other 4yr'!R35)-R35</f>
        <v>0</v>
      </c>
      <c r="AS35" s="130">
        <f>('Instruction-4YR'!S35+'RESEARCH 4yr'!S35+'PUBLIC SERVICE 4yr'!S35+'ASptISptSSv 4yr'!S35+'PLANT OPER MAIN 4yr'!S35+'SCHOLAR FELLOW 4yr'!S35+'All Other 4yr'!S35)-S35</f>
        <v>0</v>
      </c>
      <c r="AT35" s="130">
        <f>('Instruction-4YR'!T35+'RESEARCH 4yr'!T35+'PUBLIC SERVICE 4yr'!T35+'ASptISptSSv 4yr'!T35+'PLANT OPER MAIN 4yr'!T35+'SCHOLAR FELLOW 4yr'!T35+'All Other 4yr'!T35)-T35</f>
        <v>0</v>
      </c>
      <c r="AU35" s="130">
        <f>('Instruction-4YR'!U35+'RESEARCH 4yr'!U35+'PUBLIC SERVICE 4yr'!U35+'ASptISptSSv 4yr'!U35+'PLANT OPER MAIN 4yr'!U35+'SCHOLAR FELLOW 4yr'!U35+'All Other 4yr'!U35)-U35</f>
        <v>0</v>
      </c>
      <c r="AV35" s="130">
        <f>('Instruction-4YR'!V35+'RESEARCH 4yr'!V35+'PUBLIC SERVICE 4yr'!V35+'ASptISptSSv 4yr'!V35+'PLANT OPER MAIN 4yr'!V35+'SCHOLAR FELLOW 4yr'!V35+'All Other 4yr'!V35)-V35</f>
        <v>0</v>
      </c>
      <c r="AW35" s="130">
        <f>('Instruction-4YR'!W35+'RESEARCH 4yr'!W35+'PUBLIC SERVICE 4yr'!W35+'ASptISptSSv 4yr'!W35+'PLANT OPER MAIN 4yr'!W35+'SCHOLAR FELLOW 4yr'!W35+'All Other 4yr'!W35)-W35</f>
        <v>0</v>
      </c>
      <c r="AX35" s="130">
        <f>('Instruction-4YR'!X35+'RESEARCH 4yr'!X35+'PUBLIC SERVICE 4yr'!X35+'ASptISptSSv 4yr'!X35+'PLANT OPER MAIN 4yr'!X35+'SCHOLAR FELLOW 4yr'!X35+'All Other 4yr'!X35)-X35</f>
        <v>0</v>
      </c>
      <c r="AY35" s="130">
        <f>('Instruction-4YR'!Y35+'RESEARCH 4yr'!Y35+'PUBLIC SERVICE 4yr'!Y35+'ASptISptSSv 4yr'!Y35+'PLANT OPER MAIN 4yr'!Y35+'SCHOLAR FELLOW 4yr'!Y35+'All Other 4yr'!Y35)-Y35</f>
        <v>0</v>
      </c>
      <c r="AZ35" s="130">
        <f>('Instruction-4YR'!Z35+'RESEARCH 4yr'!Z35+'PUBLIC SERVICE 4yr'!Z35+'ASptISptSSv 4yr'!Z35+'PLANT OPER MAIN 4yr'!Z35+'SCHOLAR FELLOW 4yr'!Z35+'All Other 4yr'!Z35)-Z35</f>
        <v>0</v>
      </c>
      <c r="BA35" s="130">
        <f>('Instruction-4YR'!AA35+'RESEARCH 4yr'!AA35+'PUBLIC SERVICE 4yr'!AA35+'ASptISptSSv 4yr'!AA35+'PLANT OPER MAIN 4yr'!AA35+'SCHOLAR FELLOW 4yr'!AA35+'All Other 4yr'!AA35)-AA35</f>
        <v>0</v>
      </c>
    </row>
    <row r="36" spans="1:53">
      <c r="A36" s="23" t="s">
        <v>109</v>
      </c>
      <c r="B36" s="37"/>
      <c r="C36" s="37"/>
      <c r="D36" s="37"/>
      <c r="E36" s="37"/>
      <c r="F36" s="77">
        <v>786402.81</v>
      </c>
      <c r="G36" s="37"/>
      <c r="H36" s="37"/>
      <c r="I36" s="37">
        <v>911108.61699999997</v>
      </c>
      <c r="J36" s="37"/>
      <c r="K36" s="37">
        <v>1084204.7290000001</v>
      </c>
      <c r="L36" s="37">
        <v>1317403.727</v>
      </c>
      <c r="M36" s="37">
        <v>1411346.1740000001</v>
      </c>
      <c r="N36" s="37">
        <v>1629839.1610000001</v>
      </c>
      <c r="O36" s="37">
        <v>1641431.89</v>
      </c>
      <c r="P36" s="37">
        <v>1719152.686</v>
      </c>
      <c r="Q36" s="37">
        <v>1815036.32</v>
      </c>
      <c r="R36" s="37">
        <v>1973979.9739999999</v>
      </c>
      <c r="S36" s="37">
        <v>2092558.1980000001</v>
      </c>
      <c r="T36" s="23">
        <v>2163354.5380000002</v>
      </c>
      <c r="U36" s="23">
        <v>1674897.4439999999</v>
      </c>
      <c r="V36" s="23">
        <v>2463028.611</v>
      </c>
      <c r="W36" s="23">
        <v>2582166.34</v>
      </c>
      <c r="X36" s="23">
        <v>2743367.1490000002</v>
      </c>
      <c r="Y36" s="2">
        <v>2844224.9959999998</v>
      </c>
      <c r="Z36" s="2">
        <v>2996836.642</v>
      </c>
      <c r="AA36" s="2">
        <v>2952862.06</v>
      </c>
      <c r="AB36" s="130">
        <f>('Instruction-4YR'!B36+'RESEARCH 4yr'!B36+'PUBLIC SERVICE 4yr'!B36+'ASptISptSSv 4yr'!B36+'PLANT OPER MAIN 4yr'!B36+'SCHOLAR FELLOW 4yr'!B36+'All Other 4yr'!B36)-B36</f>
        <v>0</v>
      </c>
      <c r="AC36" s="130">
        <f>('Instruction-4YR'!C36+'RESEARCH 4yr'!C36+'PUBLIC SERVICE 4yr'!C36+'ASptISptSSv 4yr'!C36+'PLANT OPER MAIN 4yr'!C36+'SCHOLAR FELLOW 4yr'!C36+'All Other 4yr'!C36)-C36</f>
        <v>0</v>
      </c>
      <c r="AD36" s="130">
        <f>('Instruction-4YR'!D36+'RESEARCH 4yr'!D36+'PUBLIC SERVICE 4yr'!D36+'ASptISptSSv 4yr'!D36+'PLANT OPER MAIN 4yr'!D36+'SCHOLAR FELLOW 4yr'!D36+'All Other 4yr'!D36)-D36</f>
        <v>0</v>
      </c>
      <c r="AE36" s="130">
        <f>('Instruction-4YR'!E36+'RESEARCH 4yr'!E36+'PUBLIC SERVICE 4yr'!E36+'ASptISptSSv 4yr'!E36+'PLANT OPER MAIN 4yr'!E36+'SCHOLAR FELLOW 4yr'!E36+'All Other 4yr'!E36)-E36</f>
        <v>0</v>
      </c>
      <c r="AF36" s="130">
        <f>('Instruction-4YR'!F36+'RESEARCH 4yr'!F36+'PUBLIC SERVICE 4yr'!F36+'ASptISptSSv 4yr'!F36+'PLANT OPER MAIN 4yr'!F36+'SCHOLAR FELLOW 4yr'!F36+'All Other 4yr'!F36)-F36</f>
        <v>0</v>
      </c>
      <c r="AG36" s="130">
        <f>('Instruction-4YR'!G36+'RESEARCH 4yr'!G36+'PUBLIC SERVICE 4yr'!G36+'ASptISptSSv 4yr'!G36+'PLANT OPER MAIN 4yr'!G36+'SCHOLAR FELLOW 4yr'!G36+'All Other 4yr'!G36)-G36</f>
        <v>0</v>
      </c>
      <c r="AH36" s="130">
        <f>('Instruction-4YR'!H36+'RESEARCH 4yr'!H36+'PUBLIC SERVICE 4yr'!H36+'ASptISptSSv 4yr'!H36+'PLANT OPER MAIN 4yr'!H36+'SCHOLAR FELLOW 4yr'!H36+'All Other 4yr'!H36)-H36</f>
        <v>0</v>
      </c>
      <c r="AI36" s="130">
        <f>('Instruction-4YR'!I36+'RESEARCH 4yr'!I36+'PUBLIC SERVICE 4yr'!I36+'ASptISptSSv 4yr'!I36+'PLANT OPER MAIN 4yr'!I36+'SCHOLAR FELLOW 4yr'!I36+'All Other 4yr'!I36)-I36</f>
        <v>0</v>
      </c>
      <c r="AJ36" s="130">
        <f>('Instruction-4YR'!J36+'RESEARCH 4yr'!J36+'PUBLIC SERVICE 4yr'!J36+'ASptISptSSv 4yr'!J36+'PLANT OPER MAIN 4yr'!J36+'SCHOLAR FELLOW 4yr'!J36+'All Other 4yr'!J36)-J36</f>
        <v>0</v>
      </c>
      <c r="AK36" s="130">
        <f>('Instruction-4YR'!K36+'RESEARCH 4yr'!K36+'PUBLIC SERVICE 4yr'!K36+'ASptISptSSv 4yr'!K36+'PLANT OPER MAIN 4yr'!K36+'SCHOLAR FELLOW 4yr'!K36+'All Other 4yr'!K36)-K36</f>
        <v>0</v>
      </c>
      <c r="AL36" s="130">
        <f>('Instruction-4YR'!L36+'RESEARCH 4yr'!L36+'PUBLIC SERVICE 4yr'!L36+'ASptISptSSv 4yr'!L36+'PLANT OPER MAIN 4yr'!L36+'SCHOLAR FELLOW 4yr'!L36+'All Other 4yr'!L36)-L36</f>
        <v>0</v>
      </c>
      <c r="AM36" s="130">
        <f>('Instruction-4YR'!M36+'RESEARCH 4yr'!M36+'PUBLIC SERVICE 4yr'!M36+'ASptISptSSv 4yr'!M36+'PLANT OPER MAIN 4yr'!M36+'SCHOLAR FELLOW 4yr'!M36+'All Other 4yr'!M36)-M36</f>
        <v>0</v>
      </c>
      <c r="AN36" s="130">
        <f>('Instruction-4YR'!N36+'RESEARCH 4yr'!N36+'PUBLIC SERVICE 4yr'!N36+'ASptISptSSv 4yr'!N36+'PLANT OPER MAIN 4yr'!N36+'SCHOLAR FELLOW 4yr'!N36+'All Other 4yr'!N36)-N36</f>
        <v>0</v>
      </c>
      <c r="AO36" s="130">
        <f>('Instruction-4YR'!O36+'RESEARCH 4yr'!O36+'PUBLIC SERVICE 4yr'!O36+'ASptISptSSv 4yr'!O36+'PLANT OPER MAIN 4yr'!O36+'SCHOLAR FELLOW 4yr'!O36+'All Other 4yr'!O36)-O36</f>
        <v>0</v>
      </c>
      <c r="AP36" s="130">
        <f>('Instruction-4YR'!P36+'RESEARCH 4yr'!P36+'PUBLIC SERVICE 4yr'!P36+'ASptISptSSv 4yr'!P36+'PLANT OPER MAIN 4yr'!P36+'SCHOLAR FELLOW 4yr'!P36+'All Other 4yr'!P36)-P36</f>
        <v>0</v>
      </c>
      <c r="AQ36" s="130">
        <f>('Instruction-4YR'!Q36+'RESEARCH 4yr'!Q36+'PUBLIC SERVICE 4yr'!Q36+'ASptISptSSv 4yr'!Q36+'PLANT OPER MAIN 4yr'!Q36+'SCHOLAR FELLOW 4yr'!Q36+'All Other 4yr'!Q36)-Q36</f>
        <v>0</v>
      </c>
      <c r="AR36" s="130">
        <f>('Instruction-4YR'!R36+'RESEARCH 4yr'!R36+'PUBLIC SERVICE 4yr'!R36+'ASptISptSSv 4yr'!R36+'PLANT OPER MAIN 4yr'!R36+'SCHOLAR FELLOW 4yr'!R36+'All Other 4yr'!R36)-R36</f>
        <v>0</v>
      </c>
      <c r="AS36" s="130">
        <f>('Instruction-4YR'!S36+'RESEARCH 4yr'!S36+'PUBLIC SERVICE 4yr'!S36+'ASptISptSSv 4yr'!S36+'PLANT OPER MAIN 4yr'!S36+'SCHOLAR FELLOW 4yr'!S36+'All Other 4yr'!S36)-S36</f>
        <v>0</v>
      </c>
      <c r="AT36" s="130">
        <f>('Instruction-4YR'!T36+'RESEARCH 4yr'!T36+'PUBLIC SERVICE 4yr'!T36+'ASptISptSSv 4yr'!T36+'PLANT OPER MAIN 4yr'!T36+'SCHOLAR FELLOW 4yr'!T36+'All Other 4yr'!T36)-T36</f>
        <v>0</v>
      </c>
      <c r="AU36" s="130">
        <f>('Instruction-4YR'!U36+'RESEARCH 4yr'!U36+'PUBLIC SERVICE 4yr'!U36+'ASptISptSSv 4yr'!U36+'PLANT OPER MAIN 4yr'!U36+'SCHOLAR FELLOW 4yr'!U36+'All Other 4yr'!U36)-U36</f>
        <v>0</v>
      </c>
      <c r="AV36" s="130">
        <f>('Instruction-4YR'!V36+'RESEARCH 4yr'!V36+'PUBLIC SERVICE 4yr'!V36+'ASptISptSSv 4yr'!V36+'PLANT OPER MAIN 4yr'!V36+'SCHOLAR FELLOW 4yr'!V36+'All Other 4yr'!V36)-V36</f>
        <v>0</v>
      </c>
      <c r="AW36" s="130">
        <f>('Instruction-4YR'!W36+'RESEARCH 4yr'!W36+'PUBLIC SERVICE 4yr'!W36+'ASptISptSSv 4yr'!W36+'PLANT OPER MAIN 4yr'!W36+'SCHOLAR FELLOW 4yr'!W36+'All Other 4yr'!W36)-W36</f>
        <v>0</v>
      </c>
      <c r="AX36" s="130">
        <f>('Instruction-4YR'!X36+'RESEARCH 4yr'!X36+'PUBLIC SERVICE 4yr'!X36+'ASptISptSSv 4yr'!X36+'PLANT OPER MAIN 4yr'!X36+'SCHOLAR FELLOW 4yr'!X36+'All Other 4yr'!X36)-X36</f>
        <v>0</v>
      </c>
      <c r="AY36" s="130">
        <f>('Instruction-4YR'!Y36+'RESEARCH 4yr'!Y36+'PUBLIC SERVICE 4yr'!Y36+'ASptISptSSv 4yr'!Y36+'PLANT OPER MAIN 4yr'!Y36+'SCHOLAR FELLOW 4yr'!Y36+'All Other 4yr'!Y36)-Y36</f>
        <v>0</v>
      </c>
      <c r="AZ36" s="130">
        <f>('Instruction-4YR'!Z36+'RESEARCH 4yr'!Z36+'PUBLIC SERVICE 4yr'!Z36+'ASptISptSSv 4yr'!Z36+'PLANT OPER MAIN 4yr'!Z36+'SCHOLAR FELLOW 4yr'!Z36+'All Other 4yr'!Z36)-Z36</f>
        <v>0</v>
      </c>
      <c r="BA36" s="130">
        <f>('Instruction-4YR'!AA36+'RESEARCH 4yr'!AA36+'PUBLIC SERVICE 4yr'!AA36+'ASptISptSSv 4yr'!AA36+'PLANT OPER MAIN 4yr'!AA36+'SCHOLAR FELLOW 4yr'!AA36+'All Other 4yr'!AA36)-AA36</f>
        <v>0</v>
      </c>
    </row>
    <row r="37" spans="1:53">
      <c r="A37" s="23" t="s">
        <v>113</v>
      </c>
      <c r="B37" s="37"/>
      <c r="C37" s="37"/>
      <c r="D37" s="37"/>
      <c r="E37" s="37"/>
      <c r="F37" s="77">
        <v>758803.826</v>
      </c>
      <c r="G37" s="37"/>
      <c r="H37" s="37"/>
      <c r="I37" s="37">
        <v>921341.902</v>
      </c>
      <c r="J37" s="37"/>
      <c r="K37" s="37">
        <v>1071428.0449999999</v>
      </c>
      <c r="L37" s="37">
        <v>1405638.0330000001</v>
      </c>
      <c r="M37" s="37">
        <v>1488646.28</v>
      </c>
      <c r="N37" s="37">
        <v>1868375.243</v>
      </c>
      <c r="O37" s="37">
        <v>1915564.3770000001</v>
      </c>
      <c r="P37" s="37">
        <v>1830104.821</v>
      </c>
      <c r="Q37" s="37">
        <v>1847742.8049999999</v>
      </c>
      <c r="R37" s="37">
        <v>1990808.1910000001</v>
      </c>
      <c r="S37" s="37">
        <v>2080224.925</v>
      </c>
      <c r="T37" s="23">
        <v>2150482.0120000001</v>
      </c>
      <c r="U37" s="23">
        <v>2280371.0099999998</v>
      </c>
      <c r="V37" s="23">
        <v>2338163.1529999999</v>
      </c>
      <c r="W37" s="23">
        <v>2631134.7039999999</v>
      </c>
      <c r="X37" s="23">
        <v>2777280.4070000001</v>
      </c>
      <c r="Y37" s="2">
        <v>2816244.1290000002</v>
      </c>
      <c r="Z37" s="2">
        <v>2903253.5359999998</v>
      </c>
      <c r="AA37" s="2">
        <v>3109762.2620000001</v>
      </c>
      <c r="AB37" s="130">
        <f>('Instruction-4YR'!B37+'RESEARCH 4yr'!B37+'PUBLIC SERVICE 4yr'!B37+'ASptISptSSv 4yr'!B37+'PLANT OPER MAIN 4yr'!B37+'SCHOLAR FELLOW 4yr'!B37+'All Other 4yr'!B37)-B37</f>
        <v>0</v>
      </c>
      <c r="AC37" s="130">
        <f>('Instruction-4YR'!C37+'RESEARCH 4yr'!C37+'PUBLIC SERVICE 4yr'!C37+'ASptISptSSv 4yr'!C37+'PLANT OPER MAIN 4yr'!C37+'SCHOLAR FELLOW 4yr'!C37+'All Other 4yr'!C37)-C37</f>
        <v>0</v>
      </c>
      <c r="AD37" s="130">
        <f>('Instruction-4YR'!D37+'RESEARCH 4yr'!D37+'PUBLIC SERVICE 4yr'!D37+'ASptISptSSv 4yr'!D37+'PLANT OPER MAIN 4yr'!D37+'SCHOLAR FELLOW 4yr'!D37+'All Other 4yr'!D37)-D37</f>
        <v>0</v>
      </c>
      <c r="AE37" s="130">
        <f>('Instruction-4YR'!E37+'RESEARCH 4yr'!E37+'PUBLIC SERVICE 4yr'!E37+'ASptISptSSv 4yr'!E37+'PLANT OPER MAIN 4yr'!E37+'SCHOLAR FELLOW 4yr'!E37+'All Other 4yr'!E37)-E37</f>
        <v>0</v>
      </c>
      <c r="AF37" s="130">
        <f>('Instruction-4YR'!F37+'RESEARCH 4yr'!F37+'PUBLIC SERVICE 4yr'!F37+'ASptISptSSv 4yr'!F37+'PLANT OPER MAIN 4yr'!F37+'SCHOLAR FELLOW 4yr'!F37+'All Other 4yr'!F37)-F37</f>
        <v>0</v>
      </c>
      <c r="AG37" s="130">
        <f>('Instruction-4YR'!G37+'RESEARCH 4yr'!G37+'PUBLIC SERVICE 4yr'!G37+'ASptISptSSv 4yr'!G37+'PLANT OPER MAIN 4yr'!G37+'SCHOLAR FELLOW 4yr'!G37+'All Other 4yr'!G37)-G37</f>
        <v>0</v>
      </c>
      <c r="AH37" s="130">
        <f>('Instruction-4YR'!H37+'RESEARCH 4yr'!H37+'PUBLIC SERVICE 4yr'!H37+'ASptISptSSv 4yr'!H37+'PLANT OPER MAIN 4yr'!H37+'SCHOLAR FELLOW 4yr'!H37+'All Other 4yr'!H37)-H37</f>
        <v>0</v>
      </c>
      <c r="AI37" s="130">
        <f>('Instruction-4YR'!I37+'RESEARCH 4yr'!I37+'PUBLIC SERVICE 4yr'!I37+'ASptISptSSv 4yr'!I37+'PLANT OPER MAIN 4yr'!I37+'SCHOLAR FELLOW 4yr'!I37+'All Other 4yr'!I37)-I37</f>
        <v>0</v>
      </c>
      <c r="AJ37" s="130">
        <f>('Instruction-4YR'!J37+'RESEARCH 4yr'!J37+'PUBLIC SERVICE 4yr'!J37+'ASptISptSSv 4yr'!J37+'PLANT OPER MAIN 4yr'!J37+'SCHOLAR FELLOW 4yr'!J37+'All Other 4yr'!J37)-J37</f>
        <v>0</v>
      </c>
      <c r="AK37" s="130">
        <f>('Instruction-4YR'!K37+'RESEARCH 4yr'!K37+'PUBLIC SERVICE 4yr'!K37+'ASptISptSSv 4yr'!K37+'PLANT OPER MAIN 4yr'!K37+'SCHOLAR FELLOW 4yr'!K37+'All Other 4yr'!K37)-K37</f>
        <v>0</v>
      </c>
      <c r="AL37" s="130">
        <f>('Instruction-4YR'!L37+'RESEARCH 4yr'!L37+'PUBLIC SERVICE 4yr'!L37+'ASptISptSSv 4yr'!L37+'PLANT OPER MAIN 4yr'!L37+'SCHOLAR FELLOW 4yr'!L37+'All Other 4yr'!L37)-L37</f>
        <v>0</v>
      </c>
      <c r="AM37" s="130">
        <f>('Instruction-4YR'!M37+'RESEARCH 4yr'!M37+'PUBLIC SERVICE 4yr'!M37+'ASptISptSSv 4yr'!M37+'PLANT OPER MAIN 4yr'!M37+'SCHOLAR FELLOW 4yr'!M37+'All Other 4yr'!M37)-M37</f>
        <v>0</v>
      </c>
      <c r="AN37" s="130">
        <f>('Instruction-4YR'!N37+'RESEARCH 4yr'!N37+'PUBLIC SERVICE 4yr'!N37+'ASptISptSSv 4yr'!N37+'PLANT OPER MAIN 4yr'!N37+'SCHOLAR FELLOW 4yr'!N37+'All Other 4yr'!N37)-N37</f>
        <v>0</v>
      </c>
      <c r="AO37" s="130">
        <f>('Instruction-4YR'!O37+'RESEARCH 4yr'!O37+'PUBLIC SERVICE 4yr'!O37+'ASptISptSSv 4yr'!O37+'PLANT OPER MAIN 4yr'!O37+'SCHOLAR FELLOW 4yr'!O37+'All Other 4yr'!O37)-O37</f>
        <v>0</v>
      </c>
      <c r="AP37" s="130">
        <f>('Instruction-4YR'!P37+'RESEARCH 4yr'!P37+'PUBLIC SERVICE 4yr'!P37+'ASptISptSSv 4yr'!P37+'PLANT OPER MAIN 4yr'!P37+'SCHOLAR FELLOW 4yr'!P37+'All Other 4yr'!P37)-P37</f>
        <v>0</v>
      </c>
      <c r="AQ37" s="130">
        <f>('Instruction-4YR'!Q37+'RESEARCH 4yr'!Q37+'PUBLIC SERVICE 4yr'!Q37+'ASptISptSSv 4yr'!Q37+'PLANT OPER MAIN 4yr'!Q37+'SCHOLAR FELLOW 4yr'!Q37+'All Other 4yr'!Q37)-Q37</f>
        <v>0</v>
      </c>
      <c r="AR37" s="130">
        <f>('Instruction-4YR'!R37+'RESEARCH 4yr'!R37+'PUBLIC SERVICE 4yr'!R37+'ASptISptSSv 4yr'!R37+'PLANT OPER MAIN 4yr'!R37+'SCHOLAR FELLOW 4yr'!R37+'All Other 4yr'!R37)-R37</f>
        <v>0</v>
      </c>
      <c r="AS37" s="130">
        <f>('Instruction-4YR'!S37+'RESEARCH 4yr'!S37+'PUBLIC SERVICE 4yr'!S37+'ASptISptSSv 4yr'!S37+'PLANT OPER MAIN 4yr'!S37+'SCHOLAR FELLOW 4yr'!S37+'All Other 4yr'!S37)-S37</f>
        <v>0</v>
      </c>
      <c r="AT37" s="130">
        <f>('Instruction-4YR'!T37+'RESEARCH 4yr'!T37+'PUBLIC SERVICE 4yr'!T37+'ASptISptSSv 4yr'!T37+'PLANT OPER MAIN 4yr'!T37+'SCHOLAR FELLOW 4yr'!T37+'All Other 4yr'!T37)-T37</f>
        <v>0</v>
      </c>
      <c r="AU37" s="130">
        <f>('Instruction-4YR'!U37+'RESEARCH 4yr'!U37+'PUBLIC SERVICE 4yr'!U37+'ASptISptSSv 4yr'!U37+'PLANT OPER MAIN 4yr'!U37+'SCHOLAR FELLOW 4yr'!U37+'All Other 4yr'!U37)-U37</f>
        <v>0</v>
      </c>
      <c r="AV37" s="130">
        <f>('Instruction-4YR'!V37+'RESEARCH 4yr'!V37+'PUBLIC SERVICE 4yr'!V37+'ASptISptSSv 4yr'!V37+'PLANT OPER MAIN 4yr'!V37+'SCHOLAR FELLOW 4yr'!V37+'All Other 4yr'!V37)-V37</f>
        <v>0</v>
      </c>
      <c r="AW37" s="130">
        <f>('Instruction-4YR'!W37+'RESEARCH 4yr'!W37+'PUBLIC SERVICE 4yr'!W37+'ASptISptSSv 4yr'!W37+'PLANT OPER MAIN 4yr'!W37+'SCHOLAR FELLOW 4yr'!W37+'All Other 4yr'!W37)-W37</f>
        <v>0</v>
      </c>
      <c r="AX37" s="130">
        <f>('Instruction-4YR'!X37+'RESEARCH 4yr'!X37+'PUBLIC SERVICE 4yr'!X37+'ASptISptSSv 4yr'!X37+'PLANT OPER MAIN 4yr'!X37+'SCHOLAR FELLOW 4yr'!X37+'All Other 4yr'!X37)-X37</f>
        <v>0</v>
      </c>
      <c r="AY37" s="130">
        <f>('Instruction-4YR'!Y37+'RESEARCH 4yr'!Y37+'PUBLIC SERVICE 4yr'!Y37+'ASptISptSSv 4yr'!Y37+'PLANT OPER MAIN 4yr'!Y37+'SCHOLAR FELLOW 4yr'!Y37+'All Other 4yr'!Y37)-Y37</f>
        <v>0</v>
      </c>
      <c r="AZ37" s="130">
        <f>('Instruction-4YR'!Z37+'RESEARCH 4yr'!Z37+'PUBLIC SERVICE 4yr'!Z37+'ASptISptSSv 4yr'!Z37+'PLANT OPER MAIN 4yr'!Z37+'SCHOLAR FELLOW 4yr'!Z37+'All Other 4yr'!Z37)-Z37</f>
        <v>0</v>
      </c>
      <c r="BA37" s="130">
        <f>('Instruction-4YR'!AA37+'RESEARCH 4yr'!AA37+'PUBLIC SERVICE 4yr'!AA37+'ASptISptSSv 4yr'!AA37+'PLANT OPER MAIN 4yr'!AA37+'SCHOLAR FELLOW 4yr'!AA37+'All Other 4yr'!AA37)-AA37</f>
        <v>0</v>
      </c>
    </row>
    <row r="38" spans="1:53">
      <c r="A38" s="23" t="s">
        <v>115</v>
      </c>
      <c r="B38" s="37"/>
      <c r="C38" s="37"/>
      <c r="D38" s="37"/>
      <c r="E38" s="37"/>
      <c r="F38" s="77">
        <v>1423276.649</v>
      </c>
      <c r="G38" s="37"/>
      <c r="H38" s="37"/>
      <c r="I38" s="37">
        <v>1640600.8419999999</v>
      </c>
      <c r="J38" s="37"/>
      <c r="K38" s="37">
        <v>1770937.5619999999</v>
      </c>
      <c r="L38" s="37">
        <v>2144222.0410000002</v>
      </c>
      <c r="M38" s="37">
        <v>2320628.199</v>
      </c>
      <c r="N38" s="37">
        <v>2684661.2319999998</v>
      </c>
      <c r="O38" s="37">
        <v>2880180.86</v>
      </c>
      <c r="P38" s="37">
        <v>3028523.8119999999</v>
      </c>
      <c r="Q38" s="37">
        <v>3225367.9819999998</v>
      </c>
      <c r="R38" s="37">
        <v>3434409.6150000002</v>
      </c>
      <c r="S38" s="37">
        <v>3825502.7080000001</v>
      </c>
      <c r="T38" s="23">
        <v>4110458.375</v>
      </c>
      <c r="U38" s="23">
        <v>4054620.0469999998</v>
      </c>
      <c r="V38" s="23">
        <v>3970135.8139999998</v>
      </c>
      <c r="W38" s="23">
        <v>4226148.2379999999</v>
      </c>
      <c r="X38" s="23">
        <v>4292165.83</v>
      </c>
      <c r="Y38" s="2">
        <v>4561539.1349999998</v>
      </c>
      <c r="Z38" s="2">
        <v>4783627.0729999999</v>
      </c>
      <c r="AA38" s="2">
        <v>4956742.5870000003</v>
      </c>
      <c r="AB38" s="130">
        <f>('Instruction-4YR'!B38+'RESEARCH 4yr'!B38+'PUBLIC SERVICE 4yr'!B38+'ASptISptSSv 4yr'!B38+'PLANT OPER MAIN 4yr'!B38+'SCHOLAR FELLOW 4yr'!B38+'All Other 4yr'!B38)-B38</f>
        <v>0</v>
      </c>
      <c r="AC38" s="130">
        <f>('Instruction-4YR'!C38+'RESEARCH 4yr'!C38+'PUBLIC SERVICE 4yr'!C38+'ASptISptSSv 4yr'!C38+'PLANT OPER MAIN 4yr'!C38+'SCHOLAR FELLOW 4yr'!C38+'All Other 4yr'!C38)-C38</f>
        <v>0</v>
      </c>
      <c r="AD38" s="130">
        <f>('Instruction-4YR'!D38+'RESEARCH 4yr'!D38+'PUBLIC SERVICE 4yr'!D38+'ASptISptSSv 4yr'!D38+'PLANT OPER MAIN 4yr'!D38+'SCHOLAR FELLOW 4yr'!D38+'All Other 4yr'!D38)-D38</f>
        <v>0</v>
      </c>
      <c r="AE38" s="130">
        <f>('Instruction-4YR'!E38+'RESEARCH 4yr'!E38+'PUBLIC SERVICE 4yr'!E38+'ASptISptSSv 4yr'!E38+'PLANT OPER MAIN 4yr'!E38+'SCHOLAR FELLOW 4yr'!E38+'All Other 4yr'!E38)-E38</f>
        <v>0</v>
      </c>
      <c r="AF38" s="130">
        <f>('Instruction-4YR'!F38+'RESEARCH 4yr'!F38+'PUBLIC SERVICE 4yr'!F38+'ASptISptSSv 4yr'!F38+'PLANT OPER MAIN 4yr'!F38+'SCHOLAR FELLOW 4yr'!F38+'All Other 4yr'!F38)-F38</f>
        <v>0</v>
      </c>
      <c r="AG38" s="130">
        <f>('Instruction-4YR'!G38+'RESEARCH 4yr'!G38+'PUBLIC SERVICE 4yr'!G38+'ASptISptSSv 4yr'!G38+'PLANT OPER MAIN 4yr'!G38+'SCHOLAR FELLOW 4yr'!G38+'All Other 4yr'!G38)-G38</f>
        <v>0</v>
      </c>
      <c r="AH38" s="130">
        <f>('Instruction-4YR'!H38+'RESEARCH 4yr'!H38+'PUBLIC SERVICE 4yr'!H38+'ASptISptSSv 4yr'!H38+'PLANT OPER MAIN 4yr'!H38+'SCHOLAR FELLOW 4yr'!H38+'All Other 4yr'!H38)-H38</f>
        <v>0</v>
      </c>
      <c r="AI38" s="130">
        <f>('Instruction-4YR'!I38+'RESEARCH 4yr'!I38+'PUBLIC SERVICE 4yr'!I38+'ASptISptSSv 4yr'!I38+'PLANT OPER MAIN 4yr'!I38+'SCHOLAR FELLOW 4yr'!I38+'All Other 4yr'!I38)-I38</f>
        <v>0</v>
      </c>
      <c r="AJ38" s="130">
        <f>('Instruction-4YR'!J38+'RESEARCH 4yr'!J38+'PUBLIC SERVICE 4yr'!J38+'ASptISptSSv 4yr'!J38+'PLANT OPER MAIN 4yr'!J38+'SCHOLAR FELLOW 4yr'!J38+'All Other 4yr'!J38)-J38</f>
        <v>0</v>
      </c>
      <c r="AK38" s="130">
        <f>('Instruction-4YR'!K38+'RESEARCH 4yr'!K38+'PUBLIC SERVICE 4yr'!K38+'ASptISptSSv 4yr'!K38+'PLANT OPER MAIN 4yr'!K38+'SCHOLAR FELLOW 4yr'!K38+'All Other 4yr'!K38)-K38</f>
        <v>0</v>
      </c>
      <c r="AL38" s="130">
        <f>('Instruction-4YR'!L38+'RESEARCH 4yr'!L38+'PUBLIC SERVICE 4yr'!L38+'ASptISptSSv 4yr'!L38+'PLANT OPER MAIN 4yr'!L38+'SCHOLAR FELLOW 4yr'!L38+'All Other 4yr'!L38)-L38</f>
        <v>0</v>
      </c>
      <c r="AM38" s="130">
        <f>('Instruction-4YR'!M38+'RESEARCH 4yr'!M38+'PUBLIC SERVICE 4yr'!M38+'ASptISptSSv 4yr'!M38+'PLANT OPER MAIN 4yr'!M38+'SCHOLAR FELLOW 4yr'!M38+'All Other 4yr'!M38)-M38</f>
        <v>0</v>
      </c>
      <c r="AN38" s="130">
        <f>('Instruction-4YR'!N38+'RESEARCH 4yr'!N38+'PUBLIC SERVICE 4yr'!N38+'ASptISptSSv 4yr'!N38+'PLANT OPER MAIN 4yr'!N38+'SCHOLAR FELLOW 4yr'!N38+'All Other 4yr'!N38)-N38</f>
        <v>0</v>
      </c>
      <c r="AO38" s="130">
        <f>('Instruction-4YR'!O38+'RESEARCH 4yr'!O38+'PUBLIC SERVICE 4yr'!O38+'ASptISptSSv 4yr'!O38+'PLANT OPER MAIN 4yr'!O38+'SCHOLAR FELLOW 4yr'!O38+'All Other 4yr'!O38)-O38</f>
        <v>0</v>
      </c>
      <c r="AP38" s="130">
        <f>('Instruction-4YR'!P38+'RESEARCH 4yr'!P38+'PUBLIC SERVICE 4yr'!P38+'ASptISptSSv 4yr'!P38+'PLANT OPER MAIN 4yr'!P38+'SCHOLAR FELLOW 4yr'!P38+'All Other 4yr'!P38)-P38</f>
        <v>0</v>
      </c>
      <c r="AQ38" s="130">
        <f>('Instruction-4YR'!Q38+'RESEARCH 4yr'!Q38+'PUBLIC SERVICE 4yr'!Q38+'ASptISptSSv 4yr'!Q38+'PLANT OPER MAIN 4yr'!Q38+'SCHOLAR FELLOW 4yr'!Q38+'All Other 4yr'!Q38)-Q38</f>
        <v>0</v>
      </c>
      <c r="AR38" s="130">
        <f>('Instruction-4YR'!R38+'RESEARCH 4yr'!R38+'PUBLIC SERVICE 4yr'!R38+'ASptISptSSv 4yr'!R38+'PLANT OPER MAIN 4yr'!R38+'SCHOLAR FELLOW 4yr'!R38+'All Other 4yr'!R38)-R38</f>
        <v>0</v>
      </c>
      <c r="AS38" s="130">
        <f>('Instruction-4YR'!S38+'RESEARCH 4yr'!S38+'PUBLIC SERVICE 4yr'!S38+'ASptISptSSv 4yr'!S38+'PLANT OPER MAIN 4yr'!S38+'SCHOLAR FELLOW 4yr'!S38+'All Other 4yr'!S38)-S38</f>
        <v>0</v>
      </c>
      <c r="AT38" s="130">
        <f>('Instruction-4YR'!T38+'RESEARCH 4yr'!T38+'PUBLIC SERVICE 4yr'!T38+'ASptISptSSv 4yr'!T38+'PLANT OPER MAIN 4yr'!T38+'SCHOLAR FELLOW 4yr'!T38+'All Other 4yr'!T38)-T38</f>
        <v>0</v>
      </c>
      <c r="AU38" s="130">
        <f>('Instruction-4YR'!U38+'RESEARCH 4yr'!U38+'PUBLIC SERVICE 4yr'!U38+'ASptISptSSv 4yr'!U38+'PLANT OPER MAIN 4yr'!U38+'SCHOLAR FELLOW 4yr'!U38+'All Other 4yr'!U38)-U38</f>
        <v>0</v>
      </c>
      <c r="AV38" s="130">
        <f>('Instruction-4YR'!V38+'RESEARCH 4yr'!V38+'PUBLIC SERVICE 4yr'!V38+'ASptISptSSv 4yr'!V38+'PLANT OPER MAIN 4yr'!V38+'SCHOLAR FELLOW 4yr'!V38+'All Other 4yr'!V38)-V38</f>
        <v>0</v>
      </c>
      <c r="AW38" s="130">
        <f>('Instruction-4YR'!W38+'RESEARCH 4yr'!W38+'PUBLIC SERVICE 4yr'!W38+'ASptISptSSv 4yr'!W38+'PLANT OPER MAIN 4yr'!W38+'SCHOLAR FELLOW 4yr'!W38+'All Other 4yr'!W38)-W38</f>
        <v>0</v>
      </c>
      <c r="AX38" s="130">
        <f>('Instruction-4YR'!X38+'RESEARCH 4yr'!X38+'PUBLIC SERVICE 4yr'!X38+'ASptISptSSv 4yr'!X38+'PLANT OPER MAIN 4yr'!X38+'SCHOLAR FELLOW 4yr'!X38+'All Other 4yr'!X38)-X38</f>
        <v>0</v>
      </c>
      <c r="AY38" s="130">
        <f>('Instruction-4YR'!Y38+'RESEARCH 4yr'!Y38+'PUBLIC SERVICE 4yr'!Y38+'ASptISptSSv 4yr'!Y38+'PLANT OPER MAIN 4yr'!Y38+'SCHOLAR FELLOW 4yr'!Y38+'All Other 4yr'!Y38)-Y38</f>
        <v>0</v>
      </c>
      <c r="AZ38" s="130">
        <f>('Instruction-4YR'!Z38+'RESEARCH 4yr'!Z38+'PUBLIC SERVICE 4yr'!Z38+'ASptISptSSv 4yr'!Z38+'PLANT OPER MAIN 4yr'!Z38+'SCHOLAR FELLOW 4yr'!Z38+'All Other 4yr'!Z38)-Z38</f>
        <v>0</v>
      </c>
      <c r="BA38" s="130">
        <f>('Instruction-4YR'!AA38+'RESEARCH 4yr'!AA38+'PUBLIC SERVICE 4yr'!AA38+'ASptISptSSv 4yr'!AA38+'PLANT OPER MAIN 4yr'!AA38+'SCHOLAR FELLOW 4yr'!AA38+'All Other 4yr'!AA38)-AA38</f>
        <v>0</v>
      </c>
    </row>
    <row r="39" spans="1:53">
      <c r="A39" s="45" t="s">
        <v>117</v>
      </c>
      <c r="B39" s="63"/>
      <c r="C39" s="63"/>
      <c r="D39" s="63"/>
      <c r="E39" s="63"/>
      <c r="F39" s="82">
        <v>158410.467</v>
      </c>
      <c r="G39" s="63"/>
      <c r="H39" s="63"/>
      <c r="I39" s="63">
        <v>182127.08199999999</v>
      </c>
      <c r="J39" s="63"/>
      <c r="K39" s="63">
        <v>173426.58900000001</v>
      </c>
      <c r="L39" s="63">
        <v>194294.86600000001</v>
      </c>
      <c r="M39" s="63">
        <v>221865.68400000001</v>
      </c>
      <c r="N39" s="63">
        <v>227875.69</v>
      </c>
      <c r="O39" s="63">
        <v>250245.20600000001</v>
      </c>
      <c r="P39" s="63">
        <v>262003.26699999999</v>
      </c>
      <c r="Q39" s="63">
        <v>280289.913</v>
      </c>
      <c r="R39" s="63">
        <v>287435.22399999999</v>
      </c>
      <c r="S39" s="63">
        <v>306814.04100000003</v>
      </c>
      <c r="T39" s="45">
        <v>347558.326</v>
      </c>
      <c r="U39" s="45">
        <v>375351.38900000002</v>
      </c>
      <c r="V39" s="45">
        <v>397290.79200000002</v>
      </c>
      <c r="W39" s="45">
        <v>420020.05</v>
      </c>
      <c r="X39" s="45">
        <v>442474.73300000001</v>
      </c>
      <c r="Y39" s="45">
        <v>435011.76500000001</v>
      </c>
      <c r="Z39" s="45">
        <v>447807.20799999998</v>
      </c>
      <c r="AA39" s="45">
        <v>463261.73300000001</v>
      </c>
      <c r="AB39" s="130">
        <f>('Instruction-4YR'!B39+'RESEARCH 4yr'!B39+'PUBLIC SERVICE 4yr'!B39+'ASptISptSSv 4yr'!B39+'PLANT OPER MAIN 4yr'!B39+'SCHOLAR FELLOW 4yr'!B39+'All Other 4yr'!B39)-B39</f>
        <v>0</v>
      </c>
      <c r="AC39" s="130">
        <f>('Instruction-4YR'!C39+'RESEARCH 4yr'!C39+'PUBLIC SERVICE 4yr'!C39+'ASptISptSSv 4yr'!C39+'PLANT OPER MAIN 4yr'!C39+'SCHOLAR FELLOW 4yr'!C39+'All Other 4yr'!C39)-C39</f>
        <v>0</v>
      </c>
      <c r="AD39" s="130">
        <f>('Instruction-4YR'!D39+'RESEARCH 4yr'!D39+'PUBLIC SERVICE 4yr'!D39+'ASptISptSSv 4yr'!D39+'PLANT OPER MAIN 4yr'!D39+'SCHOLAR FELLOW 4yr'!D39+'All Other 4yr'!D39)-D39</f>
        <v>0</v>
      </c>
      <c r="AE39" s="130">
        <f>('Instruction-4YR'!E39+'RESEARCH 4yr'!E39+'PUBLIC SERVICE 4yr'!E39+'ASptISptSSv 4yr'!E39+'PLANT OPER MAIN 4yr'!E39+'SCHOLAR FELLOW 4yr'!E39+'All Other 4yr'!E39)-E39</f>
        <v>0</v>
      </c>
      <c r="AF39" s="130">
        <f>('Instruction-4YR'!F39+'RESEARCH 4yr'!F39+'PUBLIC SERVICE 4yr'!F39+'ASptISptSSv 4yr'!F39+'PLANT OPER MAIN 4yr'!F39+'SCHOLAR FELLOW 4yr'!F39+'All Other 4yr'!F39)-F39</f>
        <v>0</v>
      </c>
      <c r="AG39" s="130">
        <f>('Instruction-4YR'!G39+'RESEARCH 4yr'!G39+'PUBLIC SERVICE 4yr'!G39+'ASptISptSSv 4yr'!G39+'PLANT OPER MAIN 4yr'!G39+'SCHOLAR FELLOW 4yr'!G39+'All Other 4yr'!G39)-G39</f>
        <v>0</v>
      </c>
      <c r="AH39" s="130">
        <f>('Instruction-4YR'!H39+'RESEARCH 4yr'!H39+'PUBLIC SERVICE 4yr'!H39+'ASptISptSSv 4yr'!H39+'PLANT OPER MAIN 4yr'!H39+'SCHOLAR FELLOW 4yr'!H39+'All Other 4yr'!H39)-H39</f>
        <v>0</v>
      </c>
      <c r="AI39" s="130">
        <f>('Instruction-4YR'!I39+'RESEARCH 4yr'!I39+'PUBLIC SERVICE 4yr'!I39+'ASptISptSSv 4yr'!I39+'PLANT OPER MAIN 4yr'!I39+'SCHOLAR FELLOW 4yr'!I39+'All Other 4yr'!I39)-I39</f>
        <v>0</v>
      </c>
      <c r="AJ39" s="130">
        <f>('Instruction-4YR'!J39+'RESEARCH 4yr'!J39+'PUBLIC SERVICE 4yr'!J39+'ASptISptSSv 4yr'!J39+'PLANT OPER MAIN 4yr'!J39+'SCHOLAR FELLOW 4yr'!J39+'All Other 4yr'!J39)-J39</f>
        <v>0</v>
      </c>
      <c r="AK39" s="130">
        <f>('Instruction-4YR'!K39+'RESEARCH 4yr'!K39+'PUBLIC SERVICE 4yr'!K39+'ASptISptSSv 4yr'!K39+'PLANT OPER MAIN 4yr'!K39+'SCHOLAR FELLOW 4yr'!K39+'All Other 4yr'!K39)-K39</f>
        <v>0</v>
      </c>
      <c r="AL39" s="130">
        <f>('Instruction-4YR'!L39+'RESEARCH 4yr'!L39+'PUBLIC SERVICE 4yr'!L39+'ASptISptSSv 4yr'!L39+'PLANT OPER MAIN 4yr'!L39+'SCHOLAR FELLOW 4yr'!L39+'All Other 4yr'!L39)-L39</f>
        <v>0</v>
      </c>
      <c r="AM39" s="130">
        <f>('Instruction-4YR'!M39+'RESEARCH 4yr'!M39+'PUBLIC SERVICE 4yr'!M39+'ASptISptSSv 4yr'!M39+'PLANT OPER MAIN 4yr'!M39+'SCHOLAR FELLOW 4yr'!M39+'All Other 4yr'!M39)-M39</f>
        <v>0</v>
      </c>
      <c r="AN39" s="130">
        <f>('Instruction-4YR'!N39+'RESEARCH 4yr'!N39+'PUBLIC SERVICE 4yr'!N39+'ASptISptSSv 4yr'!N39+'PLANT OPER MAIN 4yr'!N39+'SCHOLAR FELLOW 4yr'!N39+'All Other 4yr'!N39)-N39</f>
        <v>0</v>
      </c>
      <c r="AO39" s="130">
        <f>('Instruction-4YR'!O39+'RESEARCH 4yr'!O39+'PUBLIC SERVICE 4yr'!O39+'ASptISptSSv 4yr'!O39+'PLANT OPER MAIN 4yr'!O39+'SCHOLAR FELLOW 4yr'!O39+'All Other 4yr'!O39)-O39</f>
        <v>0</v>
      </c>
      <c r="AP39" s="130">
        <f>('Instruction-4YR'!P39+'RESEARCH 4yr'!P39+'PUBLIC SERVICE 4yr'!P39+'ASptISptSSv 4yr'!P39+'PLANT OPER MAIN 4yr'!P39+'SCHOLAR FELLOW 4yr'!P39+'All Other 4yr'!P39)-P39</f>
        <v>0</v>
      </c>
      <c r="AQ39" s="130">
        <f>('Instruction-4YR'!Q39+'RESEARCH 4yr'!Q39+'PUBLIC SERVICE 4yr'!Q39+'ASptISptSSv 4yr'!Q39+'PLANT OPER MAIN 4yr'!Q39+'SCHOLAR FELLOW 4yr'!Q39+'All Other 4yr'!Q39)-Q39</f>
        <v>0</v>
      </c>
      <c r="AR39" s="130">
        <f>('Instruction-4YR'!R39+'RESEARCH 4yr'!R39+'PUBLIC SERVICE 4yr'!R39+'ASptISptSSv 4yr'!R39+'PLANT OPER MAIN 4yr'!R39+'SCHOLAR FELLOW 4yr'!R39+'All Other 4yr'!R39)-R39</f>
        <v>0</v>
      </c>
      <c r="AS39" s="130">
        <f>('Instruction-4YR'!S39+'RESEARCH 4yr'!S39+'PUBLIC SERVICE 4yr'!S39+'ASptISptSSv 4yr'!S39+'PLANT OPER MAIN 4yr'!S39+'SCHOLAR FELLOW 4yr'!S39+'All Other 4yr'!S39)-S39</f>
        <v>0</v>
      </c>
      <c r="AT39" s="130">
        <f>('Instruction-4YR'!T39+'RESEARCH 4yr'!T39+'PUBLIC SERVICE 4yr'!T39+'ASptISptSSv 4yr'!T39+'PLANT OPER MAIN 4yr'!T39+'SCHOLAR FELLOW 4yr'!T39+'All Other 4yr'!T39)-T39</f>
        <v>0</v>
      </c>
      <c r="AU39" s="130">
        <f>('Instruction-4YR'!U39+'RESEARCH 4yr'!U39+'PUBLIC SERVICE 4yr'!U39+'ASptISptSSv 4yr'!U39+'PLANT OPER MAIN 4yr'!U39+'SCHOLAR FELLOW 4yr'!U39+'All Other 4yr'!U39)-U39</f>
        <v>0</v>
      </c>
      <c r="AV39" s="130">
        <f>('Instruction-4YR'!V39+'RESEARCH 4yr'!V39+'PUBLIC SERVICE 4yr'!V39+'ASptISptSSv 4yr'!V39+'PLANT OPER MAIN 4yr'!V39+'SCHOLAR FELLOW 4yr'!V39+'All Other 4yr'!V39)-V39</f>
        <v>0</v>
      </c>
      <c r="AW39" s="130">
        <f>('Instruction-4YR'!W39+'RESEARCH 4yr'!W39+'PUBLIC SERVICE 4yr'!W39+'ASptISptSSv 4yr'!W39+'PLANT OPER MAIN 4yr'!W39+'SCHOLAR FELLOW 4yr'!W39+'All Other 4yr'!W39)-W39</f>
        <v>0</v>
      </c>
      <c r="AX39" s="130">
        <f>('Instruction-4YR'!X39+'RESEARCH 4yr'!X39+'PUBLIC SERVICE 4yr'!X39+'ASptISptSSv 4yr'!X39+'PLANT OPER MAIN 4yr'!X39+'SCHOLAR FELLOW 4yr'!X39+'All Other 4yr'!X39)-X39</f>
        <v>0</v>
      </c>
      <c r="AY39" s="130">
        <f>('Instruction-4YR'!Y39+'RESEARCH 4yr'!Y39+'PUBLIC SERVICE 4yr'!Y39+'ASptISptSSv 4yr'!Y39+'PLANT OPER MAIN 4yr'!Y39+'SCHOLAR FELLOW 4yr'!Y39+'All Other 4yr'!Y39)-Y39</f>
        <v>0</v>
      </c>
      <c r="AZ39" s="130">
        <f>('Instruction-4YR'!Z39+'RESEARCH 4yr'!Z39+'PUBLIC SERVICE 4yr'!Z39+'ASptISptSSv 4yr'!Z39+'PLANT OPER MAIN 4yr'!Z39+'SCHOLAR FELLOW 4yr'!Z39+'All Other 4yr'!Z39)-Z39</f>
        <v>0</v>
      </c>
      <c r="BA39" s="130">
        <f>('Instruction-4YR'!AA39+'RESEARCH 4yr'!AA39+'PUBLIC SERVICE 4yr'!AA39+'ASptISptSSv 4yr'!AA39+'PLANT OPER MAIN 4yr'!AA39+'SCHOLAR FELLOW 4yr'!AA39+'All Other 4yr'!AA39)-AA39</f>
        <v>0</v>
      </c>
    </row>
    <row r="40" spans="1:53">
      <c r="A40" s="79" t="s">
        <v>121</v>
      </c>
      <c r="B40" s="90">
        <f>SUM(B42:B53)</f>
        <v>0</v>
      </c>
      <c r="C40" s="90">
        <f t="shared" ref="C40:AA40" si="10">SUM(C42:C53)</f>
        <v>0</v>
      </c>
      <c r="D40" s="90">
        <f t="shared" si="10"/>
        <v>0</v>
      </c>
      <c r="E40" s="90">
        <f t="shared" si="10"/>
        <v>0</v>
      </c>
      <c r="F40" s="90">
        <f t="shared" si="10"/>
        <v>17450502.520000003</v>
      </c>
      <c r="G40" s="90">
        <f t="shared" si="10"/>
        <v>0</v>
      </c>
      <c r="H40" s="90">
        <f t="shared" si="10"/>
        <v>0</v>
      </c>
      <c r="I40" s="90">
        <f t="shared" si="10"/>
        <v>19252712.139000002</v>
      </c>
      <c r="J40" s="90">
        <f t="shared" si="10"/>
        <v>0</v>
      </c>
      <c r="K40" s="90">
        <f t="shared" si="10"/>
        <v>21355142.687290002</v>
      </c>
      <c r="L40" s="90">
        <f t="shared" si="10"/>
        <v>24898747.881000005</v>
      </c>
      <c r="M40" s="90">
        <f t="shared" si="10"/>
        <v>27484753.311999999</v>
      </c>
      <c r="N40" s="90">
        <f t="shared" si="10"/>
        <v>29765586.952999998</v>
      </c>
      <c r="O40" s="90">
        <f t="shared" si="10"/>
        <v>31239523.601999998</v>
      </c>
      <c r="P40" s="90">
        <f t="shared" si="10"/>
        <v>33627730.666000001</v>
      </c>
      <c r="Q40" s="90">
        <f t="shared" si="10"/>
        <v>34636187.39199999</v>
      </c>
      <c r="R40" s="90">
        <f t="shared" si="10"/>
        <v>36525623.912</v>
      </c>
      <c r="S40" s="90">
        <f t="shared" si="10"/>
        <v>38327261.649999999</v>
      </c>
      <c r="T40" s="90">
        <f t="shared" si="10"/>
        <v>41930677.456999995</v>
      </c>
      <c r="U40" s="90">
        <f t="shared" si="10"/>
        <v>41124959.678000003</v>
      </c>
      <c r="V40" s="90">
        <f t="shared" si="10"/>
        <v>42520681.207000002</v>
      </c>
      <c r="W40" s="90">
        <f t="shared" si="10"/>
        <v>43886825.502999999</v>
      </c>
      <c r="X40" s="90">
        <f t="shared" si="10"/>
        <v>45029341.013000004</v>
      </c>
      <c r="Y40" s="90">
        <f t="shared" si="10"/>
        <v>46496269.225999996</v>
      </c>
      <c r="Z40" s="90">
        <f t="shared" si="10"/>
        <v>48054295.951000005</v>
      </c>
      <c r="AA40" s="90">
        <f t="shared" si="10"/>
        <v>49043922.473000005</v>
      </c>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row>
    <row r="41" spans="1:53">
      <c r="A41" s="79" t="s">
        <v>119</v>
      </c>
      <c r="B41" s="37"/>
      <c r="C41" s="37"/>
      <c r="D41" s="37"/>
      <c r="E41" s="37"/>
      <c r="F41" s="37"/>
      <c r="G41" s="37"/>
      <c r="H41" s="37"/>
      <c r="I41" s="37"/>
      <c r="J41" s="37"/>
      <c r="K41" s="37"/>
      <c r="L41" s="37"/>
      <c r="M41" s="37"/>
      <c r="N41" s="37"/>
      <c r="O41" s="37"/>
      <c r="P41" s="37"/>
      <c r="Q41" s="37"/>
      <c r="R41" s="37"/>
      <c r="S41" s="37"/>
      <c r="T41" s="23"/>
      <c r="U41" s="23"/>
      <c r="V41" s="23"/>
      <c r="W41" s="23"/>
      <c r="X41" s="23"/>
      <c r="Y41" s="2">
        <v>0</v>
      </c>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row>
    <row r="42" spans="1:53">
      <c r="A42" s="23" t="s">
        <v>93</v>
      </c>
      <c r="B42" s="36"/>
      <c r="C42" s="36"/>
      <c r="D42" s="36"/>
      <c r="E42" s="36"/>
      <c r="F42" s="77">
        <v>2159856.5240000002</v>
      </c>
      <c r="G42" s="36"/>
      <c r="H42" s="36"/>
      <c r="I42" s="37">
        <v>2477062.8969999999</v>
      </c>
      <c r="J42" s="37"/>
      <c r="K42" s="37">
        <v>2814134.8450000002</v>
      </c>
      <c r="L42" s="37">
        <v>3193065.9419999998</v>
      </c>
      <c r="M42" s="37">
        <v>3423292.861</v>
      </c>
      <c r="N42" s="37">
        <v>4227424.0599999996</v>
      </c>
      <c r="O42" s="37">
        <v>4423793.0630000001</v>
      </c>
      <c r="P42" s="37">
        <v>5507031.3310000002</v>
      </c>
      <c r="Q42" s="37">
        <v>4873822.0180000002</v>
      </c>
      <c r="R42" s="37">
        <v>5065762.9859999996</v>
      </c>
      <c r="S42" s="37">
        <v>5310170.6119999997</v>
      </c>
      <c r="T42" s="23">
        <v>5677956.9469999997</v>
      </c>
      <c r="U42" s="23">
        <v>5825362.352</v>
      </c>
      <c r="V42" s="23">
        <v>5992880.1550000003</v>
      </c>
      <c r="W42" s="23">
        <v>6147772.5520000001</v>
      </c>
      <c r="X42" s="23">
        <v>6522583.2960000001</v>
      </c>
      <c r="Y42" s="2">
        <v>7060859.7019999996</v>
      </c>
      <c r="Z42" s="2">
        <v>7242126.4649999999</v>
      </c>
      <c r="AA42" s="2">
        <v>7529920.1339999996</v>
      </c>
      <c r="AB42" s="130">
        <f>('Instruction-4YR'!B42+'RESEARCH 4yr'!B42+'PUBLIC SERVICE 4yr'!B42+'ASptISptSSv 4yr'!B42+'PLANT OPER MAIN 4yr'!B42+'SCHOLAR FELLOW 4yr'!B42+'All Other 4yr'!B42)-B42</f>
        <v>0</v>
      </c>
      <c r="AC42" s="130">
        <f>('Instruction-4YR'!C42+'RESEARCH 4yr'!C42+'PUBLIC SERVICE 4yr'!C42+'ASptISptSSv 4yr'!C42+'PLANT OPER MAIN 4yr'!C42+'SCHOLAR FELLOW 4yr'!C42+'All Other 4yr'!C42)-C42</f>
        <v>0</v>
      </c>
      <c r="AD42" s="130">
        <f>('Instruction-4YR'!D42+'RESEARCH 4yr'!D42+'PUBLIC SERVICE 4yr'!D42+'ASptISptSSv 4yr'!D42+'PLANT OPER MAIN 4yr'!D42+'SCHOLAR FELLOW 4yr'!D42+'All Other 4yr'!D42)-D42</f>
        <v>0</v>
      </c>
      <c r="AE42" s="130">
        <f>('Instruction-4YR'!E42+'RESEARCH 4yr'!E42+'PUBLIC SERVICE 4yr'!E42+'ASptISptSSv 4yr'!E42+'PLANT OPER MAIN 4yr'!E42+'SCHOLAR FELLOW 4yr'!E42+'All Other 4yr'!E42)-E42</f>
        <v>0</v>
      </c>
      <c r="AF42" s="130">
        <f>('Instruction-4YR'!F42+'RESEARCH 4yr'!F42+'PUBLIC SERVICE 4yr'!F42+'ASptISptSSv 4yr'!F42+'PLANT OPER MAIN 4yr'!F42+'SCHOLAR FELLOW 4yr'!F42+'All Other 4yr'!F42)-F42</f>
        <v>0</v>
      </c>
      <c r="AG42" s="130">
        <f>('Instruction-4YR'!G42+'RESEARCH 4yr'!G42+'PUBLIC SERVICE 4yr'!G42+'ASptISptSSv 4yr'!G42+'PLANT OPER MAIN 4yr'!G42+'SCHOLAR FELLOW 4yr'!G42+'All Other 4yr'!G42)-G42</f>
        <v>0</v>
      </c>
      <c r="AH42" s="130">
        <f>('Instruction-4YR'!H42+'RESEARCH 4yr'!H42+'PUBLIC SERVICE 4yr'!H42+'ASptISptSSv 4yr'!H42+'PLANT OPER MAIN 4yr'!H42+'SCHOLAR FELLOW 4yr'!H42+'All Other 4yr'!H42)-H42</f>
        <v>0</v>
      </c>
      <c r="AI42" s="130">
        <f>('Instruction-4YR'!I42+'RESEARCH 4yr'!I42+'PUBLIC SERVICE 4yr'!I42+'ASptISptSSv 4yr'!I42+'PLANT OPER MAIN 4yr'!I42+'SCHOLAR FELLOW 4yr'!I42+'All Other 4yr'!I42)-I42</f>
        <v>0</v>
      </c>
      <c r="AJ42" s="130">
        <f>('Instruction-4YR'!J42+'RESEARCH 4yr'!J42+'PUBLIC SERVICE 4yr'!J42+'ASptISptSSv 4yr'!J42+'PLANT OPER MAIN 4yr'!J42+'SCHOLAR FELLOW 4yr'!J42+'All Other 4yr'!J42)-J42</f>
        <v>0</v>
      </c>
      <c r="AK42" s="130">
        <f>('Instruction-4YR'!K42+'RESEARCH 4yr'!K42+'PUBLIC SERVICE 4yr'!K42+'ASptISptSSv 4yr'!K42+'PLANT OPER MAIN 4yr'!K42+'SCHOLAR FELLOW 4yr'!K42+'All Other 4yr'!K42)-K42</f>
        <v>0</v>
      </c>
      <c r="AL42" s="130">
        <f>('Instruction-4YR'!L42+'RESEARCH 4yr'!L42+'PUBLIC SERVICE 4yr'!L42+'ASptISptSSv 4yr'!L42+'PLANT OPER MAIN 4yr'!L42+'SCHOLAR FELLOW 4yr'!L42+'All Other 4yr'!L42)-L42</f>
        <v>0</v>
      </c>
      <c r="AM42" s="130">
        <f>('Instruction-4YR'!M42+'RESEARCH 4yr'!M42+'PUBLIC SERVICE 4yr'!M42+'ASptISptSSv 4yr'!M42+'PLANT OPER MAIN 4yr'!M42+'SCHOLAR FELLOW 4yr'!M42+'All Other 4yr'!M42)-M42</f>
        <v>0</v>
      </c>
      <c r="AN42" s="130">
        <f>('Instruction-4YR'!N42+'RESEARCH 4yr'!N42+'PUBLIC SERVICE 4yr'!N42+'ASptISptSSv 4yr'!N42+'PLANT OPER MAIN 4yr'!N42+'SCHOLAR FELLOW 4yr'!N42+'All Other 4yr'!N42)-N42</f>
        <v>0</v>
      </c>
      <c r="AO42" s="130">
        <f>('Instruction-4YR'!O42+'RESEARCH 4yr'!O42+'PUBLIC SERVICE 4yr'!O42+'ASptISptSSv 4yr'!O42+'PLANT OPER MAIN 4yr'!O42+'SCHOLAR FELLOW 4yr'!O42+'All Other 4yr'!O42)-O42</f>
        <v>0</v>
      </c>
      <c r="AP42" s="130">
        <f>('Instruction-4YR'!P42+'RESEARCH 4yr'!P42+'PUBLIC SERVICE 4yr'!P42+'ASptISptSSv 4yr'!P42+'PLANT OPER MAIN 4yr'!P42+'SCHOLAR FELLOW 4yr'!P42+'All Other 4yr'!P42)-P42</f>
        <v>0</v>
      </c>
      <c r="AQ42" s="130">
        <f>('Instruction-4YR'!Q42+'RESEARCH 4yr'!Q42+'PUBLIC SERVICE 4yr'!Q42+'ASptISptSSv 4yr'!Q42+'PLANT OPER MAIN 4yr'!Q42+'SCHOLAR FELLOW 4yr'!Q42+'All Other 4yr'!Q42)-Q42</f>
        <v>0</v>
      </c>
      <c r="AR42" s="130">
        <f>('Instruction-4YR'!R42+'RESEARCH 4yr'!R42+'PUBLIC SERVICE 4yr'!R42+'ASptISptSSv 4yr'!R42+'PLANT OPER MAIN 4yr'!R42+'SCHOLAR FELLOW 4yr'!R42+'All Other 4yr'!R42)-R42</f>
        <v>0</v>
      </c>
      <c r="AS42" s="130">
        <f>('Instruction-4YR'!S42+'RESEARCH 4yr'!S42+'PUBLIC SERVICE 4yr'!S42+'ASptISptSSv 4yr'!S42+'PLANT OPER MAIN 4yr'!S42+'SCHOLAR FELLOW 4yr'!S42+'All Other 4yr'!S42)-S42</f>
        <v>0</v>
      </c>
      <c r="AT42" s="130">
        <f>('Instruction-4YR'!T42+'RESEARCH 4yr'!T42+'PUBLIC SERVICE 4yr'!T42+'ASptISptSSv 4yr'!T42+'PLANT OPER MAIN 4yr'!T42+'SCHOLAR FELLOW 4yr'!T42+'All Other 4yr'!T42)-T42</f>
        <v>0</v>
      </c>
      <c r="AU42" s="130">
        <f>('Instruction-4YR'!U42+'RESEARCH 4yr'!U42+'PUBLIC SERVICE 4yr'!U42+'ASptISptSSv 4yr'!U42+'PLANT OPER MAIN 4yr'!U42+'SCHOLAR FELLOW 4yr'!U42+'All Other 4yr'!U42)-U42</f>
        <v>0</v>
      </c>
      <c r="AV42" s="130">
        <f>('Instruction-4YR'!V42+'RESEARCH 4yr'!V42+'PUBLIC SERVICE 4yr'!V42+'ASptISptSSv 4yr'!V42+'PLANT OPER MAIN 4yr'!V42+'SCHOLAR FELLOW 4yr'!V42+'All Other 4yr'!V42)-V42</f>
        <v>0</v>
      </c>
      <c r="AW42" s="130">
        <f>('Instruction-4YR'!W42+'RESEARCH 4yr'!W42+'PUBLIC SERVICE 4yr'!W42+'ASptISptSSv 4yr'!W42+'PLANT OPER MAIN 4yr'!W42+'SCHOLAR FELLOW 4yr'!W42+'All Other 4yr'!W42)-W42</f>
        <v>0</v>
      </c>
      <c r="AX42" s="130">
        <f>('Instruction-4YR'!X42+'RESEARCH 4yr'!X42+'PUBLIC SERVICE 4yr'!X42+'ASptISptSSv 4yr'!X42+'PLANT OPER MAIN 4yr'!X42+'SCHOLAR FELLOW 4yr'!X42+'All Other 4yr'!X42)-X42</f>
        <v>0</v>
      </c>
      <c r="AY42" s="130">
        <f>('Instruction-4YR'!Y42+'RESEARCH 4yr'!Y42+'PUBLIC SERVICE 4yr'!Y42+'ASptISptSSv 4yr'!Y42+'PLANT OPER MAIN 4yr'!Y42+'SCHOLAR FELLOW 4yr'!Y42+'All Other 4yr'!Y42)-Y42</f>
        <v>0</v>
      </c>
      <c r="AZ42" s="130">
        <f>('Instruction-4YR'!Z42+'RESEARCH 4yr'!Z42+'PUBLIC SERVICE 4yr'!Z42+'ASptISptSSv 4yr'!Z42+'PLANT OPER MAIN 4yr'!Z42+'SCHOLAR FELLOW 4yr'!Z42+'All Other 4yr'!Z42)-Z42</f>
        <v>0</v>
      </c>
      <c r="BA42" s="130">
        <f>('Instruction-4YR'!AA42+'RESEARCH 4yr'!AA42+'PUBLIC SERVICE 4yr'!AA42+'ASptISptSSv 4yr'!AA42+'PLANT OPER MAIN 4yr'!AA42+'SCHOLAR FELLOW 4yr'!AA42+'All Other 4yr'!AA42)-AA42</f>
        <v>0</v>
      </c>
    </row>
    <row r="43" spans="1:53">
      <c r="A43" s="23" t="s">
        <v>58</v>
      </c>
      <c r="B43" s="36"/>
      <c r="C43" s="36"/>
      <c r="D43" s="36"/>
      <c r="E43" s="36"/>
      <c r="F43" s="77">
        <v>1837442.0179999999</v>
      </c>
      <c r="G43" s="36"/>
      <c r="H43" s="36"/>
      <c r="I43" s="37">
        <v>2079903.689</v>
      </c>
      <c r="J43" s="37"/>
      <c r="K43" s="37">
        <v>2304701.0970000001</v>
      </c>
      <c r="L43" s="37">
        <v>2746209.82</v>
      </c>
      <c r="M43" s="37">
        <v>2921503.1490000002</v>
      </c>
      <c r="N43" s="37">
        <v>3184131.818</v>
      </c>
      <c r="O43" s="37">
        <v>3341288.801</v>
      </c>
      <c r="P43" s="37">
        <v>3595934.969</v>
      </c>
      <c r="Q43" s="37">
        <v>3913220.4939999999</v>
      </c>
      <c r="R43" s="37">
        <v>4061014.977</v>
      </c>
      <c r="S43" s="37">
        <v>4234720.716</v>
      </c>
      <c r="T43" s="23">
        <v>4545858.3459999999</v>
      </c>
      <c r="U43" s="23">
        <v>4700043.6129999999</v>
      </c>
      <c r="V43" s="23">
        <v>4740321.6619999995</v>
      </c>
      <c r="W43" s="23">
        <v>4935417.9220000003</v>
      </c>
      <c r="X43" s="23">
        <v>5084753.17</v>
      </c>
      <c r="Y43" s="2">
        <v>5113212.1440000003</v>
      </c>
      <c r="Z43" s="2">
        <v>5320098.1380000003</v>
      </c>
      <c r="AA43" s="2">
        <v>5299562.1560000004</v>
      </c>
      <c r="AB43" s="130">
        <f>('Instruction-4YR'!B43+'RESEARCH 4yr'!B43+'PUBLIC SERVICE 4yr'!B43+'ASptISptSSv 4yr'!B43+'PLANT OPER MAIN 4yr'!B43+'SCHOLAR FELLOW 4yr'!B43+'All Other 4yr'!B43)-B43</f>
        <v>0</v>
      </c>
      <c r="AC43" s="130">
        <f>('Instruction-4YR'!C43+'RESEARCH 4yr'!C43+'PUBLIC SERVICE 4yr'!C43+'ASptISptSSv 4yr'!C43+'PLANT OPER MAIN 4yr'!C43+'SCHOLAR FELLOW 4yr'!C43+'All Other 4yr'!C43)-C43</f>
        <v>0</v>
      </c>
      <c r="AD43" s="130">
        <f>('Instruction-4YR'!D43+'RESEARCH 4yr'!D43+'PUBLIC SERVICE 4yr'!D43+'ASptISptSSv 4yr'!D43+'PLANT OPER MAIN 4yr'!D43+'SCHOLAR FELLOW 4yr'!D43+'All Other 4yr'!D43)-D43</f>
        <v>0</v>
      </c>
      <c r="AE43" s="130">
        <f>('Instruction-4YR'!E43+'RESEARCH 4yr'!E43+'PUBLIC SERVICE 4yr'!E43+'ASptISptSSv 4yr'!E43+'PLANT OPER MAIN 4yr'!E43+'SCHOLAR FELLOW 4yr'!E43+'All Other 4yr'!E43)-E43</f>
        <v>0</v>
      </c>
      <c r="AF43" s="130">
        <f>('Instruction-4YR'!F43+'RESEARCH 4yr'!F43+'PUBLIC SERVICE 4yr'!F43+'ASptISptSSv 4yr'!F43+'PLANT OPER MAIN 4yr'!F43+'SCHOLAR FELLOW 4yr'!F43+'All Other 4yr'!F43)-F43</f>
        <v>0</v>
      </c>
      <c r="AG43" s="130">
        <f>('Instruction-4YR'!G43+'RESEARCH 4yr'!G43+'PUBLIC SERVICE 4yr'!G43+'ASptISptSSv 4yr'!G43+'PLANT OPER MAIN 4yr'!G43+'SCHOLAR FELLOW 4yr'!G43+'All Other 4yr'!G43)-G43</f>
        <v>0</v>
      </c>
      <c r="AH43" s="130">
        <f>('Instruction-4YR'!H43+'RESEARCH 4yr'!H43+'PUBLIC SERVICE 4yr'!H43+'ASptISptSSv 4yr'!H43+'PLANT OPER MAIN 4yr'!H43+'SCHOLAR FELLOW 4yr'!H43+'All Other 4yr'!H43)-H43</f>
        <v>0</v>
      </c>
      <c r="AI43" s="130">
        <f>('Instruction-4YR'!I43+'RESEARCH 4yr'!I43+'PUBLIC SERVICE 4yr'!I43+'ASptISptSSv 4yr'!I43+'PLANT OPER MAIN 4yr'!I43+'SCHOLAR FELLOW 4yr'!I43+'All Other 4yr'!I43)-I43</f>
        <v>0</v>
      </c>
      <c r="AJ43" s="130">
        <f>('Instruction-4YR'!J43+'RESEARCH 4yr'!J43+'PUBLIC SERVICE 4yr'!J43+'ASptISptSSv 4yr'!J43+'PLANT OPER MAIN 4yr'!J43+'SCHOLAR FELLOW 4yr'!J43+'All Other 4yr'!J43)-J43</f>
        <v>0</v>
      </c>
      <c r="AK43" s="130">
        <f>('Instruction-4YR'!K43+'RESEARCH 4yr'!K43+'PUBLIC SERVICE 4yr'!K43+'ASptISptSSv 4yr'!K43+'PLANT OPER MAIN 4yr'!K43+'SCHOLAR FELLOW 4yr'!K43+'All Other 4yr'!K43)-K43</f>
        <v>0</v>
      </c>
      <c r="AL43" s="130">
        <f>('Instruction-4YR'!L43+'RESEARCH 4yr'!L43+'PUBLIC SERVICE 4yr'!L43+'ASptISptSSv 4yr'!L43+'PLANT OPER MAIN 4yr'!L43+'SCHOLAR FELLOW 4yr'!L43+'All Other 4yr'!L43)-L43</f>
        <v>0</v>
      </c>
      <c r="AM43" s="130">
        <f>('Instruction-4YR'!M43+'RESEARCH 4yr'!M43+'PUBLIC SERVICE 4yr'!M43+'ASptISptSSv 4yr'!M43+'PLANT OPER MAIN 4yr'!M43+'SCHOLAR FELLOW 4yr'!M43+'All Other 4yr'!M43)-M43</f>
        <v>0</v>
      </c>
      <c r="AN43" s="130">
        <f>('Instruction-4YR'!N43+'RESEARCH 4yr'!N43+'PUBLIC SERVICE 4yr'!N43+'ASptISptSSv 4yr'!N43+'PLANT OPER MAIN 4yr'!N43+'SCHOLAR FELLOW 4yr'!N43+'All Other 4yr'!N43)-N43</f>
        <v>0</v>
      </c>
      <c r="AO43" s="130">
        <f>('Instruction-4YR'!O43+'RESEARCH 4yr'!O43+'PUBLIC SERVICE 4yr'!O43+'ASptISptSSv 4yr'!O43+'PLANT OPER MAIN 4yr'!O43+'SCHOLAR FELLOW 4yr'!O43+'All Other 4yr'!O43)-O43</f>
        <v>0</v>
      </c>
      <c r="AP43" s="130">
        <f>('Instruction-4YR'!P43+'RESEARCH 4yr'!P43+'PUBLIC SERVICE 4yr'!P43+'ASptISptSSv 4yr'!P43+'PLANT OPER MAIN 4yr'!P43+'SCHOLAR FELLOW 4yr'!P43+'All Other 4yr'!P43)-P43</f>
        <v>0</v>
      </c>
      <c r="AQ43" s="130">
        <f>('Instruction-4YR'!Q43+'RESEARCH 4yr'!Q43+'PUBLIC SERVICE 4yr'!Q43+'ASptISptSSv 4yr'!Q43+'PLANT OPER MAIN 4yr'!Q43+'SCHOLAR FELLOW 4yr'!Q43+'All Other 4yr'!Q43)-Q43</f>
        <v>0</v>
      </c>
      <c r="AR43" s="130">
        <f>('Instruction-4YR'!R43+'RESEARCH 4yr'!R43+'PUBLIC SERVICE 4yr'!R43+'ASptISptSSv 4yr'!R43+'PLANT OPER MAIN 4yr'!R43+'SCHOLAR FELLOW 4yr'!R43+'All Other 4yr'!R43)-R43</f>
        <v>0</v>
      </c>
      <c r="AS43" s="130">
        <f>('Instruction-4YR'!S43+'RESEARCH 4yr'!S43+'PUBLIC SERVICE 4yr'!S43+'ASptISptSSv 4yr'!S43+'PLANT OPER MAIN 4yr'!S43+'SCHOLAR FELLOW 4yr'!S43+'All Other 4yr'!S43)-S43</f>
        <v>0</v>
      </c>
      <c r="AT43" s="130">
        <f>('Instruction-4YR'!T43+'RESEARCH 4yr'!T43+'PUBLIC SERVICE 4yr'!T43+'ASptISptSSv 4yr'!T43+'PLANT OPER MAIN 4yr'!T43+'SCHOLAR FELLOW 4yr'!T43+'All Other 4yr'!T43)-T43</f>
        <v>0</v>
      </c>
      <c r="AU43" s="130">
        <f>('Instruction-4YR'!U43+'RESEARCH 4yr'!U43+'PUBLIC SERVICE 4yr'!U43+'ASptISptSSv 4yr'!U43+'PLANT OPER MAIN 4yr'!U43+'SCHOLAR FELLOW 4yr'!U43+'All Other 4yr'!U43)-U43</f>
        <v>0</v>
      </c>
      <c r="AV43" s="130">
        <f>('Instruction-4YR'!V43+'RESEARCH 4yr'!V43+'PUBLIC SERVICE 4yr'!V43+'ASptISptSSv 4yr'!V43+'PLANT OPER MAIN 4yr'!V43+'SCHOLAR FELLOW 4yr'!V43+'All Other 4yr'!V43)-V43</f>
        <v>0</v>
      </c>
      <c r="AW43" s="130">
        <f>('Instruction-4YR'!W43+'RESEARCH 4yr'!W43+'PUBLIC SERVICE 4yr'!W43+'ASptISptSSv 4yr'!W43+'PLANT OPER MAIN 4yr'!W43+'SCHOLAR FELLOW 4yr'!W43+'All Other 4yr'!W43)-W43</f>
        <v>0</v>
      </c>
      <c r="AX43" s="130">
        <f>('Instruction-4YR'!X43+'RESEARCH 4yr'!X43+'PUBLIC SERVICE 4yr'!X43+'ASptISptSSv 4yr'!X43+'PLANT OPER MAIN 4yr'!X43+'SCHOLAR FELLOW 4yr'!X43+'All Other 4yr'!X43)-X43</f>
        <v>0</v>
      </c>
      <c r="AY43" s="130">
        <f>('Instruction-4YR'!Y43+'RESEARCH 4yr'!Y43+'PUBLIC SERVICE 4yr'!Y43+'ASptISptSSv 4yr'!Y43+'PLANT OPER MAIN 4yr'!Y43+'SCHOLAR FELLOW 4yr'!Y43+'All Other 4yr'!Y43)-Y43</f>
        <v>0</v>
      </c>
      <c r="AZ43" s="130">
        <f>('Instruction-4YR'!Z43+'RESEARCH 4yr'!Z43+'PUBLIC SERVICE 4yr'!Z43+'ASptISptSSv 4yr'!Z43+'PLANT OPER MAIN 4yr'!Z43+'SCHOLAR FELLOW 4yr'!Z43+'All Other 4yr'!Z43)-Z43</f>
        <v>0</v>
      </c>
      <c r="BA43" s="130">
        <f>('Instruction-4YR'!AA43+'RESEARCH 4yr'!AA43+'PUBLIC SERVICE 4yr'!AA43+'ASptISptSSv 4yr'!AA43+'PLANT OPER MAIN 4yr'!AA43+'SCHOLAR FELLOW 4yr'!AA43+'All Other 4yr'!AA43)-AA43</f>
        <v>0</v>
      </c>
    </row>
    <row r="44" spans="1:53">
      <c r="A44" s="23" t="s">
        <v>94</v>
      </c>
      <c r="B44" s="36"/>
      <c r="C44" s="36"/>
      <c r="D44" s="36"/>
      <c r="E44" s="36"/>
      <c r="F44" s="77">
        <v>946172.96</v>
      </c>
      <c r="G44" s="36"/>
      <c r="H44" s="36"/>
      <c r="I44" s="37">
        <v>1149389.013</v>
      </c>
      <c r="J44" s="37"/>
      <c r="K44" s="37">
        <v>1254430.611</v>
      </c>
      <c r="L44" s="37">
        <v>1463689.2039999999</v>
      </c>
      <c r="M44" s="37">
        <v>1570290.828</v>
      </c>
      <c r="N44" s="37">
        <v>1713758.459</v>
      </c>
      <c r="O44" s="37">
        <v>1675450.8540000001</v>
      </c>
      <c r="P44" s="37">
        <v>1833926.564</v>
      </c>
      <c r="Q44" s="37">
        <v>1851565.48</v>
      </c>
      <c r="R44" s="37">
        <v>2038857.25</v>
      </c>
      <c r="S44" s="37">
        <v>2045673.023</v>
      </c>
      <c r="T44" s="23">
        <v>2162032.0630000001</v>
      </c>
      <c r="U44" s="23">
        <v>2307804.7420000001</v>
      </c>
      <c r="V44" s="23">
        <v>2281764.7230000002</v>
      </c>
      <c r="W44" s="23">
        <v>2335184.0389999999</v>
      </c>
      <c r="X44" s="23">
        <v>2318412.9539999999</v>
      </c>
      <c r="Y44" s="2">
        <v>2448389.5079999999</v>
      </c>
      <c r="Z44" s="2">
        <v>2543379.7790000001</v>
      </c>
      <c r="AA44" s="2">
        <v>2648438.5460000001</v>
      </c>
      <c r="AB44" s="130">
        <f>('Instruction-4YR'!B44+'RESEARCH 4yr'!B44+'PUBLIC SERVICE 4yr'!B44+'ASptISptSSv 4yr'!B44+'PLANT OPER MAIN 4yr'!B44+'SCHOLAR FELLOW 4yr'!B44+'All Other 4yr'!B44)-B44</f>
        <v>0</v>
      </c>
      <c r="AC44" s="130">
        <f>('Instruction-4YR'!C44+'RESEARCH 4yr'!C44+'PUBLIC SERVICE 4yr'!C44+'ASptISptSSv 4yr'!C44+'PLANT OPER MAIN 4yr'!C44+'SCHOLAR FELLOW 4yr'!C44+'All Other 4yr'!C44)-C44</f>
        <v>0</v>
      </c>
      <c r="AD44" s="130">
        <f>('Instruction-4YR'!D44+'RESEARCH 4yr'!D44+'PUBLIC SERVICE 4yr'!D44+'ASptISptSSv 4yr'!D44+'PLANT OPER MAIN 4yr'!D44+'SCHOLAR FELLOW 4yr'!D44+'All Other 4yr'!D44)-D44</f>
        <v>0</v>
      </c>
      <c r="AE44" s="130">
        <f>('Instruction-4YR'!E44+'RESEARCH 4yr'!E44+'PUBLIC SERVICE 4yr'!E44+'ASptISptSSv 4yr'!E44+'PLANT OPER MAIN 4yr'!E44+'SCHOLAR FELLOW 4yr'!E44+'All Other 4yr'!E44)-E44</f>
        <v>0</v>
      </c>
      <c r="AF44" s="130">
        <f>('Instruction-4YR'!F44+'RESEARCH 4yr'!F44+'PUBLIC SERVICE 4yr'!F44+'ASptISptSSv 4yr'!F44+'PLANT OPER MAIN 4yr'!F44+'SCHOLAR FELLOW 4yr'!F44+'All Other 4yr'!F44)-F44</f>
        <v>0</v>
      </c>
      <c r="AG44" s="130">
        <f>('Instruction-4YR'!G44+'RESEARCH 4yr'!G44+'PUBLIC SERVICE 4yr'!G44+'ASptISptSSv 4yr'!G44+'PLANT OPER MAIN 4yr'!G44+'SCHOLAR FELLOW 4yr'!G44+'All Other 4yr'!G44)-G44</f>
        <v>0</v>
      </c>
      <c r="AH44" s="130">
        <f>('Instruction-4YR'!H44+'RESEARCH 4yr'!H44+'PUBLIC SERVICE 4yr'!H44+'ASptISptSSv 4yr'!H44+'PLANT OPER MAIN 4yr'!H44+'SCHOLAR FELLOW 4yr'!H44+'All Other 4yr'!H44)-H44</f>
        <v>0</v>
      </c>
      <c r="AI44" s="130">
        <f>('Instruction-4YR'!I44+'RESEARCH 4yr'!I44+'PUBLIC SERVICE 4yr'!I44+'ASptISptSSv 4yr'!I44+'PLANT OPER MAIN 4yr'!I44+'SCHOLAR FELLOW 4yr'!I44+'All Other 4yr'!I44)-I44</f>
        <v>0</v>
      </c>
      <c r="AJ44" s="130">
        <f>('Instruction-4YR'!J44+'RESEARCH 4yr'!J44+'PUBLIC SERVICE 4yr'!J44+'ASptISptSSv 4yr'!J44+'PLANT OPER MAIN 4yr'!J44+'SCHOLAR FELLOW 4yr'!J44+'All Other 4yr'!J44)-J44</f>
        <v>0</v>
      </c>
      <c r="AK44" s="130">
        <f>('Instruction-4YR'!K44+'RESEARCH 4yr'!K44+'PUBLIC SERVICE 4yr'!K44+'ASptISptSSv 4yr'!K44+'PLANT OPER MAIN 4yr'!K44+'SCHOLAR FELLOW 4yr'!K44+'All Other 4yr'!K44)-K44</f>
        <v>0</v>
      </c>
      <c r="AL44" s="130">
        <f>('Instruction-4YR'!L44+'RESEARCH 4yr'!L44+'PUBLIC SERVICE 4yr'!L44+'ASptISptSSv 4yr'!L44+'PLANT OPER MAIN 4yr'!L44+'SCHOLAR FELLOW 4yr'!L44+'All Other 4yr'!L44)-L44</f>
        <v>0</v>
      </c>
      <c r="AM44" s="130">
        <f>('Instruction-4YR'!M44+'RESEARCH 4yr'!M44+'PUBLIC SERVICE 4yr'!M44+'ASptISptSSv 4yr'!M44+'PLANT OPER MAIN 4yr'!M44+'SCHOLAR FELLOW 4yr'!M44+'All Other 4yr'!M44)-M44</f>
        <v>0</v>
      </c>
      <c r="AN44" s="130">
        <f>('Instruction-4YR'!N44+'RESEARCH 4yr'!N44+'PUBLIC SERVICE 4yr'!N44+'ASptISptSSv 4yr'!N44+'PLANT OPER MAIN 4yr'!N44+'SCHOLAR FELLOW 4yr'!N44+'All Other 4yr'!N44)-N44</f>
        <v>0</v>
      </c>
      <c r="AO44" s="130">
        <f>('Instruction-4YR'!O44+'RESEARCH 4yr'!O44+'PUBLIC SERVICE 4yr'!O44+'ASptISptSSv 4yr'!O44+'PLANT OPER MAIN 4yr'!O44+'SCHOLAR FELLOW 4yr'!O44+'All Other 4yr'!O44)-O44</f>
        <v>0</v>
      </c>
      <c r="AP44" s="130">
        <f>('Instruction-4YR'!P44+'RESEARCH 4yr'!P44+'PUBLIC SERVICE 4yr'!P44+'ASptISptSSv 4yr'!P44+'PLANT OPER MAIN 4yr'!P44+'SCHOLAR FELLOW 4yr'!P44+'All Other 4yr'!P44)-P44</f>
        <v>0</v>
      </c>
      <c r="AQ44" s="130">
        <f>('Instruction-4YR'!Q44+'RESEARCH 4yr'!Q44+'PUBLIC SERVICE 4yr'!Q44+'ASptISptSSv 4yr'!Q44+'PLANT OPER MAIN 4yr'!Q44+'SCHOLAR FELLOW 4yr'!Q44+'All Other 4yr'!Q44)-Q44</f>
        <v>0</v>
      </c>
      <c r="AR44" s="130">
        <f>('Instruction-4YR'!R44+'RESEARCH 4yr'!R44+'PUBLIC SERVICE 4yr'!R44+'ASptISptSSv 4yr'!R44+'PLANT OPER MAIN 4yr'!R44+'SCHOLAR FELLOW 4yr'!R44+'All Other 4yr'!R44)-R44</f>
        <v>0</v>
      </c>
      <c r="AS44" s="130">
        <f>('Instruction-4YR'!S44+'RESEARCH 4yr'!S44+'PUBLIC SERVICE 4yr'!S44+'ASptISptSSv 4yr'!S44+'PLANT OPER MAIN 4yr'!S44+'SCHOLAR FELLOW 4yr'!S44+'All Other 4yr'!S44)-S44</f>
        <v>0</v>
      </c>
      <c r="AT44" s="130">
        <f>('Instruction-4YR'!T44+'RESEARCH 4yr'!T44+'PUBLIC SERVICE 4yr'!T44+'ASptISptSSv 4yr'!T44+'PLANT OPER MAIN 4yr'!T44+'SCHOLAR FELLOW 4yr'!T44+'All Other 4yr'!T44)-T44</f>
        <v>0</v>
      </c>
      <c r="AU44" s="130">
        <f>('Instruction-4YR'!U44+'RESEARCH 4yr'!U44+'PUBLIC SERVICE 4yr'!U44+'ASptISptSSv 4yr'!U44+'PLANT OPER MAIN 4yr'!U44+'SCHOLAR FELLOW 4yr'!U44+'All Other 4yr'!U44)-U44</f>
        <v>0</v>
      </c>
      <c r="AV44" s="130">
        <f>('Instruction-4YR'!V44+'RESEARCH 4yr'!V44+'PUBLIC SERVICE 4yr'!V44+'ASptISptSSv 4yr'!V44+'PLANT OPER MAIN 4yr'!V44+'SCHOLAR FELLOW 4yr'!V44+'All Other 4yr'!V44)-V44</f>
        <v>0</v>
      </c>
      <c r="AW44" s="130">
        <f>('Instruction-4YR'!W44+'RESEARCH 4yr'!W44+'PUBLIC SERVICE 4yr'!W44+'ASptISptSSv 4yr'!W44+'PLANT OPER MAIN 4yr'!W44+'SCHOLAR FELLOW 4yr'!W44+'All Other 4yr'!W44)-W44</f>
        <v>0</v>
      </c>
      <c r="AX44" s="130">
        <f>('Instruction-4YR'!X44+'RESEARCH 4yr'!X44+'PUBLIC SERVICE 4yr'!X44+'ASptISptSSv 4yr'!X44+'PLANT OPER MAIN 4yr'!X44+'SCHOLAR FELLOW 4yr'!X44+'All Other 4yr'!X44)-X44</f>
        <v>0</v>
      </c>
      <c r="AY44" s="130">
        <f>('Instruction-4YR'!Y44+'RESEARCH 4yr'!Y44+'PUBLIC SERVICE 4yr'!Y44+'ASptISptSSv 4yr'!Y44+'PLANT OPER MAIN 4yr'!Y44+'SCHOLAR FELLOW 4yr'!Y44+'All Other 4yr'!Y44)-Y44</f>
        <v>0</v>
      </c>
      <c r="AZ44" s="130">
        <f>('Instruction-4YR'!Z44+'RESEARCH 4yr'!Z44+'PUBLIC SERVICE 4yr'!Z44+'ASptISptSSv 4yr'!Z44+'PLANT OPER MAIN 4yr'!Z44+'SCHOLAR FELLOW 4yr'!Z44+'All Other 4yr'!Z44)-Z44</f>
        <v>0</v>
      </c>
      <c r="BA44" s="130">
        <f>('Instruction-4YR'!AA44+'RESEARCH 4yr'!AA44+'PUBLIC SERVICE 4yr'!AA44+'ASptISptSSv 4yr'!AA44+'PLANT OPER MAIN 4yr'!AA44+'SCHOLAR FELLOW 4yr'!AA44+'All Other 4yr'!AA44)-AA44</f>
        <v>0</v>
      </c>
    </row>
    <row r="45" spans="1:53">
      <c r="A45" s="23" t="s">
        <v>95</v>
      </c>
      <c r="B45" s="36"/>
      <c r="C45" s="36"/>
      <c r="D45" s="36"/>
      <c r="E45" s="36"/>
      <c r="F45" s="77">
        <v>832855.54</v>
      </c>
      <c r="G45" s="36"/>
      <c r="H45" s="36"/>
      <c r="I45" s="37">
        <v>979591.223</v>
      </c>
      <c r="J45" s="37"/>
      <c r="K45" s="37">
        <v>1046085.1754000001</v>
      </c>
      <c r="L45" s="37">
        <v>1286750.0349999999</v>
      </c>
      <c r="M45" s="37">
        <v>1349689.8019999999</v>
      </c>
      <c r="N45" s="37">
        <v>1439247.1059999999</v>
      </c>
      <c r="O45" s="37">
        <v>1573943.3729999999</v>
      </c>
      <c r="P45" s="37">
        <v>1710057.8319999999</v>
      </c>
      <c r="Q45" s="37">
        <v>1815778.172</v>
      </c>
      <c r="R45" s="37">
        <v>1903241.9709999999</v>
      </c>
      <c r="S45" s="37">
        <v>1952888.1070000001</v>
      </c>
      <c r="T45" s="23">
        <v>1947133.8959999999</v>
      </c>
      <c r="U45" s="23">
        <v>2065011.183</v>
      </c>
      <c r="V45" s="23">
        <v>2093029.7849999999</v>
      </c>
      <c r="W45" s="23">
        <v>2192812.088</v>
      </c>
      <c r="X45" s="23">
        <v>2330766.105</v>
      </c>
      <c r="Y45" s="2">
        <v>2374205.7889999999</v>
      </c>
      <c r="Z45" s="2">
        <v>2441162.6460000002</v>
      </c>
      <c r="AA45" s="2">
        <v>2505333.807</v>
      </c>
      <c r="AB45" s="130">
        <f>('Instruction-4YR'!B45+'RESEARCH 4yr'!B45+'PUBLIC SERVICE 4yr'!B45+'ASptISptSSv 4yr'!B45+'PLANT OPER MAIN 4yr'!B45+'SCHOLAR FELLOW 4yr'!B45+'All Other 4yr'!B45)-B45</f>
        <v>0</v>
      </c>
      <c r="AC45" s="130">
        <f>('Instruction-4YR'!C45+'RESEARCH 4yr'!C45+'PUBLIC SERVICE 4yr'!C45+'ASptISptSSv 4yr'!C45+'PLANT OPER MAIN 4yr'!C45+'SCHOLAR FELLOW 4yr'!C45+'All Other 4yr'!C45)-C45</f>
        <v>0</v>
      </c>
      <c r="AD45" s="130">
        <f>('Instruction-4YR'!D45+'RESEARCH 4yr'!D45+'PUBLIC SERVICE 4yr'!D45+'ASptISptSSv 4yr'!D45+'PLANT OPER MAIN 4yr'!D45+'SCHOLAR FELLOW 4yr'!D45+'All Other 4yr'!D45)-D45</f>
        <v>0</v>
      </c>
      <c r="AE45" s="130">
        <f>('Instruction-4YR'!E45+'RESEARCH 4yr'!E45+'PUBLIC SERVICE 4yr'!E45+'ASptISptSSv 4yr'!E45+'PLANT OPER MAIN 4yr'!E45+'SCHOLAR FELLOW 4yr'!E45+'All Other 4yr'!E45)-E45</f>
        <v>0</v>
      </c>
      <c r="AF45" s="130">
        <f>('Instruction-4YR'!F45+'RESEARCH 4yr'!F45+'PUBLIC SERVICE 4yr'!F45+'ASptISptSSv 4yr'!F45+'PLANT OPER MAIN 4yr'!F45+'SCHOLAR FELLOW 4yr'!F45+'All Other 4yr'!F45)-F45</f>
        <v>0</v>
      </c>
      <c r="AG45" s="130">
        <f>('Instruction-4YR'!G45+'RESEARCH 4yr'!G45+'PUBLIC SERVICE 4yr'!G45+'ASptISptSSv 4yr'!G45+'PLANT OPER MAIN 4yr'!G45+'SCHOLAR FELLOW 4yr'!G45+'All Other 4yr'!G45)-G45</f>
        <v>0</v>
      </c>
      <c r="AH45" s="130">
        <f>('Instruction-4YR'!H45+'RESEARCH 4yr'!H45+'PUBLIC SERVICE 4yr'!H45+'ASptISptSSv 4yr'!H45+'PLANT OPER MAIN 4yr'!H45+'SCHOLAR FELLOW 4yr'!H45+'All Other 4yr'!H45)-H45</f>
        <v>0</v>
      </c>
      <c r="AI45" s="130">
        <f>('Instruction-4YR'!I45+'RESEARCH 4yr'!I45+'PUBLIC SERVICE 4yr'!I45+'ASptISptSSv 4yr'!I45+'PLANT OPER MAIN 4yr'!I45+'SCHOLAR FELLOW 4yr'!I45+'All Other 4yr'!I45)-I45</f>
        <v>0</v>
      </c>
      <c r="AJ45" s="130">
        <f>('Instruction-4YR'!J45+'RESEARCH 4yr'!J45+'PUBLIC SERVICE 4yr'!J45+'ASptISptSSv 4yr'!J45+'PLANT OPER MAIN 4yr'!J45+'SCHOLAR FELLOW 4yr'!J45+'All Other 4yr'!J45)-J45</f>
        <v>0</v>
      </c>
      <c r="AK45" s="130">
        <f>('Instruction-4YR'!K45+'RESEARCH 4yr'!K45+'PUBLIC SERVICE 4yr'!K45+'ASptISptSSv 4yr'!K45+'PLANT OPER MAIN 4yr'!K45+'SCHOLAR FELLOW 4yr'!K45+'All Other 4yr'!K45)-K45</f>
        <v>0</v>
      </c>
      <c r="AL45" s="130">
        <f>('Instruction-4YR'!L45+'RESEARCH 4yr'!L45+'PUBLIC SERVICE 4yr'!L45+'ASptISptSSv 4yr'!L45+'PLANT OPER MAIN 4yr'!L45+'SCHOLAR FELLOW 4yr'!L45+'All Other 4yr'!L45)-L45</f>
        <v>0</v>
      </c>
      <c r="AM45" s="130">
        <f>('Instruction-4YR'!M45+'RESEARCH 4yr'!M45+'PUBLIC SERVICE 4yr'!M45+'ASptISptSSv 4yr'!M45+'PLANT OPER MAIN 4yr'!M45+'SCHOLAR FELLOW 4yr'!M45+'All Other 4yr'!M45)-M45</f>
        <v>0</v>
      </c>
      <c r="AN45" s="130">
        <f>('Instruction-4YR'!N45+'RESEARCH 4yr'!N45+'PUBLIC SERVICE 4yr'!N45+'ASptISptSSv 4yr'!N45+'PLANT OPER MAIN 4yr'!N45+'SCHOLAR FELLOW 4yr'!N45+'All Other 4yr'!N45)-N45</f>
        <v>0</v>
      </c>
      <c r="AO45" s="130">
        <f>('Instruction-4YR'!O45+'RESEARCH 4yr'!O45+'PUBLIC SERVICE 4yr'!O45+'ASptISptSSv 4yr'!O45+'PLANT OPER MAIN 4yr'!O45+'SCHOLAR FELLOW 4yr'!O45+'All Other 4yr'!O45)-O45</f>
        <v>0</v>
      </c>
      <c r="AP45" s="130">
        <f>('Instruction-4YR'!P45+'RESEARCH 4yr'!P45+'PUBLIC SERVICE 4yr'!P45+'ASptISptSSv 4yr'!P45+'PLANT OPER MAIN 4yr'!P45+'SCHOLAR FELLOW 4yr'!P45+'All Other 4yr'!P45)-P45</f>
        <v>0</v>
      </c>
      <c r="AQ45" s="130">
        <f>('Instruction-4YR'!Q45+'RESEARCH 4yr'!Q45+'PUBLIC SERVICE 4yr'!Q45+'ASptISptSSv 4yr'!Q45+'PLANT OPER MAIN 4yr'!Q45+'SCHOLAR FELLOW 4yr'!Q45+'All Other 4yr'!Q45)-Q45</f>
        <v>0</v>
      </c>
      <c r="AR45" s="130">
        <f>('Instruction-4YR'!R45+'RESEARCH 4yr'!R45+'PUBLIC SERVICE 4yr'!R45+'ASptISptSSv 4yr'!R45+'PLANT OPER MAIN 4yr'!R45+'SCHOLAR FELLOW 4yr'!R45+'All Other 4yr'!R45)-R45</f>
        <v>0</v>
      </c>
      <c r="AS45" s="130">
        <f>('Instruction-4YR'!S45+'RESEARCH 4yr'!S45+'PUBLIC SERVICE 4yr'!S45+'ASptISptSSv 4yr'!S45+'PLANT OPER MAIN 4yr'!S45+'SCHOLAR FELLOW 4yr'!S45+'All Other 4yr'!S45)-S45</f>
        <v>0</v>
      </c>
      <c r="AT45" s="130">
        <f>('Instruction-4YR'!T45+'RESEARCH 4yr'!T45+'PUBLIC SERVICE 4yr'!T45+'ASptISptSSv 4yr'!T45+'PLANT OPER MAIN 4yr'!T45+'SCHOLAR FELLOW 4yr'!T45+'All Other 4yr'!T45)-T45</f>
        <v>0</v>
      </c>
      <c r="AU45" s="130">
        <f>('Instruction-4YR'!U45+'RESEARCH 4yr'!U45+'PUBLIC SERVICE 4yr'!U45+'ASptISptSSv 4yr'!U45+'PLANT OPER MAIN 4yr'!U45+'SCHOLAR FELLOW 4yr'!U45+'All Other 4yr'!U45)-U45</f>
        <v>0</v>
      </c>
      <c r="AV45" s="130">
        <f>('Instruction-4YR'!V45+'RESEARCH 4yr'!V45+'PUBLIC SERVICE 4yr'!V45+'ASptISptSSv 4yr'!V45+'PLANT OPER MAIN 4yr'!V45+'SCHOLAR FELLOW 4yr'!V45+'All Other 4yr'!V45)-V45</f>
        <v>0</v>
      </c>
      <c r="AW45" s="130">
        <f>('Instruction-4YR'!W45+'RESEARCH 4yr'!W45+'PUBLIC SERVICE 4yr'!W45+'ASptISptSSv 4yr'!W45+'PLANT OPER MAIN 4yr'!W45+'SCHOLAR FELLOW 4yr'!W45+'All Other 4yr'!W45)-W45</f>
        <v>0</v>
      </c>
      <c r="AX45" s="130">
        <f>('Instruction-4YR'!X45+'RESEARCH 4yr'!X45+'PUBLIC SERVICE 4yr'!X45+'ASptISptSSv 4yr'!X45+'PLANT OPER MAIN 4yr'!X45+'SCHOLAR FELLOW 4yr'!X45+'All Other 4yr'!X45)-X45</f>
        <v>0</v>
      </c>
      <c r="AY45" s="130">
        <f>('Instruction-4YR'!Y45+'RESEARCH 4yr'!Y45+'PUBLIC SERVICE 4yr'!Y45+'ASptISptSSv 4yr'!Y45+'PLANT OPER MAIN 4yr'!Y45+'SCHOLAR FELLOW 4yr'!Y45+'All Other 4yr'!Y45)-Y45</f>
        <v>0</v>
      </c>
      <c r="AZ45" s="130">
        <f>('Instruction-4YR'!Z45+'RESEARCH 4yr'!Z45+'PUBLIC SERVICE 4yr'!Z45+'ASptISptSSv 4yr'!Z45+'PLANT OPER MAIN 4yr'!Z45+'SCHOLAR FELLOW 4yr'!Z45+'All Other 4yr'!Z45)-Z45</f>
        <v>0</v>
      </c>
      <c r="BA45" s="130">
        <f>('Instruction-4YR'!AA45+'RESEARCH 4yr'!AA45+'PUBLIC SERVICE 4yr'!AA45+'ASptISptSSv 4yr'!AA45+'PLANT OPER MAIN 4yr'!AA45+'SCHOLAR FELLOW 4yr'!AA45+'All Other 4yr'!AA45)-AA45</f>
        <v>0</v>
      </c>
    </row>
    <row r="46" spans="1:53">
      <c r="A46" s="23" t="s">
        <v>98</v>
      </c>
      <c r="B46" s="36"/>
      <c r="C46" s="36"/>
      <c r="D46" s="36"/>
      <c r="E46" s="37"/>
      <c r="F46" s="77">
        <v>3074031.9049999998</v>
      </c>
      <c r="G46" s="36"/>
      <c r="H46" s="36"/>
      <c r="I46" s="37">
        <v>3466417.199</v>
      </c>
      <c r="J46" s="37"/>
      <c r="K46" s="37">
        <v>3933087.9780000001</v>
      </c>
      <c r="L46" s="37">
        <v>4622151.1830000002</v>
      </c>
      <c r="M46" s="37">
        <v>5239066.5140000004</v>
      </c>
      <c r="N46" s="37">
        <v>5601317.807</v>
      </c>
      <c r="O46" s="37">
        <v>5913497.6979999999</v>
      </c>
      <c r="P46" s="37">
        <v>6024773.7879999997</v>
      </c>
      <c r="Q46" s="37">
        <v>6230916.0810000002</v>
      </c>
      <c r="R46" s="37">
        <v>6562079.1560000004</v>
      </c>
      <c r="S46" s="37">
        <v>6882191.7139999997</v>
      </c>
      <c r="T46" s="23">
        <v>8521062.7620000001</v>
      </c>
      <c r="U46" s="23">
        <v>7475954.2209999999</v>
      </c>
      <c r="V46" s="23">
        <v>7817620.1330000004</v>
      </c>
      <c r="W46" s="23">
        <v>8090990.9979999997</v>
      </c>
      <c r="X46" s="23">
        <v>8352085.4249999998</v>
      </c>
      <c r="Y46" s="2">
        <v>8629633.9700000007</v>
      </c>
      <c r="Z46" s="2">
        <v>8809804.432</v>
      </c>
      <c r="AA46" s="2">
        <v>9114180.3619999997</v>
      </c>
      <c r="AB46" s="130">
        <f>('Instruction-4YR'!B46+'RESEARCH 4yr'!B46+'PUBLIC SERVICE 4yr'!B46+'ASptISptSSv 4yr'!B46+'PLANT OPER MAIN 4yr'!B46+'SCHOLAR FELLOW 4yr'!B46+'All Other 4yr'!B46)-B46</f>
        <v>0</v>
      </c>
      <c r="AC46" s="130">
        <f>('Instruction-4YR'!C46+'RESEARCH 4yr'!C46+'PUBLIC SERVICE 4yr'!C46+'ASptISptSSv 4yr'!C46+'PLANT OPER MAIN 4yr'!C46+'SCHOLAR FELLOW 4yr'!C46+'All Other 4yr'!C46)-C46</f>
        <v>0</v>
      </c>
      <c r="AD46" s="130">
        <f>('Instruction-4YR'!D46+'RESEARCH 4yr'!D46+'PUBLIC SERVICE 4yr'!D46+'ASptISptSSv 4yr'!D46+'PLANT OPER MAIN 4yr'!D46+'SCHOLAR FELLOW 4yr'!D46+'All Other 4yr'!D46)-D46</f>
        <v>0</v>
      </c>
      <c r="AE46" s="130">
        <f>('Instruction-4YR'!E46+'RESEARCH 4yr'!E46+'PUBLIC SERVICE 4yr'!E46+'ASptISptSSv 4yr'!E46+'PLANT OPER MAIN 4yr'!E46+'SCHOLAR FELLOW 4yr'!E46+'All Other 4yr'!E46)-E46</f>
        <v>0</v>
      </c>
      <c r="AF46" s="130">
        <f>('Instruction-4YR'!F46+'RESEARCH 4yr'!F46+'PUBLIC SERVICE 4yr'!F46+'ASptISptSSv 4yr'!F46+'PLANT OPER MAIN 4yr'!F46+'SCHOLAR FELLOW 4yr'!F46+'All Other 4yr'!F46)-F46</f>
        <v>0</v>
      </c>
      <c r="AG46" s="130">
        <f>('Instruction-4YR'!G46+'RESEARCH 4yr'!G46+'PUBLIC SERVICE 4yr'!G46+'ASptISptSSv 4yr'!G46+'PLANT OPER MAIN 4yr'!G46+'SCHOLAR FELLOW 4yr'!G46+'All Other 4yr'!G46)-G46</f>
        <v>0</v>
      </c>
      <c r="AH46" s="130">
        <f>('Instruction-4YR'!H46+'RESEARCH 4yr'!H46+'PUBLIC SERVICE 4yr'!H46+'ASptISptSSv 4yr'!H46+'PLANT OPER MAIN 4yr'!H46+'SCHOLAR FELLOW 4yr'!H46+'All Other 4yr'!H46)-H46</f>
        <v>0</v>
      </c>
      <c r="AI46" s="130">
        <f>('Instruction-4YR'!I46+'RESEARCH 4yr'!I46+'PUBLIC SERVICE 4yr'!I46+'ASptISptSSv 4yr'!I46+'PLANT OPER MAIN 4yr'!I46+'SCHOLAR FELLOW 4yr'!I46+'All Other 4yr'!I46)-I46</f>
        <v>0</v>
      </c>
      <c r="AJ46" s="130">
        <f>('Instruction-4YR'!J46+'RESEARCH 4yr'!J46+'PUBLIC SERVICE 4yr'!J46+'ASptISptSSv 4yr'!J46+'PLANT OPER MAIN 4yr'!J46+'SCHOLAR FELLOW 4yr'!J46+'All Other 4yr'!J46)-J46</f>
        <v>0</v>
      </c>
      <c r="AK46" s="130">
        <f>('Instruction-4YR'!K46+'RESEARCH 4yr'!K46+'PUBLIC SERVICE 4yr'!K46+'ASptISptSSv 4yr'!K46+'PLANT OPER MAIN 4yr'!K46+'SCHOLAR FELLOW 4yr'!K46+'All Other 4yr'!K46)-K46</f>
        <v>0</v>
      </c>
      <c r="AL46" s="130">
        <f>('Instruction-4YR'!L46+'RESEARCH 4yr'!L46+'PUBLIC SERVICE 4yr'!L46+'ASptISptSSv 4yr'!L46+'PLANT OPER MAIN 4yr'!L46+'SCHOLAR FELLOW 4yr'!L46+'All Other 4yr'!L46)-L46</f>
        <v>0</v>
      </c>
      <c r="AM46" s="130">
        <f>('Instruction-4YR'!M46+'RESEARCH 4yr'!M46+'PUBLIC SERVICE 4yr'!M46+'ASptISptSSv 4yr'!M46+'PLANT OPER MAIN 4yr'!M46+'SCHOLAR FELLOW 4yr'!M46+'All Other 4yr'!M46)-M46</f>
        <v>0</v>
      </c>
      <c r="AN46" s="130">
        <f>('Instruction-4YR'!N46+'RESEARCH 4yr'!N46+'PUBLIC SERVICE 4yr'!N46+'ASptISptSSv 4yr'!N46+'PLANT OPER MAIN 4yr'!N46+'SCHOLAR FELLOW 4yr'!N46+'All Other 4yr'!N46)-N46</f>
        <v>0</v>
      </c>
      <c r="AO46" s="130">
        <f>('Instruction-4YR'!O46+'RESEARCH 4yr'!O46+'PUBLIC SERVICE 4yr'!O46+'ASptISptSSv 4yr'!O46+'PLANT OPER MAIN 4yr'!O46+'SCHOLAR FELLOW 4yr'!O46+'All Other 4yr'!O46)-O46</f>
        <v>0</v>
      </c>
      <c r="AP46" s="130">
        <f>('Instruction-4YR'!P46+'RESEARCH 4yr'!P46+'PUBLIC SERVICE 4yr'!P46+'ASptISptSSv 4yr'!P46+'PLANT OPER MAIN 4yr'!P46+'SCHOLAR FELLOW 4yr'!P46+'All Other 4yr'!P46)-P46</f>
        <v>0</v>
      </c>
      <c r="AQ46" s="130">
        <f>('Instruction-4YR'!Q46+'RESEARCH 4yr'!Q46+'PUBLIC SERVICE 4yr'!Q46+'ASptISptSSv 4yr'!Q46+'PLANT OPER MAIN 4yr'!Q46+'SCHOLAR FELLOW 4yr'!Q46+'All Other 4yr'!Q46)-Q46</f>
        <v>0</v>
      </c>
      <c r="AR46" s="130">
        <f>('Instruction-4YR'!R46+'RESEARCH 4yr'!R46+'PUBLIC SERVICE 4yr'!R46+'ASptISptSSv 4yr'!R46+'PLANT OPER MAIN 4yr'!R46+'SCHOLAR FELLOW 4yr'!R46+'All Other 4yr'!R46)-R46</f>
        <v>0</v>
      </c>
      <c r="AS46" s="130">
        <f>('Instruction-4YR'!S46+'RESEARCH 4yr'!S46+'PUBLIC SERVICE 4yr'!S46+'ASptISptSSv 4yr'!S46+'PLANT OPER MAIN 4yr'!S46+'SCHOLAR FELLOW 4yr'!S46+'All Other 4yr'!S46)-S46</f>
        <v>0</v>
      </c>
      <c r="AT46" s="130">
        <f>('Instruction-4YR'!T46+'RESEARCH 4yr'!T46+'PUBLIC SERVICE 4yr'!T46+'ASptISptSSv 4yr'!T46+'PLANT OPER MAIN 4yr'!T46+'SCHOLAR FELLOW 4yr'!T46+'All Other 4yr'!T46)-T46</f>
        <v>0</v>
      </c>
      <c r="AU46" s="130">
        <f>('Instruction-4YR'!U46+'RESEARCH 4yr'!U46+'PUBLIC SERVICE 4yr'!U46+'ASptISptSSv 4yr'!U46+'PLANT OPER MAIN 4yr'!U46+'SCHOLAR FELLOW 4yr'!U46+'All Other 4yr'!U46)-U46</f>
        <v>0</v>
      </c>
      <c r="AV46" s="130">
        <f>('Instruction-4YR'!V46+'RESEARCH 4yr'!V46+'PUBLIC SERVICE 4yr'!V46+'ASptISptSSv 4yr'!V46+'PLANT OPER MAIN 4yr'!V46+'SCHOLAR FELLOW 4yr'!V46+'All Other 4yr'!V46)-V46</f>
        <v>0</v>
      </c>
      <c r="AW46" s="130">
        <f>('Instruction-4YR'!W46+'RESEARCH 4yr'!W46+'PUBLIC SERVICE 4yr'!W46+'ASptISptSSv 4yr'!W46+'PLANT OPER MAIN 4yr'!W46+'SCHOLAR FELLOW 4yr'!W46+'All Other 4yr'!W46)-W46</f>
        <v>0</v>
      </c>
      <c r="AX46" s="130">
        <f>('Instruction-4YR'!X46+'RESEARCH 4yr'!X46+'PUBLIC SERVICE 4yr'!X46+'ASptISptSSv 4yr'!X46+'PLANT OPER MAIN 4yr'!X46+'SCHOLAR FELLOW 4yr'!X46+'All Other 4yr'!X46)-X46</f>
        <v>0</v>
      </c>
      <c r="AY46" s="130">
        <f>('Instruction-4YR'!Y46+'RESEARCH 4yr'!Y46+'PUBLIC SERVICE 4yr'!Y46+'ASptISptSSv 4yr'!Y46+'PLANT OPER MAIN 4yr'!Y46+'SCHOLAR FELLOW 4yr'!Y46+'All Other 4yr'!Y46)-Y46</f>
        <v>0</v>
      </c>
      <c r="AZ46" s="130">
        <f>('Instruction-4YR'!Z46+'RESEARCH 4yr'!Z46+'PUBLIC SERVICE 4yr'!Z46+'ASptISptSSv 4yr'!Z46+'PLANT OPER MAIN 4yr'!Z46+'SCHOLAR FELLOW 4yr'!Z46+'All Other 4yr'!Z46)-Z46</f>
        <v>0</v>
      </c>
      <c r="BA46" s="130">
        <f>('Instruction-4YR'!AA46+'RESEARCH 4yr'!AA46+'PUBLIC SERVICE 4yr'!AA46+'ASptISptSSv 4yr'!AA46+'PLANT OPER MAIN 4yr'!AA46+'SCHOLAR FELLOW 4yr'!AA46+'All Other 4yr'!AA46)-AA46</f>
        <v>0</v>
      </c>
    </row>
    <row r="47" spans="1:53">
      <c r="A47" s="23" t="s">
        <v>99</v>
      </c>
      <c r="B47" s="37"/>
      <c r="C47" s="37"/>
      <c r="D47" s="37"/>
      <c r="E47" s="37"/>
      <c r="F47" s="77">
        <v>1853185.45</v>
      </c>
      <c r="G47" s="37"/>
      <c r="H47" s="37"/>
      <c r="I47" s="37">
        <v>1618184.8859999999</v>
      </c>
      <c r="J47" s="37"/>
      <c r="K47" s="37">
        <v>1758342.0889999999</v>
      </c>
      <c r="L47" s="37">
        <v>2068976.4069999999</v>
      </c>
      <c r="M47" s="37">
        <v>2254447.764</v>
      </c>
      <c r="N47" s="37">
        <v>2481018.2990000001</v>
      </c>
      <c r="O47" s="37">
        <v>2675890.577</v>
      </c>
      <c r="P47" s="37">
        <v>2650104.415</v>
      </c>
      <c r="Q47" s="37">
        <v>2803970.7620000001</v>
      </c>
      <c r="R47" s="37">
        <v>2985764.0040000002</v>
      </c>
      <c r="S47" s="37">
        <v>3184919.449</v>
      </c>
      <c r="T47" s="23">
        <v>3528636.2910000002</v>
      </c>
      <c r="U47" s="23">
        <v>3532233.071</v>
      </c>
      <c r="V47" s="23">
        <v>3684748.852</v>
      </c>
      <c r="W47" s="23">
        <v>3658269.6669999999</v>
      </c>
      <c r="X47" s="23">
        <v>3656549.531</v>
      </c>
      <c r="Y47" s="2">
        <v>3819642.4649999999</v>
      </c>
      <c r="Z47" s="2">
        <v>4051722.0469999998</v>
      </c>
      <c r="AA47" s="2">
        <v>4014897.7579999999</v>
      </c>
      <c r="AB47" s="130">
        <f>('Instruction-4YR'!B47+'RESEARCH 4yr'!B47+'PUBLIC SERVICE 4yr'!B47+'ASptISptSSv 4yr'!B47+'PLANT OPER MAIN 4yr'!B47+'SCHOLAR FELLOW 4yr'!B47+'All Other 4yr'!B47)-B47</f>
        <v>0</v>
      </c>
      <c r="AC47" s="130">
        <f>('Instruction-4YR'!C47+'RESEARCH 4yr'!C47+'PUBLIC SERVICE 4yr'!C47+'ASptISptSSv 4yr'!C47+'PLANT OPER MAIN 4yr'!C47+'SCHOLAR FELLOW 4yr'!C47+'All Other 4yr'!C47)-C47</f>
        <v>0</v>
      </c>
      <c r="AD47" s="130">
        <f>('Instruction-4YR'!D47+'RESEARCH 4yr'!D47+'PUBLIC SERVICE 4yr'!D47+'ASptISptSSv 4yr'!D47+'PLANT OPER MAIN 4yr'!D47+'SCHOLAR FELLOW 4yr'!D47+'All Other 4yr'!D47)-D47</f>
        <v>0</v>
      </c>
      <c r="AE47" s="130">
        <f>('Instruction-4YR'!E47+'RESEARCH 4yr'!E47+'PUBLIC SERVICE 4yr'!E47+'ASptISptSSv 4yr'!E47+'PLANT OPER MAIN 4yr'!E47+'SCHOLAR FELLOW 4yr'!E47+'All Other 4yr'!E47)-E47</f>
        <v>0</v>
      </c>
      <c r="AF47" s="130">
        <f>('Instruction-4YR'!F47+'RESEARCH 4yr'!F47+'PUBLIC SERVICE 4yr'!F47+'ASptISptSSv 4yr'!F47+'PLANT OPER MAIN 4yr'!F47+'SCHOLAR FELLOW 4yr'!F47+'All Other 4yr'!F47)-F47</f>
        <v>0</v>
      </c>
      <c r="AG47" s="130">
        <f>('Instruction-4YR'!G47+'RESEARCH 4yr'!G47+'PUBLIC SERVICE 4yr'!G47+'ASptISptSSv 4yr'!G47+'PLANT OPER MAIN 4yr'!G47+'SCHOLAR FELLOW 4yr'!G47+'All Other 4yr'!G47)-G47</f>
        <v>0</v>
      </c>
      <c r="AH47" s="130">
        <f>('Instruction-4YR'!H47+'RESEARCH 4yr'!H47+'PUBLIC SERVICE 4yr'!H47+'ASptISptSSv 4yr'!H47+'PLANT OPER MAIN 4yr'!H47+'SCHOLAR FELLOW 4yr'!H47+'All Other 4yr'!H47)-H47</f>
        <v>0</v>
      </c>
      <c r="AI47" s="130">
        <f>('Instruction-4YR'!I47+'RESEARCH 4yr'!I47+'PUBLIC SERVICE 4yr'!I47+'ASptISptSSv 4yr'!I47+'PLANT OPER MAIN 4yr'!I47+'SCHOLAR FELLOW 4yr'!I47+'All Other 4yr'!I47)-I47</f>
        <v>0</v>
      </c>
      <c r="AJ47" s="130">
        <f>('Instruction-4YR'!J47+'RESEARCH 4yr'!J47+'PUBLIC SERVICE 4yr'!J47+'ASptISptSSv 4yr'!J47+'PLANT OPER MAIN 4yr'!J47+'SCHOLAR FELLOW 4yr'!J47+'All Other 4yr'!J47)-J47</f>
        <v>0</v>
      </c>
      <c r="AK47" s="130">
        <f>('Instruction-4YR'!K47+'RESEARCH 4yr'!K47+'PUBLIC SERVICE 4yr'!K47+'ASptISptSSv 4yr'!K47+'PLANT OPER MAIN 4yr'!K47+'SCHOLAR FELLOW 4yr'!K47+'All Other 4yr'!K47)-K47</f>
        <v>0</v>
      </c>
      <c r="AL47" s="130">
        <f>('Instruction-4YR'!L47+'RESEARCH 4yr'!L47+'PUBLIC SERVICE 4yr'!L47+'ASptISptSSv 4yr'!L47+'PLANT OPER MAIN 4yr'!L47+'SCHOLAR FELLOW 4yr'!L47+'All Other 4yr'!L47)-L47</f>
        <v>0</v>
      </c>
      <c r="AM47" s="130">
        <f>('Instruction-4YR'!M47+'RESEARCH 4yr'!M47+'PUBLIC SERVICE 4yr'!M47+'ASptISptSSv 4yr'!M47+'PLANT OPER MAIN 4yr'!M47+'SCHOLAR FELLOW 4yr'!M47+'All Other 4yr'!M47)-M47</f>
        <v>0</v>
      </c>
      <c r="AN47" s="130">
        <f>('Instruction-4YR'!N47+'RESEARCH 4yr'!N47+'PUBLIC SERVICE 4yr'!N47+'ASptISptSSv 4yr'!N47+'PLANT OPER MAIN 4yr'!N47+'SCHOLAR FELLOW 4yr'!N47+'All Other 4yr'!N47)-N47</f>
        <v>0</v>
      </c>
      <c r="AO47" s="130">
        <f>('Instruction-4YR'!O47+'RESEARCH 4yr'!O47+'PUBLIC SERVICE 4yr'!O47+'ASptISptSSv 4yr'!O47+'PLANT OPER MAIN 4yr'!O47+'SCHOLAR FELLOW 4yr'!O47+'All Other 4yr'!O47)-O47</f>
        <v>0</v>
      </c>
      <c r="AP47" s="130">
        <f>('Instruction-4YR'!P47+'RESEARCH 4yr'!P47+'PUBLIC SERVICE 4yr'!P47+'ASptISptSSv 4yr'!P47+'PLANT OPER MAIN 4yr'!P47+'SCHOLAR FELLOW 4yr'!P47+'All Other 4yr'!P47)-P47</f>
        <v>0</v>
      </c>
      <c r="AQ47" s="130">
        <f>('Instruction-4YR'!Q47+'RESEARCH 4yr'!Q47+'PUBLIC SERVICE 4yr'!Q47+'ASptISptSSv 4yr'!Q47+'PLANT OPER MAIN 4yr'!Q47+'SCHOLAR FELLOW 4yr'!Q47+'All Other 4yr'!Q47)-Q47</f>
        <v>0</v>
      </c>
      <c r="AR47" s="130">
        <f>('Instruction-4YR'!R47+'RESEARCH 4yr'!R47+'PUBLIC SERVICE 4yr'!R47+'ASptISptSSv 4yr'!R47+'PLANT OPER MAIN 4yr'!R47+'SCHOLAR FELLOW 4yr'!R47+'All Other 4yr'!R47)-R47</f>
        <v>0</v>
      </c>
      <c r="AS47" s="130">
        <f>('Instruction-4YR'!S47+'RESEARCH 4yr'!S47+'PUBLIC SERVICE 4yr'!S47+'ASptISptSSv 4yr'!S47+'PLANT OPER MAIN 4yr'!S47+'SCHOLAR FELLOW 4yr'!S47+'All Other 4yr'!S47)-S47</f>
        <v>0</v>
      </c>
      <c r="AT47" s="130">
        <f>('Instruction-4YR'!T47+'RESEARCH 4yr'!T47+'PUBLIC SERVICE 4yr'!T47+'ASptISptSSv 4yr'!T47+'PLANT OPER MAIN 4yr'!T47+'SCHOLAR FELLOW 4yr'!T47+'All Other 4yr'!T47)-T47</f>
        <v>0</v>
      </c>
      <c r="AU47" s="130">
        <f>('Instruction-4YR'!U47+'RESEARCH 4yr'!U47+'PUBLIC SERVICE 4yr'!U47+'ASptISptSSv 4yr'!U47+'PLANT OPER MAIN 4yr'!U47+'SCHOLAR FELLOW 4yr'!U47+'All Other 4yr'!U47)-U47</f>
        <v>0</v>
      </c>
      <c r="AV47" s="130">
        <f>('Instruction-4YR'!V47+'RESEARCH 4yr'!V47+'PUBLIC SERVICE 4yr'!V47+'ASptISptSSv 4yr'!V47+'PLANT OPER MAIN 4yr'!V47+'SCHOLAR FELLOW 4yr'!V47+'All Other 4yr'!V47)-V47</f>
        <v>0</v>
      </c>
      <c r="AW47" s="130">
        <f>('Instruction-4YR'!W47+'RESEARCH 4yr'!W47+'PUBLIC SERVICE 4yr'!W47+'ASptISptSSv 4yr'!W47+'PLANT OPER MAIN 4yr'!W47+'SCHOLAR FELLOW 4yr'!W47+'All Other 4yr'!W47)-W47</f>
        <v>0</v>
      </c>
      <c r="AX47" s="130">
        <f>('Instruction-4YR'!X47+'RESEARCH 4yr'!X47+'PUBLIC SERVICE 4yr'!X47+'ASptISptSSv 4yr'!X47+'PLANT OPER MAIN 4yr'!X47+'SCHOLAR FELLOW 4yr'!X47+'All Other 4yr'!X47)-X47</f>
        <v>0</v>
      </c>
      <c r="AY47" s="130">
        <f>('Instruction-4YR'!Y47+'RESEARCH 4yr'!Y47+'PUBLIC SERVICE 4yr'!Y47+'ASptISptSSv 4yr'!Y47+'PLANT OPER MAIN 4yr'!Y47+'SCHOLAR FELLOW 4yr'!Y47+'All Other 4yr'!Y47)-Y47</f>
        <v>0</v>
      </c>
      <c r="AZ47" s="130">
        <f>('Instruction-4YR'!Z47+'RESEARCH 4yr'!Z47+'PUBLIC SERVICE 4yr'!Z47+'ASptISptSSv 4yr'!Z47+'PLANT OPER MAIN 4yr'!Z47+'SCHOLAR FELLOW 4yr'!Z47+'All Other 4yr'!Z47)-Z47</f>
        <v>0</v>
      </c>
      <c r="BA47" s="130">
        <f>('Instruction-4YR'!AA47+'RESEARCH 4yr'!AA47+'PUBLIC SERVICE 4yr'!AA47+'ASptISptSSv 4yr'!AA47+'PLANT OPER MAIN 4yr'!AA47+'SCHOLAR FELLOW 4yr'!AA47+'All Other 4yr'!AA47)-AA47</f>
        <v>0</v>
      </c>
    </row>
    <row r="48" spans="1:53">
      <c r="A48" s="23" t="s">
        <v>59</v>
      </c>
      <c r="B48" s="37"/>
      <c r="C48" s="37"/>
      <c r="D48" s="37"/>
      <c r="E48" s="37"/>
      <c r="F48" s="77">
        <v>1017731.035</v>
      </c>
      <c r="G48" s="37"/>
      <c r="H48" s="37"/>
      <c r="I48" s="37">
        <v>1206207.0160000001</v>
      </c>
      <c r="J48" s="37"/>
      <c r="K48" s="37">
        <v>1484710.3149999999</v>
      </c>
      <c r="L48" s="37">
        <v>1647179.7220000001</v>
      </c>
      <c r="M48" s="37">
        <v>2277009.358</v>
      </c>
      <c r="N48" s="37">
        <v>1918668.7</v>
      </c>
      <c r="O48" s="37">
        <v>1874746.426</v>
      </c>
      <c r="P48" s="37">
        <v>1961847.196</v>
      </c>
      <c r="Q48" s="37">
        <v>2144713.4920000001</v>
      </c>
      <c r="R48" s="37">
        <v>2240937.8250000002</v>
      </c>
      <c r="S48" s="37">
        <v>2310346.8930000002</v>
      </c>
      <c r="T48" s="23">
        <v>2376849.7919999999</v>
      </c>
      <c r="U48" s="23">
        <v>2435136.7689999999</v>
      </c>
      <c r="V48" s="23">
        <v>2474062.389</v>
      </c>
      <c r="W48" s="23">
        <v>2524357.1030000001</v>
      </c>
      <c r="X48" s="23">
        <v>2657813.2889999999</v>
      </c>
      <c r="Y48" s="2">
        <v>2693548.872</v>
      </c>
      <c r="Z48" s="2">
        <v>2812924.61</v>
      </c>
      <c r="AA48" s="2">
        <v>2914369.5980000002</v>
      </c>
      <c r="AB48" s="130">
        <f>('Instruction-4YR'!B48+'RESEARCH 4yr'!B48+'PUBLIC SERVICE 4yr'!B48+'ASptISptSSv 4yr'!B48+'PLANT OPER MAIN 4yr'!B48+'SCHOLAR FELLOW 4yr'!B48+'All Other 4yr'!B48)-B48</f>
        <v>0</v>
      </c>
      <c r="AC48" s="130">
        <f>('Instruction-4YR'!C48+'RESEARCH 4yr'!C48+'PUBLIC SERVICE 4yr'!C48+'ASptISptSSv 4yr'!C48+'PLANT OPER MAIN 4yr'!C48+'SCHOLAR FELLOW 4yr'!C48+'All Other 4yr'!C48)-C48</f>
        <v>0</v>
      </c>
      <c r="AD48" s="130">
        <f>('Instruction-4YR'!D48+'RESEARCH 4yr'!D48+'PUBLIC SERVICE 4yr'!D48+'ASptISptSSv 4yr'!D48+'PLANT OPER MAIN 4yr'!D48+'SCHOLAR FELLOW 4yr'!D48+'All Other 4yr'!D48)-D48</f>
        <v>0</v>
      </c>
      <c r="AE48" s="130">
        <f>('Instruction-4YR'!E48+'RESEARCH 4yr'!E48+'PUBLIC SERVICE 4yr'!E48+'ASptISptSSv 4yr'!E48+'PLANT OPER MAIN 4yr'!E48+'SCHOLAR FELLOW 4yr'!E48+'All Other 4yr'!E48)-E48</f>
        <v>0</v>
      </c>
      <c r="AF48" s="130">
        <f>('Instruction-4YR'!F48+'RESEARCH 4yr'!F48+'PUBLIC SERVICE 4yr'!F48+'ASptISptSSv 4yr'!F48+'PLANT OPER MAIN 4yr'!F48+'SCHOLAR FELLOW 4yr'!F48+'All Other 4yr'!F48)-F48</f>
        <v>0</v>
      </c>
      <c r="AG48" s="130">
        <f>('Instruction-4YR'!G48+'RESEARCH 4yr'!G48+'PUBLIC SERVICE 4yr'!G48+'ASptISptSSv 4yr'!G48+'PLANT OPER MAIN 4yr'!G48+'SCHOLAR FELLOW 4yr'!G48+'All Other 4yr'!G48)-G48</f>
        <v>0</v>
      </c>
      <c r="AH48" s="130">
        <f>('Instruction-4YR'!H48+'RESEARCH 4yr'!H48+'PUBLIC SERVICE 4yr'!H48+'ASptISptSSv 4yr'!H48+'PLANT OPER MAIN 4yr'!H48+'SCHOLAR FELLOW 4yr'!H48+'All Other 4yr'!H48)-H48</f>
        <v>0</v>
      </c>
      <c r="AI48" s="130">
        <f>('Instruction-4YR'!I48+'RESEARCH 4yr'!I48+'PUBLIC SERVICE 4yr'!I48+'ASptISptSSv 4yr'!I48+'PLANT OPER MAIN 4yr'!I48+'SCHOLAR FELLOW 4yr'!I48+'All Other 4yr'!I48)-I48</f>
        <v>0</v>
      </c>
      <c r="AJ48" s="130">
        <f>('Instruction-4YR'!J48+'RESEARCH 4yr'!J48+'PUBLIC SERVICE 4yr'!J48+'ASptISptSSv 4yr'!J48+'PLANT OPER MAIN 4yr'!J48+'SCHOLAR FELLOW 4yr'!J48+'All Other 4yr'!J48)-J48</f>
        <v>0</v>
      </c>
      <c r="AK48" s="130">
        <f>('Instruction-4YR'!K48+'RESEARCH 4yr'!K48+'PUBLIC SERVICE 4yr'!K48+'ASptISptSSv 4yr'!K48+'PLANT OPER MAIN 4yr'!K48+'SCHOLAR FELLOW 4yr'!K48+'All Other 4yr'!K48)-K48</f>
        <v>0</v>
      </c>
      <c r="AL48" s="130">
        <f>('Instruction-4YR'!L48+'RESEARCH 4yr'!L48+'PUBLIC SERVICE 4yr'!L48+'ASptISptSSv 4yr'!L48+'PLANT OPER MAIN 4yr'!L48+'SCHOLAR FELLOW 4yr'!L48+'All Other 4yr'!L48)-L48</f>
        <v>0</v>
      </c>
      <c r="AM48" s="130">
        <f>('Instruction-4YR'!M48+'RESEARCH 4yr'!M48+'PUBLIC SERVICE 4yr'!M48+'ASptISptSSv 4yr'!M48+'PLANT OPER MAIN 4yr'!M48+'SCHOLAR FELLOW 4yr'!M48+'All Other 4yr'!M48)-M48</f>
        <v>0</v>
      </c>
      <c r="AN48" s="130">
        <f>('Instruction-4YR'!N48+'RESEARCH 4yr'!N48+'PUBLIC SERVICE 4yr'!N48+'ASptISptSSv 4yr'!N48+'PLANT OPER MAIN 4yr'!N48+'SCHOLAR FELLOW 4yr'!N48+'All Other 4yr'!N48)-N48</f>
        <v>0</v>
      </c>
      <c r="AO48" s="130">
        <f>('Instruction-4YR'!O48+'RESEARCH 4yr'!O48+'PUBLIC SERVICE 4yr'!O48+'ASptISptSSv 4yr'!O48+'PLANT OPER MAIN 4yr'!O48+'SCHOLAR FELLOW 4yr'!O48+'All Other 4yr'!O48)-O48</f>
        <v>0</v>
      </c>
      <c r="AP48" s="130">
        <f>('Instruction-4YR'!P48+'RESEARCH 4yr'!P48+'PUBLIC SERVICE 4yr'!P48+'ASptISptSSv 4yr'!P48+'PLANT OPER MAIN 4yr'!P48+'SCHOLAR FELLOW 4yr'!P48+'All Other 4yr'!P48)-P48</f>
        <v>0</v>
      </c>
      <c r="AQ48" s="130">
        <f>('Instruction-4YR'!Q48+'RESEARCH 4yr'!Q48+'PUBLIC SERVICE 4yr'!Q48+'ASptISptSSv 4yr'!Q48+'PLANT OPER MAIN 4yr'!Q48+'SCHOLAR FELLOW 4yr'!Q48+'All Other 4yr'!Q48)-Q48</f>
        <v>0</v>
      </c>
      <c r="AR48" s="130">
        <f>('Instruction-4YR'!R48+'RESEARCH 4yr'!R48+'PUBLIC SERVICE 4yr'!R48+'ASptISptSSv 4yr'!R48+'PLANT OPER MAIN 4yr'!R48+'SCHOLAR FELLOW 4yr'!R48+'All Other 4yr'!R48)-R48</f>
        <v>0</v>
      </c>
      <c r="AS48" s="130">
        <f>('Instruction-4YR'!S48+'RESEARCH 4yr'!S48+'PUBLIC SERVICE 4yr'!S48+'ASptISptSSv 4yr'!S48+'PLANT OPER MAIN 4yr'!S48+'SCHOLAR FELLOW 4yr'!S48+'All Other 4yr'!S48)-S48</f>
        <v>0</v>
      </c>
      <c r="AT48" s="130">
        <f>('Instruction-4YR'!T48+'RESEARCH 4yr'!T48+'PUBLIC SERVICE 4yr'!T48+'ASptISptSSv 4yr'!T48+'PLANT OPER MAIN 4yr'!T48+'SCHOLAR FELLOW 4yr'!T48+'All Other 4yr'!T48)-T48</f>
        <v>0</v>
      </c>
      <c r="AU48" s="130">
        <f>('Instruction-4YR'!U48+'RESEARCH 4yr'!U48+'PUBLIC SERVICE 4yr'!U48+'ASptISptSSv 4yr'!U48+'PLANT OPER MAIN 4yr'!U48+'SCHOLAR FELLOW 4yr'!U48+'All Other 4yr'!U48)-U48</f>
        <v>0</v>
      </c>
      <c r="AV48" s="130">
        <f>('Instruction-4YR'!V48+'RESEARCH 4yr'!V48+'PUBLIC SERVICE 4yr'!V48+'ASptISptSSv 4yr'!V48+'PLANT OPER MAIN 4yr'!V48+'SCHOLAR FELLOW 4yr'!V48+'All Other 4yr'!V48)-V48</f>
        <v>0</v>
      </c>
      <c r="AW48" s="130">
        <f>('Instruction-4YR'!W48+'RESEARCH 4yr'!W48+'PUBLIC SERVICE 4yr'!W48+'ASptISptSSv 4yr'!W48+'PLANT OPER MAIN 4yr'!W48+'SCHOLAR FELLOW 4yr'!W48+'All Other 4yr'!W48)-W48</f>
        <v>0</v>
      </c>
      <c r="AX48" s="130">
        <f>('Instruction-4YR'!X48+'RESEARCH 4yr'!X48+'PUBLIC SERVICE 4yr'!X48+'ASptISptSSv 4yr'!X48+'PLANT OPER MAIN 4yr'!X48+'SCHOLAR FELLOW 4yr'!X48+'All Other 4yr'!X48)-X48</f>
        <v>0</v>
      </c>
      <c r="AY48" s="130">
        <f>('Instruction-4YR'!Y48+'RESEARCH 4yr'!Y48+'PUBLIC SERVICE 4yr'!Y48+'ASptISptSSv 4yr'!Y48+'PLANT OPER MAIN 4yr'!Y48+'SCHOLAR FELLOW 4yr'!Y48+'All Other 4yr'!Y48)-Y48</f>
        <v>0</v>
      </c>
      <c r="AZ48" s="130">
        <f>('Instruction-4YR'!Z48+'RESEARCH 4yr'!Z48+'PUBLIC SERVICE 4yr'!Z48+'ASptISptSSv 4yr'!Z48+'PLANT OPER MAIN 4yr'!Z48+'SCHOLAR FELLOW 4yr'!Z48+'All Other 4yr'!Z48)-Z48</f>
        <v>0</v>
      </c>
      <c r="BA48" s="130">
        <f>('Instruction-4YR'!AA48+'RESEARCH 4yr'!AA48+'PUBLIC SERVICE 4yr'!AA48+'ASptISptSSv 4yr'!AA48+'PLANT OPER MAIN 4yr'!AA48+'SCHOLAR FELLOW 4yr'!AA48+'All Other 4yr'!AA48)-AA48</f>
        <v>0</v>
      </c>
    </row>
    <row r="49" spans="1:53">
      <c r="A49" s="23" t="s">
        <v>101</v>
      </c>
      <c r="B49" s="37"/>
      <c r="C49" s="37"/>
      <c r="D49" s="37"/>
      <c r="E49" s="37"/>
      <c r="F49" s="77">
        <v>566476.52599999995</v>
      </c>
      <c r="G49" s="37"/>
      <c r="H49" s="37"/>
      <c r="I49" s="37">
        <v>630681.66599999997</v>
      </c>
      <c r="J49" s="37"/>
      <c r="K49" s="37">
        <v>690830.30599999998</v>
      </c>
      <c r="L49" s="37">
        <v>790152.13300000003</v>
      </c>
      <c r="M49" s="37">
        <v>845523.28300000005</v>
      </c>
      <c r="N49" s="37">
        <v>992118.01300000004</v>
      </c>
      <c r="O49" s="37">
        <v>1032591.012</v>
      </c>
      <c r="P49" s="37">
        <v>1062535.0919999999</v>
      </c>
      <c r="Q49" s="37">
        <v>1149462.8119999999</v>
      </c>
      <c r="R49" s="37">
        <v>1216792.0630000001</v>
      </c>
      <c r="S49" s="37">
        <v>1281235.4820000001</v>
      </c>
      <c r="T49" s="23">
        <v>1352417.598</v>
      </c>
      <c r="U49" s="23">
        <v>1042731.888</v>
      </c>
      <c r="V49" s="23">
        <v>1437980.7120000001</v>
      </c>
      <c r="W49" s="23">
        <v>1486258.89</v>
      </c>
      <c r="X49" s="23">
        <v>1523948.946</v>
      </c>
      <c r="Y49" s="2">
        <v>1563094.8370000001</v>
      </c>
      <c r="Z49" s="2">
        <v>1627195.2760000001</v>
      </c>
      <c r="AA49" s="2">
        <v>1692451.2379999999</v>
      </c>
      <c r="AB49" s="130">
        <f>('Instruction-4YR'!B49+'RESEARCH 4yr'!B49+'PUBLIC SERVICE 4yr'!B49+'ASptISptSSv 4yr'!B49+'PLANT OPER MAIN 4yr'!B49+'SCHOLAR FELLOW 4yr'!B49+'All Other 4yr'!B49)-B49</f>
        <v>0</v>
      </c>
      <c r="AC49" s="130">
        <f>('Instruction-4YR'!C49+'RESEARCH 4yr'!C49+'PUBLIC SERVICE 4yr'!C49+'ASptISptSSv 4yr'!C49+'PLANT OPER MAIN 4yr'!C49+'SCHOLAR FELLOW 4yr'!C49+'All Other 4yr'!C49)-C49</f>
        <v>0</v>
      </c>
      <c r="AD49" s="130">
        <f>('Instruction-4YR'!D49+'RESEARCH 4yr'!D49+'PUBLIC SERVICE 4yr'!D49+'ASptISptSSv 4yr'!D49+'PLANT OPER MAIN 4yr'!D49+'SCHOLAR FELLOW 4yr'!D49+'All Other 4yr'!D49)-D49</f>
        <v>0</v>
      </c>
      <c r="AE49" s="130">
        <f>('Instruction-4YR'!E49+'RESEARCH 4yr'!E49+'PUBLIC SERVICE 4yr'!E49+'ASptISptSSv 4yr'!E49+'PLANT OPER MAIN 4yr'!E49+'SCHOLAR FELLOW 4yr'!E49+'All Other 4yr'!E49)-E49</f>
        <v>0</v>
      </c>
      <c r="AF49" s="130">
        <f>('Instruction-4YR'!F49+'RESEARCH 4yr'!F49+'PUBLIC SERVICE 4yr'!F49+'ASptISptSSv 4yr'!F49+'PLANT OPER MAIN 4yr'!F49+'SCHOLAR FELLOW 4yr'!F49+'All Other 4yr'!F49)-F49</f>
        <v>0</v>
      </c>
      <c r="AG49" s="130">
        <f>('Instruction-4YR'!G49+'RESEARCH 4yr'!G49+'PUBLIC SERVICE 4yr'!G49+'ASptISptSSv 4yr'!G49+'PLANT OPER MAIN 4yr'!G49+'SCHOLAR FELLOW 4yr'!G49+'All Other 4yr'!G49)-G49</f>
        <v>0</v>
      </c>
      <c r="AH49" s="130">
        <f>('Instruction-4YR'!H49+'RESEARCH 4yr'!H49+'PUBLIC SERVICE 4yr'!H49+'ASptISptSSv 4yr'!H49+'PLANT OPER MAIN 4yr'!H49+'SCHOLAR FELLOW 4yr'!H49+'All Other 4yr'!H49)-H49</f>
        <v>0</v>
      </c>
      <c r="AI49" s="130">
        <f>('Instruction-4YR'!I49+'RESEARCH 4yr'!I49+'PUBLIC SERVICE 4yr'!I49+'ASptISptSSv 4yr'!I49+'PLANT OPER MAIN 4yr'!I49+'SCHOLAR FELLOW 4yr'!I49+'All Other 4yr'!I49)-I49</f>
        <v>0</v>
      </c>
      <c r="AJ49" s="130">
        <f>('Instruction-4YR'!J49+'RESEARCH 4yr'!J49+'PUBLIC SERVICE 4yr'!J49+'ASptISptSSv 4yr'!J49+'PLANT OPER MAIN 4yr'!J49+'SCHOLAR FELLOW 4yr'!J49+'All Other 4yr'!J49)-J49</f>
        <v>0</v>
      </c>
      <c r="AK49" s="130">
        <f>('Instruction-4YR'!K49+'RESEARCH 4yr'!K49+'PUBLIC SERVICE 4yr'!K49+'ASptISptSSv 4yr'!K49+'PLANT OPER MAIN 4yr'!K49+'SCHOLAR FELLOW 4yr'!K49+'All Other 4yr'!K49)-K49</f>
        <v>0</v>
      </c>
      <c r="AL49" s="130">
        <f>('Instruction-4YR'!L49+'RESEARCH 4yr'!L49+'PUBLIC SERVICE 4yr'!L49+'ASptISptSSv 4yr'!L49+'PLANT OPER MAIN 4yr'!L49+'SCHOLAR FELLOW 4yr'!L49+'All Other 4yr'!L49)-L49</f>
        <v>0</v>
      </c>
      <c r="AM49" s="130">
        <f>('Instruction-4YR'!M49+'RESEARCH 4yr'!M49+'PUBLIC SERVICE 4yr'!M49+'ASptISptSSv 4yr'!M49+'PLANT OPER MAIN 4yr'!M49+'SCHOLAR FELLOW 4yr'!M49+'All Other 4yr'!M49)-M49</f>
        <v>0</v>
      </c>
      <c r="AN49" s="130">
        <f>('Instruction-4YR'!N49+'RESEARCH 4yr'!N49+'PUBLIC SERVICE 4yr'!N49+'ASptISptSSv 4yr'!N49+'PLANT OPER MAIN 4yr'!N49+'SCHOLAR FELLOW 4yr'!N49+'All Other 4yr'!N49)-N49</f>
        <v>0</v>
      </c>
      <c r="AO49" s="130">
        <f>('Instruction-4YR'!O49+'RESEARCH 4yr'!O49+'PUBLIC SERVICE 4yr'!O49+'ASptISptSSv 4yr'!O49+'PLANT OPER MAIN 4yr'!O49+'SCHOLAR FELLOW 4yr'!O49+'All Other 4yr'!O49)-O49</f>
        <v>0</v>
      </c>
      <c r="AP49" s="130">
        <f>('Instruction-4YR'!P49+'RESEARCH 4yr'!P49+'PUBLIC SERVICE 4yr'!P49+'ASptISptSSv 4yr'!P49+'PLANT OPER MAIN 4yr'!P49+'SCHOLAR FELLOW 4yr'!P49+'All Other 4yr'!P49)-P49</f>
        <v>0</v>
      </c>
      <c r="AQ49" s="130">
        <f>('Instruction-4YR'!Q49+'RESEARCH 4yr'!Q49+'PUBLIC SERVICE 4yr'!Q49+'ASptISptSSv 4yr'!Q49+'PLANT OPER MAIN 4yr'!Q49+'SCHOLAR FELLOW 4yr'!Q49+'All Other 4yr'!Q49)-Q49</f>
        <v>0</v>
      </c>
      <c r="AR49" s="130">
        <f>('Instruction-4YR'!R49+'RESEARCH 4yr'!R49+'PUBLIC SERVICE 4yr'!R49+'ASptISptSSv 4yr'!R49+'PLANT OPER MAIN 4yr'!R49+'SCHOLAR FELLOW 4yr'!R49+'All Other 4yr'!R49)-R49</f>
        <v>0</v>
      </c>
      <c r="AS49" s="130">
        <f>('Instruction-4YR'!S49+'RESEARCH 4yr'!S49+'PUBLIC SERVICE 4yr'!S49+'ASptISptSSv 4yr'!S49+'PLANT OPER MAIN 4yr'!S49+'SCHOLAR FELLOW 4yr'!S49+'All Other 4yr'!S49)-S49</f>
        <v>0</v>
      </c>
      <c r="AT49" s="130">
        <f>('Instruction-4YR'!T49+'RESEARCH 4yr'!T49+'PUBLIC SERVICE 4yr'!T49+'ASptISptSSv 4yr'!T49+'PLANT OPER MAIN 4yr'!T49+'SCHOLAR FELLOW 4yr'!T49+'All Other 4yr'!T49)-T49</f>
        <v>0</v>
      </c>
      <c r="AU49" s="130">
        <f>('Instruction-4YR'!U49+'RESEARCH 4yr'!U49+'PUBLIC SERVICE 4yr'!U49+'ASptISptSSv 4yr'!U49+'PLANT OPER MAIN 4yr'!U49+'SCHOLAR FELLOW 4yr'!U49+'All Other 4yr'!U49)-U49</f>
        <v>0</v>
      </c>
      <c r="AV49" s="130">
        <f>('Instruction-4YR'!V49+'RESEARCH 4yr'!V49+'PUBLIC SERVICE 4yr'!V49+'ASptISptSSv 4yr'!V49+'PLANT OPER MAIN 4yr'!V49+'SCHOLAR FELLOW 4yr'!V49+'All Other 4yr'!V49)-V49</f>
        <v>0</v>
      </c>
      <c r="AW49" s="130">
        <f>('Instruction-4YR'!W49+'RESEARCH 4yr'!W49+'PUBLIC SERVICE 4yr'!W49+'ASptISptSSv 4yr'!W49+'PLANT OPER MAIN 4yr'!W49+'SCHOLAR FELLOW 4yr'!W49+'All Other 4yr'!W49)-W49</f>
        <v>0</v>
      </c>
      <c r="AX49" s="130">
        <f>('Instruction-4YR'!X49+'RESEARCH 4yr'!X49+'PUBLIC SERVICE 4yr'!X49+'ASptISptSSv 4yr'!X49+'PLANT OPER MAIN 4yr'!X49+'SCHOLAR FELLOW 4yr'!X49+'All Other 4yr'!X49)-X49</f>
        <v>0</v>
      </c>
      <c r="AY49" s="130">
        <f>('Instruction-4YR'!Y49+'RESEARCH 4yr'!Y49+'PUBLIC SERVICE 4yr'!Y49+'ASptISptSSv 4yr'!Y49+'PLANT OPER MAIN 4yr'!Y49+'SCHOLAR FELLOW 4yr'!Y49+'All Other 4yr'!Y49)-Y49</f>
        <v>0</v>
      </c>
      <c r="AZ49" s="130">
        <f>('Instruction-4YR'!Z49+'RESEARCH 4yr'!Z49+'PUBLIC SERVICE 4yr'!Z49+'ASptISptSSv 4yr'!Z49+'PLANT OPER MAIN 4yr'!Z49+'SCHOLAR FELLOW 4yr'!Z49+'All Other 4yr'!Z49)-Z49</f>
        <v>0</v>
      </c>
      <c r="BA49" s="130">
        <f>('Instruction-4YR'!AA49+'RESEARCH 4yr'!AA49+'PUBLIC SERVICE 4yr'!AA49+'ASptISptSSv 4yr'!AA49+'PLANT OPER MAIN 4yr'!AA49+'SCHOLAR FELLOW 4yr'!AA49+'All Other 4yr'!AA49)-AA49</f>
        <v>0</v>
      </c>
    </row>
    <row r="50" spans="1:53">
      <c r="A50" s="23" t="s">
        <v>107</v>
      </c>
      <c r="B50" s="37"/>
      <c r="C50" s="37"/>
      <c r="D50" s="37"/>
      <c r="E50" s="37"/>
      <c r="F50" s="77">
        <v>305492.96899999998</v>
      </c>
      <c r="G50" s="37"/>
      <c r="H50" s="37"/>
      <c r="I50" s="37">
        <v>330725.745</v>
      </c>
      <c r="J50" s="37"/>
      <c r="K50" s="37">
        <v>346246.272</v>
      </c>
      <c r="L50" s="37">
        <v>370604.78</v>
      </c>
      <c r="M50" s="37">
        <v>403884.685</v>
      </c>
      <c r="N50" s="37">
        <v>470537.82699999999</v>
      </c>
      <c r="O50" s="37">
        <v>502522.696</v>
      </c>
      <c r="P50" s="37">
        <v>552986.36300000001</v>
      </c>
      <c r="Q50" s="37">
        <v>585124.84299999999</v>
      </c>
      <c r="R50" s="37">
        <v>615502.49300000002</v>
      </c>
      <c r="S50" s="37">
        <v>644290.16099999996</v>
      </c>
      <c r="T50" s="23">
        <v>716527.14800000004</v>
      </c>
      <c r="U50" s="23">
        <v>727335.92</v>
      </c>
      <c r="V50" s="23">
        <v>785252.95200000005</v>
      </c>
      <c r="W50" s="23">
        <v>803142.79299999995</v>
      </c>
      <c r="X50" s="23">
        <v>831014.38399999996</v>
      </c>
      <c r="Y50" s="2">
        <v>853159.98800000001</v>
      </c>
      <c r="Z50" s="2">
        <v>901676.70700000005</v>
      </c>
      <c r="AA50" s="2">
        <v>939408.29099999997</v>
      </c>
      <c r="AB50" s="130">
        <f>('Instruction-4YR'!B50+'RESEARCH 4yr'!B50+'PUBLIC SERVICE 4yr'!B50+'ASptISptSSv 4yr'!B50+'PLANT OPER MAIN 4yr'!B50+'SCHOLAR FELLOW 4yr'!B50+'All Other 4yr'!B50)-B50</f>
        <v>0</v>
      </c>
      <c r="AC50" s="130">
        <f>('Instruction-4YR'!C50+'RESEARCH 4yr'!C50+'PUBLIC SERVICE 4yr'!C50+'ASptISptSSv 4yr'!C50+'PLANT OPER MAIN 4yr'!C50+'SCHOLAR FELLOW 4yr'!C50+'All Other 4yr'!C50)-C50</f>
        <v>0</v>
      </c>
      <c r="AD50" s="130">
        <f>('Instruction-4YR'!D50+'RESEARCH 4yr'!D50+'PUBLIC SERVICE 4yr'!D50+'ASptISptSSv 4yr'!D50+'PLANT OPER MAIN 4yr'!D50+'SCHOLAR FELLOW 4yr'!D50+'All Other 4yr'!D50)-D50</f>
        <v>0</v>
      </c>
      <c r="AE50" s="130">
        <f>('Instruction-4YR'!E50+'RESEARCH 4yr'!E50+'PUBLIC SERVICE 4yr'!E50+'ASptISptSSv 4yr'!E50+'PLANT OPER MAIN 4yr'!E50+'SCHOLAR FELLOW 4yr'!E50+'All Other 4yr'!E50)-E50</f>
        <v>0</v>
      </c>
      <c r="AF50" s="130">
        <f>('Instruction-4YR'!F50+'RESEARCH 4yr'!F50+'PUBLIC SERVICE 4yr'!F50+'ASptISptSSv 4yr'!F50+'PLANT OPER MAIN 4yr'!F50+'SCHOLAR FELLOW 4yr'!F50+'All Other 4yr'!F50)-F50</f>
        <v>0</v>
      </c>
      <c r="AG50" s="130">
        <f>('Instruction-4YR'!G50+'RESEARCH 4yr'!G50+'PUBLIC SERVICE 4yr'!G50+'ASptISptSSv 4yr'!G50+'PLANT OPER MAIN 4yr'!G50+'SCHOLAR FELLOW 4yr'!G50+'All Other 4yr'!G50)-G50</f>
        <v>0</v>
      </c>
      <c r="AH50" s="130">
        <f>('Instruction-4YR'!H50+'RESEARCH 4yr'!H50+'PUBLIC SERVICE 4yr'!H50+'ASptISptSSv 4yr'!H50+'PLANT OPER MAIN 4yr'!H50+'SCHOLAR FELLOW 4yr'!H50+'All Other 4yr'!H50)-H50</f>
        <v>0</v>
      </c>
      <c r="AI50" s="130">
        <f>('Instruction-4YR'!I50+'RESEARCH 4yr'!I50+'PUBLIC SERVICE 4yr'!I50+'ASptISptSSv 4yr'!I50+'PLANT OPER MAIN 4yr'!I50+'SCHOLAR FELLOW 4yr'!I50+'All Other 4yr'!I50)-I50</f>
        <v>0</v>
      </c>
      <c r="AJ50" s="130">
        <f>('Instruction-4YR'!J50+'RESEARCH 4yr'!J50+'PUBLIC SERVICE 4yr'!J50+'ASptISptSSv 4yr'!J50+'PLANT OPER MAIN 4yr'!J50+'SCHOLAR FELLOW 4yr'!J50+'All Other 4yr'!J50)-J50</f>
        <v>0</v>
      </c>
      <c r="AK50" s="130">
        <f>('Instruction-4YR'!K50+'RESEARCH 4yr'!K50+'PUBLIC SERVICE 4yr'!K50+'ASptISptSSv 4yr'!K50+'PLANT OPER MAIN 4yr'!K50+'SCHOLAR FELLOW 4yr'!K50+'All Other 4yr'!K50)-K50</f>
        <v>0</v>
      </c>
      <c r="AL50" s="130">
        <f>('Instruction-4YR'!L50+'RESEARCH 4yr'!L50+'PUBLIC SERVICE 4yr'!L50+'ASptISptSSv 4yr'!L50+'PLANT OPER MAIN 4yr'!L50+'SCHOLAR FELLOW 4yr'!L50+'All Other 4yr'!L50)-L50</f>
        <v>0</v>
      </c>
      <c r="AM50" s="130">
        <f>('Instruction-4YR'!M50+'RESEARCH 4yr'!M50+'PUBLIC SERVICE 4yr'!M50+'ASptISptSSv 4yr'!M50+'PLANT OPER MAIN 4yr'!M50+'SCHOLAR FELLOW 4yr'!M50+'All Other 4yr'!M50)-M50</f>
        <v>0</v>
      </c>
      <c r="AN50" s="130">
        <f>('Instruction-4YR'!N50+'RESEARCH 4yr'!N50+'PUBLIC SERVICE 4yr'!N50+'ASptISptSSv 4yr'!N50+'PLANT OPER MAIN 4yr'!N50+'SCHOLAR FELLOW 4yr'!N50+'All Other 4yr'!N50)-N50</f>
        <v>0</v>
      </c>
      <c r="AO50" s="130">
        <f>('Instruction-4YR'!O50+'RESEARCH 4yr'!O50+'PUBLIC SERVICE 4yr'!O50+'ASptISptSSv 4yr'!O50+'PLANT OPER MAIN 4yr'!O50+'SCHOLAR FELLOW 4yr'!O50+'All Other 4yr'!O50)-O50</f>
        <v>0</v>
      </c>
      <c r="AP50" s="130">
        <f>('Instruction-4YR'!P50+'RESEARCH 4yr'!P50+'PUBLIC SERVICE 4yr'!P50+'ASptISptSSv 4yr'!P50+'PLANT OPER MAIN 4yr'!P50+'SCHOLAR FELLOW 4yr'!P50+'All Other 4yr'!P50)-P50</f>
        <v>0</v>
      </c>
      <c r="AQ50" s="130">
        <f>('Instruction-4YR'!Q50+'RESEARCH 4yr'!Q50+'PUBLIC SERVICE 4yr'!Q50+'ASptISptSSv 4yr'!Q50+'PLANT OPER MAIN 4yr'!Q50+'SCHOLAR FELLOW 4yr'!Q50+'All Other 4yr'!Q50)-Q50</f>
        <v>0</v>
      </c>
      <c r="AR50" s="130">
        <f>('Instruction-4YR'!R50+'RESEARCH 4yr'!R50+'PUBLIC SERVICE 4yr'!R50+'ASptISptSSv 4yr'!R50+'PLANT OPER MAIN 4yr'!R50+'SCHOLAR FELLOW 4yr'!R50+'All Other 4yr'!R50)-R50</f>
        <v>0</v>
      </c>
      <c r="AS50" s="130">
        <f>('Instruction-4YR'!S50+'RESEARCH 4yr'!S50+'PUBLIC SERVICE 4yr'!S50+'ASptISptSSv 4yr'!S50+'PLANT OPER MAIN 4yr'!S50+'SCHOLAR FELLOW 4yr'!S50+'All Other 4yr'!S50)-S50</f>
        <v>0</v>
      </c>
      <c r="AT50" s="130">
        <f>('Instruction-4YR'!T50+'RESEARCH 4yr'!T50+'PUBLIC SERVICE 4yr'!T50+'ASptISptSSv 4yr'!T50+'PLANT OPER MAIN 4yr'!T50+'SCHOLAR FELLOW 4yr'!T50+'All Other 4yr'!T50)-T50</f>
        <v>0</v>
      </c>
      <c r="AU50" s="130">
        <f>('Instruction-4YR'!U50+'RESEARCH 4yr'!U50+'PUBLIC SERVICE 4yr'!U50+'ASptISptSSv 4yr'!U50+'PLANT OPER MAIN 4yr'!U50+'SCHOLAR FELLOW 4yr'!U50+'All Other 4yr'!U50)-U50</f>
        <v>0</v>
      </c>
      <c r="AV50" s="130">
        <f>('Instruction-4YR'!V50+'RESEARCH 4yr'!V50+'PUBLIC SERVICE 4yr'!V50+'ASptISptSSv 4yr'!V50+'PLANT OPER MAIN 4yr'!V50+'SCHOLAR FELLOW 4yr'!V50+'All Other 4yr'!V50)-V50</f>
        <v>0</v>
      </c>
      <c r="AW50" s="130">
        <f>('Instruction-4YR'!W50+'RESEARCH 4yr'!W50+'PUBLIC SERVICE 4yr'!W50+'ASptISptSSv 4yr'!W50+'PLANT OPER MAIN 4yr'!W50+'SCHOLAR FELLOW 4yr'!W50+'All Other 4yr'!W50)-W50</f>
        <v>0</v>
      </c>
      <c r="AX50" s="130">
        <f>('Instruction-4YR'!X50+'RESEARCH 4yr'!X50+'PUBLIC SERVICE 4yr'!X50+'ASptISptSSv 4yr'!X50+'PLANT OPER MAIN 4yr'!X50+'SCHOLAR FELLOW 4yr'!X50+'All Other 4yr'!X50)-X50</f>
        <v>0</v>
      </c>
      <c r="AY50" s="130">
        <f>('Instruction-4YR'!Y50+'RESEARCH 4yr'!Y50+'PUBLIC SERVICE 4yr'!Y50+'ASptISptSSv 4yr'!Y50+'PLANT OPER MAIN 4yr'!Y50+'SCHOLAR FELLOW 4yr'!Y50+'All Other 4yr'!Y50)-Y50</f>
        <v>0</v>
      </c>
      <c r="AZ50" s="130">
        <f>('Instruction-4YR'!Z50+'RESEARCH 4yr'!Z50+'PUBLIC SERVICE 4yr'!Z50+'ASptISptSSv 4yr'!Z50+'PLANT OPER MAIN 4yr'!Z50+'SCHOLAR FELLOW 4yr'!Z50+'All Other 4yr'!Z50)-Z50</f>
        <v>0</v>
      </c>
      <c r="BA50" s="130">
        <f>('Instruction-4YR'!AA50+'RESEARCH 4yr'!AA50+'PUBLIC SERVICE 4yr'!AA50+'ASptISptSSv 4yr'!AA50+'PLANT OPER MAIN 4yr'!AA50+'SCHOLAR FELLOW 4yr'!AA50+'All Other 4yr'!AA50)-AA50</f>
        <v>0</v>
      </c>
    </row>
    <row r="51" spans="1:53">
      <c r="A51" s="23" t="s">
        <v>108</v>
      </c>
      <c r="B51" s="37"/>
      <c r="C51" s="37"/>
      <c r="D51" s="37"/>
      <c r="E51" s="37"/>
      <c r="F51" s="77">
        <v>2902349.2069999999</v>
      </c>
      <c r="G51" s="37"/>
      <c r="H51" s="37"/>
      <c r="I51" s="37">
        <v>3164579.53</v>
      </c>
      <c r="J51" s="37"/>
      <c r="K51" s="37">
        <v>3447829.8909999998</v>
      </c>
      <c r="L51" s="37">
        <v>3948677.9730000002</v>
      </c>
      <c r="M51" s="37">
        <v>4202145.47</v>
      </c>
      <c r="N51" s="37">
        <v>4788760.625</v>
      </c>
      <c r="O51" s="37">
        <v>5103917.6380000003</v>
      </c>
      <c r="P51" s="37">
        <v>5380408.6380000003</v>
      </c>
      <c r="Q51" s="37">
        <v>5797300.0180000002</v>
      </c>
      <c r="R51" s="37">
        <v>6236871.4139999999</v>
      </c>
      <c r="S51" s="37">
        <v>6582437.2180000003</v>
      </c>
      <c r="T51" s="23">
        <v>6954346.9879999999</v>
      </c>
      <c r="U51" s="23">
        <v>6634363.6469999999</v>
      </c>
      <c r="V51" s="23">
        <v>6803909.8310000002</v>
      </c>
      <c r="W51" s="23">
        <v>7129796.5810000002</v>
      </c>
      <c r="X51" s="23">
        <v>7105463.176</v>
      </c>
      <c r="Y51" s="2">
        <v>7262371.1330000004</v>
      </c>
      <c r="Z51" s="2">
        <v>7410239.1519999998</v>
      </c>
      <c r="AA51" s="2">
        <v>7457250.0460000001</v>
      </c>
      <c r="AB51" s="130">
        <f>('Instruction-4YR'!B51+'RESEARCH 4yr'!B51+'PUBLIC SERVICE 4yr'!B51+'ASptISptSSv 4yr'!B51+'PLANT OPER MAIN 4yr'!B51+'SCHOLAR FELLOW 4yr'!B51+'All Other 4yr'!B51)-B51</f>
        <v>0</v>
      </c>
      <c r="AC51" s="130">
        <f>('Instruction-4YR'!C51+'RESEARCH 4yr'!C51+'PUBLIC SERVICE 4yr'!C51+'ASptISptSSv 4yr'!C51+'PLANT OPER MAIN 4yr'!C51+'SCHOLAR FELLOW 4yr'!C51+'All Other 4yr'!C51)-C51</f>
        <v>0</v>
      </c>
      <c r="AD51" s="130">
        <f>('Instruction-4YR'!D51+'RESEARCH 4yr'!D51+'PUBLIC SERVICE 4yr'!D51+'ASptISptSSv 4yr'!D51+'PLANT OPER MAIN 4yr'!D51+'SCHOLAR FELLOW 4yr'!D51+'All Other 4yr'!D51)-D51</f>
        <v>0</v>
      </c>
      <c r="AE51" s="130">
        <f>('Instruction-4YR'!E51+'RESEARCH 4yr'!E51+'PUBLIC SERVICE 4yr'!E51+'ASptISptSSv 4yr'!E51+'PLANT OPER MAIN 4yr'!E51+'SCHOLAR FELLOW 4yr'!E51+'All Other 4yr'!E51)-E51</f>
        <v>0</v>
      </c>
      <c r="AF51" s="130">
        <f>('Instruction-4YR'!F51+'RESEARCH 4yr'!F51+'PUBLIC SERVICE 4yr'!F51+'ASptISptSSv 4yr'!F51+'PLANT OPER MAIN 4yr'!F51+'SCHOLAR FELLOW 4yr'!F51+'All Other 4yr'!F51)-F51</f>
        <v>0</v>
      </c>
      <c r="AG51" s="130">
        <f>('Instruction-4YR'!G51+'RESEARCH 4yr'!G51+'PUBLIC SERVICE 4yr'!G51+'ASptISptSSv 4yr'!G51+'PLANT OPER MAIN 4yr'!G51+'SCHOLAR FELLOW 4yr'!G51+'All Other 4yr'!G51)-G51</f>
        <v>0</v>
      </c>
      <c r="AH51" s="130">
        <f>('Instruction-4YR'!H51+'RESEARCH 4yr'!H51+'PUBLIC SERVICE 4yr'!H51+'ASptISptSSv 4yr'!H51+'PLANT OPER MAIN 4yr'!H51+'SCHOLAR FELLOW 4yr'!H51+'All Other 4yr'!H51)-H51</f>
        <v>0</v>
      </c>
      <c r="AI51" s="130">
        <f>('Instruction-4YR'!I51+'RESEARCH 4yr'!I51+'PUBLIC SERVICE 4yr'!I51+'ASptISptSSv 4yr'!I51+'PLANT OPER MAIN 4yr'!I51+'SCHOLAR FELLOW 4yr'!I51+'All Other 4yr'!I51)-I51</f>
        <v>0</v>
      </c>
      <c r="AJ51" s="130">
        <f>('Instruction-4YR'!J51+'RESEARCH 4yr'!J51+'PUBLIC SERVICE 4yr'!J51+'ASptISptSSv 4yr'!J51+'PLANT OPER MAIN 4yr'!J51+'SCHOLAR FELLOW 4yr'!J51+'All Other 4yr'!J51)-J51</f>
        <v>0</v>
      </c>
      <c r="AK51" s="130">
        <f>('Instruction-4YR'!K51+'RESEARCH 4yr'!K51+'PUBLIC SERVICE 4yr'!K51+'ASptISptSSv 4yr'!K51+'PLANT OPER MAIN 4yr'!K51+'SCHOLAR FELLOW 4yr'!K51+'All Other 4yr'!K51)-K51</f>
        <v>0</v>
      </c>
      <c r="AL51" s="130">
        <f>('Instruction-4YR'!L51+'RESEARCH 4yr'!L51+'PUBLIC SERVICE 4yr'!L51+'ASptISptSSv 4yr'!L51+'PLANT OPER MAIN 4yr'!L51+'SCHOLAR FELLOW 4yr'!L51+'All Other 4yr'!L51)-L51</f>
        <v>0</v>
      </c>
      <c r="AM51" s="130">
        <f>('Instruction-4YR'!M51+'RESEARCH 4yr'!M51+'PUBLIC SERVICE 4yr'!M51+'ASptISptSSv 4yr'!M51+'PLANT OPER MAIN 4yr'!M51+'SCHOLAR FELLOW 4yr'!M51+'All Other 4yr'!M51)-M51</f>
        <v>0</v>
      </c>
      <c r="AN51" s="130">
        <f>('Instruction-4YR'!N51+'RESEARCH 4yr'!N51+'PUBLIC SERVICE 4yr'!N51+'ASptISptSSv 4yr'!N51+'PLANT OPER MAIN 4yr'!N51+'SCHOLAR FELLOW 4yr'!N51+'All Other 4yr'!N51)-N51</f>
        <v>0</v>
      </c>
      <c r="AO51" s="130">
        <f>('Instruction-4YR'!O51+'RESEARCH 4yr'!O51+'PUBLIC SERVICE 4yr'!O51+'ASptISptSSv 4yr'!O51+'PLANT OPER MAIN 4yr'!O51+'SCHOLAR FELLOW 4yr'!O51+'All Other 4yr'!O51)-O51</f>
        <v>0</v>
      </c>
      <c r="AP51" s="130">
        <f>('Instruction-4YR'!P51+'RESEARCH 4yr'!P51+'PUBLIC SERVICE 4yr'!P51+'ASptISptSSv 4yr'!P51+'PLANT OPER MAIN 4yr'!P51+'SCHOLAR FELLOW 4yr'!P51+'All Other 4yr'!P51)-P51</f>
        <v>0</v>
      </c>
      <c r="AQ51" s="130">
        <f>('Instruction-4YR'!Q51+'RESEARCH 4yr'!Q51+'PUBLIC SERVICE 4yr'!Q51+'ASptISptSSv 4yr'!Q51+'PLANT OPER MAIN 4yr'!Q51+'SCHOLAR FELLOW 4yr'!Q51+'All Other 4yr'!Q51)-Q51</f>
        <v>0</v>
      </c>
      <c r="AR51" s="130">
        <f>('Instruction-4YR'!R51+'RESEARCH 4yr'!R51+'PUBLIC SERVICE 4yr'!R51+'ASptISptSSv 4yr'!R51+'PLANT OPER MAIN 4yr'!R51+'SCHOLAR FELLOW 4yr'!R51+'All Other 4yr'!R51)-R51</f>
        <v>0</v>
      </c>
      <c r="AS51" s="130">
        <f>('Instruction-4YR'!S51+'RESEARCH 4yr'!S51+'PUBLIC SERVICE 4yr'!S51+'ASptISptSSv 4yr'!S51+'PLANT OPER MAIN 4yr'!S51+'SCHOLAR FELLOW 4yr'!S51+'All Other 4yr'!S51)-S51</f>
        <v>0</v>
      </c>
      <c r="AT51" s="130">
        <f>('Instruction-4YR'!T51+'RESEARCH 4yr'!T51+'PUBLIC SERVICE 4yr'!T51+'ASptISptSSv 4yr'!T51+'PLANT OPER MAIN 4yr'!T51+'SCHOLAR FELLOW 4yr'!T51+'All Other 4yr'!T51)-T51</f>
        <v>0</v>
      </c>
      <c r="AU51" s="130">
        <f>('Instruction-4YR'!U51+'RESEARCH 4yr'!U51+'PUBLIC SERVICE 4yr'!U51+'ASptISptSSv 4yr'!U51+'PLANT OPER MAIN 4yr'!U51+'SCHOLAR FELLOW 4yr'!U51+'All Other 4yr'!U51)-U51</f>
        <v>0</v>
      </c>
      <c r="AV51" s="130">
        <f>('Instruction-4YR'!V51+'RESEARCH 4yr'!V51+'PUBLIC SERVICE 4yr'!V51+'ASptISptSSv 4yr'!V51+'PLANT OPER MAIN 4yr'!V51+'SCHOLAR FELLOW 4yr'!V51+'All Other 4yr'!V51)-V51</f>
        <v>0</v>
      </c>
      <c r="AW51" s="130">
        <f>('Instruction-4YR'!W51+'RESEARCH 4yr'!W51+'PUBLIC SERVICE 4yr'!W51+'ASptISptSSv 4yr'!W51+'PLANT OPER MAIN 4yr'!W51+'SCHOLAR FELLOW 4yr'!W51+'All Other 4yr'!W51)-W51</f>
        <v>0</v>
      </c>
      <c r="AX51" s="130">
        <f>('Instruction-4YR'!X51+'RESEARCH 4yr'!X51+'PUBLIC SERVICE 4yr'!X51+'ASptISptSSv 4yr'!X51+'PLANT OPER MAIN 4yr'!X51+'SCHOLAR FELLOW 4yr'!X51+'All Other 4yr'!X51)-X51</f>
        <v>0</v>
      </c>
      <c r="AY51" s="130">
        <f>('Instruction-4YR'!Y51+'RESEARCH 4yr'!Y51+'PUBLIC SERVICE 4yr'!Y51+'ASptISptSSv 4yr'!Y51+'PLANT OPER MAIN 4yr'!Y51+'SCHOLAR FELLOW 4yr'!Y51+'All Other 4yr'!Y51)-Y51</f>
        <v>0</v>
      </c>
      <c r="AZ51" s="130">
        <f>('Instruction-4YR'!Z51+'RESEARCH 4yr'!Z51+'PUBLIC SERVICE 4yr'!Z51+'ASptISptSSv 4yr'!Z51+'PLANT OPER MAIN 4yr'!Z51+'SCHOLAR FELLOW 4yr'!Z51+'All Other 4yr'!Z51)-Z51</f>
        <v>0</v>
      </c>
      <c r="BA51" s="130">
        <f>('Instruction-4YR'!AA51+'RESEARCH 4yr'!AA51+'PUBLIC SERVICE 4yr'!AA51+'ASptISptSSv 4yr'!AA51+'PLANT OPER MAIN 4yr'!AA51+'SCHOLAR FELLOW 4yr'!AA51+'All Other 4yr'!AA51)-AA51</f>
        <v>0</v>
      </c>
    </row>
    <row r="52" spans="1:53">
      <c r="A52" s="23" t="s">
        <v>112</v>
      </c>
      <c r="B52" s="37"/>
      <c r="C52" s="37"/>
      <c r="D52" s="37"/>
      <c r="E52" s="37"/>
      <c r="F52" s="77">
        <v>208269.31</v>
      </c>
      <c r="G52" s="37"/>
      <c r="H52" s="37"/>
      <c r="I52" s="37">
        <v>236087.348</v>
      </c>
      <c r="J52" s="37"/>
      <c r="K52" s="37">
        <v>245835.57588999998</v>
      </c>
      <c r="L52" s="37">
        <v>300247.94900000002</v>
      </c>
      <c r="M52" s="37">
        <v>318970.929</v>
      </c>
      <c r="N52" s="37">
        <v>352177.50199999998</v>
      </c>
      <c r="O52" s="37">
        <v>374953.489</v>
      </c>
      <c r="P52" s="37">
        <v>390350.37800000003</v>
      </c>
      <c r="Q52" s="37">
        <v>418491.141</v>
      </c>
      <c r="R52" s="37">
        <v>429692.64399999997</v>
      </c>
      <c r="S52" s="37">
        <v>475150.61700000003</v>
      </c>
      <c r="T52" s="23">
        <v>517285.565</v>
      </c>
      <c r="U52" s="23">
        <v>514529.37099999998</v>
      </c>
      <c r="V52" s="23">
        <v>592095.63600000006</v>
      </c>
      <c r="W52" s="23">
        <v>611684.90399999998</v>
      </c>
      <c r="X52" s="23">
        <v>645036.15899999999</v>
      </c>
      <c r="Y52" s="2">
        <v>619747.978</v>
      </c>
      <c r="Z52" s="2">
        <v>643422.56099999999</v>
      </c>
      <c r="AA52" s="2">
        <v>645285.53200000001</v>
      </c>
      <c r="AB52" s="130">
        <f>('Instruction-4YR'!B52+'RESEARCH 4yr'!B52+'PUBLIC SERVICE 4yr'!B52+'ASptISptSSv 4yr'!B52+'PLANT OPER MAIN 4yr'!B52+'SCHOLAR FELLOW 4yr'!B52+'All Other 4yr'!B52)-B52</f>
        <v>0</v>
      </c>
      <c r="AC52" s="130">
        <f>('Instruction-4YR'!C52+'RESEARCH 4yr'!C52+'PUBLIC SERVICE 4yr'!C52+'ASptISptSSv 4yr'!C52+'PLANT OPER MAIN 4yr'!C52+'SCHOLAR FELLOW 4yr'!C52+'All Other 4yr'!C52)-C52</f>
        <v>0</v>
      </c>
      <c r="AD52" s="130">
        <f>('Instruction-4YR'!D52+'RESEARCH 4yr'!D52+'PUBLIC SERVICE 4yr'!D52+'ASptISptSSv 4yr'!D52+'PLANT OPER MAIN 4yr'!D52+'SCHOLAR FELLOW 4yr'!D52+'All Other 4yr'!D52)-D52</f>
        <v>0</v>
      </c>
      <c r="AE52" s="130">
        <f>('Instruction-4YR'!E52+'RESEARCH 4yr'!E52+'PUBLIC SERVICE 4yr'!E52+'ASptISptSSv 4yr'!E52+'PLANT OPER MAIN 4yr'!E52+'SCHOLAR FELLOW 4yr'!E52+'All Other 4yr'!E52)-E52</f>
        <v>0</v>
      </c>
      <c r="AF52" s="130">
        <f>('Instruction-4YR'!F52+'RESEARCH 4yr'!F52+'PUBLIC SERVICE 4yr'!F52+'ASptISptSSv 4yr'!F52+'PLANT OPER MAIN 4yr'!F52+'SCHOLAR FELLOW 4yr'!F52+'All Other 4yr'!F52)-F52</f>
        <v>0</v>
      </c>
      <c r="AG52" s="130">
        <f>('Instruction-4YR'!G52+'RESEARCH 4yr'!G52+'PUBLIC SERVICE 4yr'!G52+'ASptISptSSv 4yr'!G52+'PLANT OPER MAIN 4yr'!G52+'SCHOLAR FELLOW 4yr'!G52+'All Other 4yr'!G52)-G52</f>
        <v>0</v>
      </c>
      <c r="AH52" s="130">
        <f>('Instruction-4YR'!H52+'RESEARCH 4yr'!H52+'PUBLIC SERVICE 4yr'!H52+'ASptISptSSv 4yr'!H52+'PLANT OPER MAIN 4yr'!H52+'SCHOLAR FELLOW 4yr'!H52+'All Other 4yr'!H52)-H52</f>
        <v>0</v>
      </c>
      <c r="AI52" s="130">
        <f>('Instruction-4YR'!I52+'RESEARCH 4yr'!I52+'PUBLIC SERVICE 4yr'!I52+'ASptISptSSv 4yr'!I52+'PLANT OPER MAIN 4yr'!I52+'SCHOLAR FELLOW 4yr'!I52+'All Other 4yr'!I52)-I52</f>
        <v>0</v>
      </c>
      <c r="AJ52" s="130">
        <f>('Instruction-4YR'!J52+'RESEARCH 4yr'!J52+'PUBLIC SERVICE 4yr'!J52+'ASptISptSSv 4yr'!J52+'PLANT OPER MAIN 4yr'!J52+'SCHOLAR FELLOW 4yr'!J52+'All Other 4yr'!J52)-J52</f>
        <v>0</v>
      </c>
      <c r="AK52" s="130">
        <f>('Instruction-4YR'!K52+'RESEARCH 4yr'!K52+'PUBLIC SERVICE 4yr'!K52+'ASptISptSSv 4yr'!K52+'PLANT OPER MAIN 4yr'!K52+'SCHOLAR FELLOW 4yr'!K52+'All Other 4yr'!K52)-K52</f>
        <v>0</v>
      </c>
      <c r="AL52" s="130">
        <f>('Instruction-4YR'!L52+'RESEARCH 4yr'!L52+'PUBLIC SERVICE 4yr'!L52+'ASptISptSSv 4yr'!L52+'PLANT OPER MAIN 4yr'!L52+'SCHOLAR FELLOW 4yr'!L52+'All Other 4yr'!L52)-L52</f>
        <v>0</v>
      </c>
      <c r="AM52" s="130">
        <f>('Instruction-4YR'!M52+'RESEARCH 4yr'!M52+'PUBLIC SERVICE 4yr'!M52+'ASptISptSSv 4yr'!M52+'PLANT OPER MAIN 4yr'!M52+'SCHOLAR FELLOW 4yr'!M52+'All Other 4yr'!M52)-M52</f>
        <v>0</v>
      </c>
      <c r="AN52" s="130">
        <f>('Instruction-4YR'!N52+'RESEARCH 4yr'!N52+'PUBLIC SERVICE 4yr'!N52+'ASptISptSSv 4yr'!N52+'PLANT OPER MAIN 4yr'!N52+'SCHOLAR FELLOW 4yr'!N52+'All Other 4yr'!N52)-N52</f>
        <v>0</v>
      </c>
      <c r="AO52" s="130">
        <f>('Instruction-4YR'!O52+'RESEARCH 4yr'!O52+'PUBLIC SERVICE 4yr'!O52+'ASptISptSSv 4yr'!O52+'PLANT OPER MAIN 4yr'!O52+'SCHOLAR FELLOW 4yr'!O52+'All Other 4yr'!O52)-O52</f>
        <v>0</v>
      </c>
      <c r="AP52" s="130">
        <f>('Instruction-4YR'!P52+'RESEARCH 4yr'!P52+'PUBLIC SERVICE 4yr'!P52+'ASptISptSSv 4yr'!P52+'PLANT OPER MAIN 4yr'!P52+'SCHOLAR FELLOW 4yr'!P52+'All Other 4yr'!P52)-P52</f>
        <v>0</v>
      </c>
      <c r="AQ52" s="130">
        <f>('Instruction-4YR'!Q52+'RESEARCH 4yr'!Q52+'PUBLIC SERVICE 4yr'!Q52+'ASptISptSSv 4yr'!Q52+'PLANT OPER MAIN 4yr'!Q52+'SCHOLAR FELLOW 4yr'!Q52+'All Other 4yr'!Q52)-Q52</f>
        <v>0</v>
      </c>
      <c r="AR52" s="130">
        <f>('Instruction-4YR'!R52+'RESEARCH 4yr'!R52+'PUBLIC SERVICE 4yr'!R52+'ASptISptSSv 4yr'!R52+'PLANT OPER MAIN 4yr'!R52+'SCHOLAR FELLOW 4yr'!R52+'All Other 4yr'!R52)-R52</f>
        <v>0</v>
      </c>
      <c r="AS52" s="130">
        <f>('Instruction-4YR'!S52+'RESEARCH 4yr'!S52+'PUBLIC SERVICE 4yr'!S52+'ASptISptSSv 4yr'!S52+'PLANT OPER MAIN 4yr'!S52+'SCHOLAR FELLOW 4yr'!S52+'All Other 4yr'!S52)-S52</f>
        <v>0</v>
      </c>
      <c r="AT52" s="130">
        <f>('Instruction-4YR'!T52+'RESEARCH 4yr'!T52+'PUBLIC SERVICE 4yr'!T52+'ASptISptSSv 4yr'!T52+'PLANT OPER MAIN 4yr'!T52+'SCHOLAR FELLOW 4yr'!T52+'All Other 4yr'!T52)-T52</f>
        <v>0</v>
      </c>
      <c r="AU52" s="130">
        <f>('Instruction-4YR'!U52+'RESEARCH 4yr'!U52+'PUBLIC SERVICE 4yr'!U52+'ASptISptSSv 4yr'!U52+'PLANT OPER MAIN 4yr'!U52+'SCHOLAR FELLOW 4yr'!U52+'All Other 4yr'!U52)-U52</f>
        <v>0</v>
      </c>
      <c r="AV52" s="130">
        <f>('Instruction-4YR'!V52+'RESEARCH 4yr'!V52+'PUBLIC SERVICE 4yr'!V52+'ASptISptSSv 4yr'!V52+'PLANT OPER MAIN 4yr'!V52+'SCHOLAR FELLOW 4yr'!V52+'All Other 4yr'!V52)-V52</f>
        <v>0</v>
      </c>
      <c r="AW52" s="130">
        <f>('Instruction-4YR'!W52+'RESEARCH 4yr'!W52+'PUBLIC SERVICE 4yr'!W52+'ASptISptSSv 4yr'!W52+'PLANT OPER MAIN 4yr'!W52+'SCHOLAR FELLOW 4yr'!W52+'All Other 4yr'!W52)-W52</f>
        <v>0</v>
      </c>
      <c r="AX52" s="130">
        <f>('Instruction-4YR'!X52+'RESEARCH 4yr'!X52+'PUBLIC SERVICE 4yr'!X52+'ASptISptSSv 4yr'!X52+'PLANT OPER MAIN 4yr'!X52+'SCHOLAR FELLOW 4yr'!X52+'All Other 4yr'!X52)-X52</f>
        <v>0</v>
      </c>
      <c r="AY52" s="130">
        <f>('Instruction-4YR'!Y52+'RESEARCH 4yr'!Y52+'PUBLIC SERVICE 4yr'!Y52+'ASptISptSSv 4yr'!Y52+'PLANT OPER MAIN 4yr'!Y52+'SCHOLAR FELLOW 4yr'!Y52+'All Other 4yr'!Y52)-Y52</f>
        <v>0</v>
      </c>
      <c r="AZ52" s="130">
        <f>('Instruction-4YR'!Z52+'RESEARCH 4yr'!Z52+'PUBLIC SERVICE 4yr'!Z52+'ASptISptSSv 4yr'!Z52+'PLANT OPER MAIN 4yr'!Z52+'SCHOLAR FELLOW 4yr'!Z52+'All Other 4yr'!Z52)-Z52</f>
        <v>0</v>
      </c>
      <c r="BA52" s="130">
        <f>('Instruction-4YR'!AA52+'RESEARCH 4yr'!AA52+'PUBLIC SERVICE 4yr'!AA52+'ASptISptSSv 4yr'!AA52+'PLANT OPER MAIN 4yr'!AA52+'SCHOLAR FELLOW 4yr'!AA52+'All Other 4yr'!AA52)-AA52</f>
        <v>0</v>
      </c>
    </row>
    <row r="53" spans="1:53">
      <c r="A53" s="45" t="s">
        <v>116</v>
      </c>
      <c r="B53" s="63"/>
      <c r="C53" s="63"/>
      <c r="D53" s="63"/>
      <c r="E53" s="63"/>
      <c r="F53" s="82">
        <v>1746639.0759999999</v>
      </c>
      <c r="G53" s="63"/>
      <c r="H53" s="63"/>
      <c r="I53" s="63">
        <v>1913881.9269999999</v>
      </c>
      <c r="J53" s="63"/>
      <c r="K53" s="63">
        <v>2028908.5319999999</v>
      </c>
      <c r="L53" s="63">
        <v>2461042.733</v>
      </c>
      <c r="M53" s="63">
        <v>2678928.6690000002</v>
      </c>
      <c r="N53" s="63">
        <v>2596426.7370000002</v>
      </c>
      <c r="O53" s="63">
        <v>2746927.9750000001</v>
      </c>
      <c r="P53" s="63">
        <v>2957774.1</v>
      </c>
      <c r="Q53" s="63">
        <v>3051822.0789999999</v>
      </c>
      <c r="R53" s="63">
        <v>3169107.1290000002</v>
      </c>
      <c r="S53" s="63">
        <v>3423237.6579999998</v>
      </c>
      <c r="T53" s="45">
        <v>3630570.0610000002</v>
      </c>
      <c r="U53" s="45">
        <v>3864452.9010000001</v>
      </c>
      <c r="V53" s="45">
        <v>3817014.3769999999</v>
      </c>
      <c r="W53" s="45">
        <v>3971137.966</v>
      </c>
      <c r="X53" s="45">
        <v>4000914.5780000002</v>
      </c>
      <c r="Y53" s="45">
        <v>4058402.84</v>
      </c>
      <c r="Z53" s="45">
        <v>4250544.1380000003</v>
      </c>
      <c r="AA53" s="45">
        <v>4282825.0049999999</v>
      </c>
      <c r="AB53" s="130">
        <f>('Instruction-4YR'!B53+'RESEARCH 4yr'!B53+'PUBLIC SERVICE 4yr'!B53+'ASptISptSSv 4yr'!B53+'PLANT OPER MAIN 4yr'!B53+'SCHOLAR FELLOW 4yr'!B53+'All Other 4yr'!B53)-B53</f>
        <v>0</v>
      </c>
      <c r="AC53" s="130">
        <f>('Instruction-4YR'!C53+'RESEARCH 4yr'!C53+'PUBLIC SERVICE 4yr'!C53+'ASptISptSSv 4yr'!C53+'PLANT OPER MAIN 4yr'!C53+'SCHOLAR FELLOW 4yr'!C53+'All Other 4yr'!C53)-C53</f>
        <v>0</v>
      </c>
      <c r="AD53" s="130">
        <f>('Instruction-4YR'!D53+'RESEARCH 4yr'!D53+'PUBLIC SERVICE 4yr'!D53+'ASptISptSSv 4yr'!D53+'PLANT OPER MAIN 4yr'!D53+'SCHOLAR FELLOW 4yr'!D53+'All Other 4yr'!D53)-D53</f>
        <v>0</v>
      </c>
      <c r="AE53" s="130">
        <f>('Instruction-4YR'!E53+'RESEARCH 4yr'!E53+'PUBLIC SERVICE 4yr'!E53+'ASptISptSSv 4yr'!E53+'PLANT OPER MAIN 4yr'!E53+'SCHOLAR FELLOW 4yr'!E53+'All Other 4yr'!E53)-E53</f>
        <v>0</v>
      </c>
      <c r="AF53" s="130">
        <f>('Instruction-4YR'!F53+'RESEARCH 4yr'!F53+'PUBLIC SERVICE 4yr'!F53+'ASptISptSSv 4yr'!F53+'PLANT OPER MAIN 4yr'!F53+'SCHOLAR FELLOW 4yr'!F53+'All Other 4yr'!F53)-F53</f>
        <v>0</v>
      </c>
      <c r="AG53" s="130">
        <f>('Instruction-4YR'!G53+'RESEARCH 4yr'!G53+'PUBLIC SERVICE 4yr'!G53+'ASptISptSSv 4yr'!G53+'PLANT OPER MAIN 4yr'!G53+'SCHOLAR FELLOW 4yr'!G53+'All Other 4yr'!G53)-G53</f>
        <v>0</v>
      </c>
      <c r="AH53" s="130">
        <f>('Instruction-4YR'!H53+'RESEARCH 4yr'!H53+'PUBLIC SERVICE 4yr'!H53+'ASptISptSSv 4yr'!H53+'PLANT OPER MAIN 4yr'!H53+'SCHOLAR FELLOW 4yr'!H53+'All Other 4yr'!H53)-H53</f>
        <v>0</v>
      </c>
      <c r="AI53" s="130">
        <f>('Instruction-4YR'!I53+'RESEARCH 4yr'!I53+'PUBLIC SERVICE 4yr'!I53+'ASptISptSSv 4yr'!I53+'PLANT OPER MAIN 4yr'!I53+'SCHOLAR FELLOW 4yr'!I53+'All Other 4yr'!I53)-I53</f>
        <v>0</v>
      </c>
      <c r="AJ53" s="130">
        <f>('Instruction-4YR'!J53+'RESEARCH 4yr'!J53+'PUBLIC SERVICE 4yr'!J53+'ASptISptSSv 4yr'!J53+'PLANT OPER MAIN 4yr'!J53+'SCHOLAR FELLOW 4yr'!J53+'All Other 4yr'!J53)-J53</f>
        <v>0</v>
      </c>
      <c r="AK53" s="130">
        <f>('Instruction-4YR'!K53+'RESEARCH 4yr'!K53+'PUBLIC SERVICE 4yr'!K53+'ASptISptSSv 4yr'!K53+'PLANT OPER MAIN 4yr'!K53+'SCHOLAR FELLOW 4yr'!K53+'All Other 4yr'!K53)-K53</f>
        <v>0</v>
      </c>
      <c r="AL53" s="130">
        <f>('Instruction-4YR'!L53+'RESEARCH 4yr'!L53+'PUBLIC SERVICE 4yr'!L53+'ASptISptSSv 4yr'!L53+'PLANT OPER MAIN 4yr'!L53+'SCHOLAR FELLOW 4yr'!L53+'All Other 4yr'!L53)-L53</f>
        <v>0</v>
      </c>
      <c r="AM53" s="130">
        <f>('Instruction-4YR'!M53+'RESEARCH 4yr'!M53+'PUBLIC SERVICE 4yr'!M53+'ASptISptSSv 4yr'!M53+'PLANT OPER MAIN 4yr'!M53+'SCHOLAR FELLOW 4yr'!M53+'All Other 4yr'!M53)-M53</f>
        <v>0</v>
      </c>
      <c r="AN53" s="130">
        <f>('Instruction-4YR'!N53+'RESEARCH 4yr'!N53+'PUBLIC SERVICE 4yr'!N53+'ASptISptSSv 4yr'!N53+'PLANT OPER MAIN 4yr'!N53+'SCHOLAR FELLOW 4yr'!N53+'All Other 4yr'!N53)-N53</f>
        <v>0</v>
      </c>
      <c r="AO53" s="130">
        <f>('Instruction-4YR'!O53+'RESEARCH 4yr'!O53+'PUBLIC SERVICE 4yr'!O53+'ASptISptSSv 4yr'!O53+'PLANT OPER MAIN 4yr'!O53+'SCHOLAR FELLOW 4yr'!O53+'All Other 4yr'!O53)-O53</f>
        <v>0</v>
      </c>
      <c r="AP53" s="130">
        <f>('Instruction-4YR'!P53+'RESEARCH 4yr'!P53+'PUBLIC SERVICE 4yr'!P53+'ASptISptSSv 4yr'!P53+'PLANT OPER MAIN 4yr'!P53+'SCHOLAR FELLOW 4yr'!P53+'All Other 4yr'!P53)-P53</f>
        <v>0</v>
      </c>
      <c r="AQ53" s="130">
        <f>('Instruction-4YR'!Q53+'RESEARCH 4yr'!Q53+'PUBLIC SERVICE 4yr'!Q53+'ASptISptSSv 4yr'!Q53+'PLANT OPER MAIN 4yr'!Q53+'SCHOLAR FELLOW 4yr'!Q53+'All Other 4yr'!Q53)-Q53</f>
        <v>0</v>
      </c>
      <c r="AR53" s="130">
        <f>('Instruction-4YR'!R53+'RESEARCH 4yr'!R53+'PUBLIC SERVICE 4yr'!R53+'ASptISptSSv 4yr'!R53+'PLANT OPER MAIN 4yr'!R53+'SCHOLAR FELLOW 4yr'!R53+'All Other 4yr'!R53)-R53</f>
        <v>0</v>
      </c>
      <c r="AS53" s="130">
        <f>('Instruction-4YR'!S53+'RESEARCH 4yr'!S53+'PUBLIC SERVICE 4yr'!S53+'ASptISptSSv 4yr'!S53+'PLANT OPER MAIN 4yr'!S53+'SCHOLAR FELLOW 4yr'!S53+'All Other 4yr'!S53)-S53</f>
        <v>0</v>
      </c>
      <c r="AT53" s="130">
        <f>('Instruction-4YR'!T53+'RESEARCH 4yr'!T53+'PUBLIC SERVICE 4yr'!T53+'ASptISptSSv 4yr'!T53+'PLANT OPER MAIN 4yr'!T53+'SCHOLAR FELLOW 4yr'!T53+'All Other 4yr'!T53)-T53</f>
        <v>0</v>
      </c>
      <c r="AU53" s="130">
        <f>('Instruction-4YR'!U53+'RESEARCH 4yr'!U53+'PUBLIC SERVICE 4yr'!U53+'ASptISptSSv 4yr'!U53+'PLANT OPER MAIN 4yr'!U53+'SCHOLAR FELLOW 4yr'!U53+'All Other 4yr'!U53)-U53</f>
        <v>0</v>
      </c>
      <c r="AV53" s="130">
        <f>('Instruction-4YR'!V53+'RESEARCH 4yr'!V53+'PUBLIC SERVICE 4yr'!V53+'ASptISptSSv 4yr'!V53+'PLANT OPER MAIN 4yr'!V53+'SCHOLAR FELLOW 4yr'!V53+'All Other 4yr'!V53)-V53</f>
        <v>0</v>
      </c>
      <c r="AW53" s="130">
        <f>('Instruction-4YR'!W53+'RESEARCH 4yr'!W53+'PUBLIC SERVICE 4yr'!W53+'ASptISptSSv 4yr'!W53+'PLANT OPER MAIN 4yr'!W53+'SCHOLAR FELLOW 4yr'!W53+'All Other 4yr'!W53)-W53</f>
        <v>0</v>
      </c>
      <c r="AX53" s="130">
        <f>('Instruction-4YR'!X53+'RESEARCH 4yr'!X53+'PUBLIC SERVICE 4yr'!X53+'ASptISptSSv 4yr'!X53+'PLANT OPER MAIN 4yr'!X53+'SCHOLAR FELLOW 4yr'!X53+'All Other 4yr'!X53)-X53</f>
        <v>0</v>
      </c>
      <c r="AY53" s="130">
        <f>('Instruction-4YR'!Y53+'RESEARCH 4yr'!Y53+'PUBLIC SERVICE 4yr'!Y53+'ASptISptSSv 4yr'!Y53+'PLANT OPER MAIN 4yr'!Y53+'SCHOLAR FELLOW 4yr'!Y53+'All Other 4yr'!Y53)-Y53</f>
        <v>0</v>
      </c>
      <c r="AZ53" s="130">
        <f>('Instruction-4YR'!Z53+'RESEARCH 4yr'!Z53+'PUBLIC SERVICE 4yr'!Z53+'ASptISptSSv 4yr'!Z53+'PLANT OPER MAIN 4yr'!Z53+'SCHOLAR FELLOW 4yr'!Z53+'All Other 4yr'!Z53)-Z53</f>
        <v>0</v>
      </c>
      <c r="BA53" s="130">
        <f>('Instruction-4YR'!AA53+'RESEARCH 4yr'!AA53+'PUBLIC SERVICE 4yr'!AA53+'ASptISptSSv 4yr'!AA53+'PLANT OPER MAIN 4yr'!AA53+'SCHOLAR FELLOW 4yr'!AA53+'All Other 4yr'!AA53)-AA53</f>
        <v>0</v>
      </c>
    </row>
    <row r="54" spans="1:53">
      <c r="A54" s="79" t="s">
        <v>122</v>
      </c>
      <c r="B54" s="90">
        <f>SUM(B56:B64)</f>
        <v>0</v>
      </c>
      <c r="C54" s="90">
        <f t="shared" ref="C54:AA54" si="11">SUM(C56:C64)</f>
        <v>0</v>
      </c>
      <c r="D54" s="90">
        <f t="shared" si="11"/>
        <v>0</v>
      </c>
      <c r="E54" s="90">
        <f t="shared" si="11"/>
        <v>0</v>
      </c>
      <c r="F54" s="90">
        <f t="shared" si="11"/>
        <v>9809798.5979999974</v>
      </c>
      <c r="G54" s="90">
        <f t="shared" si="11"/>
        <v>0</v>
      </c>
      <c r="H54" s="90">
        <f t="shared" si="11"/>
        <v>0</v>
      </c>
      <c r="I54" s="90">
        <f t="shared" si="11"/>
        <v>11488428.529000001</v>
      </c>
      <c r="J54" s="90">
        <f t="shared" si="11"/>
        <v>0</v>
      </c>
      <c r="K54" s="90">
        <f t="shared" si="11"/>
        <v>13303187.537999997</v>
      </c>
      <c r="L54" s="90">
        <f t="shared" si="11"/>
        <v>14355691.305000002</v>
      </c>
      <c r="M54" s="90">
        <f t="shared" si="11"/>
        <v>14729611.147</v>
      </c>
      <c r="N54" s="90">
        <f t="shared" si="11"/>
        <v>14604227.084000001</v>
      </c>
      <c r="O54" s="90">
        <f t="shared" si="11"/>
        <v>13552764.840999998</v>
      </c>
      <c r="P54" s="90">
        <f t="shared" si="11"/>
        <v>14410979.005000001</v>
      </c>
      <c r="Q54" s="90">
        <f t="shared" si="11"/>
        <v>17423564.274</v>
      </c>
      <c r="R54" s="90">
        <f t="shared" si="11"/>
        <v>17896992.756999999</v>
      </c>
      <c r="S54" s="90">
        <f t="shared" si="11"/>
        <v>19274531.454999998</v>
      </c>
      <c r="T54" s="90">
        <f t="shared" si="11"/>
        <v>20457165.549000002</v>
      </c>
      <c r="U54" s="90">
        <f t="shared" si="11"/>
        <v>19286260.318999998</v>
      </c>
      <c r="V54" s="90">
        <f t="shared" si="11"/>
        <v>21906760.593999997</v>
      </c>
      <c r="W54" s="90">
        <f t="shared" si="11"/>
        <v>23343123.076000001</v>
      </c>
      <c r="X54" s="90">
        <f t="shared" si="11"/>
        <v>23466354.151999999</v>
      </c>
      <c r="Y54" s="90">
        <f t="shared" si="11"/>
        <v>22862763.078999996</v>
      </c>
      <c r="Z54" s="90">
        <f t="shared" si="11"/>
        <v>24571034.355999999</v>
      </c>
      <c r="AA54" s="90">
        <f t="shared" si="11"/>
        <v>25408557.356000002</v>
      </c>
      <c r="AB54" s="130"/>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row>
    <row r="55" spans="1:53">
      <c r="A55" s="79" t="s">
        <v>119</v>
      </c>
      <c r="B55" s="37"/>
      <c r="C55" s="37"/>
      <c r="D55" s="37"/>
      <c r="E55" s="37"/>
      <c r="F55" s="37"/>
      <c r="G55" s="37"/>
      <c r="H55" s="37"/>
      <c r="I55" s="37"/>
      <c r="J55" s="37"/>
      <c r="K55" s="37"/>
      <c r="L55" s="37"/>
      <c r="M55" s="37"/>
      <c r="N55" s="37"/>
      <c r="O55" s="37"/>
      <c r="P55" s="37"/>
      <c r="Q55" s="37"/>
      <c r="R55" s="37"/>
      <c r="S55" s="37"/>
      <c r="T55" s="23"/>
      <c r="U55" s="23"/>
      <c r="V55" s="23"/>
      <c r="W55" s="23"/>
      <c r="X55" s="23"/>
      <c r="Y55" s="2">
        <v>0</v>
      </c>
      <c r="AB55" s="130"/>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130"/>
    </row>
    <row r="56" spans="1:53">
      <c r="A56" s="23" t="s">
        <v>89</v>
      </c>
      <c r="B56" s="36"/>
      <c r="C56" s="36"/>
      <c r="D56" s="36"/>
      <c r="E56" s="36"/>
      <c r="F56" s="77">
        <v>623975.47699999996</v>
      </c>
      <c r="G56" s="36"/>
      <c r="H56" s="36"/>
      <c r="I56" s="37">
        <v>755227.08799999999</v>
      </c>
      <c r="J56" s="37"/>
      <c r="K56" s="37">
        <v>758835.92099999997</v>
      </c>
      <c r="L56" s="37">
        <v>989442.17500000005</v>
      </c>
      <c r="M56" s="37">
        <v>1008456.02</v>
      </c>
      <c r="N56" s="37">
        <v>1346676.8770000001</v>
      </c>
      <c r="O56" s="37">
        <v>1458470.645</v>
      </c>
      <c r="P56" s="37">
        <v>1509608.0759999999</v>
      </c>
      <c r="Q56" s="37">
        <v>1754806.423</v>
      </c>
      <c r="R56" s="37">
        <v>1763148.3319999999</v>
      </c>
      <c r="S56" s="37">
        <v>1833829.851</v>
      </c>
      <c r="T56" s="23">
        <v>1978363.412</v>
      </c>
      <c r="U56" s="23">
        <v>1839676.64</v>
      </c>
      <c r="V56" s="23">
        <v>1830287.564</v>
      </c>
      <c r="W56" s="23">
        <v>1953061.365</v>
      </c>
      <c r="X56" s="23">
        <v>1922807.1089999999</v>
      </c>
      <c r="Y56" s="2">
        <v>1983598.4450000001</v>
      </c>
      <c r="Z56" s="2">
        <v>2117590.4219999998</v>
      </c>
      <c r="AA56" s="2">
        <v>2266547.5619999999</v>
      </c>
      <c r="AB56" s="130">
        <f>('Instruction-4YR'!B56+'RESEARCH 4yr'!B56+'PUBLIC SERVICE 4yr'!B56+'ASptISptSSv 4yr'!B56+'PLANT OPER MAIN 4yr'!B56+'SCHOLAR FELLOW 4yr'!B56+'All Other 4yr'!B56)-B56</f>
        <v>0</v>
      </c>
      <c r="AC56" s="130">
        <f>('Instruction-4YR'!C56+'RESEARCH 4yr'!C56+'PUBLIC SERVICE 4yr'!C56+'ASptISptSSv 4yr'!C56+'PLANT OPER MAIN 4yr'!C56+'SCHOLAR FELLOW 4yr'!C56+'All Other 4yr'!C56)-C56</f>
        <v>0</v>
      </c>
      <c r="AD56" s="130">
        <f>('Instruction-4YR'!D56+'RESEARCH 4yr'!D56+'PUBLIC SERVICE 4yr'!D56+'ASptISptSSv 4yr'!D56+'PLANT OPER MAIN 4yr'!D56+'SCHOLAR FELLOW 4yr'!D56+'All Other 4yr'!D56)-D56</f>
        <v>0</v>
      </c>
      <c r="AE56" s="130">
        <f>('Instruction-4YR'!E56+'RESEARCH 4yr'!E56+'PUBLIC SERVICE 4yr'!E56+'ASptISptSSv 4yr'!E56+'PLANT OPER MAIN 4yr'!E56+'SCHOLAR FELLOW 4yr'!E56+'All Other 4yr'!E56)-E56</f>
        <v>0</v>
      </c>
      <c r="AF56" s="130">
        <f>('Instruction-4YR'!F56+'RESEARCH 4yr'!F56+'PUBLIC SERVICE 4yr'!F56+'ASptISptSSv 4yr'!F56+'PLANT OPER MAIN 4yr'!F56+'SCHOLAR FELLOW 4yr'!F56+'All Other 4yr'!F56)-F56</f>
        <v>0</v>
      </c>
      <c r="AG56" s="130">
        <f>('Instruction-4YR'!G56+'RESEARCH 4yr'!G56+'PUBLIC SERVICE 4yr'!G56+'ASptISptSSv 4yr'!G56+'PLANT OPER MAIN 4yr'!G56+'SCHOLAR FELLOW 4yr'!G56+'All Other 4yr'!G56)-G56</f>
        <v>0</v>
      </c>
      <c r="AH56" s="130">
        <f>('Instruction-4YR'!H56+'RESEARCH 4yr'!H56+'PUBLIC SERVICE 4yr'!H56+'ASptISptSSv 4yr'!H56+'PLANT OPER MAIN 4yr'!H56+'SCHOLAR FELLOW 4yr'!H56+'All Other 4yr'!H56)-H56</f>
        <v>0</v>
      </c>
      <c r="AI56" s="130">
        <f>('Instruction-4YR'!I56+'RESEARCH 4yr'!I56+'PUBLIC SERVICE 4yr'!I56+'ASptISptSSv 4yr'!I56+'PLANT OPER MAIN 4yr'!I56+'SCHOLAR FELLOW 4yr'!I56+'All Other 4yr'!I56)-I56</f>
        <v>0</v>
      </c>
      <c r="AJ56" s="130">
        <f>('Instruction-4YR'!J56+'RESEARCH 4yr'!J56+'PUBLIC SERVICE 4yr'!J56+'ASptISptSSv 4yr'!J56+'PLANT OPER MAIN 4yr'!J56+'SCHOLAR FELLOW 4yr'!J56+'All Other 4yr'!J56)-J56</f>
        <v>0</v>
      </c>
      <c r="AK56" s="130">
        <f>('Instruction-4YR'!K56+'RESEARCH 4yr'!K56+'PUBLIC SERVICE 4yr'!K56+'ASptISptSSv 4yr'!K56+'PLANT OPER MAIN 4yr'!K56+'SCHOLAR FELLOW 4yr'!K56+'All Other 4yr'!K56)-K56</f>
        <v>0</v>
      </c>
      <c r="AL56" s="130">
        <f>('Instruction-4YR'!L56+'RESEARCH 4yr'!L56+'PUBLIC SERVICE 4yr'!L56+'ASptISptSSv 4yr'!L56+'PLANT OPER MAIN 4yr'!L56+'SCHOLAR FELLOW 4yr'!L56+'All Other 4yr'!L56)-L56</f>
        <v>0</v>
      </c>
      <c r="AM56" s="130">
        <f>('Instruction-4YR'!M56+'RESEARCH 4yr'!M56+'PUBLIC SERVICE 4yr'!M56+'ASptISptSSv 4yr'!M56+'PLANT OPER MAIN 4yr'!M56+'SCHOLAR FELLOW 4yr'!M56+'All Other 4yr'!M56)-M56</f>
        <v>0</v>
      </c>
      <c r="AN56" s="130">
        <f>('Instruction-4YR'!N56+'RESEARCH 4yr'!N56+'PUBLIC SERVICE 4yr'!N56+'ASptISptSSv 4yr'!N56+'PLANT OPER MAIN 4yr'!N56+'SCHOLAR FELLOW 4yr'!N56+'All Other 4yr'!N56)-N56</f>
        <v>0</v>
      </c>
      <c r="AO56" s="130">
        <f>('Instruction-4YR'!O56+'RESEARCH 4yr'!O56+'PUBLIC SERVICE 4yr'!O56+'ASptISptSSv 4yr'!O56+'PLANT OPER MAIN 4yr'!O56+'SCHOLAR FELLOW 4yr'!O56+'All Other 4yr'!O56)-O56</f>
        <v>0</v>
      </c>
      <c r="AP56" s="130">
        <f>('Instruction-4YR'!P56+'RESEARCH 4yr'!P56+'PUBLIC SERVICE 4yr'!P56+'ASptISptSSv 4yr'!P56+'PLANT OPER MAIN 4yr'!P56+'SCHOLAR FELLOW 4yr'!P56+'All Other 4yr'!P56)-P56</f>
        <v>0</v>
      </c>
      <c r="AQ56" s="130">
        <f>('Instruction-4YR'!Q56+'RESEARCH 4yr'!Q56+'PUBLIC SERVICE 4yr'!Q56+'ASptISptSSv 4yr'!Q56+'PLANT OPER MAIN 4yr'!Q56+'SCHOLAR FELLOW 4yr'!Q56+'All Other 4yr'!Q56)-Q56</f>
        <v>0</v>
      </c>
      <c r="AR56" s="130">
        <f>('Instruction-4YR'!R56+'RESEARCH 4yr'!R56+'PUBLIC SERVICE 4yr'!R56+'ASptISptSSv 4yr'!R56+'PLANT OPER MAIN 4yr'!R56+'SCHOLAR FELLOW 4yr'!R56+'All Other 4yr'!R56)-R56</f>
        <v>0</v>
      </c>
      <c r="AS56" s="130">
        <f>('Instruction-4YR'!S56+'RESEARCH 4yr'!S56+'PUBLIC SERVICE 4yr'!S56+'ASptISptSSv 4yr'!S56+'PLANT OPER MAIN 4yr'!S56+'SCHOLAR FELLOW 4yr'!S56+'All Other 4yr'!S56)-S56</f>
        <v>0</v>
      </c>
      <c r="AT56" s="130">
        <f>('Instruction-4YR'!T56+'RESEARCH 4yr'!T56+'PUBLIC SERVICE 4yr'!T56+'ASptISptSSv 4yr'!T56+'PLANT OPER MAIN 4yr'!T56+'SCHOLAR FELLOW 4yr'!T56+'All Other 4yr'!T56)-T56</f>
        <v>0</v>
      </c>
      <c r="AU56" s="130">
        <f>('Instruction-4YR'!U56+'RESEARCH 4yr'!U56+'PUBLIC SERVICE 4yr'!U56+'ASptISptSSv 4yr'!U56+'PLANT OPER MAIN 4yr'!U56+'SCHOLAR FELLOW 4yr'!U56+'All Other 4yr'!U56)-U56</f>
        <v>0</v>
      </c>
      <c r="AV56" s="130">
        <f>('Instruction-4YR'!V56+'RESEARCH 4yr'!V56+'PUBLIC SERVICE 4yr'!V56+'ASptISptSSv 4yr'!V56+'PLANT OPER MAIN 4yr'!V56+'SCHOLAR FELLOW 4yr'!V56+'All Other 4yr'!V56)-V56</f>
        <v>0</v>
      </c>
      <c r="AW56" s="130">
        <f>('Instruction-4YR'!W56+'RESEARCH 4yr'!W56+'PUBLIC SERVICE 4yr'!W56+'ASptISptSSv 4yr'!W56+'PLANT OPER MAIN 4yr'!W56+'SCHOLAR FELLOW 4yr'!W56+'All Other 4yr'!W56)-W56</f>
        <v>0</v>
      </c>
      <c r="AX56" s="130">
        <f>('Instruction-4YR'!X56+'RESEARCH 4yr'!X56+'PUBLIC SERVICE 4yr'!X56+'ASptISptSSv 4yr'!X56+'PLANT OPER MAIN 4yr'!X56+'SCHOLAR FELLOW 4yr'!X56+'All Other 4yr'!X56)-X56</f>
        <v>0</v>
      </c>
      <c r="AY56" s="130">
        <f>('Instruction-4YR'!Y56+'RESEARCH 4yr'!Y56+'PUBLIC SERVICE 4yr'!Y56+'ASptISptSSv 4yr'!Y56+'PLANT OPER MAIN 4yr'!Y56+'SCHOLAR FELLOW 4yr'!Y56+'All Other 4yr'!Y56)-Y56</f>
        <v>0</v>
      </c>
      <c r="AZ56" s="130">
        <f>('Instruction-4YR'!Z56+'RESEARCH 4yr'!Z56+'PUBLIC SERVICE 4yr'!Z56+'ASptISptSSv 4yr'!Z56+'PLANT OPER MAIN 4yr'!Z56+'SCHOLAR FELLOW 4yr'!Z56+'All Other 4yr'!Z56)-Z56</f>
        <v>0</v>
      </c>
      <c r="BA56" s="130">
        <f>('Instruction-4YR'!AA56+'RESEARCH 4yr'!AA56+'PUBLIC SERVICE 4yr'!AA56+'ASptISptSSv 4yr'!AA56+'PLANT OPER MAIN 4yr'!AA56+'SCHOLAR FELLOW 4yr'!AA56+'All Other 4yr'!AA56)-AA56</f>
        <v>0</v>
      </c>
    </row>
    <row r="57" spans="1:53">
      <c r="A57" s="23" t="s">
        <v>96</v>
      </c>
      <c r="B57" s="36"/>
      <c r="C57" s="36"/>
      <c r="D57" s="36"/>
      <c r="E57" s="36"/>
      <c r="F57" s="77">
        <v>282933.28600000002</v>
      </c>
      <c r="G57" s="36"/>
      <c r="H57" s="36"/>
      <c r="I57" s="37">
        <v>305907.20899999997</v>
      </c>
      <c r="J57" s="37"/>
      <c r="K57" s="37">
        <v>349688.99300000002</v>
      </c>
      <c r="L57" s="37">
        <v>393778.03700000001</v>
      </c>
      <c r="M57" s="37">
        <v>424684.15100000001</v>
      </c>
      <c r="N57" s="37">
        <v>482622.78600000002</v>
      </c>
      <c r="O57" s="37">
        <v>515466.1</v>
      </c>
      <c r="P57" s="37">
        <v>539611.41899999999</v>
      </c>
      <c r="Q57" s="37">
        <v>554059.05599999998</v>
      </c>
      <c r="R57" s="37">
        <v>571236.94200000004</v>
      </c>
      <c r="S57" s="37">
        <v>595952.42700000003</v>
      </c>
      <c r="T57" s="23">
        <v>632047.27599999995</v>
      </c>
      <c r="U57" s="23">
        <v>653245.10199999996</v>
      </c>
      <c r="V57" s="23">
        <v>658914.39</v>
      </c>
      <c r="W57" s="23">
        <v>680930.87199999997</v>
      </c>
      <c r="X57" s="23">
        <v>684057.26100000006</v>
      </c>
      <c r="Y57" s="2">
        <v>673576.61699999997</v>
      </c>
      <c r="Z57" s="2">
        <v>684136.81</v>
      </c>
      <c r="AA57" s="2">
        <v>684183.68700000003</v>
      </c>
      <c r="AB57" s="130">
        <f>('Instruction-4YR'!B57+'RESEARCH 4yr'!B57+'PUBLIC SERVICE 4yr'!B57+'ASptISptSSv 4yr'!B57+'PLANT OPER MAIN 4yr'!B57+'SCHOLAR FELLOW 4yr'!B57+'All Other 4yr'!B57)-B57</f>
        <v>0</v>
      </c>
      <c r="AC57" s="130">
        <f>('Instruction-4YR'!C57+'RESEARCH 4yr'!C57+'PUBLIC SERVICE 4yr'!C57+'ASptISptSSv 4yr'!C57+'PLANT OPER MAIN 4yr'!C57+'SCHOLAR FELLOW 4yr'!C57+'All Other 4yr'!C57)-C57</f>
        <v>0</v>
      </c>
      <c r="AD57" s="130">
        <f>('Instruction-4YR'!D57+'RESEARCH 4yr'!D57+'PUBLIC SERVICE 4yr'!D57+'ASptISptSSv 4yr'!D57+'PLANT OPER MAIN 4yr'!D57+'SCHOLAR FELLOW 4yr'!D57+'All Other 4yr'!D57)-D57</f>
        <v>0</v>
      </c>
      <c r="AE57" s="130">
        <f>('Instruction-4YR'!E57+'RESEARCH 4yr'!E57+'PUBLIC SERVICE 4yr'!E57+'ASptISptSSv 4yr'!E57+'PLANT OPER MAIN 4yr'!E57+'SCHOLAR FELLOW 4yr'!E57+'All Other 4yr'!E57)-E57</f>
        <v>0</v>
      </c>
      <c r="AF57" s="130">
        <f>('Instruction-4YR'!F57+'RESEARCH 4yr'!F57+'PUBLIC SERVICE 4yr'!F57+'ASptISptSSv 4yr'!F57+'PLANT OPER MAIN 4yr'!F57+'SCHOLAR FELLOW 4yr'!F57+'All Other 4yr'!F57)-F57</f>
        <v>0</v>
      </c>
      <c r="AG57" s="130">
        <f>('Instruction-4YR'!G57+'RESEARCH 4yr'!G57+'PUBLIC SERVICE 4yr'!G57+'ASptISptSSv 4yr'!G57+'PLANT OPER MAIN 4yr'!G57+'SCHOLAR FELLOW 4yr'!G57+'All Other 4yr'!G57)-G57</f>
        <v>0</v>
      </c>
      <c r="AH57" s="130">
        <f>('Instruction-4YR'!H57+'RESEARCH 4yr'!H57+'PUBLIC SERVICE 4yr'!H57+'ASptISptSSv 4yr'!H57+'PLANT OPER MAIN 4yr'!H57+'SCHOLAR FELLOW 4yr'!H57+'All Other 4yr'!H57)-H57</f>
        <v>0</v>
      </c>
      <c r="AI57" s="130">
        <f>('Instruction-4YR'!I57+'RESEARCH 4yr'!I57+'PUBLIC SERVICE 4yr'!I57+'ASptISptSSv 4yr'!I57+'PLANT OPER MAIN 4yr'!I57+'SCHOLAR FELLOW 4yr'!I57+'All Other 4yr'!I57)-I57</f>
        <v>0</v>
      </c>
      <c r="AJ57" s="130">
        <f>('Instruction-4YR'!J57+'RESEARCH 4yr'!J57+'PUBLIC SERVICE 4yr'!J57+'ASptISptSSv 4yr'!J57+'PLANT OPER MAIN 4yr'!J57+'SCHOLAR FELLOW 4yr'!J57+'All Other 4yr'!J57)-J57</f>
        <v>0</v>
      </c>
      <c r="AK57" s="130">
        <f>('Instruction-4YR'!K57+'RESEARCH 4yr'!K57+'PUBLIC SERVICE 4yr'!K57+'ASptISptSSv 4yr'!K57+'PLANT OPER MAIN 4yr'!K57+'SCHOLAR FELLOW 4yr'!K57+'All Other 4yr'!K57)-K57</f>
        <v>0</v>
      </c>
      <c r="AL57" s="130">
        <f>('Instruction-4YR'!L57+'RESEARCH 4yr'!L57+'PUBLIC SERVICE 4yr'!L57+'ASptISptSSv 4yr'!L57+'PLANT OPER MAIN 4yr'!L57+'SCHOLAR FELLOW 4yr'!L57+'All Other 4yr'!L57)-L57</f>
        <v>0</v>
      </c>
      <c r="AM57" s="130">
        <f>('Instruction-4YR'!M57+'RESEARCH 4yr'!M57+'PUBLIC SERVICE 4yr'!M57+'ASptISptSSv 4yr'!M57+'PLANT OPER MAIN 4yr'!M57+'SCHOLAR FELLOW 4yr'!M57+'All Other 4yr'!M57)-M57</f>
        <v>0</v>
      </c>
      <c r="AN57" s="130">
        <f>('Instruction-4YR'!N57+'RESEARCH 4yr'!N57+'PUBLIC SERVICE 4yr'!N57+'ASptISptSSv 4yr'!N57+'PLANT OPER MAIN 4yr'!N57+'SCHOLAR FELLOW 4yr'!N57+'All Other 4yr'!N57)-N57</f>
        <v>0</v>
      </c>
      <c r="AO57" s="130">
        <f>('Instruction-4YR'!O57+'RESEARCH 4yr'!O57+'PUBLIC SERVICE 4yr'!O57+'ASptISptSSv 4yr'!O57+'PLANT OPER MAIN 4yr'!O57+'SCHOLAR FELLOW 4yr'!O57+'All Other 4yr'!O57)-O57</f>
        <v>0</v>
      </c>
      <c r="AP57" s="130">
        <f>('Instruction-4YR'!P57+'RESEARCH 4yr'!P57+'PUBLIC SERVICE 4yr'!P57+'ASptISptSSv 4yr'!P57+'PLANT OPER MAIN 4yr'!P57+'SCHOLAR FELLOW 4yr'!P57+'All Other 4yr'!P57)-P57</f>
        <v>0</v>
      </c>
      <c r="AQ57" s="130">
        <f>('Instruction-4YR'!Q57+'RESEARCH 4yr'!Q57+'PUBLIC SERVICE 4yr'!Q57+'ASptISptSSv 4yr'!Q57+'PLANT OPER MAIN 4yr'!Q57+'SCHOLAR FELLOW 4yr'!Q57+'All Other 4yr'!Q57)-Q57</f>
        <v>0</v>
      </c>
      <c r="AR57" s="130">
        <f>('Instruction-4YR'!R57+'RESEARCH 4yr'!R57+'PUBLIC SERVICE 4yr'!R57+'ASptISptSSv 4yr'!R57+'PLANT OPER MAIN 4yr'!R57+'SCHOLAR FELLOW 4yr'!R57+'All Other 4yr'!R57)-R57</f>
        <v>0</v>
      </c>
      <c r="AS57" s="130">
        <f>('Instruction-4YR'!S57+'RESEARCH 4yr'!S57+'PUBLIC SERVICE 4yr'!S57+'ASptISptSSv 4yr'!S57+'PLANT OPER MAIN 4yr'!S57+'SCHOLAR FELLOW 4yr'!S57+'All Other 4yr'!S57)-S57</f>
        <v>0</v>
      </c>
      <c r="AT57" s="130">
        <f>('Instruction-4YR'!T57+'RESEARCH 4yr'!T57+'PUBLIC SERVICE 4yr'!T57+'ASptISptSSv 4yr'!T57+'PLANT OPER MAIN 4yr'!T57+'SCHOLAR FELLOW 4yr'!T57+'All Other 4yr'!T57)-T57</f>
        <v>0</v>
      </c>
      <c r="AU57" s="130">
        <f>('Instruction-4YR'!U57+'RESEARCH 4yr'!U57+'PUBLIC SERVICE 4yr'!U57+'ASptISptSSv 4yr'!U57+'PLANT OPER MAIN 4yr'!U57+'SCHOLAR FELLOW 4yr'!U57+'All Other 4yr'!U57)-U57</f>
        <v>0</v>
      </c>
      <c r="AV57" s="130">
        <f>('Instruction-4YR'!V57+'RESEARCH 4yr'!V57+'PUBLIC SERVICE 4yr'!V57+'ASptISptSSv 4yr'!V57+'PLANT OPER MAIN 4yr'!V57+'SCHOLAR FELLOW 4yr'!V57+'All Other 4yr'!V57)-V57</f>
        <v>0</v>
      </c>
      <c r="AW57" s="130">
        <f>('Instruction-4YR'!W57+'RESEARCH 4yr'!W57+'PUBLIC SERVICE 4yr'!W57+'ASptISptSSv 4yr'!W57+'PLANT OPER MAIN 4yr'!W57+'SCHOLAR FELLOW 4yr'!W57+'All Other 4yr'!W57)-W57</f>
        <v>0</v>
      </c>
      <c r="AX57" s="130">
        <f>('Instruction-4YR'!X57+'RESEARCH 4yr'!X57+'PUBLIC SERVICE 4yr'!X57+'ASptISptSSv 4yr'!X57+'PLANT OPER MAIN 4yr'!X57+'SCHOLAR FELLOW 4yr'!X57+'All Other 4yr'!X57)-X57</f>
        <v>0</v>
      </c>
      <c r="AY57" s="130">
        <f>('Instruction-4YR'!Y57+'RESEARCH 4yr'!Y57+'PUBLIC SERVICE 4yr'!Y57+'ASptISptSSv 4yr'!Y57+'PLANT OPER MAIN 4yr'!Y57+'SCHOLAR FELLOW 4yr'!Y57+'All Other 4yr'!Y57)-Y57</f>
        <v>0</v>
      </c>
      <c r="AZ57" s="130">
        <f>('Instruction-4YR'!Z57+'RESEARCH 4yr'!Z57+'PUBLIC SERVICE 4yr'!Z57+'ASptISptSSv 4yr'!Z57+'PLANT OPER MAIN 4yr'!Z57+'SCHOLAR FELLOW 4yr'!Z57+'All Other 4yr'!Z57)-Z57</f>
        <v>0</v>
      </c>
      <c r="BA57" s="130">
        <f>('Instruction-4YR'!AA57+'RESEARCH 4yr'!AA57+'PUBLIC SERVICE 4yr'!AA57+'ASptISptSSv 4yr'!AA57+'PLANT OPER MAIN 4yr'!AA57+'SCHOLAR FELLOW 4yr'!AA57+'All Other 4yr'!AA57)-AA57</f>
        <v>0</v>
      </c>
    </row>
    <row r="58" spans="1:53">
      <c r="A58" s="23" t="s">
        <v>97</v>
      </c>
      <c r="B58" s="36"/>
      <c r="C58" s="36"/>
      <c r="D58" s="36"/>
      <c r="E58" s="37"/>
      <c r="F58" s="77">
        <v>956528.09</v>
      </c>
      <c r="G58" s="36"/>
      <c r="H58" s="36"/>
      <c r="I58" s="37">
        <v>1089490.453</v>
      </c>
      <c r="J58" s="37"/>
      <c r="K58" s="37">
        <v>1226513.0120000001</v>
      </c>
      <c r="L58" s="37">
        <v>1536888.665</v>
      </c>
      <c r="M58" s="37">
        <v>1655649.0209999999</v>
      </c>
      <c r="N58" s="37">
        <v>1797045.7109999999</v>
      </c>
      <c r="O58" s="37">
        <v>1806385.4080000001</v>
      </c>
      <c r="P58" s="37">
        <v>1922909.9439999999</v>
      </c>
      <c r="Q58" s="37">
        <v>2312762.8319999999</v>
      </c>
      <c r="R58" s="37">
        <v>2484774.75</v>
      </c>
      <c r="S58" s="37">
        <v>2635348.5129999998</v>
      </c>
      <c r="T58" s="23">
        <v>2716558.0269999998</v>
      </c>
      <c r="U58" s="23">
        <v>1994890.9850000001</v>
      </c>
      <c r="V58" s="23">
        <v>2949058.2030000002</v>
      </c>
      <c r="W58" s="23">
        <v>3160234.196</v>
      </c>
      <c r="X58" s="23">
        <v>3175585.5589999999</v>
      </c>
      <c r="Y58" s="2">
        <v>3294263.443</v>
      </c>
      <c r="Z58" s="2">
        <v>3485156.4160000002</v>
      </c>
      <c r="AA58" s="2">
        <v>3514215.1310000001</v>
      </c>
      <c r="AB58" s="130">
        <f>('Instruction-4YR'!B58+'RESEARCH 4yr'!B58+'PUBLIC SERVICE 4yr'!B58+'ASptISptSSv 4yr'!B58+'PLANT OPER MAIN 4yr'!B58+'SCHOLAR FELLOW 4yr'!B58+'All Other 4yr'!B58)-B58</f>
        <v>0</v>
      </c>
      <c r="AC58" s="130">
        <f>('Instruction-4YR'!C58+'RESEARCH 4yr'!C58+'PUBLIC SERVICE 4yr'!C58+'ASptISptSSv 4yr'!C58+'PLANT OPER MAIN 4yr'!C58+'SCHOLAR FELLOW 4yr'!C58+'All Other 4yr'!C58)-C58</f>
        <v>0</v>
      </c>
      <c r="AD58" s="130">
        <f>('Instruction-4YR'!D58+'RESEARCH 4yr'!D58+'PUBLIC SERVICE 4yr'!D58+'ASptISptSSv 4yr'!D58+'PLANT OPER MAIN 4yr'!D58+'SCHOLAR FELLOW 4yr'!D58+'All Other 4yr'!D58)-D58</f>
        <v>0</v>
      </c>
      <c r="AE58" s="130">
        <f>('Instruction-4YR'!E58+'RESEARCH 4yr'!E58+'PUBLIC SERVICE 4yr'!E58+'ASptISptSSv 4yr'!E58+'PLANT OPER MAIN 4yr'!E58+'SCHOLAR FELLOW 4yr'!E58+'All Other 4yr'!E58)-E58</f>
        <v>0</v>
      </c>
      <c r="AF58" s="130">
        <f>('Instruction-4YR'!F58+'RESEARCH 4yr'!F58+'PUBLIC SERVICE 4yr'!F58+'ASptISptSSv 4yr'!F58+'PLANT OPER MAIN 4yr'!F58+'SCHOLAR FELLOW 4yr'!F58+'All Other 4yr'!F58)-F58</f>
        <v>0</v>
      </c>
      <c r="AG58" s="130">
        <f>('Instruction-4YR'!G58+'RESEARCH 4yr'!G58+'PUBLIC SERVICE 4yr'!G58+'ASptISptSSv 4yr'!G58+'PLANT OPER MAIN 4yr'!G58+'SCHOLAR FELLOW 4yr'!G58+'All Other 4yr'!G58)-G58</f>
        <v>0</v>
      </c>
      <c r="AH58" s="130">
        <f>('Instruction-4YR'!H58+'RESEARCH 4yr'!H58+'PUBLIC SERVICE 4yr'!H58+'ASptISptSSv 4yr'!H58+'PLANT OPER MAIN 4yr'!H58+'SCHOLAR FELLOW 4yr'!H58+'All Other 4yr'!H58)-H58</f>
        <v>0</v>
      </c>
      <c r="AI58" s="130">
        <f>('Instruction-4YR'!I58+'RESEARCH 4yr'!I58+'PUBLIC SERVICE 4yr'!I58+'ASptISptSSv 4yr'!I58+'PLANT OPER MAIN 4yr'!I58+'SCHOLAR FELLOW 4yr'!I58+'All Other 4yr'!I58)-I58</f>
        <v>0</v>
      </c>
      <c r="AJ58" s="130">
        <f>('Instruction-4YR'!J58+'RESEARCH 4yr'!J58+'PUBLIC SERVICE 4yr'!J58+'ASptISptSSv 4yr'!J58+'PLANT OPER MAIN 4yr'!J58+'SCHOLAR FELLOW 4yr'!J58+'All Other 4yr'!J58)-J58</f>
        <v>0</v>
      </c>
      <c r="AK58" s="130">
        <f>('Instruction-4YR'!K58+'RESEARCH 4yr'!K58+'PUBLIC SERVICE 4yr'!K58+'ASptISptSSv 4yr'!K58+'PLANT OPER MAIN 4yr'!K58+'SCHOLAR FELLOW 4yr'!K58+'All Other 4yr'!K58)-K58</f>
        <v>0</v>
      </c>
      <c r="AL58" s="130">
        <f>('Instruction-4YR'!L58+'RESEARCH 4yr'!L58+'PUBLIC SERVICE 4yr'!L58+'ASptISptSSv 4yr'!L58+'PLANT OPER MAIN 4yr'!L58+'SCHOLAR FELLOW 4yr'!L58+'All Other 4yr'!L58)-L58</f>
        <v>0</v>
      </c>
      <c r="AM58" s="130">
        <f>('Instruction-4YR'!M58+'RESEARCH 4yr'!M58+'PUBLIC SERVICE 4yr'!M58+'ASptISptSSv 4yr'!M58+'PLANT OPER MAIN 4yr'!M58+'SCHOLAR FELLOW 4yr'!M58+'All Other 4yr'!M58)-M58</f>
        <v>0</v>
      </c>
      <c r="AN58" s="130">
        <f>('Instruction-4YR'!N58+'RESEARCH 4yr'!N58+'PUBLIC SERVICE 4yr'!N58+'ASptISptSSv 4yr'!N58+'PLANT OPER MAIN 4yr'!N58+'SCHOLAR FELLOW 4yr'!N58+'All Other 4yr'!N58)-N58</f>
        <v>0</v>
      </c>
      <c r="AO58" s="130">
        <f>('Instruction-4YR'!O58+'RESEARCH 4yr'!O58+'PUBLIC SERVICE 4yr'!O58+'ASptISptSSv 4yr'!O58+'PLANT OPER MAIN 4yr'!O58+'SCHOLAR FELLOW 4yr'!O58+'All Other 4yr'!O58)-O58</f>
        <v>0</v>
      </c>
      <c r="AP58" s="130">
        <f>('Instruction-4YR'!P58+'RESEARCH 4yr'!P58+'PUBLIC SERVICE 4yr'!P58+'ASptISptSSv 4yr'!P58+'PLANT OPER MAIN 4yr'!P58+'SCHOLAR FELLOW 4yr'!P58+'All Other 4yr'!P58)-P58</f>
        <v>0</v>
      </c>
      <c r="AQ58" s="130">
        <f>('Instruction-4YR'!Q58+'RESEARCH 4yr'!Q58+'PUBLIC SERVICE 4yr'!Q58+'ASptISptSSv 4yr'!Q58+'PLANT OPER MAIN 4yr'!Q58+'SCHOLAR FELLOW 4yr'!Q58+'All Other 4yr'!Q58)-Q58</f>
        <v>0</v>
      </c>
      <c r="AR58" s="130">
        <f>('Instruction-4YR'!R58+'RESEARCH 4yr'!R58+'PUBLIC SERVICE 4yr'!R58+'ASptISptSSv 4yr'!R58+'PLANT OPER MAIN 4yr'!R58+'SCHOLAR FELLOW 4yr'!R58+'All Other 4yr'!R58)-R58</f>
        <v>0</v>
      </c>
      <c r="AS58" s="130">
        <f>('Instruction-4YR'!S58+'RESEARCH 4yr'!S58+'PUBLIC SERVICE 4yr'!S58+'ASptISptSSv 4yr'!S58+'PLANT OPER MAIN 4yr'!S58+'SCHOLAR FELLOW 4yr'!S58+'All Other 4yr'!S58)-S58</f>
        <v>0</v>
      </c>
      <c r="AT58" s="130">
        <f>('Instruction-4YR'!T58+'RESEARCH 4yr'!T58+'PUBLIC SERVICE 4yr'!T58+'ASptISptSSv 4yr'!T58+'PLANT OPER MAIN 4yr'!T58+'SCHOLAR FELLOW 4yr'!T58+'All Other 4yr'!T58)-T58</f>
        <v>0</v>
      </c>
      <c r="AU58" s="130">
        <f>('Instruction-4YR'!U58+'RESEARCH 4yr'!U58+'PUBLIC SERVICE 4yr'!U58+'ASptISptSSv 4yr'!U58+'PLANT OPER MAIN 4yr'!U58+'SCHOLAR FELLOW 4yr'!U58+'All Other 4yr'!U58)-U58</f>
        <v>0</v>
      </c>
      <c r="AV58" s="130">
        <f>('Instruction-4YR'!V58+'RESEARCH 4yr'!V58+'PUBLIC SERVICE 4yr'!V58+'ASptISptSSv 4yr'!V58+'PLANT OPER MAIN 4yr'!V58+'SCHOLAR FELLOW 4yr'!V58+'All Other 4yr'!V58)-V58</f>
        <v>0</v>
      </c>
      <c r="AW58" s="130">
        <f>('Instruction-4YR'!W58+'RESEARCH 4yr'!W58+'PUBLIC SERVICE 4yr'!W58+'ASptISptSSv 4yr'!W58+'PLANT OPER MAIN 4yr'!W58+'SCHOLAR FELLOW 4yr'!W58+'All Other 4yr'!W58)-W58</f>
        <v>0</v>
      </c>
      <c r="AX58" s="130">
        <f>('Instruction-4YR'!X58+'RESEARCH 4yr'!X58+'PUBLIC SERVICE 4yr'!X58+'ASptISptSSv 4yr'!X58+'PLANT OPER MAIN 4yr'!X58+'SCHOLAR FELLOW 4yr'!X58+'All Other 4yr'!X58)-X58</f>
        <v>0</v>
      </c>
      <c r="AY58" s="130">
        <f>('Instruction-4YR'!Y58+'RESEARCH 4yr'!Y58+'PUBLIC SERVICE 4yr'!Y58+'ASptISptSSv 4yr'!Y58+'PLANT OPER MAIN 4yr'!Y58+'SCHOLAR FELLOW 4yr'!Y58+'All Other 4yr'!Y58)-Y58</f>
        <v>0</v>
      </c>
      <c r="AZ58" s="130">
        <f>('Instruction-4YR'!Z58+'RESEARCH 4yr'!Z58+'PUBLIC SERVICE 4yr'!Z58+'ASptISptSSv 4yr'!Z58+'PLANT OPER MAIN 4yr'!Z58+'SCHOLAR FELLOW 4yr'!Z58+'All Other 4yr'!Z58)-Z58</f>
        <v>0</v>
      </c>
      <c r="BA58" s="130">
        <f>('Instruction-4YR'!AA58+'RESEARCH 4yr'!AA58+'PUBLIC SERVICE 4yr'!AA58+'ASptISptSSv 4yr'!AA58+'PLANT OPER MAIN 4yr'!AA58+'SCHOLAR FELLOW 4yr'!AA58+'All Other 4yr'!AA58)-AA58</f>
        <v>0</v>
      </c>
    </row>
    <row r="59" spans="1:53">
      <c r="A59" s="23" t="s">
        <v>103</v>
      </c>
      <c r="B59" s="37"/>
      <c r="C59" s="37"/>
      <c r="D59" s="37"/>
      <c r="E59" s="37"/>
      <c r="F59" s="77">
        <v>238283.30300000001</v>
      </c>
      <c r="G59" s="37"/>
      <c r="H59" s="37"/>
      <c r="I59" s="37">
        <v>281373.109</v>
      </c>
      <c r="J59" s="37"/>
      <c r="K59" s="37">
        <v>304859.12199999997</v>
      </c>
      <c r="L59" s="37">
        <v>356371.84700000001</v>
      </c>
      <c r="M59" s="37">
        <v>381359.74300000002</v>
      </c>
      <c r="N59" s="37">
        <v>455929.77500000002</v>
      </c>
      <c r="O59" s="37">
        <v>472059.82199999999</v>
      </c>
      <c r="P59" s="37">
        <v>504509.69400000002</v>
      </c>
      <c r="Q59" s="37">
        <v>523719.16800000001</v>
      </c>
      <c r="R59" s="37">
        <v>554941.28200000001</v>
      </c>
      <c r="S59" s="37">
        <v>578862.72600000002</v>
      </c>
      <c r="T59" s="23">
        <v>592384.91</v>
      </c>
      <c r="U59" s="23">
        <v>594858.42500000005</v>
      </c>
      <c r="V59" s="23">
        <v>631733.85699999996</v>
      </c>
      <c r="W59" s="23">
        <v>693596.36</v>
      </c>
      <c r="X59" s="23">
        <v>691738.42200000002</v>
      </c>
      <c r="Y59" s="2">
        <v>702371.18599999999</v>
      </c>
      <c r="Z59" s="2">
        <v>704235.23199999996</v>
      </c>
      <c r="AA59" s="2">
        <v>740965.15700000001</v>
      </c>
      <c r="AB59" s="130">
        <f>('Instruction-4YR'!B59+'RESEARCH 4yr'!B59+'PUBLIC SERVICE 4yr'!B59+'ASptISptSSv 4yr'!B59+'PLANT OPER MAIN 4yr'!B59+'SCHOLAR FELLOW 4yr'!B59+'All Other 4yr'!B59)-B59</f>
        <v>0</v>
      </c>
      <c r="AC59" s="130">
        <f>('Instruction-4YR'!C59+'RESEARCH 4yr'!C59+'PUBLIC SERVICE 4yr'!C59+'ASptISptSSv 4yr'!C59+'PLANT OPER MAIN 4yr'!C59+'SCHOLAR FELLOW 4yr'!C59+'All Other 4yr'!C59)-C59</f>
        <v>0</v>
      </c>
      <c r="AD59" s="130">
        <f>('Instruction-4YR'!D59+'RESEARCH 4yr'!D59+'PUBLIC SERVICE 4yr'!D59+'ASptISptSSv 4yr'!D59+'PLANT OPER MAIN 4yr'!D59+'SCHOLAR FELLOW 4yr'!D59+'All Other 4yr'!D59)-D59</f>
        <v>0</v>
      </c>
      <c r="AE59" s="130">
        <f>('Instruction-4YR'!E59+'RESEARCH 4yr'!E59+'PUBLIC SERVICE 4yr'!E59+'ASptISptSSv 4yr'!E59+'PLANT OPER MAIN 4yr'!E59+'SCHOLAR FELLOW 4yr'!E59+'All Other 4yr'!E59)-E59</f>
        <v>0</v>
      </c>
      <c r="AF59" s="130">
        <f>('Instruction-4YR'!F59+'RESEARCH 4yr'!F59+'PUBLIC SERVICE 4yr'!F59+'ASptISptSSv 4yr'!F59+'PLANT OPER MAIN 4yr'!F59+'SCHOLAR FELLOW 4yr'!F59+'All Other 4yr'!F59)-F59</f>
        <v>0</v>
      </c>
      <c r="AG59" s="130">
        <f>('Instruction-4YR'!G59+'RESEARCH 4yr'!G59+'PUBLIC SERVICE 4yr'!G59+'ASptISptSSv 4yr'!G59+'PLANT OPER MAIN 4yr'!G59+'SCHOLAR FELLOW 4yr'!G59+'All Other 4yr'!G59)-G59</f>
        <v>0</v>
      </c>
      <c r="AH59" s="130">
        <f>('Instruction-4YR'!H59+'RESEARCH 4yr'!H59+'PUBLIC SERVICE 4yr'!H59+'ASptISptSSv 4yr'!H59+'PLANT OPER MAIN 4yr'!H59+'SCHOLAR FELLOW 4yr'!H59+'All Other 4yr'!H59)-H59</f>
        <v>0</v>
      </c>
      <c r="AI59" s="130">
        <f>('Instruction-4YR'!I59+'RESEARCH 4yr'!I59+'PUBLIC SERVICE 4yr'!I59+'ASptISptSSv 4yr'!I59+'PLANT OPER MAIN 4yr'!I59+'SCHOLAR FELLOW 4yr'!I59+'All Other 4yr'!I59)-I59</f>
        <v>0</v>
      </c>
      <c r="AJ59" s="130">
        <f>('Instruction-4YR'!J59+'RESEARCH 4yr'!J59+'PUBLIC SERVICE 4yr'!J59+'ASptISptSSv 4yr'!J59+'PLANT OPER MAIN 4yr'!J59+'SCHOLAR FELLOW 4yr'!J59+'All Other 4yr'!J59)-J59</f>
        <v>0</v>
      </c>
      <c r="AK59" s="130">
        <f>('Instruction-4YR'!K59+'RESEARCH 4yr'!K59+'PUBLIC SERVICE 4yr'!K59+'ASptISptSSv 4yr'!K59+'PLANT OPER MAIN 4yr'!K59+'SCHOLAR FELLOW 4yr'!K59+'All Other 4yr'!K59)-K59</f>
        <v>0</v>
      </c>
      <c r="AL59" s="130">
        <f>('Instruction-4YR'!L59+'RESEARCH 4yr'!L59+'PUBLIC SERVICE 4yr'!L59+'ASptISptSSv 4yr'!L59+'PLANT OPER MAIN 4yr'!L59+'SCHOLAR FELLOW 4yr'!L59+'All Other 4yr'!L59)-L59</f>
        <v>0</v>
      </c>
      <c r="AM59" s="130">
        <f>('Instruction-4YR'!M59+'RESEARCH 4yr'!M59+'PUBLIC SERVICE 4yr'!M59+'ASptISptSSv 4yr'!M59+'PLANT OPER MAIN 4yr'!M59+'SCHOLAR FELLOW 4yr'!M59+'All Other 4yr'!M59)-M59</f>
        <v>0</v>
      </c>
      <c r="AN59" s="130">
        <f>('Instruction-4YR'!N59+'RESEARCH 4yr'!N59+'PUBLIC SERVICE 4yr'!N59+'ASptISptSSv 4yr'!N59+'PLANT OPER MAIN 4yr'!N59+'SCHOLAR FELLOW 4yr'!N59+'All Other 4yr'!N59)-N59</f>
        <v>0</v>
      </c>
      <c r="AO59" s="130">
        <f>('Instruction-4YR'!O59+'RESEARCH 4yr'!O59+'PUBLIC SERVICE 4yr'!O59+'ASptISptSSv 4yr'!O59+'PLANT OPER MAIN 4yr'!O59+'SCHOLAR FELLOW 4yr'!O59+'All Other 4yr'!O59)-O59</f>
        <v>0</v>
      </c>
      <c r="AP59" s="130">
        <f>('Instruction-4YR'!P59+'RESEARCH 4yr'!P59+'PUBLIC SERVICE 4yr'!P59+'ASptISptSSv 4yr'!P59+'PLANT OPER MAIN 4yr'!P59+'SCHOLAR FELLOW 4yr'!P59+'All Other 4yr'!P59)-P59</f>
        <v>0</v>
      </c>
      <c r="AQ59" s="130">
        <f>('Instruction-4YR'!Q59+'RESEARCH 4yr'!Q59+'PUBLIC SERVICE 4yr'!Q59+'ASptISptSSv 4yr'!Q59+'PLANT OPER MAIN 4yr'!Q59+'SCHOLAR FELLOW 4yr'!Q59+'All Other 4yr'!Q59)-Q59</f>
        <v>0</v>
      </c>
      <c r="AR59" s="130">
        <f>('Instruction-4YR'!R59+'RESEARCH 4yr'!R59+'PUBLIC SERVICE 4yr'!R59+'ASptISptSSv 4yr'!R59+'PLANT OPER MAIN 4yr'!R59+'SCHOLAR FELLOW 4yr'!R59+'All Other 4yr'!R59)-R59</f>
        <v>0</v>
      </c>
      <c r="AS59" s="130">
        <f>('Instruction-4YR'!S59+'RESEARCH 4yr'!S59+'PUBLIC SERVICE 4yr'!S59+'ASptISptSSv 4yr'!S59+'PLANT OPER MAIN 4yr'!S59+'SCHOLAR FELLOW 4yr'!S59+'All Other 4yr'!S59)-S59</f>
        <v>0</v>
      </c>
      <c r="AT59" s="130">
        <f>('Instruction-4YR'!T59+'RESEARCH 4yr'!T59+'PUBLIC SERVICE 4yr'!T59+'ASptISptSSv 4yr'!T59+'PLANT OPER MAIN 4yr'!T59+'SCHOLAR FELLOW 4yr'!T59+'All Other 4yr'!T59)-T59</f>
        <v>0</v>
      </c>
      <c r="AU59" s="130">
        <f>('Instruction-4YR'!U59+'RESEARCH 4yr'!U59+'PUBLIC SERVICE 4yr'!U59+'ASptISptSSv 4yr'!U59+'PLANT OPER MAIN 4yr'!U59+'SCHOLAR FELLOW 4yr'!U59+'All Other 4yr'!U59)-U59</f>
        <v>0</v>
      </c>
      <c r="AV59" s="130">
        <f>('Instruction-4YR'!V59+'RESEARCH 4yr'!V59+'PUBLIC SERVICE 4yr'!V59+'ASptISptSSv 4yr'!V59+'PLANT OPER MAIN 4yr'!V59+'SCHOLAR FELLOW 4yr'!V59+'All Other 4yr'!V59)-V59</f>
        <v>0</v>
      </c>
      <c r="AW59" s="130">
        <f>('Instruction-4YR'!W59+'RESEARCH 4yr'!W59+'PUBLIC SERVICE 4yr'!W59+'ASptISptSSv 4yr'!W59+'PLANT OPER MAIN 4yr'!W59+'SCHOLAR FELLOW 4yr'!W59+'All Other 4yr'!W59)-W59</f>
        <v>0</v>
      </c>
      <c r="AX59" s="130">
        <f>('Instruction-4YR'!X59+'RESEARCH 4yr'!X59+'PUBLIC SERVICE 4yr'!X59+'ASptISptSSv 4yr'!X59+'PLANT OPER MAIN 4yr'!X59+'SCHOLAR FELLOW 4yr'!X59+'All Other 4yr'!X59)-X59</f>
        <v>0</v>
      </c>
      <c r="AY59" s="130">
        <f>('Instruction-4YR'!Y59+'RESEARCH 4yr'!Y59+'PUBLIC SERVICE 4yr'!Y59+'ASptISptSSv 4yr'!Y59+'PLANT OPER MAIN 4yr'!Y59+'SCHOLAR FELLOW 4yr'!Y59+'All Other 4yr'!Y59)-Y59</f>
        <v>0</v>
      </c>
      <c r="AZ59" s="130">
        <f>('Instruction-4YR'!Z59+'RESEARCH 4yr'!Z59+'PUBLIC SERVICE 4yr'!Z59+'ASptISptSSv 4yr'!Z59+'PLANT OPER MAIN 4yr'!Z59+'SCHOLAR FELLOW 4yr'!Z59+'All Other 4yr'!Z59)-Z59</f>
        <v>0</v>
      </c>
      <c r="BA59" s="130">
        <f>('Instruction-4YR'!AA59+'RESEARCH 4yr'!AA59+'PUBLIC SERVICE 4yr'!AA59+'ASptISptSSv 4yr'!AA59+'PLANT OPER MAIN 4yr'!AA59+'SCHOLAR FELLOW 4yr'!AA59+'All Other 4yr'!AA59)-AA59</f>
        <v>0</v>
      </c>
    </row>
    <row r="60" spans="1:53">
      <c r="A60" s="23" t="s">
        <v>104</v>
      </c>
      <c r="B60" s="37"/>
      <c r="C60" s="37"/>
      <c r="D60" s="37"/>
      <c r="E60" s="37"/>
      <c r="F60" s="77">
        <v>946904.94099999999</v>
      </c>
      <c r="G60" s="37"/>
      <c r="H60" s="37"/>
      <c r="I60" s="37">
        <v>1131435.4269999999</v>
      </c>
      <c r="J60" s="37"/>
      <c r="K60" s="37">
        <v>2086503.9509999999</v>
      </c>
      <c r="L60" s="37">
        <v>1522874.804</v>
      </c>
      <c r="M60" s="37">
        <v>1655674.2379999999</v>
      </c>
      <c r="N60" s="37">
        <v>1841931.3319999999</v>
      </c>
      <c r="O60" s="37">
        <v>1920621.94</v>
      </c>
      <c r="P60" s="37">
        <v>1943437.834</v>
      </c>
      <c r="Q60" s="37">
        <v>3500518.8250000002</v>
      </c>
      <c r="R60" s="37">
        <v>3666201.6690000002</v>
      </c>
      <c r="S60" s="37">
        <v>3792877.659</v>
      </c>
      <c r="T60" s="23">
        <v>3984484.6310000001</v>
      </c>
      <c r="U60" s="23">
        <v>3489525.8220000002</v>
      </c>
      <c r="V60" s="23">
        <v>4264083.2970000003</v>
      </c>
      <c r="W60" s="23">
        <v>4433665.5379999997</v>
      </c>
      <c r="X60" s="23">
        <v>4608729.9239999996</v>
      </c>
      <c r="Y60" s="2">
        <v>4066836.4920000001</v>
      </c>
      <c r="Z60" s="2">
        <v>5023202</v>
      </c>
      <c r="AA60" s="2">
        <v>5164755.12</v>
      </c>
      <c r="AB60" s="130">
        <f>('Instruction-4YR'!B60+'RESEARCH 4yr'!B60+'PUBLIC SERVICE 4yr'!B60+'ASptISptSSv 4yr'!B60+'PLANT OPER MAIN 4yr'!B60+'SCHOLAR FELLOW 4yr'!B60+'All Other 4yr'!B60)-B60</f>
        <v>0</v>
      </c>
      <c r="AC60" s="130">
        <f>('Instruction-4YR'!C60+'RESEARCH 4yr'!C60+'PUBLIC SERVICE 4yr'!C60+'ASptISptSSv 4yr'!C60+'PLANT OPER MAIN 4yr'!C60+'SCHOLAR FELLOW 4yr'!C60+'All Other 4yr'!C60)-C60</f>
        <v>0</v>
      </c>
      <c r="AD60" s="130">
        <f>('Instruction-4YR'!D60+'RESEARCH 4yr'!D60+'PUBLIC SERVICE 4yr'!D60+'ASptISptSSv 4yr'!D60+'PLANT OPER MAIN 4yr'!D60+'SCHOLAR FELLOW 4yr'!D60+'All Other 4yr'!D60)-D60</f>
        <v>0</v>
      </c>
      <c r="AE60" s="130">
        <f>('Instruction-4YR'!E60+'RESEARCH 4yr'!E60+'PUBLIC SERVICE 4yr'!E60+'ASptISptSSv 4yr'!E60+'PLANT OPER MAIN 4yr'!E60+'SCHOLAR FELLOW 4yr'!E60+'All Other 4yr'!E60)-E60</f>
        <v>0</v>
      </c>
      <c r="AF60" s="130">
        <f>('Instruction-4YR'!F60+'RESEARCH 4yr'!F60+'PUBLIC SERVICE 4yr'!F60+'ASptISptSSv 4yr'!F60+'PLANT OPER MAIN 4yr'!F60+'SCHOLAR FELLOW 4yr'!F60+'All Other 4yr'!F60)-F60</f>
        <v>0</v>
      </c>
      <c r="AG60" s="130">
        <f>('Instruction-4YR'!G60+'RESEARCH 4yr'!G60+'PUBLIC SERVICE 4yr'!G60+'ASptISptSSv 4yr'!G60+'PLANT OPER MAIN 4yr'!G60+'SCHOLAR FELLOW 4yr'!G60+'All Other 4yr'!G60)-G60</f>
        <v>0</v>
      </c>
      <c r="AH60" s="130">
        <f>('Instruction-4YR'!H60+'RESEARCH 4yr'!H60+'PUBLIC SERVICE 4yr'!H60+'ASptISptSSv 4yr'!H60+'PLANT OPER MAIN 4yr'!H60+'SCHOLAR FELLOW 4yr'!H60+'All Other 4yr'!H60)-H60</f>
        <v>0</v>
      </c>
      <c r="AI60" s="130">
        <f>('Instruction-4YR'!I60+'RESEARCH 4yr'!I60+'PUBLIC SERVICE 4yr'!I60+'ASptISptSSv 4yr'!I60+'PLANT OPER MAIN 4yr'!I60+'SCHOLAR FELLOW 4yr'!I60+'All Other 4yr'!I60)-I60</f>
        <v>0</v>
      </c>
      <c r="AJ60" s="130">
        <f>('Instruction-4YR'!J60+'RESEARCH 4yr'!J60+'PUBLIC SERVICE 4yr'!J60+'ASptISptSSv 4yr'!J60+'PLANT OPER MAIN 4yr'!J60+'SCHOLAR FELLOW 4yr'!J60+'All Other 4yr'!J60)-J60</f>
        <v>0</v>
      </c>
      <c r="AK60" s="130">
        <f>('Instruction-4YR'!K60+'RESEARCH 4yr'!K60+'PUBLIC SERVICE 4yr'!K60+'ASptISptSSv 4yr'!K60+'PLANT OPER MAIN 4yr'!K60+'SCHOLAR FELLOW 4yr'!K60+'All Other 4yr'!K60)-K60</f>
        <v>0</v>
      </c>
      <c r="AL60" s="130">
        <f>('Instruction-4YR'!L60+'RESEARCH 4yr'!L60+'PUBLIC SERVICE 4yr'!L60+'ASptISptSSv 4yr'!L60+'PLANT OPER MAIN 4yr'!L60+'SCHOLAR FELLOW 4yr'!L60+'All Other 4yr'!L60)-L60</f>
        <v>0</v>
      </c>
      <c r="AM60" s="130">
        <f>('Instruction-4YR'!M60+'RESEARCH 4yr'!M60+'PUBLIC SERVICE 4yr'!M60+'ASptISptSSv 4yr'!M60+'PLANT OPER MAIN 4yr'!M60+'SCHOLAR FELLOW 4yr'!M60+'All Other 4yr'!M60)-M60</f>
        <v>0</v>
      </c>
      <c r="AN60" s="130">
        <f>('Instruction-4YR'!N60+'RESEARCH 4yr'!N60+'PUBLIC SERVICE 4yr'!N60+'ASptISptSSv 4yr'!N60+'PLANT OPER MAIN 4yr'!N60+'SCHOLAR FELLOW 4yr'!N60+'All Other 4yr'!N60)-N60</f>
        <v>0</v>
      </c>
      <c r="AO60" s="130">
        <f>('Instruction-4YR'!O60+'RESEARCH 4yr'!O60+'PUBLIC SERVICE 4yr'!O60+'ASptISptSSv 4yr'!O60+'PLANT OPER MAIN 4yr'!O60+'SCHOLAR FELLOW 4yr'!O60+'All Other 4yr'!O60)-O60</f>
        <v>0</v>
      </c>
      <c r="AP60" s="130">
        <f>('Instruction-4YR'!P60+'RESEARCH 4yr'!P60+'PUBLIC SERVICE 4yr'!P60+'ASptISptSSv 4yr'!P60+'PLANT OPER MAIN 4yr'!P60+'SCHOLAR FELLOW 4yr'!P60+'All Other 4yr'!P60)-P60</f>
        <v>0</v>
      </c>
      <c r="AQ60" s="130">
        <f>('Instruction-4YR'!Q60+'RESEARCH 4yr'!Q60+'PUBLIC SERVICE 4yr'!Q60+'ASptISptSSv 4yr'!Q60+'PLANT OPER MAIN 4yr'!Q60+'SCHOLAR FELLOW 4yr'!Q60+'All Other 4yr'!Q60)-Q60</f>
        <v>0</v>
      </c>
      <c r="AR60" s="130">
        <f>('Instruction-4YR'!R60+'RESEARCH 4yr'!R60+'PUBLIC SERVICE 4yr'!R60+'ASptISptSSv 4yr'!R60+'PLANT OPER MAIN 4yr'!R60+'SCHOLAR FELLOW 4yr'!R60+'All Other 4yr'!R60)-R60</f>
        <v>0</v>
      </c>
      <c r="AS60" s="130">
        <f>('Instruction-4YR'!S60+'RESEARCH 4yr'!S60+'PUBLIC SERVICE 4yr'!S60+'ASptISptSSv 4yr'!S60+'PLANT OPER MAIN 4yr'!S60+'SCHOLAR FELLOW 4yr'!S60+'All Other 4yr'!S60)-S60</f>
        <v>0</v>
      </c>
      <c r="AT60" s="130">
        <f>('Instruction-4YR'!T60+'RESEARCH 4yr'!T60+'PUBLIC SERVICE 4yr'!T60+'ASptISptSSv 4yr'!T60+'PLANT OPER MAIN 4yr'!T60+'SCHOLAR FELLOW 4yr'!T60+'All Other 4yr'!T60)-T60</f>
        <v>0</v>
      </c>
      <c r="AU60" s="130">
        <f>('Instruction-4YR'!U60+'RESEARCH 4yr'!U60+'PUBLIC SERVICE 4yr'!U60+'ASptISptSSv 4yr'!U60+'PLANT OPER MAIN 4yr'!U60+'SCHOLAR FELLOW 4yr'!U60+'All Other 4yr'!U60)-U60</f>
        <v>0</v>
      </c>
      <c r="AV60" s="130">
        <f>('Instruction-4YR'!V60+'RESEARCH 4yr'!V60+'PUBLIC SERVICE 4yr'!V60+'ASptISptSSv 4yr'!V60+'PLANT OPER MAIN 4yr'!V60+'SCHOLAR FELLOW 4yr'!V60+'All Other 4yr'!V60)-V60</f>
        <v>0</v>
      </c>
      <c r="AW60" s="130">
        <f>('Instruction-4YR'!W60+'RESEARCH 4yr'!W60+'PUBLIC SERVICE 4yr'!W60+'ASptISptSSv 4yr'!W60+'PLANT OPER MAIN 4yr'!W60+'SCHOLAR FELLOW 4yr'!W60+'All Other 4yr'!W60)-W60</f>
        <v>0</v>
      </c>
      <c r="AX60" s="130">
        <f>('Instruction-4YR'!X60+'RESEARCH 4yr'!X60+'PUBLIC SERVICE 4yr'!X60+'ASptISptSSv 4yr'!X60+'PLANT OPER MAIN 4yr'!X60+'SCHOLAR FELLOW 4yr'!X60+'All Other 4yr'!X60)-X60</f>
        <v>0</v>
      </c>
      <c r="AY60" s="130">
        <f>('Instruction-4YR'!Y60+'RESEARCH 4yr'!Y60+'PUBLIC SERVICE 4yr'!Y60+'ASptISptSSv 4yr'!Y60+'PLANT OPER MAIN 4yr'!Y60+'SCHOLAR FELLOW 4yr'!Y60+'All Other 4yr'!Y60)-Y60</f>
        <v>0</v>
      </c>
      <c r="AZ60" s="130">
        <f>('Instruction-4YR'!Z60+'RESEARCH 4yr'!Z60+'PUBLIC SERVICE 4yr'!Z60+'ASptISptSSv 4yr'!Z60+'PLANT OPER MAIN 4yr'!Z60+'SCHOLAR FELLOW 4yr'!Z60+'All Other 4yr'!Z60)-Z60</f>
        <v>0</v>
      </c>
      <c r="BA60" s="130">
        <f>('Instruction-4YR'!AA60+'RESEARCH 4yr'!AA60+'PUBLIC SERVICE 4yr'!AA60+'ASptISptSSv 4yr'!AA60+'PLANT OPER MAIN 4yr'!AA60+'SCHOLAR FELLOW 4yr'!AA60+'All Other 4yr'!AA60)-AA60</f>
        <v>0</v>
      </c>
    </row>
    <row r="61" spans="1:53">
      <c r="A61" s="23" t="s">
        <v>106</v>
      </c>
      <c r="B61" s="37"/>
      <c r="C61" s="37"/>
      <c r="D61" s="37"/>
      <c r="E61" s="37"/>
      <c r="F61" s="77">
        <v>3504727.4</v>
      </c>
      <c r="G61" s="37"/>
      <c r="H61" s="37"/>
      <c r="I61" s="37">
        <v>4191857.9810000001</v>
      </c>
      <c r="J61" s="37"/>
      <c r="K61" s="37">
        <v>4573188.5199999996</v>
      </c>
      <c r="L61" s="37">
        <v>4730096.9859999996</v>
      </c>
      <c r="M61" s="37">
        <v>5135078.2750000004</v>
      </c>
      <c r="N61" s="37">
        <v>5535254.9040000001</v>
      </c>
      <c r="O61" s="37">
        <v>5154955.8250000002</v>
      </c>
      <c r="P61" s="37">
        <v>5707801.4910000004</v>
      </c>
      <c r="Q61" s="37">
        <v>6462140.6859999998</v>
      </c>
      <c r="R61" s="37">
        <v>6408519.892</v>
      </c>
      <c r="S61" s="37">
        <v>7215844.8049999997</v>
      </c>
      <c r="T61" s="23">
        <v>7727028.5180000002</v>
      </c>
      <c r="U61" s="23">
        <v>7851198.9369999999</v>
      </c>
      <c r="V61" s="23">
        <v>8537628.0889999997</v>
      </c>
      <c r="W61" s="23">
        <v>9278980.9379999992</v>
      </c>
      <c r="X61" s="23">
        <v>9182938.5710000005</v>
      </c>
      <c r="Y61" s="2">
        <v>8898774.8790000007</v>
      </c>
      <c r="Z61" s="2">
        <v>9217335.5140000004</v>
      </c>
      <c r="AA61" s="2">
        <v>9688410.1040000003</v>
      </c>
      <c r="AB61" s="130">
        <f>('Instruction-4YR'!B61+'RESEARCH 4yr'!B61+'PUBLIC SERVICE 4yr'!B61+'ASptISptSSv 4yr'!B61+'PLANT OPER MAIN 4yr'!B61+'SCHOLAR FELLOW 4yr'!B61+'All Other 4yr'!B61)-B61</f>
        <v>0</v>
      </c>
      <c r="AC61" s="130">
        <f>('Instruction-4YR'!C61+'RESEARCH 4yr'!C61+'PUBLIC SERVICE 4yr'!C61+'ASptISptSSv 4yr'!C61+'PLANT OPER MAIN 4yr'!C61+'SCHOLAR FELLOW 4yr'!C61+'All Other 4yr'!C61)-C61</f>
        <v>0</v>
      </c>
      <c r="AD61" s="130">
        <f>('Instruction-4YR'!D61+'RESEARCH 4yr'!D61+'PUBLIC SERVICE 4yr'!D61+'ASptISptSSv 4yr'!D61+'PLANT OPER MAIN 4yr'!D61+'SCHOLAR FELLOW 4yr'!D61+'All Other 4yr'!D61)-D61</f>
        <v>0</v>
      </c>
      <c r="AE61" s="130">
        <f>('Instruction-4YR'!E61+'RESEARCH 4yr'!E61+'PUBLIC SERVICE 4yr'!E61+'ASptISptSSv 4yr'!E61+'PLANT OPER MAIN 4yr'!E61+'SCHOLAR FELLOW 4yr'!E61+'All Other 4yr'!E61)-E61</f>
        <v>0</v>
      </c>
      <c r="AF61" s="130">
        <f>('Instruction-4YR'!F61+'RESEARCH 4yr'!F61+'PUBLIC SERVICE 4yr'!F61+'ASptISptSSv 4yr'!F61+'PLANT OPER MAIN 4yr'!F61+'SCHOLAR FELLOW 4yr'!F61+'All Other 4yr'!F61)-F61</f>
        <v>0</v>
      </c>
      <c r="AG61" s="130">
        <f>('Instruction-4YR'!G61+'RESEARCH 4yr'!G61+'PUBLIC SERVICE 4yr'!G61+'ASptISptSSv 4yr'!G61+'PLANT OPER MAIN 4yr'!G61+'SCHOLAR FELLOW 4yr'!G61+'All Other 4yr'!G61)-G61</f>
        <v>0</v>
      </c>
      <c r="AH61" s="130">
        <f>('Instruction-4YR'!H61+'RESEARCH 4yr'!H61+'PUBLIC SERVICE 4yr'!H61+'ASptISptSSv 4yr'!H61+'PLANT OPER MAIN 4yr'!H61+'SCHOLAR FELLOW 4yr'!H61+'All Other 4yr'!H61)-H61</f>
        <v>0</v>
      </c>
      <c r="AI61" s="130">
        <f>('Instruction-4YR'!I61+'RESEARCH 4yr'!I61+'PUBLIC SERVICE 4yr'!I61+'ASptISptSSv 4yr'!I61+'PLANT OPER MAIN 4yr'!I61+'SCHOLAR FELLOW 4yr'!I61+'All Other 4yr'!I61)-I61</f>
        <v>0</v>
      </c>
      <c r="AJ61" s="130">
        <f>('Instruction-4YR'!J61+'RESEARCH 4yr'!J61+'PUBLIC SERVICE 4yr'!J61+'ASptISptSSv 4yr'!J61+'PLANT OPER MAIN 4yr'!J61+'SCHOLAR FELLOW 4yr'!J61+'All Other 4yr'!J61)-J61</f>
        <v>0</v>
      </c>
      <c r="AK61" s="130">
        <f>('Instruction-4YR'!K61+'RESEARCH 4yr'!K61+'PUBLIC SERVICE 4yr'!K61+'ASptISptSSv 4yr'!K61+'PLANT OPER MAIN 4yr'!K61+'SCHOLAR FELLOW 4yr'!K61+'All Other 4yr'!K61)-K61</f>
        <v>0</v>
      </c>
      <c r="AL61" s="130">
        <f>('Instruction-4YR'!L61+'RESEARCH 4yr'!L61+'PUBLIC SERVICE 4yr'!L61+'ASptISptSSv 4yr'!L61+'PLANT OPER MAIN 4yr'!L61+'SCHOLAR FELLOW 4yr'!L61+'All Other 4yr'!L61)-L61</f>
        <v>0</v>
      </c>
      <c r="AM61" s="130">
        <f>('Instruction-4YR'!M61+'RESEARCH 4yr'!M61+'PUBLIC SERVICE 4yr'!M61+'ASptISptSSv 4yr'!M61+'PLANT OPER MAIN 4yr'!M61+'SCHOLAR FELLOW 4yr'!M61+'All Other 4yr'!M61)-M61</f>
        <v>0</v>
      </c>
      <c r="AN61" s="130">
        <f>('Instruction-4YR'!N61+'RESEARCH 4yr'!N61+'PUBLIC SERVICE 4yr'!N61+'ASptISptSSv 4yr'!N61+'PLANT OPER MAIN 4yr'!N61+'SCHOLAR FELLOW 4yr'!N61+'All Other 4yr'!N61)-N61</f>
        <v>0</v>
      </c>
      <c r="AO61" s="130">
        <f>('Instruction-4YR'!O61+'RESEARCH 4yr'!O61+'PUBLIC SERVICE 4yr'!O61+'ASptISptSSv 4yr'!O61+'PLANT OPER MAIN 4yr'!O61+'SCHOLAR FELLOW 4yr'!O61+'All Other 4yr'!O61)-O61</f>
        <v>0</v>
      </c>
      <c r="AP61" s="130">
        <f>('Instruction-4YR'!P61+'RESEARCH 4yr'!P61+'PUBLIC SERVICE 4yr'!P61+'ASptISptSSv 4yr'!P61+'PLANT OPER MAIN 4yr'!P61+'SCHOLAR FELLOW 4yr'!P61+'All Other 4yr'!P61)-P61</f>
        <v>0</v>
      </c>
      <c r="AQ61" s="130">
        <f>('Instruction-4YR'!Q61+'RESEARCH 4yr'!Q61+'PUBLIC SERVICE 4yr'!Q61+'ASptISptSSv 4yr'!Q61+'PLANT OPER MAIN 4yr'!Q61+'SCHOLAR FELLOW 4yr'!Q61+'All Other 4yr'!Q61)-Q61</f>
        <v>0</v>
      </c>
      <c r="AR61" s="130">
        <f>('Instruction-4YR'!R61+'RESEARCH 4yr'!R61+'PUBLIC SERVICE 4yr'!R61+'ASptISptSSv 4yr'!R61+'PLANT OPER MAIN 4yr'!R61+'SCHOLAR FELLOW 4yr'!R61+'All Other 4yr'!R61)-R61</f>
        <v>0</v>
      </c>
      <c r="AS61" s="130">
        <f>('Instruction-4YR'!S61+'RESEARCH 4yr'!S61+'PUBLIC SERVICE 4yr'!S61+'ASptISptSSv 4yr'!S61+'PLANT OPER MAIN 4yr'!S61+'SCHOLAR FELLOW 4yr'!S61+'All Other 4yr'!S61)-S61</f>
        <v>0</v>
      </c>
      <c r="AT61" s="130">
        <f>('Instruction-4YR'!T61+'RESEARCH 4yr'!T61+'PUBLIC SERVICE 4yr'!T61+'ASptISptSSv 4yr'!T61+'PLANT OPER MAIN 4yr'!T61+'SCHOLAR FELLOW 4yr'!T61+'All Other 4yr'!T61)-T61</f>
        <v>0</v>
      </c>
      <c r="AU61" s="130">
        <f>('Instruction-4YR'!U61+'RESEARCH 4yr'!U61+'PUBLIC SERVICE 4yr'!U61+'ASptISptSSv 4yr'!U61+'PLANT OPER MAIN 4yr'!U61+'SCHOLAR FELLOW 4yr'!U61+'All Other 4yr'!U61)-U61</f>
        <v>0</v>
      </c>
      <c r="AV61" s="130">
        <f>('Instruction-4YR'!V61+'RESEARCH 4yr'!V61+'PUBLIC SERVICE 4yr'!V61+'ASptISptSSv 4yr'!V61+'PLANT OPER MAIN 4yr'!V61+'SCHOLAR FELLOW 4yr'!V61+'All Other 4yr'!V61)-V61</f>
        <v>0</v>
      </c>
      <c r="AW61" s="130">
        <f>('Instruction-4YR'!W61+'RESEARCH 4yr'!W61+'PUBLIC SERVICE 4yr'!W61+'ASptISptSSv 4yr'!W61+'PLANT OPER MAIN 4yr'!W61+'SCHOLAR FELLOW 4yr'!W61+'All Other 4yr'!W61)-W61</f>
        <v>0</v>
      </c>
      <c r="AX61" s="130">
        <f>('Instruction-4YR'!X61+'RESEARCH 4yr'!X61+'PUBLIC SERVICE 4yr'!X61+'ASptISptSSv 4yr'!X61+'PLANT OPER MAIN 4yr'!X61+'SCHOLAR FELLOW 4yr'!X61+'All Other 4yr'!X61)-X61</f>
        <v>0</v>
      </c>
      <c r="AY61" s="130">
        <f>('Instruction-4YR'!Y61+'RESEARCH 4yr'!Y61+'PUBLIC SERVICE 4yr'!Y61+'ASptISptSSv 4yr'!Y61+'PLANT OPER MAIN 4yr'!Y61+'SCHOLAR FELLOW 4yr'!Y61+'All Other 4yr'!Y61)-Y61</f>
        <v>0</v>
      </c>
      <c r="AZ61" s="130">
        <f>('Instruction-4YR'!Z61+'RESEARCH 4yr'!Z61+'PUBLIC SERVICE 4yr'!Z61+'ASptISptSSv 4yr'!Z61+'PLANT OPER MAIN 4yr'!Z61+'SCHOLAR FELLOW 4yr'!Z61+'All Other 4yr'!Z61)-Z61</f>
        <v>0</v>
      </c>
      <c r="BA61" s="130">
        <f>('Instruction-4YR'!AA61+'RESEARCH 4yr'!AA61+'PUBLIC SERVICE 4yr'!AA61+'ASptISptSSv 4yr'!AA61+'PLANT OPER MAIN 4yr'!AA61+'SCHOLAR FELLOW 4yr'!AA61+'All Other 4yr'!AA61)-AA61</f>
        <v>0</v>
      </c>
    </row>
    <row r="62" spans="1:53">
      <c r="A62" s="23" t="s">
        <v>110</v>
      </c>
      <c r="B62" s="37"/>
      <c r="C62" s="37"/>
      <c r="D62" s="37"/>
      <c r="E62" s="37"/>
      <c r="F62" s="77">
        <v>2789770.5639999998</v>
      </c>
      <c r="G62" s="37"/>
      <c r="H62" s="37"/>
      <c r="I62" s="37">
        <v>3201077.389</v>
      </c>
      <c r="J62" s="37"/>
      <c r="K62" s="37">
        <v>3425473.4929999998</v>
      </c>
      <c r="L62" s="37">
        <v>4144197.7379999999</v>
      </c>
      <c r="M62" s="37">
        <v>3774262.2209999999</v>
      </c>
      <c r="N62" s="37">
        <v>2372578.9759999998</v>
      </c>
      <c r="O62" s="37">
        <v>1349289.155</v>
      </c>
      <c r="P62" s="37">
        <v>1392719.7439999999</v>
      </c>
      <c r="Q62" s="37">
        <v>1388807.7779999999</v>
      </c>
      <c r="R62" s="37">
        <v>1448366.128</v>
      </c>
      <c r="S62" s="37">
        <v>1554470.3770000001</v>
      </c>
      <c r="T62" s="23">
        <v>1647382.0830000001</v>
      </c>
      <c r="U62" s="23">
        <v>1708879.389</v>
      </c>
      <c r="V62" s="23">
        <v>1786210.3319999999</v>
      </c>
      <c r="W62" s="23">
        <v>1840754.257</v>
      </c>
      <c r="X62" s="23">
        <v>1851922.79</v>
      </c>
      <c r="Y62" s="2">
        <v>1890099.7039999999</v>
      </c>
      <c r="Z62" s="2">
        <v>1944962.371</v>
      </c>
      <c r="AA62" s="2">
        <v>1957414.166</v>
      </c>
      <c r="AB62" s="130">
        <f>('Instruction-4YR'!B62+'RESEARCH 4yr'!B62+'PUBLIC SERVICE 4yr'!B62+'ASptISptSSv 4yr'!B62+'PLANT OPER MAIN 4yr'!B62+'SCHOLAR FELLOW 4yr'!B62+'All Other 4yr'!B62)-B62</f>
        <v>0</v>
      </c>
      <c r="AC62" s="130">
        <f>('Instruction-4YR'!C62+'RESEARCH 4yr'!C62+'PUBLIC SERVICE 4yr'!C62+'ASptISptSSv 4yr'!C62+'PLANT OPER MAIN 4yr'!C62+'SCHOLAR FELLOW 4yr'!C62+'All Other 4yr'!C62)-C62</f>
        <v>0</v>
      </c>
      <c r="AD62" s="130">
        <f>('Instruction-4YR'!D62+'RESEARCH 4yr'!D62+'PUBLIC SERVICE 4yr'!D62+'ASptISptSSv 4yr'!D62+'PLANT OPER MAIN 4yr'!D62+'SCHOLAR FELLOW 4yr'!D62+'All Other 4yr'!D62)-D62</f>
        <v>0</v>
      </c>
      <c r="AE62" s="130">
        <f>('Instruction-4YR'!E62+'RESEARCH 4yr'!E62+'PUBLIC SERVICE 4yr'!E62+'ASptISptSSv 4yr'!E62+'PLANT OPER MAIN 4yr'!E62+'SCHOLAR FELLOW 4yr'!E62+'All Other 4yr'!E62)-E62</f>
        <v>0</v>
      </c>
      <c r="AF62" s="130">
        <f>('Instruction-4YR'!F62+'RESEARCH 4yr'!F62+'PUBLIC SERVICE 4yr'!F62+'ASptISptSSv 4yr'!F62+'PLANT OPER MAIN 4yr'!F62+'SCHOLAR FELLOW 4yr'!F62+'All Other 4yr'!F62)-F62</f>
        <v>0</v>
      </c>
      <c r="AG62" s="130">
        <f>('Instruction-4YR'!G62+'RESEARCH 4yr'!G62+'PUBLIC SERVICE 4yr'!G62+'ASptISptSSv 4yr'!G62+'PLANT OPER MAIN 4yr'!G62+'SCHOLAR FELLOW 4yr'!G62+'All Other 4yr'!G62)-G62</f>
        <v>0</v>
      </c>
      <c r="AH62" s="130">
        <f>('Instruction-4YR'!H62+'RESEARCH 4yr'!H62+'PUBLIC SERVICE 4yr'!H62+'ASptISptSSv 4yr'!H62+'PLANT OPER MAIN 4yr'!H62+'SCHOLAR FELLOW 4yr'!H62+'All Other 4yr'!H62)-H62</f>
        <v>0</v>
      </c>
      <c r="AI62" s="130">
        <f>('Instruction-4YR'!I62+'RESEARCH 4yr'!I62+'PUBLIC SERVICE 4yr'!I62+'ASptISptSSv 4yr'!I62+'PLANT OPER MAIN 4yr'!I62+'SCHOLAR FELLOW 4yr'!I62+'All Other 4yr'!I62)-I62</f>
        <v>0</v>
      </c>
      <c r="AJ62" s="130">
        <f>('Instruction-4YR'!J62+'RESEARCH 4yr'!J62+'PUBLIC SERVICE 4yr'!J62+'ASptISptSSv 4yr'!J62+'PLANT OPER MAIN 4yr'!J62+'SCHOLAR FELLOW 4yr'!J62+'All Other 4yr'!J62)-J62</f>
        <v>0</v>
      </c>
      <c r="AK62" s="130">
        <f>('Instruction-4YR'!K62+'RESEARCH 4yr'!K62+'PUBLIC SERVICE 4yr'!K62+'ASptISptSSv 4yr'!K62+'PLANT OPER MAIN 4yr'!K62+'SCHOLAR FELLOW 4yr'!K62+'All Other 4yr'!K62)-K62</f>
        <v>0</v>
      </c>
      <c r="AL62" s="130">
        <f>('Instruction-4YR'!L62+'RESEARCH 4yr'!L62+'PUBLIC SERVICE 4yr'!L62+'ASptISptSSv 4yr'!L62+'PLANT OPER MAIN 4yr'!L62+'SCHOLAR FELLOW 4yr'!L62+'All Other 4yr'!L62)-L62</f>
        <v>0</v>
      </c>
      <c r="AM62" s="130">
        <f>('Instruction-4YR'!M62+'RESEARCH 4yr'!M62+'PUBLIC SERVICE 4yr'!M62+'ASptISptSSv 4yr'!M62+'PLANT OPER MAIN 4yr'!M62+'SCHOLAR FELLOW 4yr'!M62+'All Other 4yr'!M62)-M62</f>
        <v>0</v>
      </c>
      <c r="AN62" s="130">
        <f>('Instruction-4YR'!N62+'RESEARCH 4yr'!N62+'PUBLIC SERVICE 4yr'!N62+'ASptISptSSv 4yr'!N62+'PLANT OPER MAIN 4yr'!N62+'SCHOLAR FELLOW 4yr'!N62+'All Other 4yr'!N62)-N62</f>
        <v>0</v>
      </c>
      <c r="AO62" s="130">
        <f>('Instruction-4YR'!O62+'RESEARCH 4yr'!O62+'PUBLIC SERVICE 4yr'!O62+'ASptISptSSv 4yr'!O62+'PLANT OPER MAIN 4yr'!O62+'SCHOLAR FELLOW 4yr'!O62+'All Other 4yr'!O62)-O62</f>
        <v>0</v>
      </c>
      <c r="AP62" s="130">
        <f>('Instruction-4YR'!P62+'RESEARCH 4yr'!P62+'PUBLIC SERVICE 4yr'!P62+'ASptISptSSv 4yr'!P62+'PLANT OPER MAIN 4yr'!P62+'SCHOLAR FELLOW 4yr'!P62+'All Other 4yr'!P62)-P62</f>
        <v>0</v>
      </c>
      <c r="AQ62" s="130">
        <f>('Instruction-4YR'!Q62+'RESEARCH 4yr'!Q62+'PUBLIC SERVICE 4yr'!Q62+'ASptISptSSv 4yr'!Q62+'PLANT OPER MAIN 4yr'!Q62+'SCHOLAR FELLOW 4yr'!Q62+'All Other 4yr'!Q62)-Q62</f>
        <v>0</v>
      </c>
      <c r="AR62" s="130">
        <f>('Instruction-4YR'!R62+'RESEARCH 4yr'!R62+'PUBLIC SERVICE 4yr'!R62+'ASptISptSSv 4yr'!R62+'PLANT OPER MAIN 4yr'!R62+'SCHOLAR FELLOW 4yr'!R62+'All Other 4yr'!R62)-R62</f>
        <v>0</v>
      </c>
      <c r="AS62" s="130">
        <f>('Instruction-4YR'!S62+'RESEARCH 4yr'!S62+'PUBLIC SERVICE 4yr'!S62+'ASptISptSSv 4yr'!S62+'PLANT OPER MAIN 4yr'!S62+'SCHOLAR FELLOW 4yr'!S62+'All Other 4yr'!S62)-S62</f>
        <v>0</v>
      </c>
      <c r="AT62" s="130">
        <f>('Instruction-4YR'!T62+'RESEARCH 4yr'!T62+'PUBLIC SERVICE 4yr'!T62+'ASptISptSSv 4yr'!T62+'PLANT OPER MAIN 4yr'!T62+'SCHOLAR FELLOW 4yr'!T62+'All Other 4yr'!T62)-T62</f>
        <v>0</v>
      </c>
      <c r="AU62" s="130">
        <f>('Instruction-4YR'!U62+'RESEARCH 4yr'!U62+'PUBLIC SERVICE 4yr'!U62+'ASptISptSSv 4yr'!U62+'PLANT OPER MAIN 4yr'!U62+'SCHOLAR FELLOW 4yr'!U62+'All Other 4yr'!U62)-U62</f>
        <v>0</v>
      </c>
      <c r="AV62" s="130">
        <f>('Instruction-4YR'!V62+'RESEARCH 4yr'!V62+'PUBLIC SERVICE 4yr'!V62+'ASptISptSSv 4yr'!V62+'PLANT OPER MAIN 4yr'!V62+'SCHOLAR FELLOW 4yr'!V62+'All Other 4yr'!V62)-V62</f>
        <v>0</v>
      </c>
      <c r="AW62" s="130">
        <f>('Instruction-4YR'!W62+'RESEARCH 4yr'!W62+'PUBLIC SERVICE 4yr'!W62+'ASptISptSSv 4yr'!W62+'PLANT OPER MAIN 4yr'!W62+'SCHOLAR FELLOW 4yr'!W62+'All Other 4yr'!W62)-W62</f>
        <v>0</v>
      </c>
      <c r="AX62" s="130">
        <f>('Instruction-4YR'!X62+'RESEARCH 4yr'!X62+'PUBLIC SERVICE 4yr'!X62+'ASptISptSSv 4yr'!X62+'PLANT OPER MAIN 4yr'!X62+'SCHOLAR FELLOW 4yr'!X62+'All Other 4yr'!X62)-X62</f>
        <v>0</v>
      </c>
      <c r="AY62" s="130">
        <f>('Instruction-4YR'!Y62+'RESEARCH 4yr'!Y62+'PUBLIC SERVICE 4yr'!Y62+'ASptISptSSv 4yr'!Y62+'PLANT OPER MAIN 4yr'!Y62+'SCHOLAR FELLOW 4yr'!Y62+'All Other 4yr'!Y62)-Y62</f>
        <v>0</v>
      </c>
      <c r="AZ62" s="130">
        <f>('Instruction-4YR'!Z62+'RESEARCH 4yr'!Z62+'PUBLIC SERVICE 4yr'!Z62+'ASptISptSSv 4yr'!Z62+'PLANT OPER MAIN 4yr'!Z62+'SCHOLAR FELLOW 4yr'!Z62+'All Other 4yr'!Z62)-Z62</f>
        <v>0</v>
      </c>
      <c r="BA62" s="130">
        <f>('Instruction-4YR'!AA62+'RESEARCH 4yr'!AA62+'PUBLIC SERVICE 4yr'!AA62+'ASptISptSSv 4yr'!AA62+'PLANT OPER MAIN 4yr'!AA62+'SCHOLAR FELLOW 4yr'!AA62+'All Other 4yr'!AA62)-AA62</f>
        <v>0</v>
      </c>
    </row>
    <row r="63" spans="1:53">
      <c r="A63" s="23" t="s">
        <v>111</v>
      </c>
      <c r="B63" s="37"/>
      <c r="C63" s="37"/>
      <c r="D63" s="37"/>
      <c r="E63" s="37"/>
      <c r="F63" s="77">
        <v>219879.93900000001</v>
      </c>
      <c r="G63" s="37"/>
      <c r="H63" s="37"/>
      <c r="I63" s="37">
        <v>251449.99</v>
      </c>
      <c r="J63" s="37"/>
      <c r="K63" s="37">
        <v>270781.44</v>
      </c>
      <c r="L63" s="37">
        <v>314301.15100000001</v>
      </c>
      <c r="M63" s="37">
        <v>334197.96500000003</v>
      </c>
      <c r="N63" s="37">
        <v>352424.41399999999</v>
      </c>
      <c r="O63" s="37">
        <v>390185.35600000003</v>
      </c>
      <c r="P63" s="37">
        <v>400758.152</v>
      </c>
      <c r="Q63" s="37">
        <v>424110.462</v>
      </c>
      <c r="R63" s="37">
        <v>447470.65500000003</v>
      </c>
      <c r="S63" s="37">
        <v>466918.10499999998</v>
      </c>
      <c r="T63" s="23">
        <v>510200.14899999998</v>
      </c>
      <c r="U63" s="23">
        <v>518021.853</v>
      </c>
      <c r="V63" s="23">
        <v>529629.43000000005</v>
      </c>
      <c r="W63" s="23">
        <v>550215.5</v>
      </c>
      <c r="X63" s="23">
        <v>589638.43299999996</v>
      </c>
      <c r="Y63" s="2">
        <v>593166.70900000003</v>
      </c>
      <c r="Z63" s="2">
        <v>616783.22400000005</v>
      </c>
      <c r="AA63" s="2">
        <v>611558.522</v>
      </c>
      <c r="AB63" s="130">
        <f>('Instruction-4YR'!B63+'RESEARCH 4yr'!B63+'PUBLIC SERVICE 4yr'!B63+'ASptISptSSv 4yr'!B63+'PLANT OPER MAIN 4yr'!B63+'SCHOLAR FELLOW 4yr'!B63+'All Other 4yr'!B63)-B63</f>
        <v>0</v>
      </c>
      <c r="AC63" s="130">
        <f>('Instruction-4YR'!C63+'RESEARCH 4yr'!C63+'PUBLIC SERVICE 4yr'!C63+'ASptISptSSv 4yr'!C63+'PLANT OPER MAIN 4yr'!C63+'SCHOLAR FELLOW 4yr'!C63+'All Other 4yr'!C63)-C63</f>
        <v>0</v>
      </c>
      <c r="AD63" s="130">
        <f>('Instruction-4YR'!D63+'RESEARCH 4yr'!D63+'PUBLIC SERVICE 4yr'!D63+'ASptISptSSv 4yr'!D63+'PLANT OPER MAIN 4yr'!D63+'SCHOLAR FELLOW 4yr'!D63+'All Other 4yr'!D63)-D63</f>
        <v>0</v>
      </c>
      <c r="AE63" s="130">
        <f>('Instruction-4YR'!E63+'RESEARCH 4yr'!E63+'PUBLIC SERVICE 4yr'!E63+'ASptISptSSv 4yr'!E63+'PLANT OPER MAIN 4yr'!E63+'SCHOLAR FELLOW 4yr'!E63+'All Other 4yr'!E63)-E63</f>
        <v>0</v>
      </c>
      <c r="AF63" s="130">
        <f>('Instruction-4YR'!F63+'RESEARCH 4yr'!F63+'PUBLIC SERVICE 4yr'!F63+'ASptISptSSv 4yr'!F63+'PLANT OPER MAIN 4yr'!F63+'SCHOLAR FELLOW 4yr'!F63+'All Other 4yr'!F63)-F63</f>
        <v>0</v>
      </c>
      <c r="AG63" s="130">
        <f>('Instruction-4YR'!G63+'RESEARCH 4yr'!G63+'PUBLIC SERVICE 4yr'!G63+'ASptISptSSv 4yr'!G63+'PLANT OPER MAIN 4yr'!G63+'SCHOLAR FELLOW 4yr'!G63+'All Other 4yr'!G63)-G63</f>
        <v>0</v>
      </c>
      <c r="AH63" s="130">
        <f>('Instruction-4YR'!H63+'RESEARCH 4yr'!H63+'PUBLIC SERVICE 4yr'!H63+'ASptISptSSv 4yr'!H63+'PLANT OPER MAIN 4yr'!H63+'SCHOLAR FELLOW 4yr'!H63+'All Other 4yr'!H63)-H63</f>
        <v>0</v>
      </c>
      <c r="AI63" s="130">
        <f>('Instruction-4YR'!I63+'RESEARCH 4yr'!I63+'PUBLIC SERVICE 4yr'!I63+'ASptISptSSv 4yr'!I63+'PLANT OPER MAIN 4yr'!I63+'SCHOLAR FELLOW 4yr'!I63+'All Other 4yr'!I63)-I63</f>
        <v>0</v>
      </c>
      <c r="AJ63" s="130">
        <f>('Instruction-4YR'!J63+'RESEARCH 4yr'!J63+'PUBLIC SERVICE 4yr'!J63+'ASptISptSSv 4yr'!J63+'PLANT OPER MAIN 4yr'!J63+'SCHOLAR FELLOW 4yr'!J63+'All Other 4yr'!J63)-J63</f>
        <v>0</v>
      </c>
      <c r="AK63" s="130">
        <f>('Instruction-4YR'!K63+'RESEARCH 4yr'!K63+'PUBLIC SERVICE 4yr'!K63+'ASptISptSSv 4yr'!K63+'PLANT OPER MAIN 4yr'!K63+'SCHOLAR FELLOW 4yr'!K63+'All Other 4yr'!K63)-K63</f>
        <v>0</v>
      </c>
      <c r="AL63" s="130">
        <f>('Instruction-4YR'!L63+'RESEARCH 4yr'!L63+'PUBLIC SERVICE 4yr'!L63+'ASptISptSSv 4yr'!L63+'PLANT OPER MAIN 4yr'!L63+'SCHOLAR FELLOW 4yr'!L63+'All Other 4yr'!L63)-L63</f>
        <v>0</v>
      </c>
      <c r="AM63" s="130">
        <f>('Instruction-4YR'!M63+'RESEARCH 4yr'!M63+'PUBLIC SERVICE 4yr'!M63+'ASptISptSSv 4yr'!M63+'PLANT OPER MAIN 4yr'!M63+'SCHOLAR FELLOW 4yr'!M63+'All Other 4yr'!M63)-M63</f>
        <v>0</v>
      </c>
      <c r="AN63" s="130">
        <f>('Instruction-4YR'!N63+'RESEARCH 4yr'!N63+'PUBLIC SERVICE 4yr'!N63+'ASptISptSSv 4yr'!N63+'PLANT OPER MAIN 4yr'!N63+'SCHOLAR FELLOW 4yr'!N63+'All Other 4yr'!N63)-N63</f>
        <v>0</v>
      </c>
      <c r="AO63" s="130">
        <f>('Instruction-4YR'!O63+'RESEARCH 4yr'!O63+'PUBLIC SERVICE 4yr'!O63+'ASptISptSSv 4yr'!O63+'PLANT OPER MAIN 4yr'!O63+'SCHOLAR FELLOW 4yr'!O63+'All Other 4yr'!O63)-O63</f>
        <v>0</v>
      </c>
      <c r="AP63" s="130">
        <f>('Instruction-4YR'!P63+'RESEARCH 4yr'!P63+'PUBLIC SERVICE 4yr'!P63+'ASptISptSSv 4yr'!P63+'PLANT OPER MAIN 4yr'!P63+'SCHOLAR FELLOW 4yr'!P63+'All Other 4yr'!P63)-P63</f>
        <v>0</v>
      </c>
      <c r="AQ63" s="130">
        <f>('Instruction-4YR'!Q63+'RESEARCH 4yr'!Q63+'PUBLIC SERVICE 4yr'!Q63+'ASptISptSSv 4yr'!Q63+'PLANT OPER MAIN 4yr'!Q63+'SCHOLAR FELLOW 4yr'!Q63+'All Other 4yr'!Q63)-Q63</f>
        <v>0</v>
      </c>
      <c r="AR63" s="130">
        <f>('Instruction-4YR'!R63+'RESEARCH 4yr'!R63+'PUBLIC SERVICE 4yr'!R63+'ASptISptSSv 4yr'!R63+'PLANT OPER MAIN 4yr'!R63+'SCHOLAR FELLOW 4yr'!R63+'All Other 4yr'!R63)-R63</f>
        <v>0</v>
      </c>
      <c r="AS63" s="130">
        <f>('Instruction-4YR'!S63+'RESEARCH 4yr'!S63+'PUBLIC SERVICE 4yr'!S63+'ASptISptSSv 4yr'!S63+'PLANT OPER MAIN 4yr'!S63+'SCHOLAR FELLOW 4yr'!S63+'All Other 4yr'!S63)-S63</f>
        <v>0</v>
      </c>
      <c r="AT63" s="130">
        <f>('Instruction-4YR'!T63+'RESEARCH 4yr'!T63+'PUBLIC SERVICE 4yr'!T63+'ASptISptSSv 4yr'!T63+'PLANT OPER MAIN 4yr'!T63+'SCHOLAR FELLOW 4yr'!T63+'All Other 4yr'!T63)-T63</f>
        <v>0</v>
      </c>
      <c r="AU63" s="130">
        <f>('Instruction-4YR'!U63+'RESEARCH 4yr'!U63+'PUBLIC SERVICE 4yr'!U63+'ASptISptSSv 4yr'!U63+'PLANT OPER MAIN 4yr'!U63+'SCHOLAR FELLOW 4yr'!U63+'All Other 4yr'!U63)-U63</f>
        <v>0</v>
      </c>
      <c r="AV63" s="130">
        <f>('Instruction-4YR'!V63+'RESEARCH 4yr'!V63+'PUBLIC SERVICE 4yr'!V63+'ASptISptSSv 4yr'!V63+'PLANT OPER MAIN 4yr'!V63+'SCHOLAR FELLOW 4yr'!V63+'All Other 4yr'!V63)-V63</f>
        <v>0</v>
      </c>
      <c r="AW63" s="130">
        <f>('Instruction-4YR'!W63+'RESEARCH 4yr'!W63+'PUBLIC SERVICE 4yr'!W63+'ASptISptSSv 4yr'!W63+'PLANT OPER MAIN 4yr'!W63+'SCHOLAR FELLOW 4yr'!W63+'All Other 4yr'!W63)-W63</f>
        <v>0</v>
      </c>
      <c r="AX63" s="130">
        <f>('Instruction-4YR'!X63+'RESEARCH 4yr'!X63+'PUBLIC SERVICE 4yr'!X63+'ASptISptSSv 4yr'!X63+'PLANT OPER MAIN 4yr'!X63+'SCHOLAR FELLOW 4yr'!X63+'All Other 4yr'!X63)-X63</f>
        <v>0</v>
      </c>
      <c r="AY63" s="130">
        <f>('Instruction-4YR'!Y63+'RESEARCH 4yr'!Y63+'PUBLIC SERVICE 4yr'!Y63+'ASptISptSSv 4yr'!Y63+'PLANT OPER MAIN 4yr'!Y63+'SCHOLAR FELLOW 4yr'!Y63+'All Other 4yr'!Y63)-Y63</f>
        <v>0</v>
      </c>
      <c r="AZ63" s="130">
        <f>('Instruction-4YR'!Z63+'RESEARCH 4yr'!Z63+'PUBLIC SERVICE 4yr'!Z63+'ASptISptSSv 4yr'!Z63+'PLANT OPER MAIN 4yr'!Z63+'SCHOLAR FELLOW 4yr'!Z63+'All Other 4yr'!Z63)-Z63</f>
        <v>0</v>
      </c>
      <c r="BA63" s="130">
        <f>('Instruction-4YR'!AA63+'RESEARCH 4yr'!AA63+'PUBLIC SERVICE 4yr'!AA63+'ASptISptSSv 4yr'!AA63+'PLANT OPER MAIN 4yr'!AA63+'SCHOLAR FELLOW 4yr'!AA63+'All Other 4yr'!AA63)-AA63</f>
        <v>0</v>
      </c>
    </row>
    <row r="64" spans="1:53">
      <c r="A64" s="45" t="s">
        <v>114</v>
      </c>
      <c r="B64" s="63"/>
      <c r="C64" s="63"/>
      <c r="D64" s="63"/>
      <c r="E64" s="63"/>
      <c r="F64" s="82">
        <v>246795.598</v>
      </c>
      <c r="G64" s="63"/>
      <c r="H64" s="63"/>
      <c r="I64" s="63">
        <v>280609.88299999997</v>
      </c>
      <c r="J64" s="63"/>
      <c r="K64" s="63">
        <v>307343.08600000001</v>
      </c>
      <c r="L64" s="63">
        <v>367739.902</v>
      </c>
      <c r="M64" s="63">
        <v>360249.51299999998</v>
      </c>
      <c r="N64" s="63">
        <v>419762.30900000001</v>
      </c>
      <c r="O64" s="63">
        <v>485330.59</v>
      </c>
      <c r="P64" s="63">
        <v>489622.65100000001</v>
      </c>
      <c r="Q64" s="63">
        <v>502639.04399999999</v>
      </c>
      <c r="R64" s="63">
        <v>552333.10699999996</v>
      </c>
      <c r="S64" s="63">
        <v>600426.99199999997</v>
      </c>
      <c r="T64" s="45">
        <v>668716.54299999995</v>
      </c>
      <c r="U64" s="45">
        <v>635963.16599999997</v>
      </c>
      <c r="V64" s="45">
        <v>719215.43200000003</v>
      </c>
      <c r="W64" s="45">
        <v>751684.05</v>
      </c>
      <c r="X64" s="45">
        <v>758936.08299999998</v>
      </c>
      <c r="Y64" s="45">
        <v>760075.60400000005</v>
      </c>
      <c r="Z64" s="45">
        <v>777632.36699999997</v>
      </c>
      <c r="AA64" s="45">
        <v>780507.90700000001</v>
      </c>
      <c r="AB64" s="130">
        <f>('Instruction-4YR'!B64+'RESEARCH 4yr'!B64+'PUBLIC SERVICE 4yr'!B64+'ASptISptSSv 4yr'!B64+'PLANT OPER MAIN 4yr'!B64+'SCHOLAR FELLOW 4yr'!B64+'All Other 4yr'!B64)-B64</f>
        <v>0</v>
      </c>
      <c r="AC64" s="130">
        <f>('Instruction-4YR'!C64+'RESEARCH 4yr'!C64+'PUBLIC SERVICE 4yr'!C64+'ASptISptSSv 4yr'!C64+'PLANT OPER MAIN 4yr'!C64+'SCHOLAR FELLOW 4yr'!C64+'All Other 4yr'!C64)-C64</f>
        <v>0</v>
      </c>
      <c r="AD64" s="130">
        <f>('Instruction-4YR'!D64+'RESEARCH 4yr'!D64+'PUBLIC SERVICE 4yr'!D64+'ASptISptSSv 4yr'!D64+'PLANT OPER MAIN 4yr'!D64+'SCHOLAR FELLOW 4yr'!D64+'All Other 4yr'!D64)-D64</f>
        <v>0</v>
      </c>
      <c r="AE64" s="130">
        <f>('Instruction-4YR'!E64+'RESEARCH 4yr'!E64+'PUBLIC SERVICE 4yr'!E64+'ASptISptSSv 4yr'!E64+'PLANT OPER MAIN 4yr'!E64+'SCHOLAR FELLOW 4yr'!E64+'All Other 4yr'!E64)-E64</f>
        <v>0</v>
      </c>
      <c r="AF64" s="130">
        <f>('Instruction-4YR'!F64+'RESEARCH 4yr'!F64+'PUBLIC SERVICE 4yr'!F64+'ASptISptSSv 4yr'!F64+'PLANT OPER MAIN 4yr'!F64+'SCHOLAR FELLOW 4yr'!F64+'All Other 4yr'!F64)-F64</f>
        <v>0</v>
      </c>
      <c r="AG64" s="130">
        <f>('Instruction-4YR'!G64+'RESEARCH 4yr'!G64+'PUBLIC SERVICE 4yr'!G64+'ASptISptSSv 4yr'!G64+'PLANT OPER MAIN 4yr'!G64+'SCHOLAR FELLOW 4yr'!G64+'All Other 4yr'!G64)-G64</f>
        <v>0</v>
      </c>
      <c r="AH64" s="130">
        <f>('Instruction-4YR'!H64+'RESEARCH 4yr'!H64+'PUBLIC SERVICE 4yr'!H64+'ASptISptSSv 4yr'!H64+'PLANT OPER MAIN 4yr'!H64+'SCHOLAR FELLOW 4yr'!H64+'All Other 4yr'!H64)-H64</f>
        <v>0</v>
      </c>
      <c r="AI64" s="130">
        <f>('Instruction-4YR'!I64+'RESEARCH 4yr'!I64+'PUBLIC SERVICE 4yr'!I64+'ASptISptSSv 4yr'!I64+'PLANT OPER MAIN 4yr'!I64+'SCHOLAR FELLOW 4yr'!I64+'All Other 4yr'!I64)-I64</f>
        <v>0</v>
      </c>
      <c r="AJ64" s="130">
        <f>('Instruction-4YR'!J64+'RESEARCH 4yr'!J64+'PUBLIC SERVICE 4yr'!J64+'ASptISptSSv 4yr'!J64+'PLANT OPER MAIN 4yr'!J64+'SCHOLAR FELLOW 4yr'!J64+'All Other 4yr'!J64)-J64</f>
        <v>0</v>
      </c>
      <c r="AK64" s="130">
        <f>('Instruction-4YR'!K64+'RESEARCH 4yr'!K64+'PUBLIC SERVICE 4yr'!K64+'ASptISptSSv 4yr'!K64+'PLANT OPER MAIN 4yr'!K64+'SCHOLAR FELLOW 4yr'!K64+'All Other 4yr'!K64)-K64</f>
        <v>0</v>
      </c>
      <c r="AL64" s="130">
        <f>('Instruction-4YR'!L64+'RESEARCH 4yr'!L64+'PUBLIC SERVICE 4yr'!L64+'ASptISptSSv 4yr'!L64+'PLANT OPER MAIN 4yr'!L64+'SCHOLAR FELLOW 4yr'!L64+'All Other 4yr'!L64)-L64</f>
        <v>0</v>
      </c>
      <c r="AM64" s="130">
        <f>('Instruction-4YR'!M64+'RESEARCH 4yr'!M64+'PUBLIC SERVICE 4yr'!M64+'ASptISptSSv 4yr'!M64+'PLANT OPER MAIN 4yr'!M64+'SCHOLAR FELLOW 4yr'!M64+'All Other 4yr'!M64)-M64</f>
        <v>0</v>
      </c>
      <c r="AN64" s="130">
        <f>('Instruction-4YR'!N64+'RESEARCH 4yr'!N64+'PUBLIC SERVICE 4yr'!N64+'ASptISptSSv 4yr'!N64+'PLANT OPER MAIN 4yr'!N64+'SCHOLAR FELLOW 4yr'!N64+'All Other 4yr'!N64)-N64</f>
        <v>0</v>
      </c>
      <c r="AO64" s="130">
        <f>('Instruction-4YR'!O64+'RESEARCH 4yr'!O64+'PUBLIC SERVICE 4yr'!O64+'ASptISptSSv 4yr'!O64+'PLANT OPER MAIN 4yr'!O64+'SCHOLAR FELLOW 4yr'!O64+'All Other 4yr'!O64)-O64</f>
        <v>0</v>
      </c>
      <c r="AP64" s="130">
        <f>('Instruction-4YR'!P64+'RESEARCH 4yr'!P64+'PUBLIC SERVICE 4yr'!P64+'ASptISptSSv 4yr'!P64+'PLANT OPER MAIN 4yr'!P64+'SCHOLAR FELLOW 4yr'!P64+'All Other 4yr'!P64)-P64</f>
        <v>0</v>
      </c>
      <c r="AQ64" s="130">
        <f>('Instruction-4YR'!Q64+'RESEARCH 4yr'!Q64+'PUBLIC SERVICE 4yr'!Q64+'ASptISptSSv 4yr'!Q64+'PLANT OPER MAIN 4yr'!Q64+'SCHOLAR FELLOW 4yr'!Q64+'All Other 4yr'!Q64)-Q64</f>
        <v>0</v>
      </c>
      <c r="AR64" s="130">
        <f>('Instruction-4YR'!R64+'RESEARCH 4yr'!R64+'PUBLIC SERVICE 4yr'!R64+'ASptISptSSv 4yr'!R64+'PLANT OPER MAIN 4yr'!R64+'SCHOLAR FELLOW 4yr'!R64+'All Other 4yr'!R64)-R64</f>
        <v>0</v>
      </c>
      <c r="AS64" s="130">
        <f>('Instruction-4YR'!S64+'RESEARCH 4yr'!S64+'PUBLIC SERVICE 4yr'!S64+'ASptISptSSv 4yr'!S64+'PLANT OPER MAIN 4yr'!S64+'SCHOLAR FELLOW 4yr'!S64+'All Other 4yr'!S64)-S64</f>
        <v>0</v>
      </c>
      <c r="AT64" s="130">
        <f>('Instruction-4YR'!T64+'RESEARCH 4yr'!T64+'PUBLIC SERVICE 4yr'!T64+'ASptISptSSv 4yr'!T64+'PLANT OPER MAIN 4yr'!T64+'SCHOLAR FELLOW 4yr'!T64+'All Other 4yr'!T64)-T64</f>
        <v>0</v>
      </c>
      <c r="AU64" s="130">
        <f>('Instruction-4YR'!U64+'RESEARCH 4yr'!U64+'PUBLIC SERVICE 4yr'!U64+'ASptISptSSv 4yr'!U64+'PLANT OPER MAIN 4yr'!U64+'SCHOLAR FELLOW 4yr'!U64+'All Other 4yr'!U64)-U64</f>
        <v>0</v>
      </c>
      <c r="AV64" s="130">
        <f>('Instruction-4YR'!V64+'RESEARCH 4yr'!V64+'PUBLIC SERVICE 4yr'!V64+'ASptISptSSv 4yr'!V64+'PLANT OPER MAIN 4yr'!V64+'SCHOLAR FELLOW 4yr'!V64+'All Other 4yr'!V64)-V64</f>
        <v>0</v>
      </c>
      <c r="AW64" s="130">
        <f>('Instruction-4YR'!W64+'RESEARCH 4yr'!W64+'PUBLIC SERVICE 4yr'!W64+'ASptISptSSv 4yr'!W64+'PLANT OPER MAIN 4yr'!W64+'SCHOLAR FELLOW 4yr'!W64+'All Other 4yr'!W64)-W64</f>
        <v>0</v>
      </c>
      <c r="AX64" s="130">
        <f>('Instruction-4YR'!X64+'RESEARCH 4yr'!X64+'PUBLIC SERVICE 4yr'!X64+'ASptISptSSv 4yr'!X64+'PLANT OPER MAIN 4yr'!X64+'SCHOLAR FELLOW 4yr'!X64+'All Other 4yr'!X64)-X64</f>
        <v>0</v>
      </c>
      <c r="AY64" s="130">
        <f>('Instruction-4YR'!Y64+'RESEARCH 4yr'!Y64+'PUBLIC SERVICE 4yr'!Y64+'ASptISptSSv 4yr'!Y64+'PLANT OPER MAIN 4yr'!Y64+'SCHOLAR FELLOW 4yr'!Y64+'All Other 4yr'!Y64)-Y64</f>
        <v>0</v>
      </c>
      <c r="AZ64" s="130">
        <f>('Instruction-4YR'!Z64+'RESEARCH 4yr'!Z64+'PUBLIC SERVICE 4yr'!Z64+'ASptISptSSv 4yr'!Z64+'PLANT OPER MAIN 4yr'!Z64+'SCHOLAR FELLOW 4yr'!Z64+'All Other 4yr'!Z64)-Z64</f>
        <v>0</v>
      </c>
      <c r="BA64" s="130">
        <f>('Instruction-4YR'!AA64+'RESEARCH 4yr'!AA64+'PUBLIC SERVICE 4yr'!AA64+'ASptISptSSv 4yr'!AA64+'PLANT OPER MAIN 4yr'!AA64+'SCHOLAR FELLOW 4yr'!AA64+'All Other 4yr'!AA64)-AA64</f>
        <v>0</v>
      </c>
    </row>
    <row r="65" spans="1:53">
      <c r="A65" s="88" t="s">
        <v>90</v>
      </c>
      <c r="B65" s="84"/>
      <c r="C65" s="84"/>
      <c r="D65" s="84"/>
      <c r="E65" s="84"/>
      <c r="F65" s="85">
        <v>122258.39200000001</v>
      </c>
      <c r="G65" s="84"/>
      <c r="H65" s="84"/>
      <c r="I65" s="86">
        <v>100218.249</v>
      </c>
      <c r="J65" s="86"/>
      <c r="K65" s="86">
        <v>108317.24954999999</v>
      </c>
      <c r="L65" s="86">
        <v>83706.350000000006</v>
      </c>
      <c r="M65" s="86">
        <v>93698.697</v>
      </c>
      <c r="N65" s="86">
        <v>92109.743000000002</v>
      </c>
      <c r="O65" s="86">
        <v>97401.993000000002</v>
      </c>
      <c r="P65" s="86">
        <v>95970.748000000007</v>
      </c>
      <c r="Q65" s="86">
        <v>102807.22199999999</v>
      </c>
      <c r="R65" s="86">
        <v>117338.73699999999</v>
      </c>
      <c r="S65" s="86">
        <v>128276.976</v>
      </c>
      <c r="T65" s="87">
        <v>116717.073</v>
      </c>
      <c r="U65" s="87">
        <v>131148.83499999999</v>
      </c>
      <c r="V65" s="87">
        <v>127372.939</v>
      </c>
      <c r="W65" s="87">
        <v>159784.302</v>
      </c>
      <c r="X65" s="45">
        <v>154411.19500000001</v>
      </c>
      <c r="Y65" s="45">
        <v>147068.489</v>
      </c>
      <c r="Z65" s="45">
        <v>137144.25599999999</v>
      </c>
      <c r="AA65" s="45">
        <v>144382.95600000001</v>
      </c>
      <c r="AB65" s="130">
        <f>('Instruction-4YR'!B65+'RESEARCH 4yr'!B65+'PUBLIC SERVICE 4yr'!B65+'ASptISptSSv 4yr'!B65+'PLANT OPER MAIN 4yr'!B65+'SCHOLAR FELLOW 4yr'!B65+'All Other 4yr'!B65)-B65</f>
        <v>0</v>
      </c>
      <c r="AC65" s="130">
        <f>('Instruction-4YR'!C65+'RESEARCH 4yr'!C65+'PUBLIC SERVICE 4yr'!C65+'ASptISptSSv 4yr'!C65+'PLANT OPER MAIN 4yr'!C65+'SCHOLAR FELLOW 4yr'!C65+'All Other 4yr'!C65)-C65</f>
        <v>0</v>
      </c>
      <c r="AD65" s="130">
        <f>('Instruction-4YR'!D65+'RESEARCH 4yr'!D65+'PUBLIC SERVICE 4yr'!D65+'ASptISptSSv 4yr'!D65+'PLANT OPER MAIN 4yr'!D65+'SCHOLAR FELLOW 4yr'!D65+'All Other 4yr'!D65)-D65</f>
        <v>0</v>
      </c>
      <c r="AE65" s="130">
        <f>('Instruction-4YR'!E65+'RESEARCH 4yr'!E65+'PUBLIC SERVICE 4yr'!E65+'ASptISptSSv 4yr'!E65+'PLANT OPER MAIN 4yr'!E65+'SCHOLAR FELLOW 4yr'!E65+'All Other 4yr'!E65)-E65</f>
        <v>0</v>
      </c>
      <c r="AF65" s="130">
        <f>('Instruction-4YR'!F65+'RESEARCH 4yr'!F65+'PUBLIC SERVICE 4yr'!F65+'ASptISptSSv 4yr'!F65+'PLANT OPER MAIN 4yr'!F65+'SCHOLAR FELLOW 4yr'!F65+'All Other 4yr'!F65)-F65</f>
        <v>0</v>
      </c>
      <c r="AG65" s="130">
        <f>('Instruction-4YR'!G65+'RESEARCH 4yr'!G65+'PUBLIC SERVICE 4yr'!G65+'ASptISptSSv 4yr'!G65+'PLANT OPER MAIN 4yr'!G65+'SCHOLAR FELLOW 4yr'!G65+'All Other 4yr'!G65)-G65</f>
        <v>0</v>
      </c>
      <c r="AH65" s="130">
        <f>('Instruction-4YR'!H65+'RESEARCH 4yr'!H65+'PUBLIC SERVICE 4yr'!H65+'ASptISptSSv 4yr'!H65+'PLANT OPER MAIN 4yr'!H65+'SCHOLAR FELLOW 4yr'!H65+'All Other 4yr'!H65)-H65</f>
        <v>0</v>
      </c>
      <c r="AI65" s="130">
        <f>('Instruction-4YR'!I65+'RESEARCH 4yr'!I65+'PUBLIC SERVICE 4yr'!I65+'ASptISptSSv 4yr'!I65+'PLANT OPER MAIN 4yr'!I65+'SCHOLAR FELLOW 4yr'!I65+'All Other 4yr'!I65)-I65</f>
        <v>0</v>
      </c>
      <c r="AJ65" s="130">
        <f>('Instruction-4YR'!J65+'RESEARCH 4yr'!J65+'PUBLIC SERVICE 4yr'!J65+'ASptISptSSv 4yr'!J65+'PLANT OPER MAIN 4yr'!J65+'SCHOLAR FELLOW 4yr'!J65+'All Other 4yr'!J65)-J65</f>
        <v>0</v>
      </c>
      <c r="AK65" s="130">
        <f>('Instruction-4YR'!K65+'RESEARCH 4yr'!K65+'PUBLIC SERVICE 4yr'!K65+'ASptISptSSv 4yr'!K65+'PLANT OPER MAIN 4yr'!K65+'SCHOLAR FELLOW 4yr'!K65+'All Other 4yr'!K65)-K65</f>
        <v>0</v>
      </c>
      <c r="AL65" s="130">
        <f>('Instruction-4YR'!L65+'RESEARCH 4yr'!L65+'PUBLIC SERVICE 4yr'!L65+'ASptISptSSv 4yr'!L65+'PLANT OPER MAIN 4yr'!L65+'SCHOLAR FELLOW 4yr'!L65+'All Other 4yr'!L65)-L65</f>
        <v>0</v>
      </c>
      <c r="AM65" s="130">
        <f>('Instruction-4YR'!M65+'RESEARCH 4yr'!M65+'PUBLIC SERVICE 4yr'!M65+'ASptISptSSv 4yr'!M65+'PLANT OPER MAIN 4yr'!M65+'SCHOLAR FELLOW 4yr'!M65+'All Other 4yr'!M65)-M65</f>
        <v>0</v>
      </c>
      <c r="AN65" s="130">
        <f>('Instruction-4YR'!N65+'RESEARCH 4yr'!N65+'PUBLIC SERVICE 4yr'!N65+'ASptISptSSv 4yr'!N65+'PLANT OPER MAIN 4yr'!N65+'SCHOLAR FELLOW 4yr'!N65+'All Other 4yr'!N65)-N65</f>
        <v>0</v>
      </c>
      <c r="AO65" s="130">
        <f>('Instruction-4YR'!O65+'RESEARCH 4yr'!O65+'PUBLIC SERVICE 4yr'!O65+'ASptISptSSv 4yr'!O65+'PLANT OPER MAIN 4yr'!O65+'SCHOLAR FELLOW 4yr'!O65+'All Other 4yr'!O65)-O65</f>
        <v>0</v>
      </c>
      <c r="AP65" s="130">
        <f>('Instruction-4YR'!P65+'RESEARCH 4yr'!P65+'PUBLIC SERVICE 4yr'!P65+'ASptISptSSv 4yr'!P65+'PLANT OPER MAIN 4yr'!P65+'SCHOLAR FELLOW 4yr'!P65+'All Other 4yr'!P65)-P65</f>
        <v>0</v>
      </c>
      <c r="AQ65" s="130">
        <f>('Instruction-4YR'!Q65+'RESEARCH 4yr'!Q65+'PUBLIC SERVICE 4yr'!Q65+'ASptISptSSv 4yr'!Q65+'PLANT OPER MAIN 4yr'!Q65+'SCHOLAR FELLOW 4yr'!Q65+'All Other 4yr'!Q65)-Q65</f>
        <v>0</v>
      </c>
      <c r="AR65" s="130">
        <f>('Instruction-4YR'!R65+'RESEARCH 4yr'!R65+'PUBLIC SERVICE 4yr'!R65+'ASptISptSSv 4yr'!R65+'PLANT OPER MAIN 4yr'!R65+'SCHOLAR FELLOW 4yr'!R65+'All Other 4yr'!R65)-R65</f>
        <v>0</v>
      </c>
      <c r="AS65" s="130">
        <f>('Instruction-4YR'!S65+'RESEARCH 4yr'!S65+'PUBLIC SERVICE 4yr'!S65+'ASptISptSSv 4yr'!S65+'PLANT OPER MAIN 4yr'!S65+'SCHOLAR FELLOW 4yr'!S65+'All Other 4yr'!S65)-S65</f>
        <v>0</v>
      </c>
      <c r="AT65" s="130">
        <f>('Instruction-4YR'!T65+'RESEARCH 4yr'!T65+'PUBLIC SERVICE 4yr'!T65+'ASptISptSSv 4yr'!T65+'PLANT OPER MAIN 4yr'!T65+'SCHOLAR FELLOW 4yr'!T65+'All Other 4yr'!T65)-T65</f>
        <v>16237.924499999994</v>
      </c>
      <c r="AU65" s="130">
        <f>('Instruction-4YR'!U65+'RESEARCH 4yr'!U65+'PUBLIC SERVICE 4yr'!U65+'ASptISptSSv 4yr'!U65+'PLANT OPER MAIN 4yr'!U65+'SCHOLAR FELLOW 4yr'!U65+'All Other 4yr'!U65)-U65</f>
        <v>0</v>
      </c>
      <c r="AV65" s="130">
        <f>('Instruction-4YR'!V65+'RESEARCH 4yr'!V65+'PUBLIC SERVICE 4yr'!V65+'ASptISptSSv 4yr'!V65+'PLANT OPER MAIN 4yr'!V65+'SCHOLAR FELLOW 4yr'!V65+'All Other 4yr'!V65)-V65</f>
        <v>0</v>
      </c>
      <c r="AW65" s="130">
        <f>('Instruction-4YR'!W65+'RESEARCH 4yr'!W65+'PUBLIC SERVICE 4yr'!W65+'ASptISptSSv 4yr'!W65+'PLANT OPER MAIN 4yr'!W65+'SCHOLAR FELLOW 4yr'!W65+'All Other 4yr'!W65)-W65</f>
        <v>0</v>
      </c>
      <c r="AX65" s="130">
        <f>('Instruction-4YR'!X65+'RESEARCH 4yr'!X65+'PUBLIC SERVICE 4yr'!X65+'ASptISptSSv 4yr'!X65+'PLANT OPER MAIN 4yr'!X65+'SCHOLAR FELLOW 4yr'!X65+'All Other 4yr'!X65)-X65</f>
        <v>0</v>
      </c>
      <c r="AY65" s="130">
        <f>('Instruction-4YR'!Y65+'RESEARCH 4yr'!Y65+'PUBLIC SERVICE 4yr'!Y65+'ASptISptSSv 4yr'!Y65+'PLANT OPER MAIN 4yr'!Y65+'SCHOLAR FELLOW 4yr'!Y65+'All Other 4yr'!Y65)-Y65</f>
        <v>0</v>
      </c>
      <c r="AZ65" s="130">
        <f>('Instruction-4YR'!Z65+'RESEARCH 4yr'!Z65+'PUBLIC SERVICE 4yr'!Z65+'ASptISptSSv 4yr'!Z65+'PLANT OPER MAIN 4yr'!Z65+'SCHOLAR FELLOW 4yr'!Z65+'All Other 4yr'!Z65)-Z65</f>
        <v>0</v>
      </c>
      <c r="BA65" s="130">
        <f>('Instruction-4YR'!AA65+'RESEARCH 4yr'!AA65+'PUBLIC SERVICE 4yr'!AA65+'ASptISptSSv 4yr'!AA65+'PLANT OPER MAIN 4yr'!AA65+'SCHOLAR FELLOW 4yr'!AA65+'All Other 4yr'!AA65)-AA65</f>
        <v>0</v>
      </c>
    </row>
    <row r="66" spans="1:53">
      <c r="B66" s="37"/>
      <c r="C66" s="37"/>
      <c r="D66" s="37"/>
      <c r="E66" s="37"/>
      <c r="F66" s="37"/>
      <c r="G66" s="37"/>
      <c r="H66" s="37"/>
      <c r="I66" s="37"/>
      <c r="J66" s="37"/>
      <c r="K66" s="37"/>
      <c r="L66" s="37"/>
      <c r="M66" s="37"/>
      <c r="N66" s="37"/>
      <c r="O66" s="37"/>
      <c r="P66" s="37"/>
      <c r="Q66" s="37"/>
      <c r="R66" s="37"/>
      <c r="S66" s="37"/>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row>
    <row r="67" spans="1:53">
      <c r="E67" s="13" t="s">
        <v>41</v>
      </c>
      <c r="I67" s="78" t="s">
        <v>78</v>
      </c>
      <c r="J67" s="78" t="s">
        <v>76</v>
      </c>
      <c r="L67" s="14" t="s">
        <v>69</v>
      </c>
      <c r="O67" s="14" t="s">
        <v>78</v>
      </c>
      <c r="P67" s="14" t="s">
        <v>78</v>
      </c>
      <c r="Q67" s="14" t="s">
        <v>78</v>
      </c>
      <c r="R67" s="14" t="s">
        <v>78</v>
      </c>
    </row>
    <row r="68" spans="1:53">
      <c r="I68" s="14" t="s">
        <v>79</v>
      </c>
      <c r="J68" s="14" t="s">
        <v>72</v>
      </c>
      <c r="L68" s="14" t="s">
        <v>70</v>
      </c>
      <c r="O68" s="14" t="s">
        <v>79</v>
      </c>
      <c r="P68" s="14" t="s">
        <v>79</v>
      </c>
      <c r="Q68" s="14" t="s">
        <v>79</v>
      </c>
      <c r="R68" s="14" t="s">
        <v>79</v>
      </c>
    </row>
    <row r="69" spans="1:53">
      <c r="I69" s="14" t="s">
        <v>80</v>
      </c>
      <c r="J69" s="14" t="s">
        <v>73</v>
      </c>
      <c r="O69" s="14" t="s">
        <v>80</v>
      </c>
      <c r="P69" s="14" t="s">
        <v>80</v>
      </c>
      <c r="Q69" s="14" t="s">
        <v>80</v>
      </c>
      <c r="R69" s="14" t="s">
        <v>80</v>
      </c>
    </row>
    <row r="70" spans="1:53">
      <c r="J70" s="14" t="s">
        <v>74</v>
      </c>
    </row>
  </sheetData>
  <phoneticPr fontId="6" type="noConversion"/>
  <pageMargins left="0.5" right="0.5" top="0.5" bottom="0.55000000000000004" header="0.5" footer="0.5"/>
  <pageSetup scale="76" orientation="landscape" verticalDpi="300" r:id="rId1"/>
  <headerFooter alignWithMargins="0">
    <oddFooter>&amp;LSREB Fact Book 1996/1997&amp;CUpdate&amp;R&amp;D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14">
    <tabColor rgb="FF0099FF"/>
  </sheetPr>
  <dimension ref="A1:BA70"/>
  <sheetViews>
    <sheetView zoomScale="80" zoomScaleNormal="80" workbookViewId="0">
      <pane xSplit="1" ySplit="6" topLeftCell="X16" activePane="bottomRight" state="frozen"/>
      <selection pane="topRight" activeCell="B1" sqref="B1"/>
      <selection pane="bottomLeft" activeCell="A7" sqref="A7"/>
      <selection pane="bottomRight" activeCell="AZ19" sqref="AZ19"/>
    </sheetView>
  </sheetViews>
  <sheetFormatPr defaultColWidth="9.7109375" defaultRowHeight="12.75"/>
  <cols>
    <col min="1" max="1" width="23.42578125" style="80" customWidth="1"/>
    <col min="2" max="27" width="12.42578125" style="14" customWidth="1"/>
    <col min="28" max="28" width="12.42578125" style="2" customWidth="1"/>
    <col min="29" max="31" width="9.7109375" style="2"/>
    <col min="32" max="32" width="13.42578125" style="2" customWidth="1"/>
    <col min="33" max="47" width="9.7109375" style="2"/>
    <col min="48" max="49" width="11.28515625" style="2" bestFit="1" customWidth="1"/>
    <col min="50" max="16384" width="9.7109375" style="2"/>
  </cols>
  <sheetData>
    <row r="1" spans="1:53">
      <c r="A1" s="8" t="s">
        <v>39</v>
      </c>
      <c r="B1" s="13"/>
      <c r="C1" s="13"/>
      <c r="D1" s="12"/>
      <c r="E1" s="12"/>
      <c r="F1" s="13"/>
      <c r="G1" s="13"/>
      <c r="H1" s="13"/>
      <c r="AB1" s="130"/>
      <c r="AC1" s="130"/>
      <c r="AD1" s="130"/>
      <c r="AE1" s="130"/>
      <c r="AF1" s="130"/>
      <c r="AG1" s="130"/>
      <c r="AH1" s="130"/>
      <c r="AI1" s="130"/>
      <c r="AJ1" s="130"/>
      <c r="AK1" s="130"/>
      <c r="AL1" s="130"/>
      <c r="AM1" s="130"/>
      <c r="AN1" s="130"/>
      <c r="AO1" s="130"/>
      <c r="AP1" s="130"/>
      <c r="AQ1" s="130"/>
      <c r="AR1" s="130"/>
      <c r="AS1" s="130"/>
      <c r="AT1" s="130"/>
      <c r="AU1" s="130"/>
      <c r="AV1" s="130"/>
      <c r="AW1" s="130"/>
      <c r="AX1" s="179"/>
      <c r="AY1" s="179"/>
      <c r="AZ1" s="179"/>
      <c r="BA1" s="179"/>
    </row>
    <row r="2" spans="1:53">
      <c r="A2" s="1"/>
      <c r="B2" s="13"/>
      <c r="C2" s="13"/>
      <c r="D2" s="12"/>
      <c r="E2" s="12"/>
      <c r="F2" s="13"/>
      <c r="G2" s="13"/>
      <c r="H2" s="13"/>
      <c r="AB2" s="130" t="s">
        <v>77</v>
      </c>
      <c r="AC2" s="130"/>
      <c r="AD2" s="130"/>
      <c r="AE2" s="130"/>
      <c r="AF2" s="130"/>
      <c r="AG2" s="130"/>
      <c r="AH2" s="130"/>
      <c r="AI2" s="130"/>
      <c r="AJ2" s="130"/>
      <c r="AK2" s="130"/>
      <c r="AL2" s="130"/>
      <c r="AM2" s="130"/>
      <c r="AN2" s="130"/>
      <c r="AO2" s="130"/>
      <c r="AP2" s="130"/>
      <c r="AQ2" s="130"/>
      <c r="AR2" s="130"/>
      <c r="AS2" s="130"/>
      <c r="AT2" s="130"/>
      <c r="AU2" s="130"/>
      <c r="AV2" s="130"/>
      <c r="AW2" s="130"/>
      <c r="AX2" s="179"/>
      <c r="AY2" s="179"/>
      <c r="AZ2" s="179"/>
      <c r="BA2" s="179"/>
    </row>
    <row r="3" spans="1:53">
      <c r="A3" s="1" t="s">
        <v>40</v>
      </c>
      <c r="B3" s="13"/>
      <c r="C3" s="13"/>
      <c r="D3" s="12"/>
      <c r="E3" s="12"/>
      <c r="F3" s="13"/>
      <c r="G3" s="13"/>
      <c r="H3" s="13"/>
      <c r="AB3" s="130"/>
      <c r="AC3" s="130"/>
      <c r="AD3" s="130"/>
      <c r="AE3" s="130"/>
      <c r="AF3" s="130"/>
      <c r="AG3" s="130"/>
      <c r="AH3" s="130"/>
      <c r="AI3" s="130"/>
      <c r="AJ3" s="130"/>
      <c r="AK3" s="130"/>
      <c r="AL3" s="130"/>
      <c r="AM3" s="130"/>
      <c r="AN3" s="130"/>
      <c r="AO3" s="130"/>
      <c r="AP3" s="130"/>
      <c r="AQ3" s="130"/>
      <c r="AR3" s="130"/>
      <c r="AS3" s="130"/>
      <c r="AT3" s="130"/>
      <c r="AU3" s="130"/>
      <c r="AV3" s="130"/>
      <c r="AW3" s="130"/>
      <c r="AX3" s="179"/>
      <c r="AY3" s="179"/>
      <c r="AZ3" s="179"/>
      <c r="BA3" s="179"/>
    </row>
    <row r="4" spans="1:53" s="65" customFormat="1">
      <c r="A4" s="168"/>
      <c r="B4" s="169">
        <v>1984</v>
      </c>
      <c r="C4" s="169">
        <v>1985</v>
      </c>
      <c r="D4" s="169">
        <v>1986</v>
      </c>
      <c r="E4" s="169">
        <v>1991</v>
      </c>
      <c r="F4" s="169">
        <v>1992</v>
      </c>
      <c r="G4" s="169">
        <v>1993</v>
      </c>
      <c r="H4" s="169">
        <v>1994</v>
      </c>
      <c r="I4" s="169">
        <v>1995</v>
      </c>
      <c r="J4" s="169">
        <v>1996</v>
      </c>
      <c r="K4" s="169">
        <v>1997</v>
      </c>
      <c r="L4" s="169">
        <v>2000</v>
      </c>
      <c r="M4" s="170">
        <v>2001</v>
      </c>
      <c r="N4" s="170">
        <v>2002</v>
      </c>
      <c r="O4" s="170">
        <v>2003</v>
      </c>
      <c r="P4" s="170">
        <v>2004</v>
      </c>
      <c r="Q4" s="169">
        <v>2005</v>
      </c>
      <c r="R4" s="169">
        <v>2006</v>
      </c>
      <c r="S4" s="170">
        <v>2007</v>
      </c>
      <c r="T4" s="170">
        <v>2008</v>
      </c>
      <c r="U4" s="170">
        <v>2009</v>
      </c>
      <c r="V4" s="170">
        <v>2010</v>
      </c>
      <c r="W4" s="170">
        <v>2011</v>
      </c>
      <c r="X4" s="176">
        <v>2012</v>
      </c>
      <c r="Y4" s="176">
        <v>2013</v>
      </c>
      <c r="Z4" s="176">
        <v>2014</v>
      </c>
      <c r="AA4" s="176">
        <v>2015</v>
      </c>
      <c r="AB4" s="131"/>
      <c r="AC4" s="131"/>
      <c r="AD4" s="131"/>
      <c r="AE4" s="131"/>
      <c r="AF4" s="131"/>
      <c r="AG4" s="131"/>
      <c r="AH4" s="131"/>
      <c r="AI4" s="131"/>
      <c r="AJ4" s="131"/>
      <c r="AK4" s="131"/>
      <c r="AL4" s="131"/>
      <c r="AM4" s="131"/>
      <c r="AN4" s="131"/>
      <c r="AO4" s="131"/>
      <c r="AP4" s="131"/>
      <c r="AQ4" s="131"/>
      <c r="AR4" s="131"/>
      <c r="AS4" s="131"/>
      <c r="AT4" s="131"/>
      <c r="AU4" s="131"/>
      <c r="AV4" s="131"/>
      <c r="AW4" s="131"/>
      <c r="AX4" s="180"/>
      <c r="AY4" s="180"/>
      <c r="AZ4" s="180"/>
      <c r="BA4" s="180"/>
    </row>
    <row r="5" spans="1:53">
      <c r="B5" s="15" t="s">
        <v>2</v>
      </c>
      <c r="C5" s="15" t="s">
        <v>2</v>
      </c>
      <c r="D5" s="15" t="s">
        <v>2</v>
      </c>
      <c r="E5" s="15" t="s">
        <v>2</v>
      </c>
      <c r="F5" s="15" t="s">
        <v>2</v>
      </c>
      <c r="G5" s="15" t="s">
        <v>2</v>
      </c>
      <c r="H5" s="15" t="s">
        <v>2</v>
      </c>
      <c r="I5" s="15" t="s">
        <v>2</v>
      </c>
      <c r="J5" s="15" t="s">
        <v>2</v>
      </c>
      <c r="K5" s="15" t="s">
        <v>2</v>
      </c>
      <c r="L5" s="15" t="s">
        <v>2</v>
      </c>
      <c r="M5" s="15" t="s">
        <v>2</v>
      </c>
      <c r="N5" s="15" t="s">
        <v>2</v>
      </c>
      <c r="O5" s="15" t="s">
        <v>2</v>
      </c>
      <c r="P5" s="15" t="s">
        <v>2</v>
      </c>
      <c r="Q5" s="15" t="s">
        <v>2</v>
      </c>
      <c r="R5" s="15" t="s">
        <v>2</v>
      </c>
      <c r="S5" s="15" t="s">
        <v>2</v>
      </c>
      <c r="T5" s="15" t="s">
        <v>2</v>
      </c>
      <c r="U5" s="15" t="s">
        <v>2</v>
      </c>
      <c r="V5" s="15" t="s">
        <v>2</v>
      </c>
      <c r="W5" s="15" t="s">
        <v>2</v>
      </c>
      <c r="X5" s="15" t="s">
        <v>2</v>
      </c>
      <c r="Y5" s="15" t="s">
        <v>2</v>
      </c>
      <c r="Z5" s="15" t="s">
        <v>2</v>
      </c>
      <c r="AA5" s="15" t="s">
        <v>2</v>
      </c>
      <c r="AB5" s="171">
        <f>+B4</f>
        <v>1984</v>
      </c>
      <c r="AC5" s="171">
        <f t="shared" ref="AC5:AT5" si="0">+C4</f>
        <v>1985</v>
      </c>
      <c r="AD5" s="171">
        <f t="shared" si="0"/>
        <v>1986</v>
      </c>
      <c r="AE5" s="171">
        <f t="shared" si="0"/>
        <v>1991</v>
      </c>
      <c r="AF5" s="171">
        <f t="shared" si="0"/>
        <v>1992</v>
      </c>
      <c r="AG5" s="171">
        <f t="shared" si="0"/>
        <v>1993</v>
      </c>
      <c r="AH5" s="171">
        <f t="shared" si="0"/>
        <v>1994</v>
      </c>
      <c r="AI5" s="171">
        <f t="shared" si="0"/>
        <v>1995</v>
      </c>
      <c r="AJ5" s="171">
        <f t="shared" si="0"/>
        <v>1996</v>
      </c>
      <c r="AK5" s="171">
        <f t="shared" si="0"/>
        <v>1997</v>
      </c>
      <c r="AL5" s="171">
        <f t="shared" si="0"/>
        <v>2000</v>
      </c>
      <c r="AM5" s="171">
        <f t="shared" si="0"/>
        <v>2001</v>
      </c>
      <c r="AN5" s="171">
        <f t="shared" si="0"/>
        <v>2002</v>
      </c>
      <c r="AO5" s="171">
        <f t="shared" si="0"/>
        <v>2003</v>
      </c>
      <c r="AP5" s="171">
        <f t="shared" si="0"/>
        <v>2004</v>
      </c>
      <c r="AQ5" s="171">
        <f t="shared" si="0"/>
        <v>2005</v>
      </c>
      <c r="AR5" s="171">
        <f t="shared" si="0"/>
        <v>2006</v>
      </c>
      <c r="AS5" s="171">
        <f t="shared" si="0"/>
        <v>2007</v>
      </c>
      <c r="AT5" s="171">
        <f t="shared" si="0"/>
        <v>2008</v>
      </c>
      <c r="AU5" s="171">
        <f>+U4</f>
        <v>2009</v>
      </c>
      <c r="AV5" s="171">
        <f>+V4</f>
        <v>2010</v>
      </c>
      <c r="AW5" s="171">
        <f>+W4</f>
        <v>2011</v>
      </c>
      <c r="AX5" s="171">
        <f t="shared" ref="AX5:AY5" si="1">+X4</f>
        <v>2012</v>
      </c>
      <c r="AY5" s="171">
        <f t="shared" si="1"/>
        <v>2013</v>
      </c>
      <c r="AZ5" s="171">
        <v>2014</v>
      </c>
      <c r="BA5" s="171">
        <v>2015</v>
      </c>
    </row>
    <row r="6" spans="1:53" s="23" customFormat="1">
      <c r="A6" s="63" t="s">
        <v>118</v>
      </c>
      <c r="B6" s="66">
        <v>9336633</v>
      </c>
      <c r="C6" s="66">
        <v>10134773</v>
      </c>
      <c r="D6" s="66">
        <v>10918160</v>
      </c>
      <c r="E6" s="66">
        <v>16368185.961999999</v>
      </c>
      <c r="F6" s="91">
        <f>+F7+F25+F40+F54+F65</f>
        <v>17095577.778000001</v>
      </c>
      <c r="G6" s="66">
        <v>19011901.892000001</v>
      </c>
      <c r="H6" s="66">
        <v>20225167.780000001</v>
      </c>
      <c r="I6" s="91">
        <f>+I7+I25+I40+I54+I65</f>
        <v>20051797.162999999</v>
      </c>
      <c r="J6" s="63">
        <v>22213995.965999998</v>
      </c>
      <c r="K6" s="91">
        <f t="shared" ref="K6:U6" si="2">+K7+K25+K40+K54+K65</f>
        <v>23354408.553900003</v>
      </c>
      <c r="L6" s="91">
        <f t="shared" si="2"/>
        <v>26280347.176000003</v>
      </c>
      <c r="M6" s="91">
        <f t="shared" si="2"/>
        <v>28981941.023000002</v>
      </c>
      <c r="N6" s="91">
        <f t="shared" si="2"/>
        <v>31212657.851999998</v>
      </c>
      <c r="O6" s="91">
        <f t="shared" si="2"/>
        <v>32729250.809</v>
      </c>
      <c r="P6" s="91">
        <f t="shared" si="2"/>
        <v>34304819.422000006</v>
      </c>
      <c r="Q6" s="91">
        <f t="shared" si="2"/>
        <v>38113909.763000004</v>
      </c>
      <c r="R6" s="91">
        <f t="shared" si="2"/>
        <v>40060038.784000002</v>
      </c>
      <c r="S6" s="91">
        <f t="shared" si="2"/>
        <v>42820741.625</v>
      </c>
      <c r="T6" s="91">
        <f t="shared" si="2"/>
        <v>45848996.329000004</v>
      </c>
      <c r="U6" s="91">
        <f t="shared" si="2"/>
        <v>50070911.740000002</v>
      </c>
      <c r="V6" s="91">
        <f t="shared" ref="V6:W6" si="3">+V7+V25+V40+V54+V65</f>
        <v>56764162.434</v>
      </c>
      <c r="W6" s="91">
        <f t="shared" si="3"/>
        <v>61822612.404000007</v>
      </c>
      <c r="X6" s="91">
        <f t="shared" ref="X6:Y6" si="4">+X7+X25+X40+X54+X65</f>
        <v>61865935.936999999</v>
      </c>
      <c r="Y6" s="91">
        <f t="shared" si="4"/>
        <v>52790947.343000002</v>
      </c>
      <c r="Z6" s="91">
        <f t="shared" ref="Z6:AA6" si="5">+Z7+Z25+Z40+Z54+Z65</f>
        <v>53720403.541000001</v>
      </c>
      <c r="AA6" s="91">
        <f t="shared" si="5"/>
        <v>53995573.766000003</v>
      </c>
      <c r="AB6" s="130">
        <f>('INSTRUCTION-2YR'!B6+'RESEARCH 2yr'!B6+'PUBLIC SERVICE 2yr'!B6+'ASptISptSSv 2yr'!B6+'PLANT OPER MAIN 2yr'!B6+'SCHOLAR FELLOW 2yr'!B6+'All Other 2yr'!B6)-B6</f>
        <v>0</v>
      </c>
      <c r="AC6" s="130">
        <f>('INSTRUCTION-2YR'!C6+'RESEARCH 2yr'!C6+'PUBLIC SERVICE 2yr'!C6+'ASptISptSSv 2yr'!C6+'PLANT OPER MAIN 2yr'!C6+'SCHOLAR FELLOW 2yr'!C6+'All Other 2yr'!C6)-C6</f>
        <v>0</v>
      </c>
      <c r="AD6" s="130">
        <f>('INSTRUCTION-2YR'!D6+'RESEARCH 2yr'!D6+'PUBLIC SERVICE 2yr'!D6+'ASptISptSSv 2yr'!D6+'PLANT OPER MAIN 2yr'!D6+'SCHOLAR FELLOW 2yr'!D6+'All Other 2yr'!D6)-D6</f>
        <v>0</v>
      </c>
      <c r="AE6" s="130">
        <f>('INSTRUCTION-2YR'!E6+'RESEARCH 2yr'!E6+'PUBLIC SERVICE 2yr'!E6+'ASptISptSSv 2yr'!E6+'PLANT OPER MAIN 2yr'!E6+'SCHOLAR FELLOW 2yr'!E6+'All Other 2yr'!E6)-E6</f>
        <v>-0.26999999769032001</v>
      </c>
      <c r="AF6" s="130">
        <f>('INSTRUCTION-2YR'!F6+'RESEARCH 2yr'!F6+'PUBLIC SERVICE 2yr'!F6+'ASptISptSSv 2yr'!F6+'PLANT OPER MAIN 2yr'!F6+'SCHOLAR FELLOW 2yr'!F6+'All Other 2yr'!F6)-F6</f>
        <v>0</v>
      </c>
      <c r="AG6" s="130">
        <f>('INSTRUCTION-2YR'!G6+'RESEARCH 2yr'!G6+'PUBLIC SERVICE 2yr'!G6+'ASptISptSSv 2yr'!G6+'PLANT OPER MAIN 2yr'!G6+'SCHOLAR FELLOW 2yr'!G6+'All Other 2yr'!G6)-G6</f>
        <v>34447.437999997288</v>
      </c>
      <c r="AH6" s="130">
        <f>('INSTRUCTION-2YR'!H6+'RESEARCH 2yr'!H6+'PUBLIC SERVICE 2yr'!H6+'ASptISptSSv 2yr'!H6+'PLANT OPER MAIN 2yr'!H6+'SCHOLAR FELLOW 2yr'!H6+'All Other 2yr'!H6)-H6</f>
        <v>0</v>
      </c>
      <c r="AI6" s="130">
        <f>('INSTRUCTION-2YR'!I6+'RESEARCH 2yr'!I6+'PUBLIC SERVICE 2yr'!I6+'ASptISptSSv 2yr'!I6+'PLANT OPER MAIN 2yr'!I6+'SCHOLAR FELLOW 2yr'!I6+'All Other 2yr'!I6)-I6</f>
        <v>0</v>
      </c>
      <c r="AJ6" s="130">
        <f>('INSTRUCTION-2YR'!J6+'RESEARCH 2yr'!J6+'PUBLIC SERVICE 2yr'!J6+'ASptISptSSv 2yr'!J6+'PLANT OPER MAIN 2yr'!J6+'SCHOLAR FELLOW 2yr'!J6+'All Other 2yr'!J6)-J6</f>
        <v>0</v>
      </c>
      <c r="AK6" s="130">
        <f>('INSTRUCTION-2YR'!K6+'RESEARCH 2yr'!K6+'PUBLIC SERVICE 2yr'!K6+'ASptISptSSv 2yr'!K6+'PLANT OPER MAIN 2yr'!K6+'SCHOLAR FELLOW 2yr'!K6+'All Other 2yr'!K6)-K6</f>
        <v>0</v>
      </c>
      <c r="AL6" s="130">
        <f>('INSTRUCTION-2YR'!L6+'RESEARCH 2yr'!L6+'PUBLIC SERVICE 2yr'!L6+'ASptISptSSv 2yr'!L6+'PLANT OPER MAIN 2yr'!L6+'SCHOLAR FELLOW 2yr'!L6+'All Other 2yr'!L6)-L6</f>
        <v>0</v>
      </c>
      <c r="AM6" s="130">
        <f>('INSTRUCTION-2YR'!M6+'RESEARCH 2yr'!M6+'PUBLIC SERVICE 2yr'!M6+'ASptISptSSv 2yr'!M6+'PLANT OPER MAIN 2yr'!M6+'SCHOLAR FELLOW 2yr'!M6+'All Other 2yr'!M6)-M6</f>
        <v>0</v>
      </c>
      <c r="AN6" s="130">
        <f>('INSTRUCTION-2YR'!N6+'RESEARCH 2yr'!N6+'PUBLIC SERVICE 2yr'!N6+'ASptISptSSv 2yr'!N6+'PLANT OPER MAIN 2yr'!N6+'SCHOLAR FELLOW 2yr'!N6+'All Other 2yr'!N6)-N6</f>
        <v>0</v>
      </c>
      <c r="AO6" s="130">
        <f>('INSTRUCTION-2YR'!O6+'RESEARCH 2yr'!O6+'PUBLIC SERVICE 2yr'!O6+'ASptISptSSv 2yr'!O6+'PLANT OPER MAIN 2yr'!O6+'SCHOLAR FELLOW 2yr'!O6+'All Other 2yr'!O6)-O6</f>
        <v>0</v>
      </c>
      <c r="AP6" s="130">
        <f>('INSTRUCTION-2YR'!P6+'RESEARCH 2yr'!P6+'PUBLIC SERVICE 2yr'!P6+'ASptISptSSv 2yr'!P6+'PLANT OPER MAIN 2yr'!P6+'SCHOLAR FELLOW 2yr'!P6+'All Other 2yr'!P6)-P6</f>
        <v>0</v>
      </c>
      <c r="AQ6" s="130">
        <f>('INSTRUCTION-2YR'!Q6+'RESEARCH 2yr'!Q6+'PUBLIC SERVICE 2yr'!Q6+'ASptISptSSv 2yr'!Q6+'PLANT OPER MAIN 2yr'!Q6+'SCHOLAR FELLOW 2yr'!Q6+'All Other 2yr'!Q6)-Q6</f>
        <v>0</v>
      </c>
      <c r="AR6" s="130">
        <f>('INSTRUCTION-2YR'!R6+'RESEARCH 2yr'!R6+'PUBLIC SERVICE 2yr'!R6+'ASptISptSSv 2yr'!R6+'PLANT OPER MAIN 2yr'!R6+'SCHOLAR FELLOW 2yr'!R6+'All Other 2yr'!R6)-R6</f>
        <v>0</v>
      </c>
      <c r="AS6" s="130">
        <f>('INSTRUCTION-2YR'!S6+'RESEARCH 2yr'!S6+'PUBLIC SERVICE 2yr'!S6+'ASptISptSSv 2yr'!S6+'PLANT OPER MAIN 2yr'!S6+'SCHOLAR FELLOW 2yr'!S6+'All Other 2yr'!S6)-S6</f>
        <v>0</v>
      </c>
      <c r="AT6" s="130">
        <f>('INSTRUCTION-2YR'!T6+'RESEARCH 2yr'!T6+'PUBLIC SERVICE 2yr'!T6+'ASptISptSSv 2yr'!T6+'PLANT OPER MAIN 2yr'!T6+'SCHOLAR FELLOW 2yr'!T6+'All Other 2yr'!T6)-T6</f>
        <v>0</v>
      </c>
      <c r="AU6" s="130">
        <f>('INSTRUCTION-2YR'!U6+'RESEARCH 2yr'!U6+'PUBLIC SERVICE 2yr'!U6+'ASptISptSSv 2yr'!U6+'PLANT OPER MAIN 2yr'!U6+'SCHOLAR FELLOW 2yr'!U6+'All Other 2yr'!U6)-U6</f>
        <v>0</v>
      </c>
      <c r="AV6" s="130">
        <f>('INSTRUCTION-2YR'!V6+'RESEARCH 2yr'!V6+'PUBLIC SERVICE 2yr'!V6+'ASptISptSSv 2yr'!V6+'PLANT OPER MAIN 2yr'!V6+'SCHOLAR FELLOW 2yr'!V6+'All Other 2yr'!V6)-V6</f>
        <v>0</v>
      </c>
      <c r="AW6" s="130">
        <f>('INSTRUCTION-2YR'!W6+'RESEARCH 2yr'!W6+'PUBLIC SERVICE 2yr'!W6+'ASptISptSSv 2yr'!W6+'PLANT OPER MAIN 2yr'!W6+'SCHOLAR FELLOW 2yr'!W6+'All Other 2yr'!W6)-W6</f>
        <v>0</v>
      </c>
      <c r="AX6" s="130">
        <f>('INSTRUCTION-2YR'!X6+'RESEARCH 2yr'!X6+'PUBLIC SERVICE 2yr'!X6+'ASptISptSSv 2yr'!X6+'PLANT OPER MAIN 2yr'!X6+'SCHOLAR FELLOW 2yr'!X6+'All Other 2yr'!X6)-X6</f>
        <v>0</v>
      </c>
      <c r="AY6" s="130">
        <f>('INSTRUCTION-2YR'!Y6+'RESEARCH 2yr'!Y6+'PUBLIC SERVICE 2yr'!Y6+'ASptISptSSv 2yr'!Y6+'PLANT OPER MAIN 2yr'!Y6+'SCHOLAR FELLOW 2yr'!Y6+'All Other 2yr'!Y6)-Y6</f>
        <v>0</v>
      </c>
      <c r="AZ6" s="130">
        <f>('INSTRUCTION-2YR'!Z6+'RESEARCH 2yr'!Z6+'PUBLIC SERVICE 2yr'!Z6+'ASptISptSSv 2yr'!Z6+'PLANT OPER MAIN 2yr'!Z6+'SCHOLAR FELLOW 2yr'!Z6+'All Other 2yr'!Z6)-Z6</f>
        <v>0</v>
      </c>
      <c r="BA6" s="130">
        <f>('INSTRUCTION-2YR'!AA6+'RESEARCH 2yr'!AA6+'PUBLIC SERVICE 2yr'!AA6+'ASptISptSSv 2yr'!AA6+'PLANT OPER MAIN 2yr'!AA6+'SCHOLAR FELLOW 2yr'!AA6+'All Other 2yr'!AA6)-AA6</f>
        <v>0</v>
      </c>
    </row>
    <row r="7" spans="1:53" s="23" customFormat="1">
      <c r="A7" s="22" t="s">
        <v>56</v>
      </c>
      <c r="B7" s="89">
        <f>SUM(B8:B24)</f>
        <v>2704800</v>
      </c>
      <c r="C7" s="89">
        <f t="shared" ref="C7:U7" si="6">SUM(C8:C24)</f>
        <v>2975311</v>
      </c>
      <c r="D7" s="89">
        <f t="shared" si="6"/>
        <v>3211453</v>
      </c>
      <c r="E7" s="89">
        <f t="shared" si="6"/>
        <v>4968177.3829999994</v>
      </c>
      <c r="F7" s="89">
        <f t="shared" si="6"/>
        <v>5216975.4790000003</v>
      </c>
      <c r="G7" s="89">
        <f t="shared" si="6"/>
        <v>5766278.0020000003</v>
      </c>
      <c r="H7" s="89">
        <f t="shared" si="6"/>
        <v>6245675.1499999994</v>
      </c>
      <c r="I7" s="89">
        <f t="shared" si="6"/>
        <v>6444016.7089999998</v>
      </c>
      <c r="J7" s="89">
        <f t="shared" si="6"/>
        <v>6834089.2351000002</v>
      </c>
      <c r="K7" s="89">
        <f t="shared" si="6"/>
        <v>7224553.06965</v>
      </c>
      <c r="L7" s="89">
        <f t="shared" si="6"/>
        <v>9112481.4290000014</v>
      </c>
      <c r="M7" s="89">
        <f t="shared" si="6"/>
        <v>10225185.011</v>
      </c>
      <c r="N7" s="89">
        <f t="shared" si="6"/>
        <v>10701656.964</v>
      </c>
      <c r="O7" s="89">
        <f t="shared" si="6"/>
        <v>11043569.828</v>
      </c>
      <c r="P7" s="89">
        <f t="shared" si="6"/>
        <v>11518188.572000002</v>
      </c>
      <c r="Q7" s="89">
        <f t="shared" si="6"/>
        <v>12588881.856000001</v>
      </c>
      <c r="R7" s="89">
        <f t="shared" si="6"/>
        <v>13222327.601</v>
      </c>
      <c r="S7" s="89">
        <f t="shared" si="6"/>
        <v>14408507.211000001</v>
      </c>
      <c r="T7" s="89">
        <f t="shared" si="6"/>
        <v>15572513.372000003</v>
      </c>
      <c r="U7" s="89">
        <f t="shared" si="6"/>
        <v>16579671.682000004</v>
      </c>
      <c r="V7" s="89">
        <f t="shared" ref="V7:W7" si="7">SUM(V8:V24)</f>
        <v>20137418.838000003</v>
      </c>
      <c r="W7" s="89">
        <f t="shared" si="7"/>
        <v>21940042.247000001</v>
      </c>
      <c r="X7" s="89">
        <f t="shared" ref="X7:Y7" si="8">SUM(X8:X24)</f>
        <v>21844861.050999999</v>
      </c>
      <c r="Y7" s="89">
        <f t="shared" si="8"/>
        <v>20572220.140000001</v>
      </c>
      <c r="Z7" s="89">
        <f t="shared" ref="Z7:AA7" si="9">SUM(Z8:Z24)</f>
        <v>20761342.049999997</v>
      </c>
      <c r="AA7" s="89">
        <f t="shared" si="9"/>
        <v>20684121.181000002</v>
      </c>
      <c r="AB7" s="130">
        <f>('INSTRUCTION-2YR'!B7+'RESEARCH 2yr'!B7+'PUBLIC SERVICE 2yr'!B7+'ASptISptSSv 2yr'!B7+'PLANT OPER MAIN 2yr'!B7+'SCHOLAR FELLOW 2yr'!B7+'All Other 2yr'!B7)-B7</f>
        <v>0</v>
      </c>
      <c r="AC7" s="130">
        <f>('INSTRUCTION-2YR'!C7+'RESEARCH 2yr'!C7+'PUBLIC SERVICE 2yr'!C7+'ASptISptSSv 2yr'!C7+'PLANT OPER MAIN 2yr'!C7+'SCHOLAR FELLOW 2yr'!C7+'All Other 2yr'!C7)-C7</f>
        <v>0</v>
      </c>
      <c r="AD7" s="130">
        <f>('INSTRUCTION-2YR'!D7+'RESEARCH 2yr'!D7+'PUBLIC SERVICE 2yr'!D7+'ASptISptSSv 2yr'!D7+'PLANT OPER MAIN 2yr'!D7+'SCHOLAR FELLOW 2yr'!D7+'All Other 2yr'!D7)-D7</f>
        <v>0</v>
      </c>
      <c r="AE7" s="130">
        <f>('INSTRUCTION-2YR'!E7+'RESEARCH 2yr'!E7+'PUBLIC SERVICE 2yr'!E7+'ASptISptSSv 2yr'!E7+'PLANT OPER MAIN 2yr'!E7+'SCHOLAR FELLOW 2yr'!E7+'All Other 2yr'!E7)-E7</f>
        <v>0</v>
      </c>
      <c r="AF7" s="130">
        <f>('INSTRUCTION-2YR'!F7+'RESEARCH 2yr'!F7+'PUBLIC SERVICE 2yr'!F7+'ASptISptSSv 2yr'!F7+'PLANT OPER MAIN 2yr'!F7+'SCHOLAR FELLOW 2yr'!F7+'All Other 2yr'!F7)-F7</f>
        <v>0</v>
      </c>
      <c r="AG7" s="130">
        <f>('INSTRUCTION-2YR'!G7+'RESEARCH 2yr'!G7+'PUBLIC SERVICE 2yr'!G7+'ASptISptSSv 2yr'!G7+'PLANT OPER MAIN 2yr'!G7+'SCHOLAR FELLOW 2yr'!G7+'All Other 2yr'!G7)-G7</f>
        <v>0</v>
      </c>
      <c r="AH7" s="130">
        <f>('INSTRUCTION-2YR'!H7+'RESEARCH 2yr'!H7+'PUBLIC SERVICE 2yr'!H7+'ASptISptSSv 2yr'!H7+'PLANT OPER MAIN 2yr'!H7+'SCHOLAR FELLOW 2yr'!H7+'All Other 2yr'!H7)-H7</f>
        <v>0</v>
      </c>
      <c r="AI7" s="130">
        <f>('INSTRUCTION-2YR'!I7+'RESEARCH 2yr'!I7+'PUBLIC SERVICE 2yr'!I7+'ASptISptSSv 2yr'!I7+'PLANT OPER MAIN 2yr'!I7+'SCHOLAR FELLOW 2yr'!I7+'All Other 2yr'!I7)-I7</f>
        <v>0</v>
      </c>
      <c r="AJ7" s="130">
        <f>('INSTRUCTION-2YR'!J7+'RESEARCH 2yr'!J7+'PUBLIC SERVICE 2yr'!J7+'ASptISptSSv 2yr'!J7+'PLANT OPER MAIN 2yr'!J7+'SCHOLAR FELLOW 2yr'!J7+'All Other 2yr'!J7)-J7</f>
        <v>0</v>
      </c>
      <c r="AK7" s="130">
        <f>('INSTRUCTION-2YR'!K7+'RESEARCH 2yr'!K7+'PUBLIC SERVICE 2yr'!K7+'ASptISptSSv 2yr'!K7+'PLANT OPER MAIN 2yr'!K7+'SCHOLAR FELLOW 2yr'!K7+'All Other 2yr'!K7)-K7</f>
        <v>0</v>
      </c>
      <c r="AL7" s="130">
        <f>('INSTRUCTION-2YR'!L7+'RESEARCH 2yr'!L7+'PUBLIC SERVICE 2yr'!L7+'ASptISptSSv 2yr'!L7+'PLANT OPER MAIN 2yr'!L7+'SCHOLAR FELLOW 2yr'!L7+'All Other 2yr'!L7)-L7</f>
        <v>0</v>
      </c>
      <c r="AM7" s="130">
        <f>('INSTRUCTION-2YR'!M7+'RESEARCH 2yr'!M7+'PUBLIC SERVICE 2yr'!M7+'ASptISptSSv 2yr'!M7+'PLANT OPER MAIN 2yr'!M7+'SCHOLAR FELLOW 2yr'!M7+'All Other 2yr'!M7)-M7</f>
        <v>0</v>
      </c>
      <c r="AN7" s="130">
        <f>('INSTRUCTION-2YR'!N7+'RESEARCH 2yr'!N7+'PUBLIC SERVICE 2yr'!N7+'ASptISptSSv 2yr'!N7+'PLANT OPER MAIN 2yr'!N7+'SCHOLAR FELLOW 2yr'!N7+'All Other 2yr'!N7)-N7</f>
        <v>0</v>
      </c>
      <c r="AO7" s="130">
        <f>('INSTRUCTION-2YR'!O7+'RESEARCH 2yr'!O7+'PUBLIC SERVICE 2yr'!O7+'ASptISptSSv 2yr'!O7+'PLANT OPER MAIN 2yr'!O7+'SCHOLAR FELLOW 2yr'!O7+'All Other 2yr'!O7)-O7</f>
        <v>0</v>
      </c>
      <c r="AP7" s="130">
        <f>('INSTRUCTION-2YR'!P7+'RESEARCH 2yr'!P7+'PUBLIC SERVICE 2yr'!P7+'ASptISptSSv 2yr'!P7+'PLANT OPER MAIN 2yr'!P7+'SCHOLAR FELLOW 2yr'!P7+'All Other 2yr'!P7)-P7</f>
        <v>0</v>
      </c>
      <c r="AQ7" s="130">
        <f>('INSTRUCTION-2YR'!Q7+'RESEARCH 2yr'!Q7+'PUBLIC SERVICE 2yr'!Q7+'ASptISptSSv 2yr'!Q7+'PLANT OPER MAIN 2yr'!Q7+'SCHOLAR FELLOW 2yr'!Q7+'All Other 2yr'!Q7)-Q7</f>
        <v>0</v>
      </c>
      <c r="AR7" s="130">
        <f>('INSTRUCTION-2YR'!R7+'RESEARCH 2yr'!R7+'PUBLIC SERVICE 2yr'!R7+'ASptISptSSv 2yr'!R7+'PLANT OPER MAIN 2yr'!R7+'SCHOLAR FELLOW 2yr'!R7+'All Other 2yr'!R7)-R7</f>
        <v>0</v>
      </c>
      <c r="AS7" s="130">
        <f>('INSTRUCTION-2YR'!S7+'RESEARCH 2yr'!S7+'PUBLIC SERVICE 2yr'!S7+'ASptISptSSv 2yr'!S7+'PLANT OPER MAIN 2yr'!S7+'SCHOLAR FELLOW 2yr'!S7+'All Other 2yr'!S7)-S7</f>
        <v>0</v>
      </c>
      <c r="AT7" s="130">
        <f>('INSTRUCTION-2YR'!T7+'RESEARCH 2yr'!T7+'PUBLIC SERVICE 2yr'!T7+'ASptISptSSv 2yr'!T7+'PLANT OPER MAIN 2yr'!T7+'SCHOLAR FELLOW 2yr'!T7+'All Other 2yr'!T7)-T7</f>
        <v>0</v>
      </c>
      <c r="AU7" s="130">
        <f>('INSTRUCTION-2YR'!U7+'RESEARCH 2yr'!U7+'PUBLIC SERVICE 2yr'!U7+'ASptISptSSv 2yr'!U7+'PLANT OPER MAIN 2yr'!U7+'SCHOLAR FELLOW 2yr'!U7+'All Other 2yr'!U7)-U7</f>
        <v>0</v>
      </c>
      <c r="AV7" s="130">
        <f>('INSTRUCTION-2YR'!V7+'RESEARCH 2yr'!V7+'PUBLIC SERVICE 2yr'!V7+'ASptISptSSv 2yr'!V7+'PLANT OPER MAIN 2yr'!V7+'SCHOLAR FELLOW 2yr'!V7+'All Other 2yr'!V7)-V7</f>
        <v>0</v>
      </c>
      <c r="AW7" s="130">
        <f>('INSTRUCTION-2YR'!W7+'RESEARCH 2yr'!W7+'PUBLIC SERVICE 2yr'!W7+'ASptISptSSv 2yr'!W7+'PLANT OPER MAIN 2yr'!W7+'SCHOLAR FELLOW 2yr'!W7+'All Other 2yr'!W7)-W7</f>
        <v>0</v>
      </c>
      <c r="AX7" s="130">
        <f>('INSTRUCTION-2YR'!X7+'RESEARCH 2yr'!X7+'PUBLIC SERVICE 2yr'!X7+'ASptISptSSv 2yr'!X7+'PLANT OPER MAIN 2yr'!X7+'SCHOLAR FELLOW 2yr'!X7+'All Other 2yr'!X7)-X7</f>
        <v>0</v>
      </c>
      <c r="AY7" s="130">
        <f>('INSTRUCTION-2YR'!Y7+'RESEARCH 2yr'!Y7+'PUBLIC SERVICE 2yr'!Y7+'ASptISptSSv 2yr'!Y7+'PLANT OPER MAIN 2yr'!Y7+'SCHOLAR FELLOW 2yr'!Y7+'All Other 2yr'!Y7)-Y7</f>
        <v>0</v>
      </c>
      <c r="AZ7" s="130">
        <f>('INSTRUCTION-2YR'!Z7+'RESEARCH 2yr'!Z7+'PUBLIC SERVICE 2yr'!Z7+'ASptISptSSv 2yr'!Z7+'PLANT OPER MAIN 2yr'!Z7+'SCHOLAR FELLOW 2yr'!Z7+'All Other 2yr'!Z7)-Z7</f>
        <v>0</v>
      </c>
      <c r="BA7" s="130">
        <f>('INSTRUCTION-2YR'!AA7+'RESEARCH 2yr'!AA7+'PUBLIC SERVICE 2yr'!AA7+'ASptISptSSv 2yr'!AA7+'PLANT OPER MAIN 2yr'!AA7+'SCHOLAR FELLOW 2yr'!AA7+'All Other 2yr'!AA7)-AA7</f>
        <v>0</v>
      </c>
    </row>
    <row r="8" spans="1:53">
      <c r="A8" s="79" t="s">
        <v>119</v>
      </c>
      <c r="T8" s="2"/>
      <c r="U8" s="2"/>
      <c r="V8" s="2"/>
      <c r="W8" s="2"/>
      <c r="X8" s="2"/>
      <c r="Y8" s="2"/>
      <c r="Z8" s="2"/>
      <c r="AA8" s="2"/>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row>
    <row r="9" spans="1:53">
      <c r="A9" s="22" t="s">
        <v>3</v>
      </c>
      <c r="B9" s="13">
        <v>107204</v>
      </c>
      <c r="C9" s="13">
        <v>154551</v>
      </c>
      <c r="D9" s="13">
        <v>178881</v>
      </c>
      <c r="E9" s="13">
        <v>263813.179</v>
      </c>
      <c r="F9" s="76">
        <v>287570.48499999999</v>
      </c>
      <c r="G9" s="13">
        <v>318759.65300000005</v>
      </c>
      <c r="H9" s="13">
        <v>351325.66600000003</v>
      </c>
      <c r="I9" s="13">
        <v>358545.08199999999</v>
      </c>
      <c r="J9" s="13">
        <v>374791.14400000003</v>
      </c>
      <c r="K9" s="13">
        <v>383583.29006000009</v>
      </c>
      <c r="L9" s="14">
        <v>441291.31599999999</v>
      </c>
      <c r="M9" s="14">
        <v>478029.652</v>
      </c>
      <c r="N9" s="14">
        <v>500021.44199999998</v>
      </c>
      <c r="O9" s="14">
        <v>545093.44400000002</v>
      </c>
      <c r="P9" s="14">
        <v>569184.86100000003</v>
      </c>
      <c r="Q9" s="14">
        <v>580713.26199999999</v>
      </c>
      <c r="R9" s="14">
        <v>622600.93700000003</v>
      </c>
      <c r="S9" s="14">
        <v>661858.41099999996</v>
      </c>
      <c r="T9" s="2">
        <v>732322.68400000001</v>
      </c>
      <c r="U9" s="2">
        <v>727244.94</v>
      </c>
      <c r="V9" s="2">
        <v>915797.679</v>
      </c>
      <c r="W9" s="2">
        <v>938382.74600000004</v>
      </c>
      <c r="X9" s="2">
        <v>881555.87800000003</v>
      </c>
      <c r="Y9" s="2">
        <v>819865.70299999998</v>
      </c>
      <c r="Z9" s="2">
        <v>811486.05900000001</v>
      </c>
      <c r="AA9" s="2">
        <v>796811.87600000005</v>
      </c>
      <c r="AB9" s="130">
        <f>('INSTRUCTION-2YR'!B9+'RESEARCH 2yr'!B9+'PUBLIC SERVICE 2yr'!B9+'ASptISptSSv 2yr'!B9+'PLANT OPER MAIN 2yr'!B9+'SCHOLAR FELLOW 2yr'!B9+'All Other 2yr'!B9)-B9</f>
        <v>0</v>
      </c>
      <c r="AC9" s="130">
        <f>('INSTRUCTION-2YR'!C9+'RESEARCH 2yr'!C9+'PUBLIC SERVICE 2yr'!C9+'ASptISptSSv 2yr'!C9+'PLANT OPER MAIN 2yr'!C9+'SCHOLAR FELLOW 2yr'!C9+'All Other 2yr'!C9)-C9</f>
        <v>0</v>
      </c>
      <c r="AD9" s="130">
        <f>('INSTRUCTION-2YR'!D9+'RESEARCH 2yr'!D9+'PUBLIC SERVICE 2yr'!D9+'ASptISptSSv 2yr'!D9+'PLANT OPER MAIN 2yr'!D9+'SCHOLAR FELLOW 2yr'!D9+'All Other 2yr'!D9)-D9</f>
        <v>0</v>
      </c>
      <c r="AE9" s="130">
        <f>('INSTRUCTION-2YR'!E9+'RESEARCH 2yr'!E9+'PUBLIC SERVICE 2yr'!E9+'ASptISptSSv 2yr'!E9+'PLANT OPER MAIN 2yr'!E9+'SCHOLAR FELLOW 2yr'!E9+'All Other 2yr'!E9)-E9</f>
        <v>0</v>
      </c>
      <c r="AF9" s="130">
        <f>('INSTRUCTION-2YR'!F9+'RESEARCH 2yr'!F9+'PUBLIC SERVICE 2yr'!F9+'ASptISptSSv 2yr'!F9+'PLANT OPER MAIN 2yr'!F9+'SCHOLAR FELLOW 2yr'!F9+'All Other 2yr'!F9)-F9</f>
        <v>0</v>
      </c>
      <c r="AG9" s="130">
        <f>('INSTRUCTION-2YR'!G9+'RESEARCH 2yr'!G9+'PUBLIC SERVICE 2yr'!G9+'ASptISptSSv 2yr'!G9+'PLANT OPER MAIN 2yr'!G9+'SCHOLAR FELLOW 2yr'!G9+'All Other 2yr'!G9)-G9</f>
        <v>0</v>
      </c>
      <c r="AH9" s="130">
        <f>('INSTRUCTION-2YR'!H9+'RESEARCH 2yr'!H9+'PUBLIC SERVICE 2yr'!H9+'ASptISptSSv 2yr'!H9+'PLANT OPER MAIN 2yr'!H9+'SCHOLAR FELLOW 2yr'!H9+'All Other 2yr'!H9)-H9</f>
        <v>0</v>
      </c>
      <c r="AI9" s="130">
        <f>('INSTRUCTION-2YR'!I9+'RESEARCH 2yr'!I9+'PUBLIC SERVICE 2yr'!I9+'ASptISptSSv 2yr'!I9+'PLANT OPER MAIN 2yr'!I9+'SCHOLAR FELLOW 2yr'!I9+'All Other 2yr'!I9)-I9</f>
        <v>0</v>
      </c>
      <c r="AJ9" s="130">
        <f>('INSTRUCTION-2YR'!J9+'RESEARCH 2yr'!J9+'PUBLIC SERVICE 2yr'!J9+'ASptISptSSv 2yr'!J9+'PLANT OPER MAIN 2yr'!J9+'SCHOLAR FELLOW 2yr'!J9+'All Other 2yr'!J9)-J9</f>
        <v>0</v>
      </c>
      <c r="AK9" s="130">
        <f>('INSTRUCTION-2YR'!K9+'RESEARCH 2yr'!K9+'PUBLIC SERVICE 2yr'!K9+'ASptISptSSv 2yr'!K9+'PLANT OPER MAIN 2yr'!K9+'SCHOLAR FELLOW 2yr'!K9+'All Other 2yr'!K9)-K9</f>
        <v>0</v>
      </c>
      <c r="AL9" s="130">
        <f>('INSTRUCTION-2YR'!L9+'RESEARCH 2yr'!L9+'PUBLIC SERVICE 2yr'!L9+'ASptISptSSv 2yr'!L9+'PLANT OPER MAIN 2yr'!L9+'SCHOLAR FELLOW 2yr'!L9+'All Other 2yr'!L9)-L9</f>
        <v>0</v>
      </c>
      <c r="AM9" s="130">
        <f>('INSTRUCTION-2YR'!M9+'RESEARCH 2yr'!M9+'PUBLIC SERVICE 2yr'!M9+'ASptISptSSv 2yr'!M9+'PLANT OPER MAIN 2yr'!M9+'SCHOLAR FELLOW 2yr'!M9+'All Other 2yr'!M9)-M9</f>
        <v>0</v>
      </c>
      <c r="AN9" s="130">
        <f>('INSTRUCTION-2YR'!N9+'RESEARCH 2yr'!N9+'PUBLIC SERVICE 2yr'!N9+'ASptISptSSv 2yr'!N9+'PLANT OPER MAIN 2yr'!N9+'SCHOLAR FELLOW 2yr'!N9+'All Other 2yr'!N9)-N9</f>
        <v>0</v>
      </c>
      <c r="AO9" s="130">
        <f>('INSTRUCTION-2YR'!O9+'RESEARCH 2yr'!O9+'PUBLIC SERVICE 2yr'!O9+'ASptISptSSv 2yr'!O9+'PLANT OPER MAIN 2yr'!O9+'SCHOLAR FELLOW 2yr'!O9+'All Other 2yr'!O9)-O9</f>
        <v>0</v>
      </c>
      <c r="AP9" s="130">
        <f>('INSTRUCTION-2YR'!P9+'RESEARCH 2yr'!P9+'PUBLIC SERVICE 2yr'!P9+'ASptISptSSv 2yr'!P9+'PLANT OPER MAIN 2yr'!P9+'SCHOLAR FELLOW 2yr'!P9+'All Other 2yr'!P9)-P9</f>
        <v>0</v>
      </c>
      <c r="AQ9" s="130">
        <f>('INSTRUCTION-2YR'!Q9+'RESEARCH 2yr'!Q9+'PUBLIC SERVICE 2yr'!Q9+'ASptISptSSv 2yr'!Q9+'PLANT OPER MAIN 2yr'!Q9+'SCHOLAR FELLOW 2yr'!Q9+'All Other 2yr'!Q9)-Q9</f>
        <v>0</v>
      </c>
      <c r="AR9" s="130">
        <f>('INSTRUCTION-2YR'!R9+'RESEARCH 2yr'!R9+'PUBLIC SERVICE 2yr'!R9+'ASptISptSSv 2yr'!R9+'PLANT OPER MAIN 2yr'!R9+'SCHOLAR FELLOW 2yr'!R9+'All Other 2yr'!R9)-R9</f>
        <v>0</v>
      </c>
      <c r="AS9" s="130">
        <f>('INSTRUCTION-2YR'!S9+'RESEARCH 2yr'!S9+'PUBLIC SERVICE 2yr'!S9+'ASptISptSSv 2yr'!S9+'PLANT OPER MAIN 2yr'!S9+'SCHOLAR FELLOW 2yr'!S9+'All Other 2yr'!S9)-S9</f>
        <v>0</v>
      </c>
      <c r="AT9" s="130">
        <f>('INSTRUCTION-2YR'!T9+'RESEARCH 2yr'!T9+'PUBLIC SERVICE 2yr'!T9+'ASptISptSSv 2yr'!T9+'PLANT OPER MAIN 2yr'!T9+'SCHOLAR FELLOW 2yr'!T9+'All Other 2yr'!T9)-T9</f>
        <v>0</v>
      </c>
      <c r="AU9" s="130">
        <f>('INSTRUCTION-2YR'!U9+'RESEARCH 2yr'!U9+'PUBLIC SERVICE 2yr'!U9+'ASptISptSSv 2yr'!U9+'PLANT OPER MAIN 2yr'!U9+'SCHOLAR FELLOW 2yr'!U9+'All Other 2yr'!U9)-U9</f>
        <v>0</v>
      </c>
      <c r="AV9" s="130">
        <f>('INSTRUCTION-2YR'!V9+'RESEARCH 2yr'!V9+'PUBLIC SERVICE 2yr'!V9+'ASptISptSSv 2yr'!V9+'PLANT OPER MAIN 2yr'!V9+'SCHOLAR FELLOW 2yr'!V9+'All Other 2yr'!V9)-V9</f>
        <v>0</v>
      </c>
      <c r="AW9" s="130">
        <f>('INSTRUCTION-2YR'!W9+'RESEARCH 2yr'!W9+'PUBLIC SERVICE 2yr'!W9+'ASptISptSSv 2yr'!W9+'PLANT OPER MAIN 2yr'!W9+'SCHOLAR FELLOW 2yr'!W9+'All Other 2yr'!W9)-W9</f>
        <v>0</v>
      </c>
      <c r="AX9" s="130">
        <f>('INSTRUCTION-2YR'!X9+'RESEARCH 2yr'!X9+'PUBLIC SERVICE 2yr'!X9+'ASptISptSSv 2yr'!X9+'PLANT OPER MAIN 2yr'!X9+'SCHOLAR FELLOW 2yr'!X9+'All Other 2yr'!X9)-X9</f>
        <v>0</v>
      </c>
      <c r="AY9" s="130">
        <f>('INSTRUCTION-2YR'!Y9+'RESEARCH 2yr'!Y9+'PUBLIC SERVICE 2yr'!Y9+'ASptISptSSv 2yr'!Y9+'PLANT OPER MAIN 2yr'!Y9+'SCHOLAR FELLOW 2yr'!Y9+'All Other 2yr'!Y9)-Y9</f>
        <v>0</v>
      </c>
      <c r="AZ9" s="130">
        <f>('INSTRUCTION-2YR'!Z9+'RESEARCH 2yr'!Z9+'PUBLIC SERVICE 2yr'!Z9+'ASptISptSSv 2yr'!Z9+'PLANT OPER MAIN 2yr'!Z9+'SCHOLAR FELLOW 2yr'!Z9+'All Other 2yr'!Z9)-Z9</f>
        <v>0</v>
      </c>
      <c r="BA9" s="130">
        <f>('INSTRUCTION-2YR'!AA9+'RESEARCH 2yr'!AA9+'PUBLIC SERVICE 2yr'!AA9+'ASptISptSSv 2yr'!AA9+'PLANT OPER MAIN 2yr'!AA9+'SCHOLAR FELLOW 2yr'!AA9+'All Other 2yr'!AA9)-AA9</f>
        <v>0</v>
      </c>
    </row>
    <row r="10" spans="1:53">
      <c r="A10" s="22" t="s">
        <v>4</v>
      </c>
      <c r="B10" s="13">
        <v>31071</v>
      </c>
      <c r="C10" s="13">
        <v>36911</v>
      </c>
      <c r="D10" s="13">
        <v>39446</v>
      </c>
      <c r="E10" s="13">
        <v>58890.580999999998</v>
      </c>
      <c r="F10" s="76">
        <v>67148.671000000002</v>
      </c>
      <c r="G10" s="13">
        <v>82405.843000000008</v>
      </c>
      <c r="H10" s="13">
        <v>90251.467999999993</v>
      </c>
      <c r="I10" s="14">
        <v>99772.172000000006</v>
      </c>
      <c r="J10" s="14">
        <v>144281.31599999999</v>
      </c>
      <c r="K10" s="14">
        <v>136457.02900000001</v>
      </c>
      <c r="L10" s="14">
        <v>200873.49500000005</v>
      </c>
      <c r="M10" s="14">
        <v>221818.32399999999</v>
      </c>
      <c r="N10" s="14">
        <v>266982.89500000002</v>
      </c>
      <c r="O10" s="14">
        <v>268232.19099999999</v>
      </c>
      <c r="P10" s="14">
        <v>304814.21000000002</v>
      </c>
      <c r="Q10" s="14">
        <v>321185.011</v>
      </c>
      <c r="R10" s="14">
        <v>341944.39899999998</v>
      </c>
      <c r="S10" s="14">
        <v>423091.02100000001</v>
      </c>
      <c r="T10" s="2">
        <v>473345.277</v>
      </c>
      <c r="U10" s="2">
        <v>444596.68599999999</v>
      </c>
      <c r="V10" s="2">
        <v>516657.95799999998</v>
      </c>
      <c r="W10" s="2">
        <v>584237.03099999996</v>
      </c>
      <c r="X10" s="2">
        <v>584831.81799999997</v>
      </c>
      <c r="Y10" s="2">
        <v>569240.951</v>
      </c>
      <c r="Z10" s="2">
        <v>565387.152</v>
      </c>
      <c r="AA10" s="2">
        <v>540157.85499999998</v>
      </c>
      <c r="AB10" s="130">
        <f>('INSTRUCTION-2YR'!B10+'RESEARCH 2yr'!B10+'PUBLIC SERVICE 2yr'!B10+'ASptISptSSv 2yr'!B10+'PLANT OPER MAIN 2yr'!B10+'SCHOLAR FELLOW 2yr'!B10+'All Other 2yr'!B10)-B10</f>
        <v>0</v>
      </c>
      <c r="AC10" s="130">
        <f>('INSTRUCTION-2YR'!C10+'RESEARCH 2yr'!C10+'PUBLIC SERVICE 2yr'!C10+'ASptISptSSv 2yr'!C10+'PLANT OPER MAIN 2yr'!C10+'SCHOLAR FELLOW 2yr'!C10+'All Other 2yr'!C10)-C10</f>
        <v>0</v>
      </c>
      <c r="AD10" s="130">
        <f>('INSTRUCTION-2YR'!D10+'RESEARCH 2yr'!D10+'PUBLIC SERVICE 2yr'!D10+'ASptISptSSv 2yr'!D10+'PLANT OPER MAIN 2yr'!D10+'SCHOLAR FELLOW 2yr'!D10+'All Other 2yr'!D10)-D10</f>
        <v>0</v>
      </c>
      <c r="AE10" s="130">
        <f>('INSTRUCTION-2YR'!E10+'RESEARCH 2yr'!E10+'PUBLIC SERVICE 2yr'!E10+'ASptISptSSv 2yr'!E10+'PLANT OPER MAIN 2yr'!E10+'SCHOLAR FELLOW 2yr'!E10+'All Other 2yr'!E10)-E10</f>
        <v>0</v>
      </c>
      <c r="AF10" s="130">
        <f>('INSTRUCTION-2YR'!F10+'RESEARCH 2yr'!F10+'PUBLIC SERVICE 2yr'!F10+'ASptISptSSv 2yr'!F10+'PLANT OPER MAIN 2yr'!F10+'SCHOLAR FELLOW 2yr'!F10+'All Other 2yr'!F10)-F10</f>
        <v>0</v>
      </c>
      <c r="AG10" s="130">
        <f>('INSTRUCTION-2YR'!G10+'RESEARCH 2yr'!G10+'PUBLIC SERVICE 2yr'!G10+'ASptISptSSv 2yr'!G10+'PLANT OPER MAIN 2yr'!G10+'SCHOLAR FELLOW 2yr'!G10+'All Other 2yr'!G10)-G10</f>
        <v>0</v>
      </c>
      <c r="AH10" s="130">
        <f>('INSTRUCTION-2YR'!H10+'RESEARCH 2yr'!H10+'PUBLIC SERVICE 2yr'!H10+'ASptISptSSv 2yr'!H10+'PLANT OPER MAIN 2yr'!H10+'SCHOLAR FELLOW 2yr'!H10+'All Other 2yr'!H10)-H10</f>
        <v>0</v>
      </c>
      <c r="AI10" s="130">
        <f>('INSTRUCTION-2YR'!I10+'RESEARCH 2yr'!I10+'PUBLIC SERVICE 2yr'!I10+'ASptISptSSv 2yr'!I10+'PLANT OPER MAIN 2yr'!I10+'SCHOLAR FELLOW 2yr'!I10+'All Other 2yr'!I10)-I10</f>
        <v>0</v>
      </c>
      <c r="AJ10" s="130">
        <f>('INSTRUCTION-2YR'!J10+'RESEARCH 2yr'!J10+'PUBLIC SERVICE 2yr'!J10+'ASptISptSSv 2yr'!J10+'PLANT OPER MAIN 2yr'!J10+'SCHOLAR FELLOW 2yr'!J10+'All Other 2yr'!J10)-J10</f>
        <v>0</v>
      </c>
      <c r="AK10" s="130">
        <f>('INSTRUCTION-2YR'!K10+'RESEARCH 2yr'!K10+'PUBLIC SERVICE 2yr'!K10+'ASptISptSSv 2yr'!K10+'PLANT OPER MAIN 2yr'!K10+'SCHOLAR FELLOW 2yr'!K10+'All Other 2yr'!K10)-K10</f>
        <v>0</v>
      </c>
      <c r="AL10" s="130">
        <f>('INSTRUCTION-2YR'!L10+'RESEARCH 2yr'!L10+'PUBLIC SERVICE 2yr'!L10+'ASptISptSSv 2yr'!L10+'PLANT OPER MAIN 2yr'!L10+'SCHOLAR FELLOW 2yr'!L10+'All Other 2yr'!L10)-L10</f>
        <v>0</v>
      </c>
      <c r="AM10" s="130">
        <f>('INSTRUCTION-2YR'!M10+'RESEARCH 2yr'!M10+'PUBLIC SERVICE 2yr'!M10+'ASptISptSSv 2yr'!M10+'PLANT OPER MAIN 2yr'!M10+'SCHOLAR FELLOW 2yr'!M10+'All Other 2yr'!M10)-M10</f>
        <v>0</v>
      </c>
      <c r="AN10" s="130">
        <f>('INSTRUCTION-2YR'!N10+'RESEARCH 2yr'!N10+'PUBLIC SERVICE 2yr'!N10+'ASptISptSSv 2yr'!N10+'PLANT OPER MAIN 2yr'!N10+'SCHOLAR FELLOW 2yr'!N10+'All Other 2yr'!N10)-N10</f>
        <v>0</v>
      </c>
      <c r="AO10" s="130">
        <f>('INSTRUCTION-2YR'!O10+'RESEARCH 2yr'!O10+'PUBLIC SERVICE 2yr'!O10+'ASptISptSSv 2yr'!O10+'PLANT OPER MAIN 2yr'!O10+'SCHOLAR FELLOW 2yr'!O10+'All Other 2yr'!O10)-O10</f>
        <v>0</v>
      </c>
      <c r="AP10" s="130">
        <f>('INSTRUCTION-2YR'!P10+'RESEARCH 2yr'!P10+'PUBLIC SERVICE 2yr'!P10+'ASptISptSSv 2yr'!P10+'PLANT OPER MAIN 2yr'!P10+'SCHOLAR FELLOW 2yr'!P10+'All Other 2yr'!P10)-P10</f>
        <v>0</v>
      </c>
      <c r="AQ10" s="130">
        <f>('INSTRUCTION-2YR'!Q10+'RESEARCH 2yr'!Q10+'PUBLIC SERVICE 2yr'!Q10+'ASptISptSSv 2yr'!Q10+'PLANT OPER MAIN 2yr'!Q10+'SCHOLAR FELLOW 2yr'!Q10+'All Other 2yr'!Q10)-Q10</f>
        <v>0</v>
      </c>
      <c r="AR10" s="130">
        <f>('INSTRUCTION-2YR'!R10+'RESEARCH 2yr'!R10+'PUBLIC SERVICE 2yr'!R10+'ASptISptSSv 2yr'!R10+'PLANT OPER MAIN 2yr'!R10+'SCHOLAR FELLOW 2yr'!R10+'All Other 2yr'!R10)-R10</f>
        <v>0</v>
      </c>
      <c r="AS10" s="130">
        <f>('INSTRUCTION-2YR'!S10+'RESEARCH 2yr'!S10+'PUBLIC SERVICE 2yr'!S10+'ASptISptSSv 2yr'!S10+'PLANT OPER MAIN 2yr'!S10+'SCHOLAR FELLOW 2yr'!S10+'All Other 2yr'!S10)-S10</f>
        <v>0</v>
      </c>
      <c r="AT10" s="130">
        <f>('INSTRUCTION-2YR'!T10+'RESEARCH 2yr'!T10+'PUBLIC SERVICE 2yr'!T10+'ASptISptSSv 2yr'!T10+'PLANT OPER MAIN 2yr'!T10+'SCHOLAR FELLOW 2yr'!T10+'All Other 2yr'!T10)-T10</f>
        <v>0</v>
      </c>
      <c r="AU10" s="130">
        <f>('INSTRUCTION-2YR'!U10+'RESEARCH 2yr'!U10+'PUBLIC SERVICE 2yr'!U10+'ASptISptSSv 2yr'!U10+'PLANT OPER MAIN 2yr'!U10+'SCHOLAR FELLOW 2yr'!U10+'All Other 2yr'!U10)-U10</f>
        <v>0</v>
      </c>
      <c r="AV10" s="130">
        <f>('INSTRUCTION-2YR'!V10+'RESEARCH 2yr'!V10+'PUBLIC SERVICE 2yr'!V10+'ASptISptSSv 2yr'!V10+'PLANT OPER MAIN 2yr'!V10+'SCHOLAR FELLOW 2yr'!V10+'All Other 2yr'!V10)-V10</f>
        <v>0</v>
      </c>
      <c r="AW10" s="130">
        <f>('INSTRUCTION-2YR'!W10+'RESEARCH 2yr'!W10+'PUBLIC SERVICE 2yr'!W10+'ASptISptSSv 2yr'!W10+'PLANT OPER MAIN 2yr'!W10+'SCHOLAR FELLOW 2yr'!W10+'All Other 2yr'!W10)-W10</f>
        <v>0</v>
      </c>
      <c r="AX10" s="130">
        <f>('INSTRUCTION-2YR'!X10+'RESEARCH 2yr'!X10+'PUBLIC SERVICE 2yr'!X10+'ASptISptSSv 2yr'!X10+'PLANT OPER MAIN 2yr'!X10+'SCHOLAR FELLOW 2yr'!X10+'All Other 2yr'!X10)-X10</f>
        <v>0</v>
      </c>
      <c r="AY10" s="130">
        <f>('INSTRUCTION-2YR'!Y10+'RESEARCH 2yr'!Y10+'PUBLIC SERVICE 2yr'!Y10+'ASptISptSSv 2yr'!Y10+'PLANT OPER MAIN 2yr'!Y10+'SCHOLAR FELLOW 2yr'!Y10+'All Other 2yr'!Y10)-Y10</f>
        <v>0</v>
      </c>
      <c r="AZ10" s="130">
        <f>('INSTRUCTION-2YR'!Z10+'RESEARCH 2yr'!Z10+'PUBLIC SERVICE 2yr'!Z10+'ASptISptSSv 2yr'!Z10+'PLANT OPER MAIN 2yr'!Z10+'SCHOLAR FELLOW 2yr'!Z10+'All Other 2yr'!Z10)-Z10</f>
        <v>0</v>
      </c>
      <c r="BA10" s="130">
        <f>('INSTRUCTION-2YR'!AA10+'RESEARCH 2yr'!AA10+'PUBLIC SERVICE 2yr'!AA10+'ASptISptSSv 2yr'!AA10+'PLANT OPER MAIN 2yr'!AA10+'SCHOLAR FELLOW 2yr'!AA10+'All Other 2yr'!AA10)-AA10</f>
        <v>0</v>
      </c>
    </row>
    <row r="11" spans="1:53">
      <c r="A11" s="22" t="s">
        <v>52</v>
      </c>
      <c r="B11" s="13">
        <v>0</v>
      </c>
      <c r="C11" s="13">
        <v>0</v>
      </c>
      <c r="D11" s="13">
        <v>23734</v>
      </c>
      <c r="E11" s="13">
        <v>46956.055</v>
      </c>
      <c r="F11" s="76">
        <v>56203.652999999998</v>
      </c>
      <c r="G11" s="13">
        <v>0</v>
      </c>
      <c r="H11" s="13"/>
      <c r="I11" s="14">
        <v>60935.749000000003</v>
      </c>
      <c r="J11" s="14">
        <v>68486.539999999994</v>
      </c>
      <c r="K11" s="14">
        <v>75083.567999999999</v>
      </c>
      <c r="L11" s="14">
        <v>81041.463999999993</v>
      </c>
      <c r="M11" s="14">
        <v>85989.555999999997</v>
      </c>
      <c r="N11" s="14">
        <v>87222.962</v>
      </c>
      <c r="O11" s="14">
        <v>91890.752999999997</v>
      </c>
      <c r="P11" s="14">
        <v>92469.815000000002</v>
      </c>
      <c r="Q11" s="14">
        <v>99784.84</v>
      </c>
      <c r="R11" s="14">
        <v>107363.92200000001</v>
      </c>
      <c r="S11" s="14">
        <v>112037.696</v>
      </c>
      <c r="T11" s="2">
        <v>119470.11</v>
      </c>
      <c r="U11" s="2">
        <v>122234.717</v>
      </c>
      <c r="V11" s="2">
        <v>129977.052</v>
      </c>
      <c r="W11" s="2">
        <v>149016.864</v>
      </c>
      <c r="X11" s="2">
        <v>155520.625</v>
      </c>
      <c r="Y11" s="2">
        <v>156848.46</v>
      </c>
      <c r="Z11" s="2">
        <v>163789.15900000001</v>
      </c>
      <c r="AA11" s="2">
        <v>158278.86600000001</v>
      </c>
      <c r="AB11" s="130">
        <f>('INSTRUCTION-2YR'!B11+'RESEARCH 2yr'!B11+'PUBLIC SERVICE 2yr'!B11+'ASptISptSSv 2yr'!B11+'PLANT OPER MAIN 2yr'!B11+'SCHOLAR FELLOW 2yr'!B11+'All Other 2yr'!B11)-B11</f>
        <v>0</v>
      </c>
      <c r="AC11" s="130">
        <f>('INSTRUCTION-2YR'!C11+'RESEARCH 2yr'!C11+'PUBLIC SERVICE 2yr'!C11+'ASptISptSSv 2yr'!C11+'PLANT OPER MAIN 2yr'!C11+'SCHOLAR FELLOW 2yr'!C11+'All Other 2yr'!C11)-C11</f>
        <v>0</v>
      </c>
      <c r="AD11" s="130">
        <f>('INSTRUCTION-2YR'!D11+'RESEARCH 2yr'!D11+'PUBLIC SERVICE 2yr'!D11+'ASptISptSSv 2yr'!D11+'PLANT OPER MAIN 2yr'!D11+'SCHOLAR FELLOW 2yr'!D11+'All Other 2yr'!D11)-D11</f>
        <v>0</v>
      </c>
      <c r="AE11" s="130">
        <f>('INSTRUCTION-2YR'!E11+'RESEARCH 2yr'!E11+'PUBLIC SERVICE 2yr'!E11+'ASptISptSSv 2yr'!E11+'PLANT OPER MAIN 2yr'!E11+'SCHOLAR FELLOW 2yr'!E11+'All Other 2yr'!E11)-E11</f>
        <v>0</v>
      </c>
      <c r="AF11" s="130">
        <f>('INSTRUCTION-2YR'!F11+'RESEARCH 2yr'!F11+'PUBLIC SERVICE 2yr'!F11+'ASptISptSSv 2yr'!F11+'PLANT OPER MAIN 2yr'!F11+'SCHOLAR FELLOW 2yr'!F11+'All Other 2yr'!F11)-F11</f>
        <v>0</v>
      </c>
      <c r="AG11" s="130">
        <f>('INSTRUCTION-2YR'!G11+'RESEARCH 2yr'!G11+'PUBLIC SERVICE 2yr'!G11+'ASptISptSSv 2yr'!G11+'PLANT OPER MAIN 2yr'!G11+'SCHOLAR FELLOW 2yr'!G11+'All Other 2yr'!G11)-G11</f>
        <v>0</v>
      </c>
      <c r="AH11" s="130">
        <f>('INSTRUCTION-2YR'!H11+'RESEARCH 2yr'!H11+'PUBLIC SERVICE 2yr'!H11+'ASptISptSSv 2yr'!H11+'PLANT OPER MAIN 2yr'!H11+'SCHOLAR FELLOW 2yr'!H11+'All Other 2yr'!H11)-H11</f>
        <v>0</v>
      </c>
      <c r="AI11" s="130">
        <f>('INSTRUCTION-2YR'!I11+'RESEARCH 2yr'!I11+'PUBLIC SERVICE 2yr'!I11+'ASptISptSSv 2yr'!I11+'PLANT OPER MAIN 2yr'!I11+'SCHOLAR FELLOW 2yr'!I11+'All Other 2yr'!I11)-I11</f>
        <v>0</v>
      </c>
      <c r="AJ11" s="130">
        <f>('INSTRUCTION-2YR'!J11+'RESEARCH 2yr'!J11+'PUBLIC SERVICE 2yr'!J11+'ASptISptSSv 2yr'!J11+'PLANT OPER MAIN 2yr'!J11+'SCHOLAR FELLOW 2yr'!J11+'All Other 2yr'!J11)-J11</f>
        <v>0</v>
      </c>
      <c r="AK11" s="130">
        <f>('INSTRUCTION-2YR'!K11+'RESEARCH 2yr'!K11+'PUBLIC SERVICE 2yr'!K11+'ASptISptSSv 2yr'!K11+'PLANT OPER MAIN 2yr'!K11+'SCHOLAR FELLOW 2yr'!K11+'All Other 2yr'!K11)-K11</f>
        <v>0</v>
      </c>
      <c r="AL11" s="130">
        <f>('INSTRUCTION-2YR'!L11+'RESEARCH 2yr'!L11+'PUBLIC SERVICE 2yr'!L11+'ASptISptSSv 2yr'!L11+'PLANT OPER MAIN 2yr'!L11+'SCHOLAR FELLOW 2yr'!L11+'All Other 2yr'!L11)-L11</f>
        <v>0</v>
      </c>
      <c r="AM11" s="130">
        <f>('INSTRUCTION-2YR'!M11+'RESEARCH 2yr'!M11+'PUBLIC SERVICE 2yr'!M11+'ASptISptSSv 2yr'!M11+'PLANT OPER MAIN 2yr'!M11+'SCHOLAR FELLOW 2yr'!M11+'All Other 2yr'!M11)-M11</f>
        <v>0</v>
      </c>
      <c r="AN11" s="130">
        <f>('INSTRUCTION-2YR'!N11+'RESEARCH 2yr'!N11+'PUBLIC SERVICE 2yr'!N11+'ASptISptSSv 2yr'!N11+'PLANT OPER MAIN 2yr'!N11+'SCHOLAR FELLOW 2yr'!N11+'All Other 2yr'!N11)-N11</f>
        <v>0</v>
      </c>
      <c r="AO11" s="130">
        <f>('INSTRUCTION-2YR'!O11+'RESEARCH 2yr'!O11+'PUBLIC SERVICE 2yr'!O11+'ASptISptSSv 2yr'!O11+'PLANT OPER MAIN 2yr'!O11+'SCHOLAR FELLOW 2yr'!O11+'All Other 2yr'!O11)-O11</f>
        <v>0</v>
      </c>
      <c r="AP11" s="130">
        <f>('INSTRUCTION-2YR'!P11+'RESEARCH 2yr'!P11+'PUBLIC SERVICE 2yr'!P11+'ASptISptSSv 2yr'!P11+'PLANT OPER MAIN 2yr'!P11+'SCHOLAR FELLOW 2yr'!P11+'All Other 2yr'!P11)-P11</f>
        <v>0</v>
      </c>
      <c r="AQ11" s="130">
        <f>('INSTRUCTION-2YR'!Q11+'RESEARCH 2yr'!Q11+'PUBLIC SERVICE 2yr'!Q11+'ASptISptSSv 2yr'!Q11+'PLANT OPER MAIN 2yr'!Q11+'SCHOLAR FELLOW 2yr'!Q11+'All Other 2yr'!Q11)-Q11</f>
        <v>0</v>
      </c>
      <c r="AR11" s="130">
        <f>('INSTRUCTION-2YR'!R11+'RESEARCH 2yr'!R11+'PUBLIC SERVICE 2yr'!R11+'ASptISptSSv 2yr'!R11+'PLANT OPER MAIN 2yr'!R11+'SCHOLAR FELLOW 2yr'!R11+'All Other 2yr'!R11)-R11</f>
        <v>0</v>
      </c>
      <c r="AS11" s="130">
        <f>('INSTRUCTION-2YR'!S11+'RESEARCH 2yr'!S11+'PUBLIC SERVICE 2yr'!S11+'ASptISptSSv 2yr'!S11+'PLANT OPER MAIN 2yr'!S11+'SCHOLAR FELLOW 2yr'!S11+'All Other 2yr'!S11)-S11</f>
        <v>0</v>
      </c>
      <c r="AT11" s="130">
        <f>('INSTRUCTION-2YR'!T11+'RESEARCH 2yr'!T11+'PUBLIC SERVICE 2yr'!T11+'ASptISptSSv 2yr'!T11+'PLANT OPER MAIN 2yr'!T11+'SCHOLAR FELLOW 2yr'!T11+'All Other 2yr'!T11)-T11</f>
        <v>0</v>
      </c>
      <c r="AU11" s="130">
        <f>('INSTRUCTION-2YR'!U11+'RESEARCH 2yr'!U11+'PUBLIC SERVICE 2yr'!U11+'ASptISptSSv 2yr'!U11+'PLANT OPER MAIN 2yr'!U11+'SCHOLAR FELLOW 2yr'!U11+'All Other 2yr'!U11)-U11</f>
        <v>0</v>
      </c>
      <c r="AV11" s="130">
        <f>('INSTRUCTION-2YR'!V11+'RESEARCH 2yr'!V11+'PUBLIC SERVICE 2yr'!V11+'ASptISptSSv 2yr'!V11+'PLANT OPER MAIN 2yr'!V11+'SCHOLAR FELLOW 2yr'!V11+'All Other 2yr'!V11)-V11</f>
        <v>0</v>
      </c>
      <c r="AW11" s="130">
        <f>('INSTRUCTION-2YR'!W11+'RESEARCH 2yr'!W11+'PUBLIC SERVICE 2yr'!W11+'ASptISptSSv 2yr'!W11+'PLANT OPER MAIN 2yr'!W11+'SCHOLAR FELLOW 2yr'!W11+'All Other 2yr'!W11)-W11</f>
        <v>0</v>
      </c>
      <c r="AX11" s="130">
        <f>('INSTRUCTION-2YR'!X11+'RESEARCH 2yr'!X11+'PUBLIC SERVICE 2yr'!X11+'ASptISptSSv 2yr'!X11+'PLANT OPER MAIN 2yr'!X11+'SCHOLAR FELLOW 2yr'!X11+'All Other 2yr'!X11)-X11</f>
        <v>0</v>
      </c>
      <c r="AY11" s="130">
        <f>('INSTRUCTION-2YR'!Y11+'RESEARCH 2yr'!Y11+'PUBLIC SERVICE 2yr'!Y11+'ASptISptSSv 2yr'!Y11+'PLANT OPER MAIN 2yr'!Y11+'SCHOLAR FELLOW 2yr'!Y11+'All Other 2yr'!Y11)-Y11</f>
        <v>0</v>
      </c>
      <c r="AZ11" s="130">
        <f>('INSTRUCTION-2YR'!Z11+'RESEARCH 2yr'!Z11+'PUBLIC SERVICE 2yr'!Z11+'ASptISptSSv 2yr'!Z11+'PLANT OPER MAIN 2yr'!Z11+'SCHOLAR FELLOW 2yr'!Z11+'All Other 2yr'!Z11)-Z11</f>
        <v>0</v>
      </c>
      <c r="BA11" s="130">
        <f>('INSTRUCTION-2YR'!AA11+'RESEARCH 2yr'!AA11+'PUBLIC SERVICE 2yr'!AA11+'ASptISptSSv 2yr'!AA11+'PLANT OPER MAIN 2yr'!AA11+'SCHOLAR FELLOW 2yr'!AA11+'All Other 2yr'!AA11)-AA11</f>
        <v>0</v>
      </c>
    </row>
    <row r="12" spans="1:53">
      <c r="A12" s="22" t="s">
        <v>5</v>
      </c>
      <c r="B12" s="13">
        <v>496300</v>
      </c>
      <c r="C12" s="13">
        <v>525187</v>
      </c>
      <c r="D12" s="13">
        <v>551913</v>
      </c>
      <c r="E12" s="13">
        <v>930547.99</v>
      </c>
      <c r="F12" s="76">
        <v>978219.36499999999</v>
      </c>
      <c r="G12" s="13">
        <v>1062826.784</v>
      </c>
      <c r="H12" s="13">
        <v>1129359.17</v>
      </c>
      <c r="I12" s="14">
        <v>1165565.8700000001</v>
      </c>
      <c r="J12" s="14">
        <v>1182152.3289999999</v>
      </c>
      <c r="K12" s="14">
        <v>1255810.24</v>
      </c>
      <c r="L12" s="14">
        <v>1562668.8869999996</v>
      </c>
      <c r="M12" s="14">
        <v>1908268.4850000001</v>
      </c>
      <c r="N12" s="14">
        <v>1839403.53</v>
      </c>
      <c r="O12" s="14">
        <v>1543252.986</v>
      </c>
      <c r="P12" s="14">
        <v>1584176.068</v>
      </c>
      <c r="Q12" s="14">
        <v>1671261.885</v>
      </c>
      <c r="R12" s="14">
        <v>1730091.872</v>
      </c>
      <c r="S12" s="14">
        <v>2151315.7200000002</v>
      </c>
      <c r="T12" s="2">
        <v>2236858.665</v>
      </c>
      <c r="U12" s="2">
        <v>2873394.9569999999</v>
      </c>
      <c r="V12" s="2">
        <v>3273071.35</v>
      </c>
      <c r="W12" s="2">
        <v>3644548.2259999998</v>
      </c>
      <c r="X12" s="2">
        <v>3592723.5660000001</v>
      </c>
      <c r="Y12" s="2">
        <v>3531840.9330000002</v>
      </c>
      <c r="Z12" s="2">
        <v>3614381.1710000001</v>
      </c>
      <c r="AA12" s="2">
        <v>3647672.443</v>
      </c>
      <c r="AB12" s="130">
        <f>('INSTRUCTION-2YR'!B12+'RESEARCH 2yr'!B12+'PUBLIC SERVICE 2yr'!B12+'ASptISptSSv 2yr'!B12+'PLANT OPER MAIN 2yr'!B12+'SCHOLAR FELLOW 2yr'!B12+'All Other 2yr'!B12)-B12</f>
        <v>0</v>
      </c>
      <c r="AC12" s="130">
        <f>('INSTRUCTION-2YR'!C12+'RESEARCH 2yr'!C12+'PUBLIC SERVICE 2yr'!C12+'ASptISptSSv 2yr'!C12+'PLANT OPER MAIN 2yr'!C12+'SCHOLAR FELLOW 2yr'!C12+'All Other 2yr'!C12)-C12</f>
        <v>0</v>
      </c>
      <c r="AD12" s="130">
        <f>('INSTRUCTION-2YR'!D12+'RESEARCH 2yr'!D12+'PUBLIC SERVICE 2yr'!D12+'ASptISptSSv 2yr'!D12+'PLANT OPER MAIN 2yr'!D12+'SCHOLAR FELLOW 2yr'!D12+'All Other 2yr'!D12)-D12</f>
        <v>0</v>
      </c>
      <c r="AE12" s="130">
        <f>('INSTRUCTION-2YR'!E12+'RESEARCH 2yr'!E12+'PUBLIC SERVICE 2yr'!E12+'ASptISptSSv 2yr'!E12+'PLANT OPER MAIN 2yr'!E12+'SCHOLAR FELLOW 2yr'!E12+'All Other 2yr'!E12)-E12</f>
        <v>0</v>
      </c>
      <c r="AF12" s="130">
        <f>('INSTRUCTION-2YR'!F12+'RESEARCH 2yr'!F12+'PUBLIC SERVICE 2yr'!F12+'ASptISptSSv 2yr'!F12+'PLANT OPER MAIN 2yr'!F12+'SCHOLAR FELLOW 2yr'!F12+'All Other 2yr'!F12)-F12</f>
        <v>0</v>
      </c>
      <c r="AG12" s="130">
        <f>('INSTRUCTION-2YR'!G12+'RESEARCH 2yr'!G12+'PUBLIC SERVICE 2yr'!G12+'ASptISptSSv 2yr'!G12+'PLANT OPER MAIN 2yr'!G12+'SCHOLAR FELLOW 2yr'!G12+'All Other 2yr'!G12)-G12</f>
        <v>0</v>
      </c>
      <c r="AH12" s="130">
        <f>('INSTRUCTION-2YR'!H12+'RESEARCH 2yr'!H12+'PUBLIC SERVICE 2yr'!H12+'ASptISptSSv 2yr'!H12+'PLANT OPER MAIN 2yr'!H12+'SCHOLAR FELLOW 2yr'!H12+'All Other 2yr'!H12)-H12</f>
        <v>0</v>
      </c>
      <c r="AI12" s="130">
        <f>('INSTRUCTION-2YR'!I12+'RESEARCH 2yr'!I12+'PUBLIC SERVICE 2yr'!I12+'ASptISptSSv 2yr'!I12+'PLANT OPER MAIN 2yr'!I12+'SCHOLAR FELLOW 2yr'!I12+'All Other 2yr'!I12)-I12</f>
        <v>0</v>
      </c>
      <c r="AJ12" s="130">
        <f>('INSTRUCTION-2YR'!J12+'RESEARCH 2yr'!J12+'PUBLIC SERVICE 2yr'!J12+'ASptISptSSv 2yr'!J12+'PLANT OPER MAIN 2yr'!J12+'SCHOLAR FELLOW 2yr'!J12+'All Other 2yr'!J12)-J12</f>
        <v>0</v>
      </c>
      <c r="AK12" s="130">
        <f>('INSTRUCTION-2YR'!K12+'RESEARCH 2yr'!K12+'PUBLIC SERVICE 2yr'!K12+'ASptISptSSv 2yr'!K12+'PLANT OPER MAIN 2yr'!K12+'SCHOLAR FELLOW 2yr'!K12+'All Other 2yr'!K12)-K12</f>
        <v>0</v>
      </c>
      <c r="AL12" s="130">
        <f>('INSTRUCTION-2YR'!L12+'RESEARCH 2yr'!L12+'PUBLIC SERVICE 2yr'!L12+'ASptISptSSv 2yr'!L12+'PLANT OPER MAIN 2yr'!L12+'SCHOLAR FELLOW 2yr'!L12+'All Other 2yr'!L12)-L12</f>
        <v>0</v>
      </c>
      <c r="AM12" s="130">
        <f>('INSTRUCTION-2YR'!M12+'RESEARCH 2yr'!M12+'PUBLIC SERVICE 2yr'!M12+'ASptISptSSv 2yr'!M12+'PLANT OPER MAIN 2yr'!M12+'SCHOLAR FELLOW 2yr'!M12+'All Other 2yr'!M12)-M12</f>
        <v>0</v>
      </c>
      <c r="AN12" s="130">
        <f>('INSTRUCTION-2YR'!N12+'RESEARCH 2yr'!N12+'PUBLIC SERVICE 2yr'!N12+'ASptISptSSv 2yr'!N12+'PLANT OPER MAIN 2yr'!N12+'SCHOLAR FELLOW 2yr'!N12+'All Other 2yr'!N12)-N12</f>
        <v>0</v>
      </c>
      <c r="AO12" s="130">
        <f>('INSTRUCTION-2YR'!O12+'RESEARCH 2yr'!O12+'PUBLIC SERVICE 2yr'!O12+'ASptISptSSv 2yr'!O12+'PLANT OPER MAIN 2yr'!O12+'SCHOLAR FELLOW 2yr'!O12+'All Other 2yr'!O12)-O12</f>
        <v>0</v>
      </c>
      <c r="AP12" s="130">
        <f>('INSTRUCTION-2YR'!P12+'RESEARCH 2yr'!P12+'PUBLIC SERVICE 2yr'!P12+'ASptISptSSv 2yr'!P12+'PLANT OPER MAIN 2yr'!P12+'SCHOLAR FELLOW 2yr'!P12+'All Other 2yr'!P12)-P12</f>
        <v>0</v>
      </c>
      <c r="AQ12" s="130">
        <f>('INSTRUCTION-2YR'!Q12+'RESEARCH 2yr'!Q12+'PUBLIC SERVICE 2yr'!Q12+'ASptISptSSv 2yr'!Q12+'PLANT OPER MAIN 2yr'!Q12+'SCHOLAR FELLOW 2yr'!Q12+'All Other 2yr'!Q12)-Q12</f>
        <v>0</v>
      </c>
      <c r="AR12" s="130">
        <f>('INSTRUCTION-2YR'!R12+'RESEARCH 2yr'!R12+'PUBLIC SERVICE 2yr'!R12+'ASptISptSSv 2yr'!R12+'PLANT OPER MAIN 2yr'!R12+'SCHOLAR FELLOW 2yr'!R12+'All Other 2yr'!R12)-R12</f>
        <v>0</v>
      </c>
      <c r="AS12" s="130">
        <f>('INSTRUCTION-2YR'!S12+'RESEARCH 2yr'!S12+'PUBLIC SERVICE 2yr'!S12+'ASptISptSSv 2yr'!S12+'PLANT OPER MAIN 2yr'!S12+'SCHOLAR FELLOW 2yr'!S12+'All Other 2yr'!S12)-S12</f>
        <v>0</v>
      </c>
      <c r="AT12" s="130">
        <f>('INSTRUCTION-2YR'!T12+'RESEARCH 2yr'!T12+'PUBLIC SERVICE 2yr'!T12+'ASptISptSSv 2yr'!T12+'PLANT OPER MAIN 2yr'!T12+'SCHOLAR FELLOW 2yr'!T12+'All Other 2yr'!T12)-T12</f>
        <v>0</v>
      </c>
      <c r="AU12" s="130">
        <f>('INSTRUCTION-2YR'!U12+'RESEARCH 2yr'!U12+'PUBLIC SERVICE 2yr'!U12+'ASptISptSSv 2yr'!U12+'PLANT OPER MAIN 2yr'!U12+'SCHOLAR FELLOW 2yr'!U12+'All Other 2yr'!U12)-U12</f>
        <v>0</v>
      </c>
      <c r="AV12" s="130">
        <f>('INSTRUCTION-2YR'!V12+'RESEARCH 2yr'!V12+'PUBLIC SERVICE 2yr'!V12+'ASptISptSSv 2yr'!V12+'PLANT OPER MAIN 2yr'!V12+'SCHOLAR FELLOW 2yr'!V12+'All Other 2yr'!V12)-V12</f>
        <v>0</v>
      </c>
      <c r="AW12" s="130">
        <f>('INSTRUCTION-2YR'!W12+'RESEARCH 2yr'!W12+'PUBLIC SERVICE 2yr'!W12+'ASptISptSSv 2yr'!W12+'PLANT OPER MAIN 2yr'!W12+'SCHOLAR FELLOW 2yr'!W12+'All Other 2yr'!W12)-W12</f>
        <v>0</v>
      </c>
      <c r="AX12" s="130">
        <f>('INSTRUCTION-2YR'!X12+'RESEARCH 2yr'!X12+'PUBLIC SERVICE 2yr'!X12+'ASptISptSSv 2yr'!X12+'PLANT OPER MAIN 2yr'!X12+'SCHOLAR FELLOW 2yr'!X12+'All Other 2yr'!X12)-X12</f>
        <v>0</v>
      </c>
      <c r="AY12" s="130">
        <f>('INSTRUCTION-2YR'!Y12+'RESEARCH 2yr'!Y12+'PUBLIC SERVICE 2yr'!Y12+'ASptISptSSv 2yr'!Y12+'PLANT OPER MAIN 2yr'!Y12+'SCHOLAR FELLOW 2yr'!Y12+'All Other 2yr'!Y12)-Y12</f>
        <v>0</v>
      </c>
      <c r="AZ12" s="130">
        <f>('INSTRUCTION-2YR'!Z12+'RESEARCH 2yr'!Z12+'PUBLIC SERVICE 2yr'!Z12+'ASptISptSSv 2yr'!Z12+'PLANT OPER MAIN 2yr'!Z12+'SCHOLAR FELLOW 2yr'!Z12+'All Other 2yr'!Z12)-Z12</f>
        <v>0</v>
      </c>
      <c r="BA12" s="130">
        <f>('INSTRUCTION-2YR'!AA12+'RESEARCH 2yr'!AA12+'PUBLIC SERVICE 2yr'!AA12+'ASptISptSSv 2yr'!AA12+'PLANT OPER MAIN 2yr'!AA12+'SCHOLAR FELLOW 2yr'!AA12+'All Other 2yr'!AA12)-AA12</f>
        <v>0</v>
      </c>
    </row>
    <row r="13" spans="1:53">
      <c r="A13" s="22" t="s">
        <v>6</v>
      </c>
      <c r="B13" s="13">
        <v>92557</v>
      </c>
      <c r="C13" s="13">
        <v>97452</v>
      </c>
      <c r="D13" s="13">
        <v>103612</v>
      </c>
      <c r="E13" s="13">
        <v>276908.11099999998</v>
      </c>
      <c r="F13" s="76">
        <v>314762.66899999999</v>
      </c>
      <c r="G13" s="13">
        <v>356591.09099999996</v>
      </c>
      <c r="H13" s="13">
        <v>409930.20699999999</v>
      </c>
      <c r="I13" s="14">
        <v>466839.62</v>
      </c>
      <c r="J13" s="14">
        <v>381510.196</v>
      </c>
      <c r="K13" s="14">
        <v>403942.97198000003</v>
      </c>
      <c r="L13" s="14">
        <v>668642.57199999993</v>
      </c>
      <c r="M13" s="14">
        <v>754180.48600000003</v>
      </c>
      <c r="N13" s="14">
        <v>877870.27</v>
      </c>
      <c r="O13" s="14">
        <v>819172.75199999998</v>
      </c>
      <c r="P13" s="14">
        <v>880616.06400000001</v>
      </c>
      <c r="Q13" s="14">
        <v>916855.89500000002</v>
      </c>
      <c r="R13" s="14">
        <v>963167.89099999995</v>
      </c>
      <c r="S13" s="14">
        <v>980885.17500000005</v>
      </c>
      <c r="T13" s="2">
        <v>1017286.847</v>
      </c>
      <c r="U13" s="2">
        <v>574136.02</v>
      </c>
      <c r="V13" s="2">
        <v>1445982.3259999999</v>
      </c>
      <c r="W13" s="2">
        <v>1640961.92</v>
      </c>
      <c r="X13" s="2">
        <v>1670105.054</v>
      </c>
      <c r="Y13" s="2">
        <v>565785.61499999999</v>
      </c>
      <c r="Z13" s="2">
        <v>589627.48899999994</v>
      </c>
      <c r="AA13" s="2">
        <v>587747.50199999998</v>
      </c>
      <c r="AB13" s="130">
        <f>('INSTRUCTION-2YR'!B13+'RESEARCH 2yr'!B13+'PUBLIC SERVICE 2yr'!B13+'ASptISptSSv 2yr'!B13+'PLANT OPER MAIN 2yr'!B13+'SCHOLAR FELLOW 2yr'!B13+'All Other 2yr'!B13)-B13</f>
        <v>0</v>
      </c>
      <c r="AC13" s="130">
        <f>('INSTRUCTION-2YR'!C13+'RESEARCH 2yr'!C13+'PUBLIC SERVICE 2yr'!C13+'ASptISptSSv 2yr'!C13+'PLANT OPER MAIN 2yr'!C13+'SCHOLAR FELLOW 2yr'!C13+'All Other 2yr'!C13)-C13</f>
        <v>0</v>
      </c>
      <c r="AD13" s="130">
        <f>('INSTRUCTION-2YR'!D13+'RESEARCH 2yr'!D13+'PUBLIC SERVICE 2yr'!D13+'ASptISptSSv 2yr'!D13+'PLANT OPER MAIN 2yr'!D13+'SCHOLAR FELLOW 2yr'!D13+'All Other 2yr'!D13)-D13</f>
        <v>0</v>
      </c>
      <c r="AE13" s="130">
        <f>('INSTRUCTION-2YR'!E13+'RESEARCH 2yr'!E13+'PUBLIC SERVICE 2yr'!E13+'ASptISptSSv 2yr'!E13+'PLANT OPER MAIN 2yr'!E13+'SCHOLAR FELLOW 2yr'!E13+'All Other 2yr'!E13)-E13</f>
        <v>0</v>
      </c>
      <c r="AF13" s="130">
        <f>('INSTRUCTION-2YR'!F13+'RESEARCH 2yr'!F13+'PUBLIC SERVICE 2yr'!F13+'ASptISptSSv 2yr'!F13+'PLANT OPER MAIN 2yr'!F13+'SCHOLAR FELLOW 2yr'!F13+'All Other 2yr'!F13)-F13</f>
        <v>0</v>
      </c>
      <c r="AG13" s="130">
        <f>('INSTRUCTION-2YR'!G13+'RESEARCH 2yr'!G13+'PUBLIC SERVICE 2yr'!G13+'ASptISptSSv 2yr'!G13+'PLANT OPER MAIN 2yr'!G13+'SCHOLAR FELLOW 2yr'!G13+'All Other 2yr'!G13)-G13</f>
        <v>0</v>
      </c>
      <c r="AH13" s="130">
        <f>('INSTRUCTION-2YR'!H13+'RESEARCH 2yr'!H13+'PUBLIC SERVICE 2yr'!H13+'ASptISptSSv 2yr'!H13+'PLANT OPER MAIN 2yr'!H13+'SCHOLAR FELLOW 2yr'!H13+'All Other 2yr'!H13)-H13</f>
        <v>0</v>
      </c>
      <c r="AI13" s="130">
        <f>('INSTRUCTION-2YR'!I13+'RESEARCH 2yr'!I13+'PUBLIC SERVICE 2yr'!I13+'ASptISptSSv 2yr'!I13+'PLANT OPER MAIN 2yr'!I13+'SCHOLAR FELLOW 2yr'!I13+'All Other 2yr'!I13)-I13</f>
        <v>0</v>
      </c>
      <c r="AJ13" s="130">
        <f>('INSTRUCTION-2YR'!J13+'RESEARCH 2yr'!J13+'PUBLIC SERVICE 2yr'!J13+'ASptISptSSv 2yr'!J13+'PLANT OPER MAIN 2yr'!J13+'SCHOLAR FELLOW 2yr'!J13+'All Other 2yr'!J13)-J13</f>
        <v>0</v>
      </c>
      <c r="AK13" s="130">
        <f>('INSTRUCTION-2YR'!K13+'RESEARCH 2yr'!K13+'PUBLIC SERVICE 2yr'!K13+'ASptISptSSv 2yr'!K13+'PLANT OPER MAIN 2yr'!K13+'SCHOLAR FELLOW 2yr'!K13+'All Other 2yr'!K13)-K13</f>
        <v>0</v>
      </c>
      <c r="AL13" s="130">
        <f>('INSTRUCTION-2YR'!L13+'RESEARCH 2yr'!L13+'PUBLIC SERVICE 2yr'!L13+'ASptISptSSv 2yr'!L13+'PLANT OPER MAIN 2yr'!L13+'SCHOLAR FELLOW 2yr'!L13+'All Other 2yr'!L13)-L13</f>
        <v>0</v>
      </c>
      <c r="AM13" s="130">
        <f>('INSTRUCTION-2YR'!M13+'RESEARCH 2yr'!M13+'PUBLIC SERVICE 2yr'!M13+'ASptISptSSv 2yr'!M13+'PLANT OPER MAIN 2yr'!M13+'SCHOLAR FELLOW 2yr'!M13+'All Other 2yr'!M13)-M13</f>
        <v>0</v>
      </c>
      <c r="AN13" s="130">
        <f>('INSTRUCTION-2YR'!N13+'RESEARCH 2yr'!N13+'PUBLIC SERVICE 2yr'!N13+'ASptISptSSv 2yr'!N13+'PLANT OPER MAIN 2yr'!N13+'SCHOLAR FELLOW 2yr'!N13+'All Other 2yr'!N13)-N13</f>
        <v>0</v>
      </c>
      <c r="AO13" s="130">
        <f>('INSTRUCTION-2YR'!O13+'RESEARCH 2yr'!O13+'PUBLIC SERVICE 2yr'!O13+'ASptISptSSv 2yr'!O13+'PLANT OPER MAIN 2yr'!O13+'SCHOLAR FELLOW 2yr'!O13+'All Other 2yr'!O13)-O13</f>
        <v>0</v>
      </c>
      <c r="AP13" s="130">
        <f>('INSTRUCTION-2YR'!P13+'RESEARCH 2yr'!P13+'PUBLIC SERVICE 2yr'!P13+'ASptISptSSv 2yr'!P13+'PLANT OPER MAIN 2yr'!P13+'SCHOLAR FELLOW 2yr'!P13+'All Other 2yr'!P13)-P13</f>
        <v>0</v>
      </c>
      <c r="AQ13" s="130">
        <f>('INSTRUCTION-2YR'!Q13+'RESEARCH 2yr'!Q13+'PUBLIC SERVICE 2yr'!Q13+'ASptISptSSv 2yr'!Q13+'PLANT OPER MAIN 2yr'!Q13+'SCHOLAR FELLOW 2yr'!Q13+'All Other 2yr'!Q13)-Q13</f>
        <v>0</v>
      </c>
      <c r="AR13" s="130">
        <f>('INSTRUCTION-2YR'!R13+'RESEARCH 2yr'!R13+'PUBLIC SERVICE 2yr'!R13+'ASptISptSSv 2yr'!R13+'PLANT OPER MAIN 2yr'!R13+'SCHOLAR FELLOW 2yr'!R13+'All Other 2yr'!R13)-R13</f>
        <v>0</v>
      </c>
      <c r="AS13" s="130">
        <f>('INSTRUCTION-2YR'!S13+'RESEARCH 2yr'!S13+'PUBLIC SERVICE 2yr'!S13+'ASptISptSSv 2yr'!S13+'PLANT OPER MAIN 2yr'!S13+'SCHOLAR FELLOW 2yr'!S13+'All Other 2yr'!S13)-S13</f>
        <v>0</v>
      </c>
      <c r="AT13" s="130">
        <f>('INSTRUCTION-2YR'!T13+'RESEARCH 2yr'!T13+'PUBLIC SERVICE 2yr'!T13+'ASptISptSSv 2yr'!T13+'PLANT OPER MAIN 2yr'!T13+'SCHOLAR FELLOW 2yr'!T13+'All Other 2yr'!T13)-T13</f>
        <v>0</v>
      </c>
      <c r="AU13" s="130">
        <f>('INSTRUCTION-2YR'!U13+'RESEARCH 2yr'!U13+'PUBLIC SERVICE 2yr'!U13+'ASptISptSSv 2yr'!U13+'PLANT OPER MAIN 2yr'!U13+'SCHOLAR FELLOW 2yr'!U13+'All Other 2yr'!U13)-U13</f>
        <v>0</v>
      </c>
      <c r="AV13" s="130">
        <f>('INSTRUCTION-2YR'!V13+'RESEARCH 2yr'!V13+'PUBLIC SERVICE 2yr'!V13+'ASptISptSSv 2yr'!V13+'PLANT OPER MAIN 2yr'!V13+'SCHOLAR FELLOW 2yr'!V13+'All Other 2yr'!V13)-V13</f>
        <v>0</v>
      </c>
      <c r="AW13" s="130">
        <f>('INSTRUCTION-2YR'!W13+'RESEARCH 2yr'!W13+'PUBLIC SERVICE 2yr'!W13+'ASptISptSSv 2yr'!W13+'PLANT OPER MAIN 2yr'!W13+'SCHOLAR FELLOW 2yr'!W13+'All Other 2yr'!W13)-W13</f>
        <v>0</v>
      </c>
      <c r="AX13" s="130">
        <f>('INSTRUCTION-2YR'!X13+'RESEARCH 2yr'!X13+'PUBLIC SERVICE 2yr'!X13+'ASptISptSSv 2yr'!X13+'PLANT OPER MAIN 2yr'!X13+'SCHOLAR FELLOW 2yr'!X13+'All Other 2yr'!X13)-X13</f>
        <v>0</v>
      </c>
      <c r="AY13" s="130">
        <f>('INSTRUCTION-2YR'!Y13+'RESEARCH 2yr'!Y13+'PUBLIC SERVICE 2yr'!Y13+'ASptISptSSv 2yr'!Y13+'PLANT OPER MAIN 2yr'!Y13+'SCHOLAR FELLOW 2yr'!Y13+'All Other 2yr'!Y13)-Y13</f>
        <v>0</v>
      </c>
      <c r="AZ13" s="130">
        <f>('INSTRUCTION-2YR'!Z13+'RESEARCH 2yr'!Z13+'PUBLIC SERVICE 2yr'!Z13+'ASptISptSSv 2yr'!Z13+'PLANT OPER MAIN 2yr'!Z13+'SCHOLAR FELLOW 2yr'!Z13+'All Other 2yr'!Z13)-Z13</f>
        <v>0</v>
      </c>
      <c r="BA13" s="130">
        <f>('INSTRUCTION-2YR'!AA13+'RESEARCH 2yr'!AA13+'PUBLIC SERVICE 2yr'!AA13+'ASptISptSSv 2yr'!AA13+'PLANT OPER MAIN 2yr'!AA13+'SCHOLAR FELLOW 2yr'!AA13+'All Other 2yr'!AA13)-AA13</f>
        <v>0</v>
      </c>
    </row>
    <row r="14" spans="1:53">
      <c r="A14" s="22" t="s">
        <v>7</v>
      </c>
      <c r="B14" s="13">
        <v>45600</v>
      </c>
      <c r="C14" s="13">
        <v>48321</v>
      </c>
      <c r="D14" s="13">
        <v>52568</v>
      </c>
      <c r="E14" s="13">
        <v>107696.897</v>
      </c>
      <c r="F14" s="76">
        <v>131542.65100000001</v>
      </c>
      <c r="G14" s="13">
        <v>137530.81099999999</v>
      </c>
      <c r="H14" s="13">
        <v>148071.261</v>
      </c>
      <c r="I14" s="14">
        <v>152919.465</v>
      </c>
      <c r="J14" s="14">
        <v>156377.97409999999</v>
      </c>
      <c r="K14" s="14">
        <v>173886.166</v>
      </c>
      <c r="L14" s="14">
        <v>351288.79200000007</v>
      </c>
      <c r="M14" s="14">
        <v>380337.82</v>
      </c>
      <c r="N14" s="14">
        <v>31797.375</v>
      </c>
      <c r="O14" s="14">
        <v>34278.483999999997</v>
      </c>
      <c r="P14" s="14">
        <v>37770.050999999999</v>
      </c>
      <c r="Q14" s="14">
        <v>417438.40100000001</v>
      </c>
      <c r="R14" s="14">
        <v>452354.63199999998</v>
      </c>
      <c r="S14" s="14">
        <v>483430.83399999997</v>
      </c>
      <c r="T14" s="2">
        <v>535707.87600000005</v>
      </c>
      <c r="U14" s="2">
        <v>514774.576</v>
      </c>
      <c r="V14" s="2">
        <v>705728.17599999998</v>
      </c>
      <c r="W14" s="2">
        <v>727662.38899999997</v>
      </c>
      <c r="X14" s="2">
        <v>731178.81499999994</v>
      </c>
      <c r="Y14" s="2">
        <v>653402.89399999997</v>
      </c>
      <c r="Z14" s="2">
        <v>603374.99699999997</v>
      </c>
      <c r="AA14" s="2">
        <v>601966.34699999995</v>
      </c>
      <c r="AB14" s="130">
        <f>('INSTRUCTION-2YR'!B14+'RESEARCH 2yr'!B14+'PUBLIC SERVICE 2yr'!B14+'ASptISptSSv 2yr'!B14+'PLANT OPER MAIN 2yr'!B14+'SCHOLAR FELLOW 2yr'!B14+'All Other 2yr'!B14)-B14</f>
        <v>0</v>
      </c>
      <c r="AC14" s="130">
        <f>('INSTRUCTION-2YR'!C14+'RESEARCH 2yr'!C14+'PUBLIC SERVICE 2yr'!C14+'ASptISptSSv 2yr'!C14+'PLANT OPER MAIN 2yr'!C14+'SCHOLAR FELLOW 2yr'!C14+'All Other 2yr'!C14)-C14</f>
        <v>0</v>
      </c>
      <c r="AD14" s="130">
        <f>('INSTRUCTION-2YR'!D14+'RESEARCH 2yr'!D14+'PUBLIC SERVICE 2yr'!D14+'ASptISptSSv 2yr'!D14+'PLANT OPER MAIN 2yr'!D14+'SCHOLAR FELLOW 2yr'!D14+'All Other 2yr'!D14)-D14</f>
        <v>0</v>
      </c>
      <c r="AE14" s="130">
        <f>('INSTRUCTION-2YR'!E14+'RESEARCH 2yr'!E14+'PUBLIC SERVICE 2yr'!E14+'ASptISptSSv 2yr'!E14+'PLANT OPER MAIN 2yr'!E14+'SCHOLAR FELLOW 2yr'!E14+'All Other 2yr'!E14)-E14</f>
        <v>0</v>
      </c>
      <c r="AF14" s="130">
        <f>('INSTRUCTION-2YR'!F14+'RESEARCH 2yr'!F14+'PUBLIC SERVICE 2yr'!F14+'ASptISptSSv 2yr'!F14+'PLANT OPER MAIN 2yr'!F14+'SCHOLAR FELLOW 2yr'!F14+'All Other 2yr'!F14)-F14</f>
        <v>0</v>
      </c>
      <c r="AG14" s="130">
        <f>('INSTRUCTION-2YR'!G14+'RESEARCH 2yr'!G14+'PUBLIC SERVICE 2yr'!G14+'ASptISptSSv 2yr'!G14+'PLANT OPER MAIN 2yr'!G14+'SCHOLAR FELLOW 2yr'!G14+'All Other 2yr'!G14)-G14</f>
        <v>0</v>
      </c>
      <c r="AH14" s="130">
        <f>('INSTRUCTION-2YR'!H14+'RESEARCH 2yr'!H14+'PUBLIC SERVICE 2yr'!H14+'ASptISptSSv 2yr'!H14+'PLANT OPER MAIN 2yr'!H14+'SCHOLAR FELLOW 2yr'!H14+'All Other 2yr'!H14)-H14</f>
        <v>0</v>
      </c>
      <c r="AI14" s="130">
        <f>('INSTRUCTION-2YR'!I14+'RESEARCH 2yr'!I14+'PUBLIC SERVICE 2yr'!I14+'ASptISptSSv 2yr'!I14+'PLANT OPER MAIN 2yr'!I14+'SCHOLAR FELLOW 2yr'!I14+'All Other 2yr'!I14)-I14</f>
        <v>0</v>
      </c>
      <c r="AJ14" s="130">
        <f>('INSTRUCTION-2YR'!J14+'RESEARCH 2yr'!J14+'PUBLIC SERVICE 2yr'!J14+'ASptISptSSv 2yr'!J14+'PLANT OPER MAIN 2yr'!J14+'SCHOLAR FELLOW 2yr'!J14+'All Other 2yr'!J14)-J14</f>
        <v>0</v>
      </c>
      <c r="AK14" s="130">
        <f>('INSTRUCTION-2YR'!K14+'RESEARCH 2yr'!K14+'PUBLIC SERVICE 2yr'!K14+'ASptISptSSv 2yr'!K14+'PLANT OPER MAIN 2yr'!K14+'SCHOLAR FELLOW 2yr'!K14+'All Other 2yr'!K14)-K14</f>
        <v>0</v>
      </c>
      <c r="AL14" s="130">
        <f>('INSTRUCTION-2YR'!L14+'RESEARCH 2yr'!L14+'PUBLIC SERVICE 2yr'!L14+'ASptISptSSv 2yr'!L14+'PLANT OPER MAIN 2yr'!L14+'SCHOLAR FELLOW 2yr'!L14+'All Other 2yr'!L14)-L14</f>
        <v>0</v>
      </c>
      <c r="AM14" s="130">
        <f>('INSTRUCTION-2YR'!M14+'RESEARCH 2yr'!M14+'PUBLIC SERVICE 2yr'!M14+'ASptISptSSv 2yr'!M14+'PLANT OPER MAIN 2yr'!M14+'SCHOLAR FELLOW 2yr'!M14+'All Other 2yr'!M14)-M14</f>
        <v>0</v>
      </c>
      <c r="AN14" s="130">
        <f>('INSTRUCTION-2YR'!N14+'RESEARCH 2yr'!N14+'PUBLIC SERVICE 2yr'!N14+'ASptISptSSv 2yr'!N14+'PLANT OPER MAIN 2yr'!N14+'SCHOLAR FELLOW 2yr'!N14+'All Other 2yr'!N14)-N14</f>
        <v>0</v>
      </c>
      <c r="AO14" s="130">
        <f>('INSTRUCTION-2YR'!O14+'RESEARCH 2yr'!O14+'PUBLIC SERVICE 2yr'!O14+'ASptISptSSv 2yr'!O14+'PLANT OPER MAIN 2yr'!O14+'SCHOLAR FELLOW 2yr'!O14+'All Other 2yr'!O14)-O14</f>
        <v>0</v>
      </c>
      <c r="AP14" s="130">
        <f>('INSTRUCTION-2YR'!P14+'RESEARCH 2yr'!P14+'PUBLIC SERVICE 2yr'!P14+'ASptISptSSv 2yr'!P14+'PLANT OPER MAIN 2yr'!P14+'SCHOLAR FELLOW 2yr'!P14+'All Other 2yr'!P14)-P14</f>
        <v>0</v>
      </c>
      <c r="AQ14" s="130">
        <f>('INSTRUCTION-2YR'!Q14+'RESEARCH 2yr'!Q14+'PUBLIC SERVICE 2yr'!Q14+'ASptISptSSv 2yr'!Q14+'PLANT OPER MAIN 2yr'!Q14+'SCHOLAR FELLOW 2yr'!Q14+'All Other 2yr'!Q14)-Q14</f>
        <v>0</v>
      </c>
      <c r="AR14" s="130">
        <f>('INSTRUCTION-2YR'!R14+'RESEARCH 2yr'!R14+'PUBLIC SERVICE 2yr'!R14+'ASptISptSSv 2yr'!R14+'PLANT OPER MAIN 2yr'!R14+'SCHOLAR FELLOW 2yr'!R14+'All Other 2yr'!R14)-R14</f>
        <v>0</v>
      </c>
      <c r="AS14" s="130">
        <f>('INSTRUCTION-2YR'!S14+'RESEARCH 2yr'!S14+'PUBLIC SERVICE 2yr'!S14+'ASptISptSSv 2yr'!S14+'PLANT OPER MAIN 2yr'!S14+'SCHOLAR FELLOW 2yr'!S14+'All Other 2yr'!S14)-S14</f>
        <v>0</v>
      </c>
      <c r="AT14" s="130">
        <f>('INSTRUCTION-2YR'!T14+'RESEARCH 2yr'!T14+'PUBLIC SERVICE 2yr'!T14+'ASptISptSSv 2yr'!T14+'PLANT OPER MAIN 2yr'!T14+'SCHOLAR FELLOW 2yr'!T14+'All Other 2yr'!T14)-T14</f>
        <v>0</v>
      </c>
      <c r="AU14" s="130">
        <f>('INSTRUCTION-2YR'!U14+'RESEARCH 2yr'!U14+'PUBLIC SERVICE 2yr'!U14+'ASptISptSSv 2yr'!U14+'PLANT OPER MAIN 2yr'!U14+'SCHOLAR FELLOW 2yr'!U14+'All Other 2yr'!U14)-U14</f>
        <v>0</v>
      </c>
      <c r="AV14" s="130">
        <f>('INSTRUCTION-2YR'!V14+'RESEARCH 2yr'!V14+'PUBLIC SERVICE 2yr'!V14+'ASptISptSSv 2yr'!V14+'PLANT OPER MAIN 2yr'!V14+'SCHOLAR FELLOW 2yr'!V14+'All Other 2yr'!V14)-V14</f>
        <v>0</v>
      </c>
      <c r="AW14" s="130">
        <f>('INSTRUCTION-2YR'!W14+'RESEARCH 2yr'!W14+'PUBLIC SERVICE 2yr'!W14+'ASptISptSSv 2yr'!W14+'PLANT OPER MAIN 2yr'!W14+'SCHOLAR FELLOW 2yr'!W14+'All Other 2yr'!W14)-W14</f>
        <v>0</v>
      </c>
      <c r="AX14" s="130">
        <f>('INSTRUCTION-2YR'!X14+'RESEARCH 2yr'!X14+'PUBLIC SERVICE 2yr'!X14+'ASptISptSSv 2yr'!X14+'PLANT OPER MAIN 2yr'!X14+'SCHOLAR FELLOW 2yr'!X14+'All Other 2yr'!X14)-X14</f>
        <v>0</v>
      </c>
      <c r="AY14" s="130">
        <f>('INSTRUCTION-2YR'!Y14+'RESEARCH 2yr'!Y14+'PUBLIC SERVICE 2yr'!Y14+'ASptISptSSv 2yr'!Y14+'PLANT OPER MAIN 2yr'!Y14+'SCHOLAR FELLOW 2yr'!Y14+'All Other 2yr'!Y14)-Y14</f>
        <v>0</v>
      </c>
      <c r="AZ14" s="130">
        <f>('INSTRUCTION-2YR'!Z14+'RESEARCH 2yr'!Z14+'PUBLIC SERVICE 2yr'!Z14+'ASptISptSSv 2yr'!Z14+'PLANT OPER MAIN 2yr'!Z14+'SCHOLAR FELLOW 2yr'!Z14+'All Other 2yr'!Z14)-Z14</f>
        <v>0</v>
      </c>
      <c r="BA14" s="130">
        <f>('INSTRUCTION-2YR'!AA14+'RESEARCH 2yr'!AA14+'PUBLIC SERVICE 2yr'!AA14+'ASptISptSSv 2yr'!AA14+'PLANT OPER MAIN 2yr'!AA14+'SCHOLAR FELLOW 2yr'!AA14+'All Other 2yr'!AA14)-AA14</f>
        <v>0</v>
      </c>
    </row>
    <row r="15" spans="1:53">
      <c r="A15" s="22" t="s">
        <v>8</v>
      </c>
      <c r="B15" s="36">
        <v>34238</v>
      </c>
      <c r="C15" s="36">
        <v>38472</v>
      </c>
      <c r="D15" s="36">
        <v>39754</v>
      </c>
      <c r="E15" s="36">
        <v>66792.229000000007</v>
      </c>
      <c r="F15" s="77">
        <v>73977.137000000002</v>
      </c>
      <c r="G15" s="36">
        <v>83409.632000000012</v>
      </c>
      <c r="H15" s="36">
        <v>92926.380999999994</v>
      </c>
      <c r="I15" s="37">
        <v>93837.740999999995</v>
      </c>
      <c r="J15" s="37">
        <v>157895.19900000002</v>
      </c>
      <c r="K15" s="37">
        <v>169344.67828000002</v>
      </c>
      <c r="L15" s="37">
        <v>209811.40299999999</v>
      </c>
      <c r="M15" s="37">
        <v>226305.58199999999</v>
      </c>
      <c r="N15" s="37">
        <v>275454.29499999998</v>
      </c>
      <c r="O15" s="37">
        <v>323574.7</v>
      </c>
      <c r="P15" s="37">
        <v>371339.54</v>
      </c>
      <c r="Q15" s="37">
        <v>388563.451</v>
      </c>
      <c r="R15" s="37">
        <v>373155.92700000003</v>
      </c>
      <c r="S15" s="37">
        <v>428495.81800000003</v>
      </c>
      <c r="T15" s="23">
        <v>556018.04500000004</v>
      </c>
      <c r="U15" s="23">
        <v>350946.12300000002</v>
      </c>
      <c r="V15" s="23">
        <v>549338.43799999997</v>
      </c>
      <c r="W15" s="23">
        <v>595415.89899999998</v>
      </c>
      <c r="X15" s="23">
        <v>596479.28599999996</v>
      </c>
      <c r="Y15" s="2">
        <v>429958.47100000002</v>
      </c>
      <c r="Z15" s="2">
        <v>449773.505</v>
      </c>
      <c r="AA15" s="2">
        <v>459599.53700000001</v>
      </c>
      <c r="AB15" s="130">
        <f>('INSTRUCTION-2YR'!B15+'RESEARCH 2yr'!B15+'PUBLIC SERVICE 2yr'!B15+'ASptISptSSv 2yr'!B15+'PLANT OPER MAIN 2yr'!B15+'SCHOLAR FELLOW 2yr'!B15+'All Other 2yr'!B15)-B15</f>
        <v>0</v>
      </c>
      <c r="AC15" s="130">
        <f>('INSTRUCTION-2YR'!C15+'RESEARCH 2yr'!C15+'PUBLIC SERVICE 2yr'!C15+'ASptISptSSv 2yr'!C15+'PLANT OPER MAIN 2yr'!C15+'SCHOLAR FELLOW 2yr'!C15+'All Other 2yr'!C15)-C15</f>
        <v>0</v>
      </c>
      <c r="AD15" s="130">
        <f>('INSTRUCTION-2YR'!D15+'RESEARCH 2yr'!D15+'PUBLIC SERVICE 2yr'!D15+'ASptISptSSv 2yr'!D15+'PLANT OPER MAIN 2yr'!D15+'SCHOLAR FELLOW 2yr'!D15+'All Other 2yr'!D15)-D15</f>
        <v>0</v>
      </c>
      <c r="AE15" s="130">
        <f>('INSTRUCTION-2YR'!E15+'RESEARCH 2yr'!E15+'PUBLIC SERVICE 2yr'!E15+'ASptISptSSv 2yr'!E15+'PLANT OPER MAIN 2yr'!E15+'SCHOLAR FELLOW 2yr'!E15+'All Other 2yr'!E15)-E15</f>
        <v>0</v>
      </c>
      <c r="AF15" s="130">
        <f>('INSTRUCTION-2YR'!F15+'RESEARCH 2yr'!F15+'PUBLIC SERVICE 2yr'!F15+'ASptISptSSv 2yr'!F15+'PLANT OPER MAIN 2yr'!F15+'SCHOLAR FELLOW 2yr'!F15+'All Other 2yr'!F15)-F15</f>
        <v>0</v>
      </c>
      <c r="AG15" s="130">
        <f>('INSTRUCTION-2YR'!G15+'RESEARCH 2yr'!G15+'PUBLIC SERVICE 2yr'!G15+'ASptISptSSv 2yr'!G15+'PLANT OPER MAIN 2yr'!G15+'SCHOLAR FELLOW 2yr'!G15+'All Other 2yr'!G15)-G15</f>
        <v>0</v>
      </c>
      <c r="AH15" s="130">
        <f>('INSTRUCTION-2YR'!H15+'RESEARCH 2yr'!H15+'PUBLIC SERVICE 2yr'!H15+'ASptISptSSv 2yr'!H15+'PLANT OPER MAIN 2yr'!H15+'SCHOLAR FELLOW 2yr'!H15+'All Other 2yr'!H15)-H15</f>
        <v>0</v>
      </c>
      <c r="AI15" s="130">
        <f>('INSTRUCTION-2YR'!I15+'RESEARCH 2yr'!I15+'PUBLIC SERVICE 2yr'!I15+'ASptISptSSv 2yr'!I15+'PLANT OPER MAIN 2yr'!I15+'SCHOLAR FELLOW 2yr'!I15+'All Other 2yr'!I15)-I15</f>
        <v>0</v>
      </c>
      <c r="AJ15" s="130">
        <f>('INSTRUCTION-2YR'!J15+'RESEARCH 2yr'!J15+'PUBLIC SERVICE 2yr'!J15+'ASptISptSSv 2yr'!J15+'PLANT OPER MAIN 2yr'!J15+'SCHOLAR FELLOW 2yr'!J15+'All Other 2yr'!J15)-J15</f>
        <v>0</v>
      </c>
      <c r="AK15" s="130">
        <f>('INSTRUCTION-2YR'!K15+'RESEARCH 2yr'!K15+'PUBLIC SERVICE 2yr'!K15+'ASptISptSSv 2yr'!K15+'PLANT OPER MAIN 2yr'!K15+'SCHOLAR FELLOW 2yr'!K15+'All Other 2yr'!K15)-K15</f>
        <v>0</v>
      </c>
      <c r="AL15" s="130">
        <f>('INSTRUCTION-2YR'!L15+'RESEARCH 2yr'!L15+'PUBLIC SERVICE 2yr'!L15+'ASptISptSSv 2yr'!L15+'PLANT OPER MAIN 2yr'!L15+'SCHOLAR FELLOW 2yr'!L15+'All Other 2yr'!L15)-L15</f>
        <v>0</v>
      </c>
      <c r="AM15" s="130">
        <f>('INSTRUCTION-2YR'!M15+'RESEARCH 2yr'!M15+'PUBLIC SERVICE 2yr'!M15+'ASptISptSSv 2yr'!M15+'PLANT OPER MAIN 2yr'!M15+'SCHOLAR FELLOW 2yr'!M15+'All Other 2yr'!M15)-M15</f>
        <v>0</v>
      </c>
      <c r="AN15" s="130">
        <f>('INSTRUCTION-2YR'!N15+'RESEARCH 2yr'!N15+'PUBLIC SERVICE 2yr'!N15+'ASptISptSSv 2yr'!N15+'PLANT OPER MAIN 2yr'!N15+'SCHOLAR FELLOW 2yr'!N15+'All Other 2yr'!N15)-N15</f>
        <v>0</v>
      </c>
      <c r="AO15" s="130">
        <f>('INSTRUCTION-2YR'!O15+'RESEARCH 2yr'!O15+'PUBLIC SERVICE 2yr'!O15+'ASptISptSSv 2yr'!O15+'PLANT OPER MAIN 2yr'!O15+'SCHOLAR FELLOW 2yr'!O15+'All Other 2yr'!O15)-O15</f>
        <v>0</v>
      </c>
      <c r="AP15" s="130">
        <f>('INSTRUCTION-2YR'!P15+'RESEARCH 2yr'!P15+'PUBLIC SERVICE 2yr'!P15+'ASptISptSSv 2yr'!P15+'PLANT OPER MAIN 2yr'!P15+'SCHOLAR FELLOW 2yr'!P15+'All Other 2yr'!P15)-P15</f>
        <v>0</v>
      </c>
      <c r="AQ15" s="130">
        <f>('INSTRUCTION-2YR'!Q15+'RESEARCH 2yr'!Q15+'PUBLIC SERVICE 2yr'!Q15+'ASptISptSSv 2yr'!Q15+'PLANT OPER MAIN 2yr'!Q15+'SCHOLAR FELLOW 2yr'!Q15+'All Other 2yr'!Q15)-Q15</f>
        <v>0</v>
      </c>
      <c r="AR15" s="130">
        <f>('INSTRUCTION-2YR'!R15+'RESEARCH 2yr'!R15+'PUBLIC SERVICE 2yr'!R15+'ASptISptSSv 2yr'!R15+'PLANT OPER MAIN 2yr'!R15+'SCHOLAR FELLOW 2yr'!R15+'All Other 2yr'!R15)-R15</f>
        <v>0</v>
      </c>
      <c r="AS15" s="130">
        <f>('INSTRUCTION-2YR'!S15+'RESEARCH 2yr'!S15+'PUBLIC SERVICE 2yr'!S15+'ASptISptSSv 2yr'!S15+'PLANT OPER MAIN 2yr'!S15+'SCHOLAR FELLOW 2yr'!S15+'All Other 2yr'!S15)-S15</f>
        <v>0</v>
      </c>
      <c r="AT15" s="130">
        <f>('INSTRUCTION-2YR'!T15+'RESEARCH 2yr'!T15+'PUBLIC SERVICE 2yr'!T15+'ASptISptSSv 2yr'!T15+'PLANT OPER MAIN 2yr'!T15+'SCHOLAR FELLOW 2yr'!T15+'All Other 2yr'!T15)-T15</f>
        <v>0</v>
      </c>
      <c r="AU15" s="130">
        <f>('INSTRUCTION-2YR'!U15+'RESEARCH 2yr'!U15+'PUBLIC SERVICE 2yr'!U15+'ASptISptSSv 2yr'!U15+'PLANT OPER MAIN 2yr'!U15+'SCHOLAR FELLOW 2yr'!U15+'All Other 2yr'!U15)-U15</f>
        <v>0</v>
      </c>
      <c r="AV15" s="130">
        <f>('INSTRUCTION-2YR'!V15+'RESEARCH 2yr'!V15+'PUBLIC SERVICE 2yr'!V15+'ASptISptSSv 2yr'!V15+'PLANT OPER MAIN 2yr'!V15+'SCHOLAR FELLOW 2yr'!V15+'All Other 2yr'!V15)-V15</f>
        <v>0</v>
      </c>
      <c r="AW15" s="130">
        <f>('INSTRUCTION-2YR'!W15+'RESEARCH 2yr'!W15+'PUBLIC SERVICE 2yr'!W15+'ASptISptSSv 2yr'!W15+'PLANT OPER MAIN 2yr'!W15+'SCHOLAR FELLOW 2yr'!W15+'All Other 2yr'!W15)-W15</f>
        <v>0</v>
      </c>
      <c r="AX15" s="130">
        <f>('INSTRUCTION-2YR'!X15+'RESEARCH 2yr'!X15+'PUBLIC SERVICE 2yr'!X15+'ASptISptSSv 2yr'!X15+'PLANT OPER MAIN 2yr'!X15+'SCHOLAR FELLOW 2yr'!X15+'All Other 2yr'!X15)-X15</f>
        <v>0</v>
      </c>
      <c r="AY15" s="130">
        <f>('INSTRUCTION-2YR'!Y15+'RESEARCH 2yr'!Y15+'PUBLIC SERVICE 2yr'!Y15+'ASptISptSSv 2yr'!Y15+'PLANT OPER MAIN 2yr'!Y15+'SCHOLAR FELLOW 2yr'!Y15+'All Other 2yr'!Y15)-Y15</f>
        <v>0</v>
      </c>
      <c r="AZ15" s="130">
        <f>('INSTRUCTION-2YR'!Z15+'RESEARCH 2yr'!Z15+'PUBLIC SERVICE 2yr'!Z15+'ASptISptSSv 2yr'!Z15+'PLANT OPER MAIN 2yr'!Z15+'SCHOLAR FELLOW 2yr'!Z15+'All Other 2yr'!Z15)-Z15</f>
        <v>0</v>
      </c>
      <c r="BA15" s="130">
        <f>('INSTRUCTION-2YR'!AA15+'RESEARCH 2yr'!AA15+'PUBLIC SERVICE 2yr'!AA15+'ASptISptSSv 2yr'!AA15+'PLANT OPER MAIN 2yr'!AA15+'SCHOLAR FELLOW 2yr'!AA15+'All Other 2yr'!AA15)-AA15</f>
        <v>0</v>
      </c>
    </row>
    <row r="16" spans="1:53">
      <c r="A16" s="22" t="s">
        <v>9</v>
      </c>
      <c r="B16" s="36">
        <v>225182</v>
      </c>
      <c r="C16" s="36">
        <v>235832</v>
      </c>
      <c r="D16" s="36">
        <v>257123</v>
      </c>
      <c r="E16" s="36">
        <v>363508.83100000001</v>
      </c>
      <c r="F16" s="77">
        <v>301518.74800000002</v>
      </c>
      <c r="G16" s="36">
        <v>399877.35</v>
      </c>
      <c r="H16" s="36">
        <v>432919.01299999998</v>
      </c>
      <c r="I16" s="37">
        <v>364605.17200000002</v>
      </c>
      <c r="J16" s="37">
        <v>470264.92700000008</v>
      </c>
      <c r="K16" s="37">
        <v>478464.63400000002</v>
      </c>
      <c r="L16" s="37">
        <v>587578.10900000005</v>
      </c>
      <c r="M16" s="37">
        <v>648421.58600000001</v>
      </c>
      <c r="N16" s="37">
        <v>717604.49199999997</v>
      </c>
      <c r="O16" s="37">
        <v>815251.71900000004</v>
      </c>
      <c r="P16" s="37">
        <v>830172.40399999998</v>
      </c>
      <c r="Q16" s="37">
        <v>886995.27500000002</v>
      </c>
      <c r="R16" s="37">
        <v>947579.21299999999</v>
      </c>
      <c r="S16" s="37">
        <v>1019198.458</v>
      </c>
      <c r="T16" s="23">
        <v>1096948.24</v>
      </c>
      <c r="U16" s="23">
        <v>1201828.69</v>
      </c>
      <c r="V16" s="23">
        <v>1283886.1640000001</v>
      </c>
      <c r="W16" s="23">
        <v>1388056.5279999999</v>
      </c>
      <c r="X16" s="23">
        <v>1416646.6459999999</v>
      </c>
      <c r="Y16" s="2">
        <v>1411068.6950000001</v>
      </c>
      <c r="Z16" s="2">
        <v>1460885.89</v>
      </c>
      <c r="AA16" s="2">
        <v>1486996.3319999999</v>
      </c>
      <c r="AB16" s="130">
        <f>('INSTRUCTION-2YR'!B16+'RESEARCH 2yr'!B16+'PUBLIC SERVICE 2yr'!B16+'ASptISptSSv 2yr'!B16+'PLANT OPER MAIN 2yr'!B16+'SCHOLAR FELLOW 2yr'!B16+'All Other 2yr'!B16)-B16</f>
        <v>0</v>
      </c>
      <c r="AC16" s="130">
        <f>('INSTRUCTION-2YR'!C16+'RESEARCH 2yr'!C16+'PUBLIC SERVICE 2yr'!C16+'ASptISptSSv 2yr'!C16+'PLANT OPER MAIN 2yr'!C16+'SCHOLAR FELLOW 2yr'!C16+'All Other 2yr'!C16)-C16</f>
        <v>0</v>
      </c>
      <c r="AD16" s="130">
        <f>('INSTRUCTION-2YR'!D16+'RESEARCH 2yr'!D16+'PUBLIC SERVICE 2yr'!D16+'ASptISptSSv 2yr'!D16+'PLANT OPER MAIN 2yr'!D16+'SCHOLAR FELLOW 2yr'!D16+'All Other 2yr'!D16)-D16</f>
        <v>0</v>
      </c>
      <c r="AE16" s="130">
        <f>('INSTRUCTION-2YR'!E16+'RESEARCH 2yr'!E16+'PUBLIC SERVICE 2yr'!E16+'ASptISptSSv 2yr'!E16+'PLANT OPER MAIN 2yr'!E16+'SCHOLAR FELLOW 2yr'!E16+'All Other 2yr'!E16)-E16</f>
        <v>0</v>
      </c>
      <c r="AF16" s="130">
        <f>('INSTRUCTION-2YR'!F16+'RESEARCH 2yr'!F16+'PUBLIC SERVICE 2yr'!F16+'ASptISptSSv 2yr'!F16+'PLANT OPER MAIN 2yr'!F16+'SCHOLAR FELLOW 2yr'!F16+'All Other 2yr'!F16)-F16</f>
        <v>0</v>
      </c>
      <c r="AG16" s="130">
        <f>('INSTRUCTION-2YR'!G16+'RESEARCH 2yr'!G16+'PUBLIC SERVICE 2yr'!G16+'ASptISptSSv 2yr'!G16+'PLANT OPER MAIN 2yr'!G16+'SCHOLAR FELLOW 2yr'!G16+'All Other 2yr'!G16)-G16</f>
        <v>0</v>
      </c>
      <c r="AH16" s="130">
        <f>('INSTRUCTION-2YR'!H16+'RESEARCH 2yr'!H16+'PUBLIC SERVICE 2yr'!H16+'ASptISptSSv 2yr'!H16+'PLANT OPER MAIN 2yr'!H16+'SCHOLAR FELLOW 2yr'!H16+'All Other 2yr'!H16)-H16</f>
        <v>0</v>
      </c>
      <c r="AI16" s="130">
        <f>('INSTRUCTION-2YR'!I16+'RESEARCH 2yr'!I16+'PUBLIC SERVICE 2yr'!I16+'ASptISptSSv 2yr'!I16+'PLANT OPER MAIN 2yr'!I16+'SCHOLAR FELLOW 2yr'!I16+'All Other 2yr'!I16)-I16</f>
        <v>0</v>
      </c>
      <c r="AJ16" s="130">
        <f>('INSTRUCTION-2YR'!J16+'RESEARCH 2yr'!J16+'PUBLIC SERVICE 2yr'!J16+'ASptISptSSv 2yr'!J16+'PLANT OPER MAIN 2yr'!J16+'SCHOLAR FELLOW 2yr'!J16+'All Other 2yr'!J16)-J16</f>
        <v>0</v>
      </c>
      <c r="AK16" s="130">
        <f>('INSTRUCTION-2YR'!K16+'RESEARCH 2yr'!K16+'PUBLIC SERVICE 2yr'!K16+'ASptISptSSv 2yr'!K16+'PLANT OPER MAIN 2yr'!K16+'SCHOLAR FELLOW 2yr'!K16+'All Other 2yr'!K16)-K16</f>
        <v>0</v>
      </c>
      <c r="AL16" s="130">
        <f>('INSTRUCTION-2YR'!L16+'RESEARCH 2yr'!L16+'PUBLIC SERVICE 2yr'!L16+'ASptISptSSv 2yr'!L16+'PLANT OPER MAIN 2yr'!L16+'SCHOLAR FELLOW 2yr'!L16+'All Other 2yr'!L16)-L16</f>
        <v>0</v>
      </c>
      <c r="AM16" s="130">
        <f>('INSTRUCTION-2YR'!M16+'RESEARCH 2yr'!M16+'PUBLIC SERVICE 2yr'!M16+'ASptISptSSv 2yr'!M16+'PLANT OPER MAIN 2yr'!M16+'SCHOLAR FELLOW 2yr'!M16+'All Other 2yr'!M16)-M16</f>
        <v>0</v>
      </c>
      <c r="AN16" s="130">
        <f>('INSTRUCTION-2YR'!N16+'RESEARCH 2yr'!N16+'PUBLIC SERVICE 2yr'!N16+'ASptISptSSv 2yr'!N16+'PLANT OPER MAIN 2yr'!N16+'SCHOLAR FELLOW 2yr'!N16+'All Other 2yr'!N16)-N16</f>
        <v>0</v>
      </c>
      <c r="AO16" s="130">
        <f>('INSTRUCTION-2YR'!O16+'RESEARCH 2yr'!O16+'PUBLIC SERVICE 2yr'!O16+'ASptISptSSv 2yr'!O16+'PLANT OPER MAIN 2yr'!O16+'SCHOLAR FELLOW 2yr'!O16+'All Other 2yr'!O16)-O16</f>
        <v>0</v>
      </c>
      <c r="AP16" s="130">
        <f>('INSTRUCTION-2YR'!P16+'RESEARCH 2yr'!P16+'PUBLIC SERVICE 2yr'!P16+'ASptISptSSv 2yr'!P16+'PLANT OPER MAIN 2yr'!P16+'SCHOLAR FELLOW 2yr'!P16+'All Other 2yr'!P16)-P16</f>
        <v>0</v>
      </c>
      <c r="AQ16" s="130">
        <f>('INSTRUCTION-2YR'!Q16+'RESEARCH 2yr'!Q16+'PUBLIC SERVICE 2yr'!Q16+'ASptISptSSv 2yr'!Q16+'PLANT OPER MAIN 2yr'!Q16+'SCHOLAR FELLOW 2yr'!Q16+'All Other 2yr'!Q16)-Q16</f>
        <v>0</v>
      </c>
      <c r="AR16" s="130">
        <f>('INSTRUCTION-2YR'!R16+'RESEARCH 2yr'!R16+'PUBLIC SERVICE 2yr'!R16+'ASptISptSSv 2yr'!R16+'PLANT OPER MAIN 2yr'!R16+'SCHOLAR FELLOW 2yr'!R16+'All Other 2yr'!R16)-R16</f>
        <v>0</v>
      </c>
      <c r="AS16" s="130">
        <f>('INSTRUCTION-2YR'!S16+'RESEARCH 2yr'!S16+'PUBLIC SERVICE 2yr'!S16+'ASptISptSSv 2yr'!S16+'PLANT OPER MAIN 2yr'!S16+'SCHOLAR FELLOW 2yr'!S16+'All Other 2yr'!S16)-S16</f>
        <v>0</v>
      </c>
      <c r="AT16" s="130">
        <f>('INSTRUCTION-2YR'!T16+'RESEARCH 2yr'!T16+'PUBLIC SERVICE 2yr'!T16+'ASptISptSSv 2yr'!T16+'PLANT OPER MAIN 2yr'!T16+'SCHOLAR FELLOW 2yr'!T16+'All Other 2yr'!T16)-T16</f>
        <v>0</v>
      </c>
      <c r="AU16" s="130">
        <f>('INSTRUCTION-2YR'!U16+'RESEARCH 2yr'!U16+'PUBLIC SERVICE 2yr'!U16+'ASptISptSSv 2yr'!U16+'PLANT OPER MAIN 2yr'!U16+'SCHOLAR FELLOW 2yr'!U16+'All Other 2yr'!U16)-U16</f>
        <v>0</v>
      </c>
      <c r="AV16" s="130">
        <f>('INSTRUCTION-2YR'!V16+'RESEARCH 2yr'!V16+'PUBLIC SERVICE 2yr'!V16+'ASptISptSSv 2yr'!V16+'PLANT OPER MAIN 2yr'!V16+'SCHOLAR FELLOW 2yr'!V16+'All Other 2yr'!V16)-V16</f>
        <v>0</v>
      </c>
      <c r="AW16" s="130">
        <f>('INSTRUCTION-2YR'!W16+'RESEARCH 2yr'!W16+'PUBLIC SERVICE 2yr'!W16+'ASptISptSSv 2yr'!W16+'PLANT OPER MAIN 2yr'!W16+'SCHOLAR FELLOW 2yr'!W16+'All Other 2yr'!W16)-W16</f>
        <v>0</v>
      </c>
      <c r="AX16" s="130">
        <f>('INSTRUCTION-2YR'!X16+'RESEARCH 2yr'!X16+'PUBLIC SERVICE 2yr'!X16+'ASptISptSSv 2yr'!X16+'PLANT OPER MAIN 2yr'!X16+'SCHOLAR FELLOW 2yr'!X16+'All Other 2yr'!X16)-X16</f>
        <v>0</v>
      </c>
      <c r="AY16" s="130">
        <f>('INSTRUCTION-2YR'!Y16+'RESEARCH 2yr'!Y16+'PUBLIC SERVICE 2yr'!Y16+'ASptISptSSv 2yr'!Y16+'PLANT OPER MAIN 2yr'!Y16+'SCHOLAR FELLOW 2yr'!Y16+'All Other 2yr'!Y16)-Y16</f>
        <v>0</v>
      </c>
      <c r="AZ16" s="130">
        <f>('INSTRUCTION-2YR'!Z16+'RESEARCH 2yr'!Z16+'PUBLIC SERVICE 2yr'!Z16+'ASptISptSSv 2yr'!Z16+'PLANT OPER MAIN 2yr'!Z16+'SCHOLAR FELLOW 2yr'!Z16+'All Other 2yr'!Z16)-Z16</f>
        <v>0</v>
      </c>
      <c r="BA16" s="130">
        <f>('INSTRUCTION-2YR'!AA16+'RESEARCH 2yr'!AA16+'PUBLIC SERVICE 2yr'!AA16+'ASptISptSSv 2yr'!AA16+'PLANT OPER MAIN 2yr'!AA16+'SCHOLAR FELLOW 2yr'!AA16+'All Other 2yr'!AA16)-AA16</f>
        <v>0</v>
      </c>
    </row>
    <row r="17" spans="1:53">
      <c r="A17" s="22" t="s">
        <v>10</v>
      </c>
      <c r="B17" s="36">
        <v>129644</v>
      </c>
      <c r="C17" s="36">
        <v>133004</v>
      </c>
      <c r="D17" s="36">
        <v>148127</v>
      </c>
      <c r="E17" s="36">
        <v>211036.44899999999</v>
      </c>
      <c r="F17" s="77">
        <v>215799.08300000001</v>
      </c>
      <c r="G17" s="36">
        <v>236869.23600000003</v>
      </c>
      <c r="H17" s="36">
        <v>257017.959</v>
      </c>
      <c r="I17" s="37">
        <v>295702.75199999998</v>
      </c>
      <c r="J17" s="37">
        <v>322618.49400000001</v>
      </c>
      <c r="K17" s="37">
        <v>334602.53000000003</v>
      </c>
      <c r="L17" s="37">
        <v>414818.12199999997</v>
      </c>
      <c r="M17" s="37">
        <v>428330.54</v>
      </c>
      <c r="N17" s="37">
        <v>451846.46399999998</v>
      </c>
      <c r="O17" s="37">
        <v>537814.05200000003</v>
      </c>
      <c r="P17" s="37">
        <v>550422.25100000005</v>
      </c>
      <c r="Q17" s="37">
        <v>574565.13600000006</v>
      </c>
      <c r="R17" s="37">
        <v>611661.74899999995</v>
      </c>
      <c r="S17" s="37">
        <v>640286.13600000006</v>
      </c>
      <c r="T17" s="23">
        <v>700451.26800000004</v>
      </c>
      <c r="U17" s="23">
        <v>739100.9</v>
      </c>
      <c r="V17" s="23">
        <v>847826.49600000004</v>
      </c>
      <c r="W17" s="23">
        <v>904421.39</v>
      </c>
      <c r="X17" s="23">
        <v>882757.08400000003</v>
      </c>
      <c r="Y17" s="2">
        <v>851763.27500000002</v>
      </c>
      <c r="Z17" s="2">
        <v>847476.94900000002</v>
      </c>
      <c r="AA17" s="2">
        <v>856326.64800000004</v>
      </c>
      <c r="AB17" s="130">
        <f>('INSTRUCTION-2YR'!B17+'RESEARCH 2yr'!B17+'PUBLIC SERVICE 2yr'!B17+'ASptISptSSv 2yr'!B17+'PLANT OPER MAIN 2yr'!B17+'SCHOLAR FELLOW 2yr'!B17+'All Other 2yr'!B17)-B17</f>
        <v>0</v>
      </c>
      <c r="AC17" s="130">
        <f>('INSTRUCTION-2YR'!C17+'RESEARCH 2yr'!C17+'PUBLIC SERVICE 2yr'!C17+'ASptISptSSv 2yr'!C17+'PLANT OPER MAIN 2yr'!C17+'SCHOLAR FELLOW 2yr'!C17+'All Other 2yr'!C17)-C17</f>
        <v>0</v>
      </c>
      <c r="AD17" s="130">
        <f>('INSTRUCTION-2YR'!D17+'RESEARCH 2yr'!D17+'PUBLIC SERVICE 2yr'!D17+'ASptISptSSv 2yr'!D17+'PLANT OPER MAIN 2yr'!D17+'SCHOLAR FELLOW 2yr'!D17+'All Other 2yr'!D17)-D17</f>
        <v>0</v>
      </c>
      <c r="AE17" s="130">
        <f>('INSTRUCTION-2YR'!E17+'RESEARCH 2yr'!E17+'PUBLIC SERVICE 2yr'!E17+'ASptISptSSv 2yr'!E17+'PLANT OPER MAIN 2yr'!E17+'SCHOLAR FELLOW 2yr'!E17+'All Other 2yr'!E17)-E17</f>
        <v>0</v>
      </c>
      <c r="AF17" s="130">
        <f>('INSTRUCTION-2YR'!F17+'RESEARCH 2yr'!F17+'PUBLIC SERVICE 2yr'!F17+'ASptISptSSv 2yr'!F17+'PLANT OPER MAIN 2yr'!F17+'SCHOLAR FELLOW 2yr'!F17+'All Other 2yr'!F17)-F17</f>
        <v>0</v>
      </c>
      <c r="AG17" s="130">
        <f>('INSTRUCTION-2YR'!G17+'RESEARCH 2yr'!G17+'PUBLIC SERVICE 2yr'!G17+'ASptISptSSv 2yr'!G17+'PLANT OPER MAIN 2yr'!G17+'SCHOLAR FELLOW 2yr'!G17+'All Other 2yr'!G17)-G17</f>
        <v>0</v>
      </c>
      <c r="AH17" s="130">
        <f>('INSTRUCTION-2YR'!H17+'RESEARCH 2yr'!H17+'PUBLIC SERVICE 2yr'!H17+'ASptISptSSv 2yr'!H17+'PLANT OPER MAIN 2yr'!H17+'SCHOLAR FELLOW 2yr'!H17+'All Other 2yr'!H17)-H17</f>
        <v>0</v>
      </c>
      <c r="AI17" s="130">
        <f>('INSTRUCTION-2YR'!I17+'RESEARCH 2yr'!I17+'PUBLIC SERVICE 2yr'!I17+'ASptISptSSv 2yr'!I17+'PLANT OPER MAIN 2yr'!I17+'SCHOLAR FELLOW 2yr'!I17+'All Other 2yr'!I17)-I17</f>
        <v>0</v>
      </c>
      <c r="AJ17" s="130">
        <f>('INSTRUCTION-2YR'!J17+'RESEARCH 2yr'!J17+'PUBLIC SERVICE 2yr'!J17+'ASptISptSSv 2yr'!J17+'PLANT OPER MAIN 2yr'!J17+'SCHOLAR FELLOW 2yr'!J17+'All Other 2yr'!J17)-J17</f>
        <v>0</v>
      </c>
      <c r="AK17" s="130">
        <f>('INSTRUCTION-2YR'!K17+'RESEARCH 2yr'!K17+'PUBLIC SERVICE 2yr'!K17+'ASptISptSSv 2yr'!K17+'PLANT OPER MAIN 2yr'!K17+'SCHOLAR FELLOW 2yr'!K17+'All Other 2yr'!K17)-K17</f>
        <v>0</v>
      </c>
      <c r="AL17" s="130">
        <f>('INSTRUCTION-2YR'!L17+'RESEARCH 2yr'!L17+'PUBLIC SERVICE 2yr'!L17+'ASptISptSSv 2yr'!L17+'PLANT OPER MAIN 2yr'!L17+'SCHOLAR FELLOW 2yr'!L17+'All Other 2yr'!L17)-L17</f>
        <v>0</v>
      </c>
      <c r="AM17" s="130">
        <f>('INSTRUCTION-2YR'!M17+'RESEARCH 2yr'!M17+'PUBLIC SERVICE 2yr'!M17+'ASptISptSSv 2yr'!M17+'PLANT OPER MAIN 2yr'!M17+'SCHOLAR FELLOW 2yr'!M17+'All Other 2yr'!M17)-M17</f>
        <v>0</v>
      </c>
      <c r="AN17" s="130">
        <f>('INSTRUCTION-2YR'!N17+'RESEARCH 2yr'!N17+'PUBLIC SERVICE 2yr'!N17+'ASptISptSSv 2yr'!N17+'PLANT OPER MAIN 2yr'!N17+'SCHOLAR FELLOW 2yr'!N17+'All Other 2yr'!N17)-N17</f>
        <v>0</v>
      </c>
      <c r="AO17" s="130">
        <f>('INSTRUCTION-2YR'!O17+'RESEARCH 2yr'!O17+'PUBLIC SERVICE 2yr'!O17+'ASptISptSSv 2yr'!O17+'PLANT OPER MAIN 2yr'!O17+'SCHOLAR FELLOW 2yr'!O17+'All Other 2yr'!O17)-O17</f>
        <v>0</v>
      </c>
      <c r="AP17" s="130">
        <f>('INSTRUCTION-2YR'!P17+'RESEARCH 2yr'!P17+'PUBLIC SERVICE 2yr'!P17+'ASptISptSSv 2yr'!P17+'PLANT OPER MAIN 2yr'!P17+'SCHOLAR FELLOW 2yr'!P17+'All Other 2yr'!P17)-P17</f>
        <v>0</v>
      </c>
      <c r="AQ17" s="130">
        <f>('INSTRUCTION-2YR'!Q17+'RESEARCH 2yr'!Q17+'PUBLIC SERVICE 2yr'!Q17+'ASptISptSSv 2yr'!Q17+'PLANT OPER MAIN 2yr'!Q17+'SCHOLAR FELLOW 2yr'!Q17+'All Other 2yr'!Q17)-Q17</f>
        <v>0</v>
      </c>
      <c r="AR17" s="130">
        <f>('INSTRUCTION-2YR'!R17+'RESEARCH 2yr'!R17+'PUBLIC SERVICE 2yr'!R17+'ASptISptSSv 2yr'!R17+'PLANT OPER MAIN 2yr'!R17+'SCHOLAR FELLOW 2yr'!R17+'All Other 2yr'!R17)-R17</f>
        <v>0</v>
      </c>
      <c r="AS17" s="130">
        <f>('INSTRUCTION-2YR'!S17+'RESEARCH 2yr'!S17+'PUBLIC SERVICE 2yr'!S17+'ASptISptSSv 2yr'!S17+'PLANT OPER MAIN 2yr'!S17+'SCHOLAR FELLOW 2yr'!S17+'All Other 2yr'!S17)-S17</f>
        <v>0</v>
      </c>
      <c r="AT17" s="130">
        <f>('INSTRUCTION-2YR'!T17+'RESEARCH 2yr'!T17+'PUBLIC SERVICE 2yr'!T17+'ASptISptSSv 2yr'!T17+'PLANT OPER MAIN 2yr'!T17+'SCHOLAR FELLOW 2yr'!T17+'All Other 2yr'!T17)-T17</f>
        <v>0</v>
      </c>
      <c r="AU17" s="130">
        <f>('INSTRUCTION-2YR'!U17+'RESEARCH 2yr'!U17+'PUBLIC SERVICE 2yr'!U17+'ASptISptSSv 2yr'!U17+'PLANT OPER MAIN 2yr'!U17+'SCHOLAR FELLOW 2yr'!U17+'All Other 2yr'!U17)-U17</f>
        <v>0</v>
      </c>
      <c r="AV17" s="130">
        <f>('INSTRUCTION-2YR'!V17+'RESEARCH 2yr'!V17+'PUBLIC SERVICE 2yr'!V17+'ASptISptSSv 2yr'!V17+'PLANT OPER MAIN 2yr'!V17+'SCHOLAR FELLOW 2yr'!V17+'All Other 2yr'!V17)-V17</f>
        <v>0</v>
      </c>
      <c r="AW17" s="130">
        <f>('INSTRUCTION-2YR'!W17+'RESEARCH 2yr'!W17+'PUBLIC SERVICE 2yr'!W17+'ASptISptSSv 2yr'!W17+'PLANT OPER MAIN 2yr'!W17+'SCHOLAR FELLOW 2yr'!W17+'All Other 2yr'!W17)-W17</f>
        <v>0</v>
      </c>
      <c r="AX17" s="130">
        <f>('INSTRUCTION-2YR'!X17+'RESEARCH 2yr'!X17+'PUBLIC SERVICE 2yr'!X17+'ASptISptSSv 2yr'!X17+'PLANT OPER MAIN 2yr'!X17+'SCHOLAR FELLOW 2yr'!X17+'All Other 2yr'!X17)-X17</f>
        <v>0</v>
      </c>
      <c r="AY17" s="130">
        <f>('INSTRUCTION-2YR'!Y17+'RESEARCH 2yr'!Y17+'PUBLIC SERVICE 2yr'!Y17+'ASptISptSSv 2yr'!Y17+'PLANT OPER MAIN 2yr'!Y17+'SCHOLAR FELLOW 2yr'!Y17+'All Other 2yr'!Y17)-Y17</f>
        <v>0</v>
      </c>
      <c r="AZ17" s="130">
        <f>('INSTRUCTION-2YR'!Z17+'RESEARCH 2yr'!Z17+'PUBLIC SERVICE 2yr'!Z17+'ASptISptSSv 2yr'!Z17+'PLANT OPER MAIN 2yr'!Z17+'SCHOLAR FELLOW 2yr'!Z17+'All Other 2yr'!Z17)-Z17</f>
        <v>0</v>
      </c>
      <c r="BA17" s="130">
        <f>('INSTRUCTION-2YR'!AA17+'RESEARCH 2yr'!AA17+'PUBLIC SERVICE 2yr'!AA17+'ASptISptSSv 2yr'!AA17+'PLANT OPER MAIN 2yr'!AA17+'SCHOLAR FELLOW 2yr'!AA17+'All Other 2yr'!AA17)-AA17</f>
        <v>0</v>
      </c>
    </row>
    <row r="18" spans="1:53">
      <c r="A18" s="22" t="s">
        <v>11</v>
      </c>
      <c r="B18" s="36">
        <v>291020</v>
      </c>
      <c r="C18" s="36">
        <v>317730</v>
      </c>
      <c r="D18" s="36">
        <v>348495</v>
      </c>
      <c r="E18" s="36">
        <v>504940.83100000001</v>
      </c>
      <c r="F18" s="77">
        <v>531034.33299999998</v>
      </c>
      <c r="G18" s="36">
        <v>584110.76699999988</v>
      </c>
      <c r="H18" s="36">
        <v>624068.37300000002</v>
      </c>
      <c r="I18" s="37">
        <v>656528.83499999996</v>
      </c>
      <c r="J18" s="37">
        <v>672336.80199999991</v>
      </c>
      <c r="K18" s="37">
        <v>710548.3759499999</v>
      </c>
      <c r="L18" s="37">
        <v>921608.00800000003</v>
      </c>
      <c r="M18" s="37">
        <v>995447.821</v>
      </c>
      <c r="N18" s="37">
        <v>1114570.4450000001</v>
      </c>
      <c r="O18" s="37">
        <v>1224503.5209999999</v>
      </c>
      <c r="P18" s="37">
        <v>1323571.1399999999</v>
      </c>
      <c r="Q18" s="37">
        <v>1430391.8570000001</v>
      </c>
      <c r="R18" s="37">
        <v>1510807.993</v>
      </c>
      <c r="S18" s="37">
        <v>1596187.787</v>
      </c>
      <c r="T18" s="23">
        <v>1722389.3640000001</v>
      </c>
      <c r="U18" s="23">
        <v>1838942.7579999999</v>
      </c>
      <c r="V18" s="23">
        <v>2082682.01</v>
      </c>
      <c r="W18" s="23">
        <v>2299038.1129999999</v>
      </c>
      <c r="X18" s="23">
        <v>2283125.7969999998</v>
      </c>
      <c r="Y18" s="2">
        <v>2333656.5890000002</v>
      </c>
      <c r="Z18" s="2">
        <v>2319750.9500000002</v>
      </c>
      <c r="AA18" s="2">
        <v>2291550.8450000002</v>
      </c>
      <c r="AB18" s="130">
        <f>('INSTRUCTION-2YR'!B18+'RESEARCH 2yr'!B18+'PUBLIC SERVICE 2yr'!B18+'ASptISptSSv 2yr'!B18+'PLANT OPER MAIN 2yr'!B18+'SCHOLAR FELLOW 2yr'!B18+'All Other 2yr'!B18)-B18</f>
        <v>0</v>
      </c>
      <c r="AC18" s="130">
        <f>('INSTRUCTION-2YR'!C18+'RESEARCH 2yr'!C18+'PUBLIC SERVICE 2yr'!C18+'ASptISptSSv 2yr'!C18+'PLANT OPER MAIN 2yr'!C18+'SCHOLAR FELLOW 2yr'!C18+'All Other 2yr'!C18)-C18</f>
        <v>0</v>
      </c>
      <c r="AD18" s="130">
        <f>('INSTRUCTION-2YR'!D18+'RESEARCH 2yr'!D18+'PUBLIC SERVICE 2yr'!D18+'ASptISptSSv 2yr'!D18+'PLANT OPER MAIN 2yr'!D18+'SCHOLAR FELLOW 2yr'!D18+'All Other 2yr'!D18)-D18</f>
        <v>0</v>
      </c>
      <c r="AE18" s="130">
        <f>('INSTRUCTION-2YR'!E18+'RESEARCH 2yr'!E18+'PUBLIC SERVICE 2yr'!E18+'ASptISptSSv 2yr'!E18+'PLANT OPER MAIN 2yr'!E18+'SCHOLAR FELLOW 2yr'!E18+'All Other 2yr'!E18)-E18</f>
        <v>0</v>
      </c>
      <c r="AF18" s="130">
        <f>('INSTRUCTION-2YR'!F18+'RESEARCH 2yr'!F18+'PUBLIC SERVICE 2yr'!F18+'ASptISptSSv 2yr'!F18+'PLANT OPER MAIN 2yr'!F18+'SCHOLAR FELLOW 2yr'!F18+'All Other 2yr'!F18)-F18</f>
        <v>0</v>
      </c>
      <c r="AG18" s="130">
        <f>('INSTRUCTION-2YR'!G18+'RESEARCH 2yr'!G18+'PUBLIC SERVICE 2yr'!G18+'ASptISptSSv 2yr'!G18+'PLANT OPER MAIN 2yr'!G18+'SCHOLAR FELLOW 2yr'!G18+'All Other 2yr'!G18)-G18</f>
        <v>0</v>
      </c>
      <c r="AH18" s="130">
        <f>('INSTRUCTION-2YR'!H18+'RESEARCH 2yr'!H18+'PUBLIC SERVICE 2yr'!H18+'ASptISptSSv 2yr'!H18+'PLANT OPER MAIN 2yr'!H18+'SCHOLAR FELLOW 2yr'!H18+'All Other 2yr'!H18)-H18</f>
        <v>0</v>
      </c>
      <c r="AI18" s="130">
        <f>('INSTRUCTION-2YR'!I18+'RESEARCH 2yr'!I18+'PUBLIC SERVICE 2yr'!I18+'ASptISptSSv 2yr'!I18+'PLANT OPER MAIN 2yr'!I18+'SCHOLAR FELLOW 2yr'!I18+'All Other 2yr'!I18)-I18</f>
        <v>0</v>
      </c>
      <c r="AJ18" s="130">
        <f>('INSTRUCTION-2YR'!J18+'RESEARCH 2yr'!J18+'PUBLIC SERVICE 2yr'!J18+'ASptISptSSv 2yr'!J18+'PLANT OPER MAIN 2yr'!J18+'SCHOLAR FELLOW 2yr'!J18+'All Other 2yr'!J18)-J18</f>
        <v>0</v>
      </c>
      <c r="AK18" s="130">
        <f>('INSTRUCTION-2YR'!K18+'RESEARCH 2yr'!K18+'PUBLIC SERVICE 2yr'!K18+'ASptISptSSv 2yr'!K18+'PLANT OPER MAIN 2yr'!K18+'SCHOLAR FELLOW 2yr'!K18+'All Other 2yr'!K18)-K18</f>
        <v>0</v>
      </c>
      <c r="AL18" s="130">
        <f>('INSTRUCTION-2YR'!L18+'RESEARCH 2yr'!L18+'PUBLIC SERVICE 2yr'!L18+'ASptISptSSv 2yr'!L18+'PLANT OPER MAIN 2yr'!L18+'SCHOLAR FELLOW 2yr'!L18+'All Other 2yr'!L18)-L18</f>
        <v>0</v>
      </c>
      <c r="AM18" s="130">
        <f>('INSTRUCTION-2YR'!M18+'RESEARCH 2yr'!M18+'PUBLIC SERVICE 2yr'!M18+'ASptISptSSv 2yr'!M18+'PLANT OPER MAIN 2yr'!M18+'SCHOLAR FELLOW 2yr'!M18+'All Other 2yr'!M18)-M18</f>
        <v>0</v>
      </c>
      <c r="AN18" s="130">
        <f>('INSTRUCTION-2YR'!N18+'RESEARCH 2yr'!N18+'PUBLIC SERVICE 2yr'!N18+'ASptISptSSv 2yr'!N18+'PLANT OPER MAIN 2yr'!N18+'SCHOLAR FELLOW 2yr'!N18+'All Other 2yr'!N18)-N18</f>
        <v>0</v>
      </c>
      <c r="AO18" s="130">
        <f>('INSTRUCTION-2YR'!O18+'RESEARCH 2yr'!O18+'PUBLIC SERVICE 2yr'!O18+'ASptISptSSv 2yr'!O18+'PLANT OPER MAIN 2yr'!O18+'SCHOLAR FELLOW 2yr'!O18+'All Other 2yr'!O18)-O18</f>
        <v>0</v>
      </c>
      <c r="AP18" s="130">
        <f>('INSTRUCTION-2YR'!P18+'RESEARCH 2yr'!P18+'PUBLIC SERVICE 2yr'!P18+'ASptISptSSv 2yr'!P18+'PLANT OPER MAIN 2yr'!P18+'SCHOLAR FELLOW 2yr'!P18+'All Other 2yr'!P18)-P18</f>
        <v>0</v>
      </c>
      <c r="AQ18" s="130">
        <f>('INSTRUCTION-2YR'!Q18+'RESEARCH 2yr'!Q18+'PUBLIC SERVICE 2yr'!Q18+'ASptISptSSv 2yr'!Q18+'PLANT OPER MAIN 2yr'!Q18+'SCHOLAR FELLOW 2yr'!Q18+'All Other 2yr'!Q18)-Q18</f>
        <v>0</v>
      </c>
      <c r="AR18" s="130">
        <f>('INSTRUCTION-2YR'!R18+'RESEARCH 2yr'!R18+'PUBLIC SERVICE 2yr'!R18+'ASptISptSSv 2yr'!R18+'PLANT OPER MAIN 2yr'!R18+'SCHOLAR FELLOW 2yr'!R18+'All Other 2yr'!R18)-R18</f>
        <v>0</v>
      </c>
      <c r="AS18" s="130">
        <f>('INSTRUCTION-2YR'!S18+'RESEARCH 2yr'!S18+'PUBLIC SERVICE 2yr'!S18+'ASptISptSSv 2yr'!S18+'PLANT OPER MAIN 2yr'!S18+'SCHOLAR FELLOW 2yr'!S18+'All Other 2yr'!S18)-S18</f>
        <v>0</v>
      </c>
      <c r="AT18" s="130">
        <f>('INSTRUCTION-2YR'!T18+'RESEARCH 2yr'!T18+'PUBLIC SERVICE 2yr'!T18+'ASptISptSSv 2yr'!T18+'PLANT OPER MAIN 2yr'!T18+'SCHOLAR FELLOW 2yr'!T18+'All Other 2yr'!T18)-T18</f>
        <v>0</v>
      </c>
      <c r="AU18" s="130">
        <f>('INSTRUCTION-2YR'!U18+'RESEARCH 2yr'!U18+'PUBLIC SERVICE 2yr'!U18+'ASptISptSSv 2yr'!U18+'PLANT OPER MAIN 2yr'!U18+'SCHOLAR FELLOW 2yr'!U18+'All Other 2yr'!U18)-U18</f>
        <v>0</v>
      </c>
      <c r="AV18" s="130">
        <f>('INSTRUCTION-2YR'!V18+'RESEARCH 2yr'!V18+'PUBLIC SERVICE 2yr'!V18+'ASptISptSSv 2yr'!V18+'PLANT OPER MAIN 2yr'!V18+'SCHOLAR FELLOW 2yr'!V18+'All Other 2yr'!V18)-V18</f>
        <v>0</v>
      </c>
      <c r="AW18" s="130">
        <f>('INSTRUCTION-2YR'!W18+'RESEARCH 2yr'!W18+'PUBLIC SERVICE 2yr'!W18+'ASptISptSSv 2yr'!W18+'PLANT OPER MAIN 2yr'!W18+'SCHOLAR FELLOW 2yr'!W18+'All Other 2yr'!W18)-W18</f>
        <v>0</v>
      </c>
      <c r="AX18" s="130">
        <f>('INSTRUCTION-2YR'!X18+'RESEARCH 2yr'!X18+'PUBLIC SERVICE 2yr'!X18+'ASptISptSSv 2yr'!X18+'PLANT OPER MAIN 2yr'!X18+'SCHOLAR FELLOW 2yr'!X18+'All Other 2yr'!X18)-X18</f>
        <v>0</v>
      </c>
      <c r="AY18" s="130">
        <f>('INSTRUCTION-2YR'!Y18+'RESEARCH 2yr'!Y18+'PUBLIC SERVICE 2yr'!Y18+'ASptISptSSv 2yr'!Y18+'PLANT OPER MAIN 2yr'!Y18+'SCHOLAR FELLOW 2yr'!Y18+'All Other 2yr'!Y18)-Y18</f>
        <v>0</v>
      </c>
      <c r="AZ18" s="130">
        <f>('INSTRUCTION-2YR'!Z18+'RESEARCH 2yr'!Z18+'PUBLIC SERVICE 2yr'!Z18+'ASptISptSSv 2yr'!Z18+'PLANT OPER MAIN 2yr'!Z18+'SCHOLAR FELLOW 2yr'!Z18+'All Other 2yr'!Z18)-Z18</f>
        <v>0</v>
      </c>
      <c r="BA18" s="130">
        <f>('INSTRUCTION-2YR'!AA18+'RESEARCH 2yr'!AA18+'PUBLIC SERVICE 2yr'!AA18+'ASptISptSSv 2yr'!AA18+'PLANT OPER MAIN 2yr'!AA18+'SCHOLAR FELLOW 2yr'!AA18+'All Other 2yr'!AA18)-AA18</f>
        <v>0</v>
      </c>
    </row>
    <row r="19" spans="1:53">
      <c r="A19" s="22" t="s">
        <v>12</v>
      </c>
      <c r="B19" s="36">
        <v>89768</v>
      </c>
      <c r="C19" s="36">
        <v>96670</v>
      </c>
      <c r="D19" s="37">
        <v>107278</v>
      </c>
      <c r="E19" s="36">
        <v>167811.076</v>
      </c>
      <c r="F19" s="77">
        <v>191648.704</v>
      </c>
      <c r="G19" s="36">
        <v>190863.21699999998</v>
      </c>
      <c r="H19" s="36">
        <v>196704.43599999999</v>
      </c>
      <c r="I19" s="37">
        <v>208733.51199999999</v>
      </c>
      <c r="J19" s="37">
        <v>210961.56199999998</v>
      </c>
      <c r="K19" s="37">
        <v>232948.19021999999</v>
      </c>
      <c r="L19" s="37">
        <v>261875.66700000002</v>
      </c>
      <c r="M19" s="37">
        <v>390141.85100000002</v>
      </c>
      <c r="N19" s="37">
        <v>367845.967</v>
      </c>
      <c r="O19" s="37">
        <v>376259.36700000003</v>
      </c>
      <c r="P19" s="37">
        <v>363624.11499999999</v>
      </c>
      <c r="Q19" s="37">
        <v>368606.85399999999</v>
      </c>
      <c r="R19" s="37">
        <v>383374.04200000002</v>
      </c>
      <c r="S19" s="37">
        <v>390444.66600000003</v>
      </c>
      <c r="T19" s="23">
        <v>438414.38900000002</v>
      </c>
      <c r="U19" s="23">
        <v>499083.08399999997</v>
      </c>
      <c r="V19" s="23">
        <v>559871.03799999994</v>
      </c>
      <c r="W19" s="23">
        <v>587986.52500000002</v>
      </c>
      <c r="X19" s="23">
        <v>606906.54200000002</v>
      </c>
      <c r="Y19" s="2">
        <v>605767.64500000002</v>
      </c>
      <c r="Z19" s="2">
        <v>598773.89199999999</v>
      </c>
      <c r="AA19" s="2">
        <v>599331.16</v>
      </c>
      <c r="AB19" s="130">
        <f>('INSTRUCTION-2YR'!B19+'RESEARCH 2yr'!B19+'PUBLIC SERVICE 2yr'!B19+'ASptISptSSv 2yr'!B19+'PLANT OPER MAIN 2yr'!B19+'SCHOLAR FELLOW 2yr'!B19+'All Other 2yr'!B19)-B19</f>
        <v>0</v>
      </c>
      <c r="AC19" s="130">
        <f>('INSTRUCTION-2YR'!C19+'RESEARCH 2yr'!C19+'PUBLIC SERVICE 2yr'!C19+'ASptISptSSv 2yr'!C19+'PLANT OPER MAIN 2yr'!C19+'SCHOLAR FELLOW 2yr'!C19+'All Other 2yr'!C19)-C19</f>
        <v>0</v>
      </c>
      <c r="AD19" s="130">
        <f>('INSTRUCTION-2YR'!D19+'RESEARCH 2yr'!D19+'PUBLIC SERVICE 2yr'!D19+'ASptISptSSv 2yr'!D19+'PLANT OPER MAIN 2yr'!D19+'SCHOLAR FELLOW 2yr'!D19+'All Other 2yr'!D19)-D19</f>
        <v>0</v>
      </c>
      <c r="AE19" s="130">
        <f>('INSTRUCTION-2YR'!E19+'RESEARCH 2yr'!E19+'PUBLIC SERVICE 2yr'!E19+'ASptISptSSv 2yr'!E19+'PLANT OPER MAIN 2yr'!E19+'SCHOLAR FELLOW 2yr'!E19+'All Other 2yr'!E19)-E19</f>
        <v>0</v>
      </c>
      <c r="AF19" s="130">
        <f>('INSTRUCTION-2YR'!F19+'RESEARCH 2yr'!F19+'PUBLIC SERVICE 2yr'!F19+'ASptISptSSv 2yr'!F19+'PLANT OPER MAIN 2yr'!F19+'SCHOLAR FELLOW 2yr'!F19+'All Other 2yr'!F19)-F19</f>
        <v>0</v>
      </c>
      <c r="AG19" s="130">
        <f>('INSTRUCTION-2YR'!G19+'RESEARCH 2yr'!G19+'PUBLIC SERVICE 2yr'!G19+'ASptISptSSv 2yr'!G19+'PLANT OPER MAIN 2yr'!G19+'SCHOLAR FELLOW 2yr'!G19+'All Other 2yr'!G19)-G19</f>
        <v>0</v>
      </c>
      <c r="AH19" s="130">
        <f>('INSTRUCTION-2YR'!H19+'RESEARCH 2yr'!H19+'PUBLIC SERVICE 2yr'!H19+'ASptISptSSv 2yr'!H19+'PLANT OPER MAIN 2yr'!H19+'SCHOLAR FELLOW 2yr'!H19+'All Other 2yr'!H19)-H19</f>
        <v>0</v>
      </c>
      <c r="AI19" s="130">
        <f>('INSTRUCTION-2YR'!I19+'RESEARCH 2yr'!I19+'PUBLIC SERVICE 2yr'!I19+'ASptISptSSv 2yr'!I19+'PLANT OPER MAIN 2yr'!I19+'SCHOLAR FELLOW 2yr'!I19+'All Other 2yr'!I19)-I19</f>
        <v>0</v>
      </c>
      <c r="AJ19" s="130">
        <f>('INSTRUCTION-2YR'!J19+'RESEARCH 2yr'!J19+'PUBLIC SERVICE 2yr'!J19+'ASptISptSSv 2yr'!J19+'PLANT OPER MAIN 2yr'!J19+'SCHOLAR FELLOW 2yr'!J19+'All Other 2yr'!J19)-J19</f>
        <v>0</v>
      </c>
      <c r="AK19" s="130">
        <f>('INSTRUCTION-2YR'!K19+'RESEARCH 2yr'!K19+'PUBLIC SERVICE 2yr'!K19+'ASptISptSSv 2yr'!K19+'PLANT OPER MAIN 2yr'!K19+'SCHOLAR FELLOW 2yr'!K19+'All Other 2yr'!K19)-K19</f>
        <v>0</v>
      </c>
      <c r="AL19" s="130">
        <f>('INSTRUCTION-2YR'!L19+'RESEARCH 2yr'!L19+'PUBLIC SERVICE 2yr'!L19+'ASptISptSSv 2yr'!L19+'PLANT OPER MAIN 2yr'!L19+'SCHOLAR FELLOW 2yr'!L19+'All Other 2yr'!L19)-L19</f>
        <v>0</v>
      </c>
      <c r="AM19" s="130">
        <f>('INSTRUCTION-2YR'!M19+'RESEARCH 2yr'!M19+'PUBLIC SERVICE 2yr'!M19+'ASptISptSSv 2yr'!M19+'PLANT OPER MAIN 2yr'!M19+'SCHOLAR FELLOW 2yr'!M19+'All Other 2yr'!M19)-M19</f>
        <v>0</v>
      </c>
      <c r="AN19" s="130">
        <f>('INSTRUCTION-2YR'!N19+'RESEARCH 2yr'!N19+'PUBLIC SERVICE 2yr'!N19+'ASptISptSSv 2yr'!N19+'PLANT OPER MAIN 2yr'!N19+'SCHOLAR FELLOW 2yr'!N19+'All Other 2yr'!N19)-N19</f>
        <v>0</v>
      </c>
      <c r="AO19" s="130">
        <f>('INSTRUCTION-2YR'!O19+'RESEARCH 2yr'!O19+'PUBLIC SERVICE 2yr'!O19+'ASptISptSSv 2yr'!O19+'PLANT OPER MAIN 2yr'!O19+'SCHOLAR FELLOW 2yr'!O19+'All Other 2yr'!O19)-O19</f>
        <v>0</v>
      </c>
      <c r="AP19" s="130">
        <f>('INSTRUCTION-2YR'!P19+'RESEARCH 2yr'!P19+'PUBLIC SERVICE 2yr'!P19+'ASptISptSSv 2yr'!P19+'PLANT OPER MAIN 2yr'!P19+'SCHOLAR FELLOW 2yr'!P19+'All Other 2yr'!P19)-P19</f>
        <v>0</v>
      </c>
      <c r="AQ19" s="130">
        <f>('INSTRUCTION-2YR'!Q19+'RESEARCH 2yr'!Q19+'PUBLIC SERVICE 2yr'!Q19+'ASptISptSSv 2yr'!Q19+'PLANT OPER MAIN 2yr'!Q19+'SCHOLAR FELLOW 2yr'!Q19+'All Other 2yr'!Q19)-Q19</f>
        <v>0</v>
      </c>
      <c r="AR19" s="130">
        <f>('INSTRUCTION-2YR'!R19+'RESEARCH 2yr'!R19+'PUBLIC SERVICE 2yr'!R19+'ASptISptSSv 2yr'!R19+'PLANT OPER MAIN 2yr'!R19+'SCHOLAR FELLOW 2yr'!R19+'All Other 2yr'!R19)-R19</f>
        <v>0</v>
      </c>
      <c r="AS19" s="130">
        <f>('INSTRUCTION-2YR'!S19+'RESEARCH 2yr'!S19+'PUBLIC SERVICE 2yr'!S19+'ASptISptSSv 2yr'!S19+'PLANT OPER MAIN 2yr'!S19+'SCHOLAR FELLOW 2yr'!S19+'All Other 2yr'!S19)-S19</f>
        <v>0</v>
      </c>
      <c r="AT19" s="130">
        <f>('INSTRUCTION-2YR'!T19+'RESEARCH 2yr'!T19+'PUBLIC SERVICE 2yr'!T19+'ASptISptSSv 2yr'!T19+'PLANT OPER MAIN 2yr'!T19+'SCHOLAR FELLOW 2yr'!T19+'All Other 2yr'!T19)-T19</f>
        <v>0</v>
      </c>
      <c r="AU19" s="130">
        <f>('INSTRUCTION-2YR'!U19+'RESEARCH 2yr'!U19+'PUBLIC SERVICE 2yr'!U19+'ASptISptSSv 2yr'!U19+'PLANT OPER MAIN 2yr'!U19+'SCHOLAR FELLOW 2yr'!U19+'All Other 2yr'!U19)-U19</f>
        <v>0</v>
      </c>
      <c r="AV19" s="130">
        <f>('INSTRUCTION-2YR'!V19+'RESEARCH 2yr'!V19+'PUBLIC SERVICE 2yr'!V19+'ASptISptSSv 2yr'!V19+'PLANT OPER MAIN 2yr'!V19+'SCHOLAR FELLOW 2yr'!V19+'All Other 2yr'!V19)-V19</f>
        <v>0</v>
      </c>
      <c r="AW19" s="130">
        <f>('INSTRUCTION-2YR'!W19+'RESEARCH 2yr'!W19+'PUBLIC SERVICE 2yr'!W19+'ASptISptSSv 2yr'!W19+'PLANT OPER MAIN 2yr'!W19+'SCHOLAR FELLOW 2yr'!W19+'All Other 2yr'!W19)-W19</f>
        <v>0</v>
      </c>
      <c r="AX19" s="130">
        <f>('INSTRUCTION-2YR'!X19+'RESEARCH 2yr'!X19+'PUBLIC SERVICE 2yr'!X19+'ASptISptSSv 2yr'!X19+'PLANT OPER MAIN 2yr'!X19+'SCHOLAR FELLOW 2yr'!X19+'All Other 2yr'!X19)-X19</f>
        <v>0</v>
      </c>
      <c r="AY19" s="130">
        <f>('INSTRUCTION-2YR'!Y19+'RESEARCH 2yr'!Y19+'PUBLIC SERVICE 2yr'!Y19+'ASptISptSSv 2yr'!Y19+'PLANT OPER MAIN 2yr'!Y19+'SCHOLAR FELLOW 2yr'!Y19+'All Other 2yr'!Y19)-Y19</f>
        <v>0</v>
      </c>
      <c r="AZ19" s="130">
        <f>('INSTRUCTION-2YR'!Z19+'RESEARCH 2yr'!Z19+'PUBLIC SERVICE 2yr'!Z19+'ASptISptSSv 2yr'!Z19+'PLANT OPER MAIN 2yr'!Z19+'SCHOLAR FELLOW 2yr'!Z19+'All Other 2yr'!Z19)-Z19</f>
        <v>0</v>
      </c>
      <c r="BA19" s="130">
        <f>('INSTRUCTION-2YR'!AA19+'RESEARCH 2yr'!AA19+'PUBLIC SERVICE 2yr'!AA19+'ASptISptSSv 2yr'!AA19+'PLANT OPER MAIN 2yr'!AA19+'SCHOLAR FELLOW 2yr'!AA19+'All Other 2yr'!AA19)-AA19</f>
        <v>0</v>
      </c>
    </row>
    <row r="20" spans="1:53">
      <c r="A20" s="22" t="s">
        <v>13</v>
      </c>
      <c r="B20" s="36">
        <v>118337</v>
      </c>
      <c r="C20" s="36">
        <v>130056</v>
      </c>
      <c r="D20" s="36">
        <v>141479</v>
      </c>
      <c r="E20" s="36">
        <v>214579.598</v>
      </c>
      <c r="F20" s="77">
        <v>229798.62700000001</v>
      </c>
      <c r="G20" s="36">
        <v>250467.59199999998</v>
      </c>
      <c r="H20" s="36">
        <v>264273.81099999999</v>
      </c>
      <c r="I20" s="37">
        <v>277143.50300000003</v>
      </c>
      <c r="J20" s="37">
        <v>287270.17800000001</v>
      </c>
      <c r="K20" s="37">
        <v>309811.88500000001</v>
      </c>
      <c r="L20" s="37">
        <v>402257.42700000003</v>
      </c>
      <c r="M20" s="37">
        <v>431497.71799999999</v>
      </c>
      <c r="N20" s="37">
        <v>489790.46500000003</v>
      </c>
      <c r="O20" s="37">
        <v>576423.196</v>
      </c>
      <c r="P20" s="37">
        <v>596216.70200000005</v>
      </c>
      <c r="Q20" s="37">
        <v>623282.50600000005</v>
      </c>
      <c r="R20" s="37">
        <v>652346.99699999997</v>
      </c>
      <c r="S20" s="37">
        <v>706641.41200000001</v>
      </c>
      <c r="T20" s="23">
        <v>770955.68500000006</v>
      </c>
      <c r="U20" s="23">
        <v>803594.16099999996</v>
      </c>
      <c r="V20" s="23">
        <v>902369.99699999997</v>
      </c>
      <c r="W20" s="23">
        <v>951624.30799999996</v>
      </c>
      <c r="X20" s="23">
        <v>957298.36800000002</v>
      </c>
      <c r="Y20" s="2">
        <v>968556.32200000004</v>
      </c>
      <c r="Z20" s="2">
        <v>981639.01500000001</v>
      </c>
      <c r="AA20" s="2">
        <v>975944.30700000003</v>
      </c>
      <c r="AB20" s="130">
        <f>('INSTRUCTION-2YR'!B20+'RESEARCH 2yr'!B20+'PUBLIC SERVICE 2yr'!B20+'ASptISptSSv 2yr'!B20+'PLANT OPER MAIN 2yr'!B20+'SCHOLAR FELLOW 2yr'!B20+'All Other 2yr'!B20)-B20</f>
        <v>0</v>
      </c>
      <c r="AC20" s="130">
        <f>('INSTRUCTION-2YR'!C20+'RESEARCH 2yr'!C20+'PUBLIC SERVICE 2yr'!C20+'ASptISptSSv 2yr'!C20+'PLANT OPER MAIN 2yr'!C20+'SCHOLAR FELLOW 2yr'!C20+'All Other 2yr'!C20)-C20</f>
        <v>0</v>
      </c>
      <c r="AD20" s="130">
        <f>('INSTRUCTION-2YR'!D20+'RESEARCH 2yr'!D20+'PUBLIC SERVICE 2yr'!D20+'ASptISptSSv 2yr'!D20+'PLANT OPER MAIN 2yr'!D20+'SCHOLAR FELLOW 2yr'!D20+'All Other 2yr'!D20)-D20</f>
        <v>0</v>
      </c>
      <c r="AE20" s="130">
        <f>('INSTRUCTION-2YR'!E20+'RESEARCH 2yr'!E20+'PUBLIC SERVICE 2yr'!E20+'ASptISptSSv 2yr'!E20+'PLANT OPER MAIN 2yr'!E20+'SCHOLAR FELLOW 2yr'!E20+'All Other 2yr'!E20)-E20</f>
        <v>0</v>
      </c>
      <c r="AF20" s="130">
        <f>('INSTRUCTION-2YR'!F20+'RESEARCH 2yr'!F20+'PUBLIC SERVICE 2yr'!F20+'ASptISptSSv 2yr'!F20+'PLANT OPER MAIN 2yr'!F20+'SCHOLAR FELLOW 2yr'!F20+'All Other 2yr'!F20)-F20</f>
        <v>0</v>
      </c>
      <c r="AG20" s="130">
        <f>('INSTRUCTION-2YR'!G20+'RESEARCH 2yr'!G20+'PUBLIC SERVICE 2yr'!G20+'ASptISptSSv 2yr'!G20+'PLANT OPER MAIN 2yr'!G20+'SCHOLAR FELLOW 2yr'!G20+'All Other 2yr'!G20)-G20</f>
        <v>0</v>
      </c>
      <c r="AH20" s="130">
        <f>('INSTRUCTION-2YR'!H20+'RESEARCH 2yr'!H20+'PUBLIC SERVICE 2yr'!H20+'ASptISptSSv 2yr'!H20+'PLANT OPER MAIN 2yr'!H20+'SCHOLAR FELLOW 2yr'!H20+'All Other 2yr'!H20)-H20</f>
        <v>0</v>
      </c>
      <c r="AI20" s="130">
        <f>('INSTRUCTION-2YR'!I20+'RESEARCH 2yr'!I20+'PUBLIC SERVICE 2yr'!I20+'ASptISptSSv 2yr'!I20+'PLANT OPER MAIN 2yr'!I20+'SCHOLAR FELLOW 2yr'!I20+'All Other 2yr'!I20)-I20</f>
        <v>0</v>
      </c>
      <c r="AJ20" s="130">
        <f>('INSTRUCTION-2YR'!J20+'RESEARCH 2yr'!J20+'PUBLIC SERVICE 2yr'!J20+'ASptISptSSv 2yr'!J20+'PLANT OPER MAIN 2yr'!J20+'SCHOLAR FELLOW 2yr'!J20+'All Other 2yr'!J20)-J20</f>
        <v>0</v>
      </c>
      <c r="AK20" s="130">
        <f>('INSTRUCTION-2YR'!K20+'RESEARCH 2yr'!K20+'PUBLIC SERVICE 2yr'!K20+'ASptISptSSv 2yr'!K20+'PLANT OPER MAIN 2yr'!K20+'SCHOLAR FELLOW 2yr'!K20+'All Other 2yr'!K20)-K20</f>
        <v>0</v>
      </c>
      <c r="AL20" s="130">
        <f>('INSTRUCTION-2YR'!L20+'RESEARCH 2yr'!L20+'PUBLIC SERVICE 2yr'!L20+'ASptISptSSv 2yr'!L20+'PLANT OPER MAIN 2yr'!L20+'SCHOLAR FELLOW 2yr'!L20+'All Other 2yr'!L20)-L20</f>
        <v>0</v>
      </c>
      <c r="AM20" s="130">
        <f>('INSTRUCTION-2YR'!M20+'RESEARCH 2yr'!M20+'PUBLIC SERVICE 2yr'!M20+'ASptISptSSv 2yr'!M20+'PLANT OPER MAIN 2yr'!M20+'SCHOLAR FELLOW 2yr'!M20+'All Other 2yr'!M20)-M20</f>
        <v>0</v>
      </c>
      <c r="AN20" s="130">
        <f>('INSTRUCTION-2YR'!N20+'RESEARCH 2yr'!N20+'PUBLIC SERVICE 2yr'!N20+'ASptISptSSv 2yr'!N20+'PLANT OPER MAIN 2yr'!N20+'SCHOLAR FELLOW 2yr'!N20+'All Other 2yr'!N20)-N20</f>
        <v>0</v>
      </c>
      <c r="AO20" s="130">
        <f>('INSTRUCTION-2YR'!O20+'RESEARCH 2yr'!O20+'PUBLIC SERVICE 2yr'!O20+'ASptISptSSv 2yr'!O20+'PLANT OPER MAIN 2yr'!O20+'SCHOLAR FELLOW 2yr'!O20+'All Other 2yr'!O20)-O20</f>
        <v>0</v>
      </c>
      <c r="AP20" s="130">
        <f>('INSTRUCTION-2YR'!P20+'RESEARCH 2yr'!P20+'PUBLIC SERVICE 2yr'!P20+'ASptISptSSv 2yr'!P20+'PLANT OPER MAIN 2yr'!P20+'SCHOLAR FELLOW 2yr'!P20+'All Other 2yr'!P20)-P20</f>
        <v>0</v>
      </c>
      <c r="AQ20" s="130">
        <f>('INSTRUCTION-2YR'!Q20+'RESEARCH 2yr'!Q20+'PUBLIC SERVICE 2yr'!Q20+'ASptISptSSv 2yr'!Q20+'PLANT OPER MAIN 2yr'!Q20+'SCHOLAR FELLOW 2yr'!Q20+'All Other 2yr'!Q20)-Q20</f>
        <v>0</v>
      </c>
      <c r="AR20" s="130">
        <f>('INSTRUCTION-2YR'!R20+'RESEARCH 2yr'!R20+'PUBLIC SERVICE 2yr'!R20+'ASptISptSSv 2yr'!R20+'PLANT OPER MAIN 2yr'!R20+'SCHOLAR FELLOW 2yr'!R20+'All Other 2yr'!R20)-R20</f>
        <v>0</v>
      </c>
      <c r="AS20" s="130">
        <f>('INSTRUCTION-2YR'!S20+'RESEARCH 2yr'!S20+'PUBLIC SERVICE 2yr'!S20+'ASptISptSSv 2yr'!S20+'PLANT OPER MAIN 2yr'!S20+'SCHOLAR FELLOW 2yr'!S20+'All Other 2yr'!S20)-S20</f>
        <v>0</v>
      </c>
      <c r="AT20" s="130">
        <f>('INSTRUCTION-2YR'!T20+'RESEARCH 2yr'!T20+'PUBLIC SERVICE 2yr'!T20+'ASptISptSSv 2yr'!T20+'PLANT OPER MAIN 2yr'!T20+'SCHOLAR FELLOW 2yr'!T20+'All Other 2yr'!T20)-T20</f>
        <v>0</v>
      </c>
      <c r="AU20" s="130">
        <f>('INSTRUCTION-2YR'!U20+'RESEARCH 2yr'!U20+'PUBLIC SERVICE 2yr'!U20+'ASptISptSSv 2yr'!U20+'PLANT OPER MAIN 2yr'!U20+'SCHOLAR FELLOW 2yr'!U20+'All Other 2yr'!U20)-U20</f>
        <v>0</v>
      </c>
      <c r="AV20" s="130">
        <f>('INSTRUCTION-2YR'!V20+'RESEARCH 2yr'!V20+'PUBLIC SERVICE 2yr'!V20+'ASptISptSSv 2yr'!V20+'PLANT OPER MAIN 2yr'!V20+'SCHOLAR FELLOW 2yr'!V20+'All Other 2yr'!V20)-V20</f>
        <v>0</v>
      </c>
      <c r="AW20" s="130">
        <f>('INSTRUCTION-2YR'!W20+'RESEARCH 2yr'!W20+'PUBLIC SERVICE 2yr'!W20+'ASptISptSSv 2yr'!W20+'PLANT OPER MAIN 2yr'!W20+'SCHOLAR FELLOW 2yr'!W20+'All Other 2yr'!W20)-W20</f>
        <v>0</v>
      </c>
      <c r="AX20" s="130">
        <f>('INSTRUCTION-2YR'!X20+'RESEARCH 2yr'!X20+'PUBLIC SERVICE 2yr'!X20+'ASptISptSSv 2yr'!X20+'PLANT OPER MAIN 2yr'!X20+'SCHOLAR FELLOW 2yr'!X20+'All Other 2yr'!X20)-X20</f>
        <v>0</v>
      </c>
      <c r="AY20" s="130">
        <f>('INSTRUCTION-2YR'!Y20+'RESEARCH 2yr'!Y20+'PUBLIC SERVICE 2yr'!Y20+'ASptISptSSv 2yr'!Y20+'PLANT OPER MAIN 2yr'!Y20+'SCHOLAR FELLOW 2yr'!Y20+'All Other 2yr'!Y20)-Y20</f>
        <v>0</v>
      </c>
      <c r="AZ20" s="130">
        <f>('INSTRUCTION-2YR'!Z20+'RESEARCH 2yr'!Z20+'PUBLIC SERVICE 2yr'!Z20+'ASptISptSSv 2yr'!Z20+'PLANT OPER MAIN 2yr'!Z20+'SCHOLAR FELLOW 2yr'!Z20+'All Other 2yr'!Z20)-Z20</f>
        <v>0</v>
      </c>
      <c r="BA20" s="130">
        <f>('INSTRUCTION-2YR'!AA20+'RESEARCH 2yr'!AA20+'PUBLIC SERVICE 2yr'!AA20+'ASptISptSSv 2yr'!AA20+'PLANT OPER MAIN 2yr'!AA20+'SCHOLAR FELLOW 2yr'!AA20+'All Other 2yr'!AA20)-AA20</f>
        <v>0</v>
      </c>
    </row>
    <row r="21" spans="1:53" s="17" customFormat="1">
      <c r="A21" s="22" t="s">
        <v>14</v>
      </c>
      <c r="B21" s="36">
        <v>119970</v>
      </c>
      <c r="C21" s="36">
        <v>143850</v>
      </c>
      <c r="D21" s="36">
        <v>156595</v>
      </c>
      <c r="E21" s="36">
        <v>221401.927</v>
      </c>
      <c r="F21" s="77">
        <v>230747.66500000001</v>
      </c>
      <c r="G21" s="36">
        <v>258172.85500000001</v>
      </c>
      <c r="H21" s="36">
        <v>281221.43400000001</v>
      </c>
      <c r="I21" s="37">
        <v>293091.99900000001</v>
      </c>
      <c r="J21" s="37">
        <v>294822.07799999998</v>
      </c>
      <c r="K21" s="37">
        <v>308563.14199999999</v>
      </c>
      <c r="L21" s="37">
        <v>357961.66</v>
      </c>
      <c r="M21" s="37">
        <v>384071.70699999999</v>
      </c>
      <c r="N21" s="37">
        <v>411680.81599999999</v>
      </c>
      <c r="O21" s="37">
        <v>438262.261</v>
      </c>
      <c r="P21" s="37">
        <v>448292.48</v>
      </c>
      <c r="Q21" s="37">
        <v>486406.71299999999</v>
      </c>
      <c r="R21" s="37">
        <v>503955.56199999998</v>
      </c>
      <c r="S21" s="37">
        <v>536776.13100000005</v>
      </c>
      <c r="T21" s="23">
        <v>579337.152</v>
      </c>
      <c r="U21" s="23">
        <v>616628.36800000002</v>
      </c>
      <c r="V21" s="23">
        <v>728646.20799999998</v>
      </c>
      <c r="W21" s="23">
        <v>780698.09900000005</v>
      </c>
      <c r="X21" s="23">
        <v>778357.16500000004</v>
      </c>
      <c r="Y21" s="2">
        <v>786023.46900000004</v>
      </c>
      <c r="Z21" s="2">
        <v>770616.201</v>
      </c>
      <c r="AA21" s="2">
        <v>745037.90399999998</v>
      </c>
      <c r="AB21" s="130">
        <f>('INSTRUCTION-2YR'!B21+'RESEARCH 2yr'!B21+'PUBLIC SERVICE 2yr'!B21+'ASptISptSSv 2yr'!B21+'PLANT OPER MAIN 2yr'!B21+'SCHOLAR FELLOW 2yr'!B21+'All Other 2yr'!B21)-B21</f>
        <v>0</v>
      </c>
      <c r="AC21" s="130">
        <f>('INSTRUCTION-2YR'!C21+'RESEARCH 2yr'!C21+'PUBLIC SERVICE 2yr'!C21+'ASptISptSSv 2yr'!C21+'PLANT OPER MAIN 2yr'!C21+'SCHOLAR FELLOW 2yr'!C21+'All Other 2yr'!C21)-C21</f>
        <v>0</v>
      </c>
      <c r="AD21" s="130">
        <f>('INSTRUCTION-2YR'!D21+'RESEARCH 2yr'!D21+'PUBLIC SERVICE 2yr'!D21+'ASptISptSSv 2yr'!D21+'PLANT OPER MAIN 2yr'!D21+'SCHOLAR FELLOW 2yr'!D21+'All Other 2yr'!D21)-D21</f>
        <v>0</v>
      </c>
      <c r="AE21" s="130">
        <f>('INSTRUCTION-2YR'!E21+'RESEARCH 2yr'!E21+'PUBLIC SERVICE 2yr'!E21+'ASptISptSSv 2yr'!E21+'PLANT OPER MAIN 2yr'!E21+'SCHOLAR FELLOW 2yr'!E21+'All Other 2yr'!E21)-E21</f>
        <v>0</v>
      </c>
      <c r="AF21" s="130">
        <f>('INSTRUCTION-2YR'!F21+'RESEARCH 2yr'!F21+'PUBLIC SERVICE 2yr'!F21+'ASptISptSSv 2yr'!F21+'PLANT OPER MAIN 2yr'!F21+'SCHOLAR FELLOW 2yr'!F21+'All Other 2yr'!F21)-F21</f>
        <v>0</v>
      </c>
      <c r="AG21" s="130">
        <f>('INSTRUCTION-2YR'!G21+'RESEARCH 2yr'!G21+'PUBLIC SERVICE 2yr'!G21+'ASptISptSSv 2yr'!G21+'PLANT OPER MAIN 2yr'!G21+'SCHOLAR FELLOW 2yr'!G21+'All Other 2yr'!G21)-G21</f>
        <v>0</v>
      </c>
      <c r="AH21" s="130">
        <f>('INSTRUCTION-2YR'!H21+'RESEARCH 2yr'!H21+'PUBLIC SERVICE 2yr'!H21+'ASptISptSSv 2yr'!H21+'PLANT OPER MAIN 2yr'!H21+'SCHOLAR FELLOW 2yr'!H21+'All Other 2yr'!H21)-H21</f>
        <v>0</v>
      </c>
      <c r="AI21" s="130">
        <f>('INSTRUCTION-2YR'!I21+'RESEARCH 2yr'!I21+'PUBLIC SERVICE 2yr'!I21+'ASptISptSSv 2yr'!I21+'PLANT OPER MAIN 2yr'!I21+'SCHOLAR FELLOW 2yr'!I21+'All Other 2yr'!I21)-I21</f>
        <v>0</v>
      </c>
      <c r="AJ21" s="130">
        <f>('INSTRUCTION-2YR'!J21+'RESEARCH 2yr'!J21+'PUBLIC SERVICE 2yr'!J21+'ASptISptSSv 2yr'!J21+'PLANT OPER MAIN 2yr'!J21+'SCHOLAR FELLOW 2yr'!J21+'All Other 2yr'!J21)-J21</f>
        <v>0</v>
      </c>
      <c r="AK21" s="130">
        <f>('INSTRUCTION-2YR'!K21+'RESEARCH 2yr'!K21+'PUBLIC SERVICE 2yr'!K21+'ASptISptSSv 2yr'!K21+'PLANT OPER MAIN 2yr'!K21+'SCHOLAR FELLOW 2yr'!K21+'All Other 2yr'!K21)-K21</f>
        <v>0</v>
      </c>
      <c r="AL21" s="130">
        <f>('INSTRUCTION-2YR'!L21+'RESEARCH 2yr'!L21+'PUBLIC SERVICE 2yr'!L21+'ASptISptSSv 2yr'!L21+'PLANT OPER MAIN 2yr'!L21+'SCHOLAR FELLOW 2yr'!L21+'All Other 2yr'!L21)-L21</f>
        <v>0</v>
      </c>
      <c r="AM21" s="130">
        <f>('INSTRUCTION-2YR'!M21+'RESEARCH 2yr'!M21+'PUBLIC SERVICE 2yr'!M21+'ASptISptSSv 2yr'!M21+'PLANT OPER MAIN 2yr'!M21+'SCHOLAR FELLOW 2yr'!M21+'All Other 2yr'!M21)-M21</f>
        <v>0</v>
      </c>
      <c r="AN21" s="130">
        <f>('INSTRUCTION-2YR'!N21+'RESEARCH 2yr'!N21+'PUBLIC SERVICE 2yr'!N21+'ASptISptSSv 2yr'!N21+'PLANT OPER MAIN 2yr'!N21+'SCHOLAR FELLOW 2yr'!N21+'All Other 2yr'!N21)-N21</f>
        <v>0</v>
      </c>
      <c r="AO21" s="130">
        <f>('INSTRUCTION-2YR'!O21+'RESEARCH 2yr'!O21+'PUBLIC SERVICE 2yr'!O21+'ASptISptSSv 2yr'!O21+'PLANT OPER MAIN 2yr'!O21+'SCHOLAR FELLOW 2yr'!O21+'All Other 2yr'!O21)-O21</f>
        <v>0</v>
      </c>
      <c r="AP21" s="130">
        <f>('INSTRUCTION-2YR'!P21+'RESEARCH 2yr'!P21+'PUBLIC SERVICE 2yr'!P21+'ASptISptSSv 2yr'!P21+'PLANT OPER MAIN 2yr'!P21+'SCHOLAR FELLOW 2yr'!P21+'All Other 2yr'!P21)-P21</f>
        <v>0</v>
      </c>
      <c r="AQ21" s="130">
        <f>('INSTRUCTION-2YR'!Q21+'RESEARCH 2yr'!Q21+'PUBLIC SERVICE 2yr'!Q21+'ASptISptSSv 2yr'!Q21+'PLANT OPER MAIN 2yr'!Q21+'SCHOLAR FELLOW 2yr'!Q21+'All Other 2yr'!Q21)-Q21</f>
        <v>0</v>
      </c>
      <c r="AR21" s="130">
        <f>('INSTRUCTION-2YR'!R21+'RESEARCH 2yr'!R21+'PUBLIC SERVICE 2yr'!R21+'ASptISptSSv 2yr'!R21+'PLANT OPER MAIN 2yr'!R21+'SCHOLAR FELLOW 2yr'!R21+'All Other 2yr'!R21)-R21</f>
        <v>0</v>
      </c>
      <c r="AS21" s="130">
        <f>('INSTRUCTION-2YR'!S21+'RESEARCH 2yr'!S21+'PUBLIC SERVICE 2yr'!S21+'ASptISptSSv 2yr'!S21+'PLANT OPER MAIN 2yr'!S21+'SCHOLAR FELLOW 2yr'!S21+'All Other 2yr'!S21)-S21</f>
        <v>0</v>
      </c>
      <c r="AT21" s="130">
        <f>('INSTRUCTION-2YR'!T21+'RESEARCH 2yr'!T21+'PUBLIC SERVICE 2yr'!T21+'ASptISptSSv 2yr'!T21+'PLANT OPER MAIN 2yr'!T21+'SCHOLAR FELLOW 2yr'!T21+'All Other 2yr'!T21)-T21</f>
        <v>0</v>
      </c>
      <c r="AU21" s="130">
        <f>('INSTRUCTION-2YR'!U21+'RESEARCH 2yr'!U21+'PUBLIC SERVICE 2yr'!U21+'ASptISptSSv 2yr'!U21+'PLANT OPER MAIN 2yr'!U21+'SCHOLAR FELLOW 2yr'!U21+'All Other 2yr'!U21)-U21</f>
        <v>0</v>
      </c>
      <c r="AV21" s="130">
        <f>('INSTRUCTION-2YR'!V21+'RESEARCH 2yr'!V21+'PUBLIC SERVICE 2yr'!V21+'ASptISptSSv 2yr'!V21+'PLANT OPER MAIN 2yr'!V21+'SCHOLAR FELLOW 2yr'!V21+'All Other 2yr'!V21)-V21</f>
        <v>0</v>
      </c>
      <c r="AW21" s="130">
        <f>('INSTRUCTION-2YR'!W21+'RESEARCH 2yr'!W21+'PUBLIC SERVICE 2yr'!W21+'ASptISptSSv 2yr'!W21+'PLANT OPER MAIN 2yr'!W21+'SCHOLAR FELLOW 2yr'!W21+'All Other 2yr'!W21)-W21</f>
        <v>0</v>
      </c>
      <c r="AX21" s="130">
        <f>('INSTRUCTION-2YR'!X21+'RESEARCH 2yr'!X21+'PUBLIC SERVICE 2yr'!X21+'ASptISptSSv 2yr'!X21+'PLANT OPER MAIN 2yr'!X21+'SCHOLAR FELLOW 2yr'!X21+'All Other 2yr'!X21)-X21</f>
        <v>0</v>
      </c>
      <c r="AY21" s="130">
        <f>('INSTRUCTION-2YR'!Y21+'RESEARCH 2yr'!Y21+'PUBLIC SERVICE 2yr'!Y21+'ASptISptSSv 2yr'!Y21+'PLANT OPER MAIN 2yr'!Y21+'SCHOLAR FELLOW 2yr'!Y21+'All Other 2yr'!Y21)-Y21</f>
        <v>0</v>
      </c>
      <c r="AZ21" s="130">
        <f>('INSTRUCTION-2YR'!Z21+'RESEARCH 2yr'!Z21+'PUBLIC SERVICE 2yr'!Z21+'ASptISptSSv 2yr'!Z21+'PLANT OPER MAIN 2yr'!Z21+'SCHOLAR FELLOW 2yr'!Z21+'All Other 2yr'!Z21)-Z21</f>
        <v>0</v>
      </c>
      <c r="BA21" s="130">
        <f>('INSTRUCTION-2YR'!AA21+'RESEARCH 2yr'!AA21+'PUBLIC SERVICE 2yr'!AA21+'ASptISptSSv 2yr'!AA21+'PLANT OPER MAIN 2yr'!AA21+'SCHOLAR FELLOW 2yr'!AA21+'All Other 2yr'!AA21)-AA21</f>
        <v>0</v>
      </c>
    </row>
    <row r="22" spans="1:53">
      <c r="A22" s="22" t="s">
        <v>15</v>
      </c>
      <c r="B22" s="36">
        <v>728432</v>
      </c>
      <c r="C22" s="36">
        <v>798403</v>
      </c>
      <c r="D22" s="36">
        <v>828196</v>
      </c>
      <c r="E22" s="36">
        <v>1215626.8189999999</v>
      </c>
      <c r="F22" s="77">
        <v>1267231.578</v>
      </c>
      <c r="G22" s="36">
        <v>1432157.047</v>
      </c>
      <c r="H22" s="36">
        <v>1577498.2749999999</v>
      </c>
      <c r="I22" s="37">
        <v>1542388.385</v>
      </c>
      <c r="J22" s="37">
        <v>1697435.0819999999</v>
      </c>
      <c r="K22" s="37">
        <v>1813766.7560000001</v>
      </c>
      <c r="L22" s="37">
        <v>2116173.0490000001</v>
      </c>
      <c r="M22" s="37">
        <v>2312158.0759999999</v>
      </c>
      <c r="N22" s="37">
        <v>2665251.6430000002</v>
      </c>
      <c r="O22" s="37">
        <v>2812156.8</v>
      </c>
      <c r="P22" s="37">
        <v>2895769.8569999998</v>
      </c>
      <c r="Q22" s="37">
        <v>3063059.7919999999</v>
      </c>
      <c r="R22" s="37">
        <v>3214587.0410000002</v>
      </c>
      <c r="S22" s="37">
        <v>3374762.9470000002</v>
      </c>
      <c r="T22" s="23">
        <v>3603498.4219999998</v>
      </c>
      <c r="U22" s="23">
        <v>4215237.0360000003</v>
      </c>
      <c r="V22" s="23">
        <v>4931264.6090000002</v>
      </c>
      <c r="W22" s="23">
        <v>5334846.7010000004</v>
      </c>
      <c r="X22" s="23">
        <v>5202887.5140000004</v>
      </c>
      <c r="Y22" s="2">
        <v>5361893.7139999997</v>
      </c>
      <c r="Z22" s="2">
        <v>5448976.2680000002</v>
      </c>
      <c r="AA22" s="2">
        <v>5398240.7879999997</v>
      </c>
      <c r="AB22" s="130">
        <f>('INSTRUCTION-2YR'!B22+'RESEARCH 2yr'!B22+'PUBLIC SERVICE 2yr'!B22+'ASptISptSSv 2yr'!B22+'PLANT OPER MAIN 2yr'!B22+'SCHOLAR FELLOW 2yr'!B22+'All Other 2yr'!B22)-B22</f>
        <v>0</v>
      </c>
      <c r="AC22" s="130">
        <f>('INSTRUCTION-2YR'!C22+'RESEARCH 2yr'!C22+'PUBLIC SERVICE 2yr'!C22+'ASptISptSSv 2yr'!C22+'PLANT OPER MAIN 2yr'!C22+'SCHOLAR FELLOW 2yr'!C22+'All Other 2yr'!C22)-C22</f>
        <v>0</v>
      </c>
      <c r="AD22" s="130">
        <f>('INSTRUCTION-2YR'!D22+'RESEARCH 2yr'!D22+'PUBLIC SERVICE 2yr'!D22+'ASptISptSSv 2yr'!D22+'PLANT OPER MAIN 2yr'!D22+'SCHOLAR FELLOW 2yr'!D22+'All Other 2yr'!D22)-D22</f>
        <v>0</v>
      </c>
      <c r="AE22" s="130">
        <f>('INSTRUCTION-2YR'!E22+'RESEARCH 2yr'!E22+'PUBLIC SERVICE 2yr'!E22+'ASptISptSSv 2yr'!E22+'PLANT OPER MAIN 2yr'!E22+'SCHOLAR FELLOW 2yr'!E22+'All Other 2yr'!E22)-E22</f>
        <v>0</v>
      </c>
      <c r="AF22" s="130">
        <f>('INSTRUCTION-2YR'!F22+'RESEARCH 2yr'!F22+'PUBLIC SERVICE 2yr'!F22+'ASptISptSSv 2yr'!F22+'PLANT OPER MAIN 2yr'!F22+'SCHOLAR FELLOW 2yr'!F22+'All Other 2yr'!F22)-F22</f>
        <v>0</v>
      </c>
      <c r="AG22" s="130">
        <f>('INSTRUCTION-2YR'!G22+'RESEARCH 2yr'!G22+'PUBLIC SERVICE 2yr'!G22+'ASptISptSSv 2yr'!G22+'PLANT OPER MAIN 2yr'!G22+'SCHOLAR FELLOW 2yr'!G22+'All Other 2yr'!G22)-G22</f>
        <v>0</v>
      </c>
      <c r="AH22" s="130">
        <f>('INSTRUCTION-2YR'!H22+'RESEARCH 2yr'!H22+'PUBLIC SERVICE 2yr'!H22+'ASptISptSSv 2yr'!H22+'PLANT OPER MAIN 2yr'!H22+'SCHOLAR FELLOW 2yr'!H22+'All Other 2yr'!H22)-H22</f>
        <v>0</v>
      </c>
      <c r="AI22" s="130">
        <f>('INSTRUCTION-2YR'!I22+'RESEARCH 2yr'!I22+'PUBLIC SERVICE 2yr'!I22+'ASptISptSSv 2yr'!I22+'PLANT OPER MAIN 2yr'!I22+'SCHOLAR FELLOW 2yr'!I22+'All Other 2yr'!I22)-I22</f>
        <v>0</v>
      </c>
      <c r="AJ22" s="130">
        <f>('INSTRUCTION-2YR'!J22+'RESEARCH 2yr'!J22+'PUBLIC SERVICE 2yr'!J22+'ASptISptSSv 2yr'!J22+'PLANT OPER MAIN 2yr'!J22+'SCHOLAR FELLOW 2yr'!J22+'All Other 2yr'!J22)-J22</f>
        <v>0</v>
      </c>
      <c r="AK22" s="130">
        <f>('INSTRUCTION-2YR'!K22+'RESEARCH 2yr'!K22+'PUBLIC SERVICE 2yr'!K22+'ASptISptSSv 2yr'!K22+'PLANT OPER MAIN 2yr'!K22+'SCHOLAR FELLOW 2yr'!K22+'All Other 2yr'!K22)-K22</f>
        <v>0</v>
      </c>
      <c r="AL22" s="130">
        <f>('INSTRUCTION-2YR'!L22+'RESEARCH 2yr'!L22+'PUBLIC SERVICE 2yr'!L22+'ASptISptSSv 2yr'!L22+'PLANT OPER MAIN 2yr'!L22+'SCHOLAR FELLOW 2yr'!L22+'All Other 2yr'!L22)-L22</f>
        <v>0</v>
      </c>
      <c r="AM22" s="130">
        <f>('INSTRUCTION-2YR'!M22+'RESEARCH 2yr'!M22+'PUBLIC SERVICE 2yr'!M22+'ASptISptSSv 2yr'!M22+'PLANT OPER MAIN 2yr'!M22+'SCHOLAR FELLOW 2yr'!M22+'All Other 2yr'!M22)-M22</f>
        <v>0</v>
      </c>
      <c r="AN22" s="130">
        <f>('INSTRUCTION-2YR'!N22+'RESEARCH 2yr'!N22+'PUBLIC SERVICE 2yr'!N22+'ASptISptSSv 2yr'!N22+'PLANT OPER MAIN 2yr'!N22+'SCHOLAR FELLOW 2yr'!N22+'All Other 2yr'!N22)-N22</f>
        <v>0</v>
      </c>
      <c r="AO22" s="130">
        <f>('INSTRUCTION-2YR'!O22+'RESEARCH 2yr'!O22+'PUBLIC SERVICE 2yr'!O22+'ASptISptSSv 2yr'!O22+'PLANT OPER MAIN 2yr'!O22+'SCHOLAR FELLOW 2yr'!O22+'All Other 2yr'!O22)-O22</f>
        <v>0</v>
      </c>
      <c r="AP22" s="130">
        <f>('INSTRUCTION-2YR'!P22+'RESEARCH 2yr'!P22+'PUBLIC SERVICE 2yr'!P22+'ASptISptSSv 2yr'!P22+'PLANT OPER MAIN 2yr'!P22+'SCHOLAR FELLOW 2yr'!P22+'All Other 2yr'!P22)-P22</f>
        <v>0</v>
      </c>
      <c r="AQ22" s="130">
        <f>('INSTRUCTION-2YR'!Q22+'RESEARCH 2yr'!Q22+'PUBLIC SERVICE 2yr'!Q22+'ASptISptSSv 2yr'!Q22+'PLANT OPER MAIN 2yr'!Q22+'SCHOLAR FELLOW 2yr'!Q22+'All Other 2yr'!Q22)-Q22</f>
        <v>0</v>
      </c>
      <c r="AR22" s="130">
        <f>('INSTRUCTION-2YR'!R22+'RESEARCH 2yr'!R22+'PUBLIC SERVICE 2yr'!R22+'ASptISptSSv 2yr'!R22+'PLANT OPER MAIN 2yr'!R22+'SCHOLAR FELLOW 2yr'!R22+'All Other 2yr'!R22)-R22</f>
        <v>0</v>
      </c>
      <c r="AS22" s="130">
        <f>('INSTRUCTION-2YR'!S22+'RESEARCH 2yr'!S22+'PUBLIC SERVICE 2yr'!S22+'ASptISptSSv 2yr'!S22+'PLANT OPER MAIN 2yr'!S22+'SCHOLAR FELLOW 2yr'!S22+'All Other 2yr'!S22)-S22</f>
        <v>0</v>
      </c>
      <c r="AT22" s="130">
        <f>('INSTRUCTION-2YR'!T22+'RESEARCH 2yr'!T22+'PUBLIC SERVICE 2yr'!T22+'ASptISptSSv 2yr'!T22+'PLANT OPER MAIN 2yr'!T22+'SCHOLAR FELLOW 2yr'!T22+'All Other 2yr'!T22)-T22</f>
        <v>0</v>
      </c>
      <c r="AU22" s="130">
        <f>('INSTRUCTION-2YR'!U22+'RESEARCH 2yr'!U22+'PUBLIC SERVICE 2yr'!U22+'ASptISptSSv 2yr'!U22+'PLANT OPER MAIN 2yr'!U22+'SCHOLAR FELLOW 2yr'!U22+'All Other 2yr'!U22)-U22</f>
        <v>0</v>
      </c>
      <c r="AV22" s="130">
        <f>('INSTRUCTION-2YR'!V22+'RESEARCH 2yr'!V22+'PUBLIC SERVICE 2yr'!V22+'ASptISptSSv 2yr'!V22+'PLANT OPER MAIN 2yr'!V22+'SCHOLAR FELLOW 2yr'!V22+'All Other 2yr'!V22)-V22</f>
        <v>0</v>
      </c>
      <c r="AW22" s="130">
        <f>('INSTRUCTION-2YR'!W22+'RESEARCH 2yr'!W22+'PUBLIC SERVICE 2yr'!W22+'ASptISptSSv 2yr'!W22+'PLANT OPER MAIN 2yr'!W22+'SCHOLAR FELLOW 2yr'!W22+'All Other 2yr'!W22)-W22</f>
        <v>0</v>
      </c>
      <c r="AX22" s="130">
        <f>('INSTRUCTION-2YR'!X22+'RESEARCH 2yr'!X22+'PUBLIC SERVICE 2yr'!X22+'ASptISptSSv 2yr'!X22+'PLANT OPER MAIN 2yr'!X22+'SCHOLAR FELLOW 2yr'!X22+'All Other 2yr'!X22)-X22</f>
        <v>0</v>
      </c>
      <c r="AY22" s="130">
        <f>('INSTRUCTION-2YR'!Y22+'RESEARCH 2yr'!Y22+'PUBLIC SERVICE 2yr'!Y22+'ASptISptSSv 2yr'!Y22+'PLANT OPER MAIN 2yr'!Y22+'SCHOLAR FELLOW 2yr'!Y22+'All Other 2yr'!Y22)-Y22</f>
        <v>0</v>
      </c>
      <c r="AZ22" s="130">
        <f>('INSTRUCTION-2YR'!Z22+'RESEARCH 2yr'!Z22+'PUBLIC SERVICE 2yr'!Z22+'ASptISptSSv 2yr'!Z22+'PLANT OPER MAIN 2yr'!Z22+'SCHOLAR FELLOW 2yr'!Z22+'All Other 2yr'!Z22)-Z22</f>
        <v>0</v>
      </c>
      <c r="BA22" s="130">
        <f>('INSTRUCTION-2YR'!AA22+'RESEARCH 2yr'!AA22+'PUBLIC SERVICE 2yr'!AA22+'ASptISptSSv 2yr'!AA22+'PLANT OPER MAIN 2yr'!AA22+'SCHOLAR FELLOW 2yr'!AA22+'All Other 2yr'!AA22)-AA22</f>
        <v>0</v>
      </c>
    </row>
    <row r="23" spans="1:53">
      <c r="A23" s="22" t="s">
        <v>16</v>
      </c>
      <c r="B23" s="36">
        <v>178406</v>
      </c>
      <c r="C23" s="36">
        <v>199925</v>
      </c>
      <c r="D23" s="36">
        <v>214451</v>
      </c>
      <c r="E23" s="36">
        <v>296642.53899999999</v>
      </c>
      <c r="F23" s="77">
        <v>316898.272</v>
      </c>
      <c r="G23" s="36">
        <v>347438.23800000001</v>
      </c>
      <c r="H23" s="36">
        <v>363036.36099999998</v>
      </c>
      <c r="I23" s="37">
        <v>379206.41899999999</v>
      </c>
      <c r="J23" s="37">
        <v>382307.44700000004</v>
      </c>
      <c r="K23" s="37">
        <v>406173.03399999999</v>
      </c>
      <c r="L23" s="37">
        <v>500247.87799999997</v>
      </c>
      <c r="M23" s="37">
        <v>533471.07900000003</v>
      </c>
      <c r="N23" s="37">
        <v>565758.27899999998</v>
      </c>
      <c r="O23" s="37">
        <v>589824.72400000005</v>
      </c>
      <c r="P23" s="37">
        <v>632388.84400000004</v>
      </c>
      <c r="Q23" s="37">
        <v>672255.674</v>
      </c>
      <c r="R23" s="37">
        <v>726644.16799999995</v>
      </c>
      <c r="S23" s="37">
        <v>797456.25800000003</v>
      </c>
      <c r="T23" s="23">
        <v>874993.04200000002</v>
      </c>
      <c r="U23" s="23">
        <v>921464.09600000002</v>
      </c>
      <c r="V23" s="23">
        <v>1063767.1569999999</v>
      </c>
      <c r="W23" s="23">
        <v>1192618.2139999999</v>
      </c>
      <c r="X23" s="23">
        <v>1281801.933</v>
      </c>
      <c r="Y23" s="2">
        <v>1311545.2649999999</v>
      </c>
      <c r="Z23" s="2">
        <v>1324506.773</v>
      </c>
      <c r="AA23" s="2">
        <v>1338466.0349999999</v>
      </c>
      <c r="AB23" s="130">
        <f>('INSTRUCTION-2YR'!B23+'RESEARCH 2yr'!B23+'PUBLIC SERVICE 2yr'!B23+'ASptISptSSv 2yr'!B23+'PLANT OPER MAIN 2yr'!B23+'SCHOLAR FELLOW 2yr'!B23+'All Other 2yr'!B23)-B23</f>
        <v>0</v>
      </c>
      <c r="AC23" s="130">
        <f>('INSTRUCTION-2YR'!C23+'RESEARCH 2yr'!C23+'PUBLIC SERVICE 2yr'!C23+'ASptISptSSv 2yr'!C23+'PLANT OPER MAIN 2yr'!C23+'SCHOLAR FELLOW 2yr'!C23+'All Other 2yr'!C23)-C23</f>
        <v>0</v>
      </c>
      <c r="AD23" s="130">
        <f>('INSTRUCTION-2YR'!D23+'RESEARCH 2yr'!D23+'PUBLIC SERVICE 2yr'!D23+'ASptISptSSv 2yr'!D23+'PLANT OPER MAIN 2yr'!D23+'SCHOLAR FELLOW 2yr'!D23+'All Other 2yr'!D23)-D23</f>
        <v>0</v>
      </c>
      <c r="AE23" s="130">
        <f>('INSTRUCTION-2YR'!E23+'RESEARCH 2yr'!E23+'PUBLIC SERVICE 2yr'!E23+'ASptISptSSv 2yr'!E23+'PLANT OPER MAIN 2yr'!E23+'SCHOLAR FELLOW 2yr'!E23+'All Other 2yr'!E23)-E23</f>
        <v>0</v>
      </c>
      <c r="AF23" s="130">
        <f>('INSTRUCTION-2YR'!F23+'RESEARCH 2yr'!F23+'PUBLIC SERVICE 2yr'!F23+'ASptISptSSv 2yr'!F23+'PLANT OPER MAIN 2yr'!F23+'SCHOLAR FELLOW 2yr'!F23+'All Other 2yr'!F23)-F23</f>
        <v>0</v>
      </c>
      <c r="AG23" s="130">
        <f>('INSTRUCTION-2YR'!G23+'RESEARCH 2yr'!G23+'PUBLIC SERVICE 2yr'!G23+'ASptISptSSv 2yr'!G23+'PLANT OPER MAIN 2yr'!G23+'SCHOLAR FELLOW 2yr'!G23+'All Other 2yr'!G23)-G23</f>
        <v>0</v>
      </c>
      <c r="AH23" s="130">
        <f>('INSTRUCTION-2YR'!H23+'RESEARCH 2yr'!H23+'PUBLIC SERVICE 2yr'!H23+'ASptISptSSv 2yr'!H23+'PLANT OPER MAIN 2yr'!H23+'SCHOLAR FELLOW 2yr'!H23+'All Other 2yr'!H23)-H23</f>
        <v>0</v>
      </c>
      <c r="AI23" s="130">
        <f>('INSTRUCTION-2YR'!I23+'RESEARCH 2yr'!I23+'PUBLIC SERVICE 2yr'!I23+'ASptISptSSv 2yr'!I23+'PLANT OPER MAIN 2yr'!I23+'SCHOLAR FELLOW 2yr'!I23+'All Other 2yr'!I23)-I23</f>
        <v>0</v>
      </c>
      <c r="AJ23" s="130">
        <f>('INSTRUCTION-2YR'!J23+'RESEARCH 2yr'!J23+'PUBLIC SERVICE 2yr'!J23+'ASptISptSSv 2yr'!J23+'PLANT OPER MAIN 2yr'!J23+'SCHOLAR FELLOW 2yr'!J23+'All Other 2yr'!J23)-J23</f>
        <v>0</v>
      </c>
      <c r="AK23" s="130">
        <f>('INSTRUCTION-2YR'!K23+'RESEARCH 2yr'!K23+'PUBLIC SERVICE 2yr'!K23+'ASptISptSSv 2yr'!K23+'PLANT OPER MAIN 2yr'!K23+'SCHOLAR FELLOW 2yr'!K23+'All Other 2yr'!K23)-K23</f>
        <v>0</v>
      </c>
      <c r="AL23" s="130">
        <f>('INSTRUCTION-2YR'!L23+'RESEARCH 2yr'!L23+'PUBLIC SERVICE 2yr'!L23+'ASptISptSSv 2yr'!L23+'PLANT OPER MAIN 2yr'!L23+'SCHOLAR FELLOW 2yr'!L23+'All Other 2yr'!L23)-L23</f>
        <v>0</v>
      </c>
      <c r="AM23" s="130">
        <f>('INSTRUCTION-2YR'!M23+'RESEARCH 2yr'!M23+'PUBLIC SERVICE 2yr'!M23+'ASptISptSSv 2yr'!M23+'PLANT OPER MAIN 2yr'!M23+'SCHOLAR FELLOW 2yr'!M23+'All Other 2yr'!M23)-M23</f>
        <v>0</v>
      </c>
      <c r="AN23" s="130">
        <f>('INSTRUCTION-2YR'!N23+'RESEARCH 2yr'!N23+'PUBLIC SERVICE 2yr'!N23+'ASptISptSSv 2yr'!N23+'PLANT OPER MAIN 2yr'!N23+'SCHOLAR FELLOW 2yr'!N23+'All Other 2yr'!N23)-N23</f>
        <v>0</v>
      </c>
      <c r="AO23" s="130">
        <f>('INSTRUCTION-2YR'!O23+'RESEARCH 2yr'!O23+'PUBLIC SERVICE 2yr'!O23+'ASptISptSSv 2yr'!O23+'PLANT OPER MAIN 2yr'!O23+'SCHOLAR FELLOW 2yr'!O23+'All Other 2yr'!O23)-O23</f>
        <v>0</v>
      </c>
      <c r="AP23" s="130">
        <f>('INSTRUCTION-2YR'!P23+'RESEARCH 2yr'!P23+'PUBLIC SERVICE 2yr'!P23+'ASptISptSSv 2yr'!P23+'PLANT OPER MAIN 2yr'!P23+'SCHOLAR FELLOW 2yr'!P23+'All Other 2yr'!P23)-P23</f>
        <v>0</v>
      </c>
      <c r="AQ23" s="130">
        <f>('INSTRUCTION-2YR'!Q23+'RESEARCH 2yr'!Q23+'PUBLIC SERVICE 2yr'!Q23+'ASptISptSSv 2yr'!Q23+'PLANT OPER MAIN 2yr'!Q23+'SCHOLAR FELLOW 2yr'!Q23+'All Other 2yr'!Q23)-Q23</f>
        <v>0</v>
      </c>
      <c r="AR23" s="130">
        <f>('INSTRUCTION-2YR'!R23+'RESEARCH 2yr'!R23+'PUBLIC SERVICE 2yr'!R23+'ASptISptSSv 2yr'!R23+'PLANT OPER MAIN 2yr'!R23+'SCHOLAR FELLOW 2yr'!R23+'All Other 2yr'!R23)-R23</f>
        <v>0</v>
      </c>
      <c r="AS23" s="130">
        <f>('INSTRUCTION-2YR'!S23+'RESEARCH 2yr'!S23+'PUBLIC SERVICE 2yr'!S23+'ASptISptSSv 2yr'!S23+'PLANT OPER MAIN 2yr'!S23+'SCHOLAR FELLOW 2yr'!S23+'All Other 2yr'!S23)-S23</f>
        <v>0</v>
      </c>
      <c r="AT23" s="130">
        <f>('INSTRUCTION-2YR'!T23+'RESEARCH 2yr'!T23+'PUBLIC SERVICE 2yr'!T23+'ASptISptSSv 2yr'!T23+'PLANT OPER MAIN 2yr'!T23+'SCHOLAR FELLOW 2yr'!T23+'All Other 2yr'!T23)-T23</f>
        <v>0</v>
      </c>
      <c r="AU23" s="130">
        <f>('INSTRUCTION-2YR'!U23+'RESEARCH 2yr'!U23+'PUBLIC SERVICE 2yr'!U23+'ASptISptSSv 2yr'!U23+'PLANT OPER MAIN 2yr'!U23+'SCHOLAR FELLOW 2yr'!U23+'All Other 2yr'!U23)-U23</f>
        <v>0</v>
      </c>
      <c r="AV23" s="130">
        <f>('INSTRUCTION-2YR'!V23+'RESEARCH 2yr'!V23+'PUBLIC SERVICE 2yr'!V23+'ASptISptSSv 2yr'!V23+'PLANT OPER MAIN 2yr'!V23+'SCHOLAR FELLOW 2yr'!V23+'All Other 2yr'!V23)-V23</f>
        <v>0</v>
      </c>
      <c r="AW23" s="130">
        <f>('INSTRUCTION-2YR'!W23+'RESEARCH 2yr'!W23+'PUBLIC SERVICE 2yr'!W23+'ASptISptSSv 2yr'!W23+'PLANT OPER MAIN 2yr'!W23+'SCHOLAR FELLOW 2yr'!W23+'All Other 2yr'!W23)-W23</f>
        <v>0</v>
      </c>
      <c r="AX23" s="130">
        <f>('INSTRUCTION-2YR'!X23+'RESEARCH 2yr'!X23+'PUBLIC SERVICE 2yr'!X23+'ASptISptSSv 2yr'!X23+'PLANT OPER MAIN 2yr'!X23+'SCHOLAR FELLOW 2yr'!X23+'All Other 2yr'!X23)-X23</f>
        <v>0</v>
      </c>
      <c r="AY23" s="130">
        <f>('INSTRUCTION-2YR'!Y23+'RESEARCH 2yr'!Y23+'PUBLIC SERVICE 2yr'!Y23+'ASptISptSSv 2yr'!Y23+'PLANT OPER MAIN 2yr'!Y23+'SCHOLAR FELLOW 2yr'!Y23+'All Other 2yr'!Y23)-Y23</f>
        <v>0</v>
      </c>
      <c r="AZ23" s="130">
        <f>('INSTRUCTION-2YR'!Z23+'RESEARCH 2yr'!Z23+'PUBLIC SERVICE 2yr'!Z23+'ASptISptSSv 2yr'!Z23+'PLANT OPER MAIN 2yr'!Z23+'SCHOLAR FELLOW 2yr'!Z23+'All Other 2yr'!Z23)-Z23</f>
        <v>0</v>
      </c>
      <c r="BA23" s="130">
        <f>('INSTRUCTION-2YR'!AA23+'RESEARCH 2yr'!AA23+'PUBLIC SERVICE 2yr'!AA23+'ASptISptSSv 2yr'!AA23+'PLANT OPER MAIN 2yr'!AA23+'SCHOLAR FELLOW 2yr'!AA23+'All Other 2yr'!AA23)-AA23</f>
        <v>0</v>
      </c>
    </row>
    <row r="24" spans="1:53">
      <c r="A24" s="83" t="s">
        <v>17</v>
      </c>
      <c r="B24" s="66">
        <v>17071</v>
      </c>
      <c r="C24" s="66">
        <v>18947</v>
      </c>
      <c r="D24" s="66">
        <v>19801</v>
      </c>
      <c r="E24" s="66">
        <v>21024.271000000001</v>
      </c>
      <c r="F24" s="82">
        <v>22873.838</v>
      </c>
      <c r="G24" s="66">
        <v>24797.885999999999</v>
      </c>
      <c r="H24" s="66">
        <v>27071.334999999999</v>
      </c>
      <c r="I24" s="63">
        <v>28200.433000000001</v>
      </c>
      <c r="J24" s="63">
        <v>30577.967000000001</v>
      </c>
      <c r="K24" s="63">
        <v>31566.579160000005</v>
      </c>
      <c r="L24" s="63">
        <v>34343.579999999994</v>
      </c>
      <c r="M24" s="63">
        <v>46714.728000000003</v>
      </c>
      <c r="N24" s="63">
        <v>38555.624000000003</v>
      </c>
      <c r="O24" s="63">
        <v>47578.877999999997</v>
      </c>
      <c r="P24" s="63">
        <v>37360.17</v>
      </c>
      <c r="Q24" s="63">
        <v>87515.304000000004</v>
      </c>
      <c r="R24" s="63">
        <v>80691.255999999994</v>
      </c>
      <c r="S24" s="63">
        <v>105638.74099999999</v>
      </c>
      <c r="T24" s="45">
        <v>114516.306</v>
      </c>
      <c r="U24" s="45">
        <v>136464.57</v>
      </c>
      <c r="V24" s="45">
        <v>200552.18</v>
      </c>
      <c r="W24" s="45">
        <v>220527.29399999999</v>
      </c>
      <c r="X24" s="45">
        <v>222684.96</v>
      </c>
      <c r="Y24" s="45">
        <v>215002.139</v>
      </c>
      <c r="Z24" s="45">
        <v>210896.58</v>
      </c>
      <c r="AA24" s="45">
        <v>199992.736</v>
      </c>
      <c r="AB24" s="130">
        <f>('INSTRUCTION-2YR'!B24+'RESEARCH 2yr'!B24+'PUBLIC SERVICE 2yr'!B24+'ASptISptSSv 2yr'!B24+'PLANT OPER MAIN 2yr'!B24+'SCHOLAR FELLOW 2yr'!B24+'All Other 2yr'!B24)-B24</f>
        <v>0</v>
      </c>
      <c r="AC24" s="130">
        <f>('INSTRUCTION-2YR'!C24+'RESEARCH 2yr'!C24+'PUBLIC SERVICE 2yr'!C24+'ASptISptSSv 2yr'!C24+'PLANT OPER MAIN 2yr'!C24+'SCHOLAR FELLOW 2yr'!C24+'All Other 2yr'!C24)-C24</f>
        <v>0</v>
      </c>
      <c r="AD24" s="130">
        <f>('INSTRUCTION-2YR'!D24+'RESEARCH 2yr'!D24+'PUBLIC SERVICE 2yr'!D24+'ASptISptSSv 2yr'!D24+'PLANT OPER MAIN 2yr'!D24+'SCHOLAR FELLOW 2yr'!D24+'All Other 2yr'!D24)-D24</f>
        <v>0</v>
      </c>
      <c r="AE24" s="130">
        <f>('INSTRUCTION-2YR'!E24+'RESEARCH 2yr'!E24+'PUBLIC SERVICE 2yr'!E24+'ASptISptSSv 2yr'!E24+'PLANT OPER MAIN 2yr'!E24+'SCHOLAR FELLOW 2yr'!E24+'All Other 2yr'!E24)-E24</f>
        <v>0</v>
      </c>
      <c r="AF24" s="130">
        <f>('INSTRUCTION-2YR'!F24+'RESEARCH 2yr'!F24+'PUBLIC SERVICE 2yr'!F24+'ASptISptSSv 2yr'!F24+'PLANT OPER MAIN 2yr'!F24+'SCHOLAR FELLOW 2yr'!F24+'All Other 2yr'!F24)-F24</f>
        <v>0</v>
      </c>
      <c r="AG24" s="130">
        <f>('INSTRUCTION-2YR'!G24+'RESEARCH 2yr'!G24+'PUBLIC SERVICE 2yr'!G24+'ASptISptSSv 2yr'!G24+'PLANT OPER MAIN 2yr'!G24+'SCHOLAR FELLOW 2yr'!G24+'All Other 2yr'!G24)-G24</f>
        <v>0</v>
      </c>
      <c r="AH24" s="130">
        <f>('INSTRUCTION-2YR'!H24+'RESEARCH 2yr'!H24+'PUBLIC SERVICE 2yr'!H24+'ASptISptSSv 2yr'!H24+'PLANT OPER MAIN 2yr'!H24+'SCHOLAR FELLOW 2yr'!H24+'All Other 2yr'!H24)-H24</f>
        <v>0</v>
      </c>
      <c r="AI24" s="130">
        <f>('INSTRUCTION-2YR'!I24+'RESEARCH 2yr'!I24+'PUBLIC SERVICE 2yr'!I24+'ASptISptSSv 2yr'!I24+'PLANT OPER MAIN 2yr'!I24+'SCHOLAR FELLOW 2yr'!I24+'All Other 2yr'!I24)-I24</f>
        <v>0</v>
      </c>
      <c r="AJ24" s="130">
        <f>('INSTRUCTION-2YR'!J24+'RESEARCH 2yr'!J24+'PUBLIC SERVICE 2yr'!J24+'ASptISptSSv 2yr'!J24+'PLANT OPER MAIN 2yr'!J24+'SCHOLAR FELLOW 2yr'!J24+'All Other 2yr'!J24)-J24</f>
        <v>0</v>
      </c>
      <c r="AK24" s="130">
        <f>('INSTRUCTION-2YR'!K24+'RESEARCH 2yr'!K24+'PUBLIC SERVICE 2yr'!K24+'ASptISptSSv 2yr'!K24+'PLANT OPER MAIN 2yr'!K24+'SCHOLAR FELLOW 2yr'!K24+'All Other 2yr'!K24)-K24</f>
        <v>0</v>
      </c>
      <c r="AL24" s="130">
        <f>('INSTRUCTION-2YR'!L24+'RESEARCH 2yr'!L24+'PUBLIC SERVICE 2yr'!L24+'ASptISptSSv 2yr'!L24+'PLANT OPER MAIN 2yr'!L24+'SCHOLAR FELLOW 2yr'!L24+'All Other 2yr'!L24)-L24</f>
        <v>0</v>
      </c>
      <c r="AM24" s="130">
        <f>('INSTRUCTION-2YR'!M24+'RESEARCH 2yr'!M24+'PUBLIC SERVICE 2yr'!M24+'ASptISptSSv 2yr'!M24+'PLANT OPER MAIN 2yr'!M24+'SCHOLAR FELLOW 2yr'!M24+'All Other 2yr'!M24)-M24</f>
        <v>0</v>
      </c>
      <c r="AN24" s="130">
        <f>('INSTRUCTION-2YR'!N24+'RESEARCH 2yr'!N24+'PUBLIC SERVICE 2yr'!N24+'ASptISptSSv 2yr'!N24+'PLANT OPER MAIN 2yr'!N24+'SCHOLAR FELLOW 2yr'!N24+'All Other 2yr'!N24)-N24</f>
        <v>0</v>
      </c>
      <c r="AO24" s="130">
        <f>('INSTRUCTION-2YR'!O24+'RESEARCH 2yr'!O24+'PUBLIC SERVICE 2yr'!O24+'ASptISptSSv 2yr'!O24+'PLANT OPER MAIN 2yr'!O24+'SCHOLAR FELLOW 2yr'!O24+'All Other 2yr'!O24)-O24</f>
        <v>0</v>
      </c>
      <c r="AP24" s="130">
        <f>('INSTRUCTION-2YR'!P24+'RESEARCH 2yr'!P24+'PUBLIC SERVICE 2yr'!P24+'ASptISptSSv 2yr'!P24+'PLANT OPER MAIN 2yr'!P24+'SCHOLAR FELLOW 2yr'!P24+'All Other 2yr'!P24)-P24</f>
        <v>0</v>
      </c>
      <c r="AQ24" s="130">
        <f>('INSTRUCTION-2YR'!Q24+'RESEARCH 2yr'!Q24+'PUBLIC SERVICE 2yr'!Q24+'ASptISptSSv 2yr'!Q24+'PLANT OPER MAIN 2yr'!Q24+'SCHOLAR FELLOW 2yr'!Q24+'All Other 2yr'!Q24)-Q24</f>
        <v>0</v>
      </c>
      <c r="AR24" s="130">
        <f>('INSTRUCTION-2YR'!R24+'RESEARCH 2yr'!R24+'PUBLIC SERVICE 2yr'!R24+'ASptISptSSv 2yr'!R24+'PLANT OPER MAIN 2yr'!R24+'SCHOLAR FELLOW 2yr'!R24+'All Other 2yr'!R24)-R24</f>
        <v>0</v>
      </c>
      <c r="AS24" s="130">
        <f>('INSTRUCTION-2YR'!S24+'RESEARCH 2yr'!S24+'PUBLIC SERVICE 2yr'!S24+'ASptISptSSv 2yr'!S24+'PLANT OPER MAIN 2yr'!S24+'SCHOLAR FELLOW 2yr'!S24+'All Other 2yr'!S24)-S24</f>
        <v>0</v>
      </c>
      <c r="AT24" s="130">
        <f>('INSTRUCTION-2YR'!T24+'RESEARCH 2yr'!T24+'PUBLIC SERVICE 2yr'!T24+'ASptISptSSv 2yr'!T24+'PLANT OPER MAIN 2yr'!T24+'SCHOLAR FELLOW 2yr'!T24+'All Other 2yr'!T24)-T24</f>
        <v>0</v>
      </c>
      <c r="AU24" s="130">
        <f>('INSTRUCTION-2YR'!U24+'RESEARCH 2yr'!U24+'PUBLIC SERVICE 2yr'!U24+'ASptISptSSv 2yr'!U24+'PLANT OPER MAIN 2yr'!U24+'SCHOLAR FELLOW 2yr'!U24+'All Other 2yr'!U24)-U24</f>
        <v>0</v>
      </c>
      <c r="AV24" s="130">
        <f>('INSTRUCTION-2YR'!V24+'RESEARCH 2yr'!V24+'PUBLIC SERVICE 2yr'!V24+'ASptISptSSv 2yr'!V24+'PLANT OPER MAIN 2yr'!V24+'SCHOLAR FELLOW 2yr'!V24+'All Other 2yr'!V24)-V24</f>
        <v>0</v>
      </c>
      <c r="AW24" s="130">
        <f>('INSTRUCTION-2YR'!W24+'RESEARCH 2yr'!W24+'PUBLIC SERVICE 2yr'!W24+'ASptISptSSv 2yr'!W24+'PLANT OPER MAIN 2yr'!W24+'SCHOLAR FELLOW 2yr'!W24+'All Other 2yr'!W24)-W24</f>
        <v>0</v>
      </c>
      <c r="AX24" s="130">
        <f>('INSTRUCTION-2YR'!X24+'RESEARCH 2yr'!X24+'PUBLIC SERVICE 2yr'!X24+'ASptISptSSv 2yr'!X24+'PLANT OPER MAIN 2yr'!X24+'SCHOLAR FELLOW 2yr'!X24+'All Other 2yr'!X24)-X24</f>
        <v>0</v>
      </c>
      <c r="AY24" s="130">
        <f>('INSTRUCTION-2YR'!Y24+'RESEARCH 2yr'!Y24+'PUBLIC SERVICE 2yr'!Y24+'ASptISptSSv 2yr'!Y24+'PLANT OPER MAIN 2yr'!Y24+'SCHOLAR FELLOW 2yr'!Y24+'All Other 2yr'!Y24)-Y24</f>
        <v>0</v>
      </c>
      <c r="AZ24" s="130">
        <f>('INSTRUCTION-2YR'!Z24+'RESEARCH 2yr'!Z24+'PUBLIC SERVICE 2yr'!Z24+'ASptISptSSv 2yr'!Z24+'PLANT OPER MAIN 2yr'!Z24+'SCHOLAR FELLOW 2yr'!Z24+'All Other 2yr'!Z24)-Z24</f>
        <v>0</v>
      </c>
      <c r="BA24" s="130">
        <f>('INSTRUCTION-2YR'!AA24+'RESEARCH 2yr'!AA24+'PUBLIC SERVICE 2yr'!AA24+'ASptISptSSv 2yr'!AA24+'PLANT OPER MAIN 2yr'!AA24+'SCHOLAR FELLOW 2yr'!AA24+'All Other 2yr'!AA24)-AA24</f>
        <v>0</v>
      </c>
    </row>
    <row r="25" spans="1:53" s="23" customFormat="1">
      <c r="A25" s="79" t="s">
        <v>120</v>
      </c>
      <c r="B25" s="90">
        <f>SUM(B27:B39)</f>
        <v>0</v>
      </c>
      <c r="C25" s="90">
        <f t="shared" ref="C25:AA25" si="10">SUM(C27:C39)</f>
        <v>0</v>
      </c>
      <c r="D25" s="90">
        <f t="shared" si="10"/>
        <v>0</v>
      </c>
      <c r="E25" s="90">
        <f t="shared" si="10"/>
        <v>0</v>
      </c>
      <c r="F25" s="90">
        <f t="shared" si="10"/>
        <v>5085743.0989999995</v>
      </c>
      <c r="G25" s="90">
        <f t="shared" si="10"/>
        <v>0</v>
      </c>
      <c r="H25" s="90">
        <f t="shared" si="10"/>
        <v>0</v>
      </c>
      <c r="I25" s="90">
        <f t="shared" si="10"/>
        <v>5721772.5959999999</v>
      </c>
      <c r="J25" s="90">
        <f t="shared" si="10"/>
        <v>0</v>
      </c>
      <c r="K25" s="90">
        <f t="shared" si="10"/>
        <v>7154394.4839200014</v>
      </c>
      <c r="L25" s="90">
        <f t="shared" si="10"/>
        <v>7214062.2379999999</v>
      </c>
      <c r="M25" s="90">
        <f t="shared" si="10"/>
        <v>7820176.0690000001</v>
      </c>
      <c r="N25" s="90">
        <f t="shared" si="10"/>
        <v>8571872.7259999979</v>
      </c>
      <c r="O25" s="90">
        <f t="shared" si="10"/>
        <v>8967413.2909999993</v>
      </c>
      <c r="P25" s="90">
        <f t="shared" si="10"/>
        <v>9173069.2870000005</v>
      </c>
      <c r="Q25" s="90">
        <f t="shared" si="10"/>
        <v>11481645.857000003</v>
      </c>
      <c r="R25" s="90">
        <f t="shared" si="10"/>
        <v>12157408.027000001</v>
      </c>
      <c r="S25" s="90">
        <f t="shared" si="10"/>
        <v>12885782.847000001</v>
      </c>
      <c r="T25" s="90">
        <f t="shared" si="10"/>
        <v>14007069.755000001</v>
      </c>
      <c r="U25" s="90">
        <f t="shared" si="10"/>
        <v>15531043.535999997</v>
      </c>
      <c r="V25" s="90">
        <f t="shared" si="10"/>
        <v>16422272.171999997</v>
      </c>
      <c r="W25" s="90">
        <f t="shared" si="10"/>
        <v>18062205.934</v>
      </c>
      <c r="X25" s="90">
        <f t="shared" si="10"/>
        <v>17977360.320999999</v>
      </c>
      <c r="Y25" s="90">
        <f t="shared" si="10"/>
        <v>13041915.104</v>
      </c>
      <c r="Z25" s="90">
        <f t="shared" si="10"/>
        <v>13422075.707000002</v>
      </c>
      <c r="AA25" s="90">
        <f t="shared" si="10"/>
        <v>13803867.734000001</v>
      </c>
      <c r="AB25" s="130">
        <f>('INSTRUCTION-2YR'!B25+'RESEARCH 2yr'!B25+'PUBLIC SERVICE 2yr'!B25+'ASptISptSSv 2yr'!B25+'PLANT OPER MAIN 2yr'!B25+'SCHOLAR FELLOW 2yr'!B25+'All Other 2yr'!B25)-B25</f>
        <v>0</v>
      </c>
      <c r="AC25" s="130">
        <f>('INSTRUCTION-2YR'!C25+'RESEARCH 2yr'!C25+'PUBLIC SERVICE 2yr'!C25+'ASptISptSSv 2yr'!C25+'PLANT OPER MAIN 2yr'!C25+'SCHOLAR FELLOW 2yr'!C25+'All Other 2yr'!C25)-C25</f>
        <v>0</v>
      </c>
      <c r="AD25" s="130">
        <f>('INSTRUCTION-2YR'!D25+'RESEARCH 2yr'!D25+'PUBLIC SERVICE 2yr'!D25+'ASptISptSSv 2yr'!D25+'PLANT OPER MAIN 2yr'!D25+'SCHOLAR FELLOW 2yr'!D25+'All Other 2yr'!D25)-D25</f>
        <v>0</v>
      </c>
      <c r="AE25" s="130">
        <f>('INSTRUCTION-2YR'!E25+'RESEARCH 2yr'!E25+'PUBLIC SERVICE 2yr'!E25+'ASptISptSSv 2yr'!E25+'PLANT OPER MAIN 2yr'!E25+'SCHOLAR FELLOW 2yr'!E25+'All Other 2yr'!E25)-E25</f>
        <v>0</v>
      </c>
      <c r="AF25" s="130">
        <f>('INSTRUCTION-2YR'!F25+'RESEARCH 2yr'!F25+'PUBLIC SERVICE 2yr'!F25+'ASptISptSSv 2yr'!F25+'PLANT OPER MAIN 2yr'!F25+'SCHOLAR FELLOW 2yr'!F25+'All Other 2yr'!F25)-F25</f>
        <v>0</v>
      </c>
      <c r="AG25" s="130">
        <f>('INSTRUCTION-2YR'!G25+'RESEARCH 2yr'!G25+'PUBLIC SERVICE 2yr'!G25+'ASptISptSSv 2yr'!G25+'PLANT OPER MAIN 2yr'!G25+'SCHOLAR FELLOW 2yr'!G25+'All Other 2yr'!G25)-G25</f>
        <v>0</v>
      </c>
      <c r="AH25" s="130">
        <f>('INSTRUCTION-2YR'!H25+'RESEARCH 2yr'!H25+'PUBLIC SERVICE 2yr'!H25+'ASptISptSSv 2yr'!H25+'PLANT OPER MAIN 2yr'!H25+'SCHOLAR FELLOW 2yr'!H25+'All Other 2yr'!H25)-H25</f>
        <v>0</v>
      </c>
      <c r="AI25" s="130">
        <f>('INSTRUCTION-2YR'!I25+'RESEARCH 2yr'!I25+'PUBLIC SERVICE 2yr'!I25+'ASptISptSSv 2yr'!I25+'PLANT OPER MAIN 2yr'!I25+'SCHOLAR FELLOW 2yr'!I25+'All Other 2yr'!I25)-I25</f>
        <v>0</v>
      </c>
      <c r="AJ25" s="130">
        <f>('INSTRUCTION-2YR'!J25+'RESEARCH 2yr'!J25+'PUBLIC SERVICE 2yr'!J25+'ASptISptSSv 2yr'!J25+'PLANT OPER MAIN 2yr'!J25+'SCHOLAR FELLOW 2yr'!J25+'All Other 2yr'!J25)-J25</f>
        <v>0</v>
      </c>
      <c r="AK25" s="130">
        <f>('INSTRUCTION-2YR'!K25+'RESEARCH 2yr'!K25+'PUBLIC SERVICE 2yr'!K25+'ASptISptSSv 2yr'!K25+'PLANT OPER MAIN 2yr'!K25+'SCHOLAR FELLOW 2yr'!K25+'All Other 2yr'!K25)-K25</f>
        <v>0</v>
      </c>
      <c r="AL25" s="130">
        <f>('INSTRUCTION-2YR'!L25+'RESEARCH 2yr'!L25+'PUBLIC SERVICE 2yr'!L25+'ASptISptSSv 2yr'!L25+'PLANT OPER MAIN 2yr'!L25+'SCHOLAR FELLOW 2yr'!L25+'All Other 2yr'!L25)-L25</f>
        <v>0</v>
      </c>
      <c r="AM25" s="130">
        <f>('INSTRUCTION-2YR'!M25+'RESEARCH 2yr'!M25+'PUBLIC SERVICE 2yr'!M25+'ASptISptSSv 2yr'!M25+'PLANT OPER MAIN 2yr'!M25+'SCHOLAR FELLOW 2yr'!M25+'All Other 2yr'!M25)-M25</f>
        <v>0</v>
      </c>
      <c r="AN25" s="130">
        <f>('INSTRUCTION-2YR'!N25+'RESEARCH 2yr'!N25+'PUBLIC SERVICE 2yr'!N25+'ASptISptSSv 2yr'!N25+'PLANT OPER MAIN 2yr'!N25+'SCHOLAR FELLOW 2yr'!N25+'All Other 2yr'!N25)-N25</f>
        <v>0</v>
      </c>
      <c r="AO25" s="130">
        <f>('INSTRUCTION-2YR'!O25+'RESEARCH 2yr'!O25+'PUBLIC SERVICE 2yr'!O25+'ASptISptSSv 2yr'!O25+'PLANT OPER MAIN 2yr'!O25+'SCHOLAR FELLOW 2yr'!O25+'All Other 2yr'!O25)-O25</f>
        <v>0</v>
      </c>
      <c r="AP25" s="130">
        <f>('INSTRUCTION-2YR'!P25+'RESEARCH 2yr'!P25+'PUBLIC SERVICE 2yr'!P25+'ASptISptSSv 2yr'!P25+'PLANT OPER MAIN 2yr'!P25+'SCHOLAR FELLOW 2yr'!P25+'All Other 2yr'!P25)-P25</f>
        <v>0</v>
      </c>
      <c r="AQ25" s="130">
        <f>('INSTRUCTION-2YR'!Q25+'RESEARCH 2yr'!Q25+'PUBLIC SERVICE 2yr'!Q25+'ASptISptSSv 2yr'!Q25+'PLANT OPER MAIN 2yr'!Q25+'SCHOLAR FELLOW 2yr'!Q25+'All Other 2yr'!Q25)-Q25</f>
        <v>0</v>
      </c>
      <c r="AR25" s="130">
        <f>('INSTRUCTION-2YR'!R25+'RESEARCH 2yr'!R25+'PUBLIC SERVICE 2yr'!R25+'ASptISptSSv 2yr'!R25+'PLANT OPER MAIN 2yr'!R25+'SCHOLAR FELLOW 2yr'!R25+'All Other 2yr'!R25)-R25</f>
        <v>0</v>
      </c>
      <c r="AS25" s="130">
        <f>('INSTRUCTION-2YR'!S25+'RESEARCH 2yr'!S25+'PUBLIC SERVICE 2yr'!S25+'ASptISptSSv 2yr'!S25+'PLANT OPER MAIN 2yr'!S25+'SCHOLAR FELLOW 2yr'!S25+'All Other 2yr'!S25)-S25</f>
        <v>0</v>
      </c>
      <c r="AT25" s="130">
        <f>('INSTRUCTION-2YR'!T25+'RESEARCH 2yr'!T25+'PUBLIC SERVICE 2yr'!T25+'ASptISptSSv 2yr'!T25+'PLANT OPER MAIN 2yr'!T25+'SCHOLAR FELLOW 2yr'!T25+'All Other 2yr'!T25)-T25</f>
        <v>0</v>
      </c>
      <c r="AU25" s="130">
        <f>('INSTRUCTION-2YR'!U25+'RESEARCH 2yr'!U25+'PUBLIC SERVICE 2yr'!U25+'ASptISptSSv 2yr'!U25+'PLANT OPER MAIN 2yr'!U25+'SCHOLAR FELLOW 2yr'!U25+'All Other 2yr'!U25)-U25</f>
        <v>0</v>
      </c>
      <c r="AV25" s="130">
        <f>('INSTRUCTION-2YR'!V25+'RESEARCH 2yr'!V25+'PUBLIC SERVICE 2yr'!V25+'ASptISptSSv 2yr'!V25+'PLANT OPER MAIN 2yr'!V25+'SCHOLAR FELLOW 2yr'!V25+'All Other 2yr'!V25)-V25</f>
        <v>0</v>
      </c>
      <c r="AW25" s="130">
        <f>('INSTRUCTION-2YR'!W25+'RESEARCH 2yr'!W25+'PUBLIC SERVICE 2yr'!W25+'ASptISptSSv 2yr'!W25+'PLANT OPER MAIN 2yr'!W25+'SCHOLAR FELLOW 2yr'!W25+'All Other 2yr'!W25)-W25</f>
        <v>0</v>
      </c>
      <c r="AX25" s="130">
        <f>('INSTRUCTION-2YR'!X25+'RESEARCH 2yr'!X25+'PUBLIC SERVICE 2yr'!X25+'ASptISptSSv 2yr'!X25+'PLANT OPER MAIN 2yr'!X25+'SCHOLAR FELLOW 2yr'!X25+'All Other 2yr'!X25)-X25</f>
        <v>0</v>
      </c>
      <c r="AY25" s="130">
        <f>('INSTRUCTION-2YR'!Y25+'RESEARCH 2yr'!Y25+'PUBLIC SERVICE 2yr'!Y25+'ASptISptSSv 2yr'!Y25+'PLANT OPER MAIN 2yr'!Y25+'SCHOLAR FELLOW 2yr'!Y25+'All Other 2yr'!Y25)-Y25</f>
        <v>0</v>
      </c>
      <c r="AZ25" s="130">
        <f>('INSTRUCTION-2YR'!Z25+'RESEARCH 2yr'!Z25+'PUBLIC SERVICE 2yr'!Z25+'ASptISptSSv 2yr'!Z25+'PLANT OPER MAIN 2yr'!Z25+'SCHOLAR FELLOW 2yr'!Z25+'All Other 2yr'!Z25)-Z25</f>
        <v>0</v>
      </c>
      <c r="BA25" s="130">
        <f>('INSTRUCTION-2YR'!AA25+'RESEARCH 2yr'!AA25+'PUBLIC SERVICE 2yr'!AA25+'ASptISptSSv 2yr'!AA25+'PLANT OPER MAIN 2yr'!AA25+'SCHOLAR FELLOW 2yr'!AA25+'All Other 2yr'!AA25)-AA25</f>
        <v>0</v>
      </c>
    </row>
    <row r="26" spans="1:53">
      <c r="A26" s="79" t="s">
        <v>119</v>
      </c>
      <c r="B26" s="37"/>
      <c r="C26" s="37"/>
      <c r="D26" s="37"/>
      <c r="E26" s="37"/>
      <c r="F26" s="37"/>
      <c r="G26" s="37"/>
      <c r="H26" s="37"/>
      <c r="I26" s="37"/>
      <c r="J26" s="37"/>
      <c r="K26" s="37"/>
      <c r="L26" s="37"/>
      <c r="M26" s="37"/>
      <c r="N26" s="37"/>
      <c r="O26" s="37"/>
      <c r="P26" s="37"/>
      <c r="Q26" s="37"/>
      <c r="R26" s="37"/>
      <c r="S26" s="37"/>
      <c r="T26" s="23"/>
      <c r="U26" s="23"/>
      <c r="V26" s="23"/>
      <c r="W26" s="23"/>
      <c r="X26" s="23">
        <v>0</v>
      </c>
      <c r="Y26" s="2">
        <v>0</v>
      </c>
      <c r="Z26" s="2"/>
      <c r="AA26" s="2"/>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c r="AY26" s="130"/>
      <c r="AZ26" s="130"/>
      <c r="BA26" s="130"/>
    </row>
    <row r="27" spans="1:53">
      <c r="A27" s="23" t="s">
        <v>85</v>
      </c>
      <c r="B27" s="36"/>
      <c r="C27" s="36"/>
      <c r="D27" s="37"/>
      <c r="E27" s="36"/>
      <c r="F27" s="77">
        <v>2637.2049999999999</v>
      </c>
      <c r="G27" s="36"/>
      <c r="H27" s="36"/>
      <c r="I27" s="37">
        <v>3189.1350000000002</v>
      </c>
      <c r="J27" s="37"/>
      <c r="K27" s="37">
        <v>3537.4929999999999</v>
      </c>
      <c r="L27" s="37">
        <v>14559.525</v>
      </c>
      <c r="M27" s="37">
        <v>3606.0010000000002</v>
      </c>
      <c r="N27" s="37">
        <v>15012.499</v>
      </c>
      <c r="O27" s="37">
        <v>13667.132</v>
      </c>
      <c r="P27" s="37">
        <v>14283.857</v>
      </c>
      <c r="Q27" s="37">
        <v>4914.598</v>
      </c>
      <c r="R27" s="37">
        <v>15789.945</v>
      </c>
      <c r="S27" s="37">
        <v>15728.496999999999</v>
      </c>
      <c r="T27" s="23">
        <v>17236.031999999999</v>
      </c>
      <c r="U27" s="23">
        <v>17411.081999999999</v>
      </c>
      <c r="V27" s="23">
        <v>18493.451000000001</v>
      </c>
      <c r="W27" s="23">
        <v>6659.7969999999996</v>
      </c>
      <c r="X27" s="23">
        <v>21472.59</v>
      </c>
      <c r="Y27" s="2">
        <v>6139.7020000000002</v>
      </c>
      <c r="Z27" s="2"/>
      <c r="AA27" s="2"/>
      <c r="AB27" s="130">
        <f>('INSTRUCTION-2YR'!B27+'RESEARCH 2yr'!B27+'PUBLIC SERVICE 2yr'!B27+'ASptISptSSv 2yr'!B27+'PLANT OPER MAIN 2yr'!B27+'SCHOLAR FELLOW 2yr'!B27+'All Other 2yr'!B27)-B27</f>
        <v>0</v>
      </c>
      <c r="AC27" s="130">
        <f>('INSTRUCTION-2YR'!C27+'RESEARCH 2yr'!C27+'PUBLIC SERVICE 2yr'!C27+'ASptISptSSv 2yr'!C27+'PLANT OPER MAIN 2yr'!C27+'SCHOLAR FELLOW 2yr'!C27+'All Other 2yr'!C27)-C27</f>
        <v>0</v>
      </c>
      <c r="AD27" s="130">
        <f>('INSTRUCTION-2YR'!D27+'RESEARCH 2yr'!D27+'PUBLIC SERVICE 2yr'!D27+'ASptISptSSv 2yr'!D27+'PLANT OPER MAIN 2yr'!D27+'SCHOLAR FELLOW 2yr'!D27+'All Other 2yr'!D27)-D27</f>
        <v>0</v>
      </c>
      <c r="AE27" s="130">
        <f>('INSTRUCTION-2YR'!E27+'RESEARCH 2yr'!E27+'PUBLIC SERVICE 2yr'!E27+'ASptISptSSv 2yr'!E27+'PLANT OPER MAIN 2yr'!E27+'SCHOLAR FELLOW 2yr'!E27+'All Other 2yr'!E27)-E27</f>
        <v>0</v>
      </c>
      <c r="AF27" s="130">
        <f>('INSTRUCTION-2YR'!F27+'RESEARCH 2yr'!F27+'PUBLIC SERVICE 2yr'!F27+'ASptISptSSv 2yr'!F27+'PLANT OPER MAIN 2yr'!F27+'SCHOLAR FELLOW 2yr'!F27+'All Other 2yr'!F27)-F27</f>
        <v>0</v>
      </c>
      <c r="AG27" s="130">
        <f>('INSTRUCTION-2YR'!G27+'RESEARCH 2yr'!G27+'PUBLIC SERVICE 2yr'!G27+'ASptISptSSv 2yr'!G27+'PLANT OPER MAIN 2yr'!G27+'SCHOLAR FELLOW 2yr'!G27+'All Other 2yr'!G27)-G27</f>
        <v>0</v>
      </c>
      <c r="AH27" s="130">
        <f>('INSTRUCTION-2YR'!H27+'RESEARCH 2yr'!H27+'PUBLIC SERVICE 2yr'!H27+'ASptISptSSv 2yr'!H27+'PLANT OPER MAIN 2yr'!H27+'SCHOLAR FELLOW 2yr'!H27+'All Other 2yr'!H27)-H27</f>
        <v>0</v>
      </c>
      <c r="AI27" s="130">
        <f>('INSTRUCTION-2YR'!I27+'RESEARCH 2yr'!I27+'PUBLIC SERVICE 2yr'!I27+'ASptISptSSv 2yr'!I27+'PLANT OPER MAIN 2yr'!I27+'SCHOLAR FELLOW 2yr'!I27+'All Other 2yr'!I27)-I27</f>
        <v>0</v>
      </c>
      <c r="AJ27" s="130">
        <f>('INSTRUCTION-2YR'!J27+'RESEARCH 2yr'!J27+'PUBLIC SERVICE 2yr'!J27+'ASptISptSSv 2yr'!J27+'PLANT OPER MAIN 2yr'!J27+'SCHOLAR FELLOW 2yr'!J27+'All Other 2yr'!J27)-J27</f>
        <v>0</v>
      </c>
      <c r="AK27" s="130">
        <f>('INSTRUCTION-2YR'!K27+'RESEARCH 2yr'!K27+'PUBLIC SERVICE 2yr'!K27+'ASptISptSSv 2yr'!K27+'PLANT OPER MAIN 2yr'!K27+'SCHOLAR FELLOW 2yr'!K27+'All Other 2yr'!K27)-K27</f>
        <v>0</v>
      </c>
      <c r="AL27" s="130">
        <f>('INSTRUCTION-2YR'!L27+'RESEARCH 2yr'!L27+'PUBLIC SERVICE 2yr'!L27+'ASptISptSSv 2yr'!L27+'PLANT OPER MAIN 2yr'!L27+'SCHOLAR FELLOW 2yr'!L27+'All Other 2yr'!L27)-L27</f>
        <v>0</v>
      </c>
      <c r="AM27" s="130">
        <f>('INSTRUCTION-2YR'!M27+'RESEARCH 2yr'!M27+'PUBLIC SERVICE 2yr'!M27+'ASptISptSSv 2yr'!M27+'PLANT OPER MAIN 2yr'!M27+'SCHOLAR FELLOW 2yr'!M27+'All Other 2yr'!M27)-M27</f>
        <v>0</v>
      </c>
      <c r="AN27" s="130">
        <f>('INSTRUCTION-2YR'!N27+'RESEARCH 2yr'!N27+'PUBLIC SERVICE 2yr'!N27+'ASptISptSSv 2yr'!N27+'PLANT OPER MAIN 2yr'!N27+'SCHOLAR FELLOW 2yr'!N27+'All Other 2yr'!N27)-N27</f>
        <v>0</v>
      </c>
      <c r="AO27" s="130">
        <f>('INSTRUCTION-2YR'!O27+'RESEARCH 2yr'!O27+'PUBLIC SERVICE 2yr'!O27+'ASptISptSSv 2yr'!O27+'PLANT OPER MAIN 2yr'!O27+'SCHOLAR FELLOW 2yr'!O27+'All Other 2yr'!O27)-O27</f>
        <v>0</v>
      </c>
      <c r="AP27" s="130">
        <f>('INSTRUCTION-2YR'!P27+'RESEARCH 2yr'!P27+'PUBLIC SERVICE 2yr'!P27+'ASptISptSSv 2yr'!P27+'PLANT OPER MAIN 2yr'!P27+'SCHOLAR FELLOW 2yr'!P27+'All Other 2yr'!P27)-P27</f>
        <v>0</v>
      </c>
      <c r="AQ27" s="130">
        <f>('INSTRUCTION-2YR'!Q27+'RESEARCH 2yr'!Q27+'PUBLIC SERVICE 2yr'!Q27+'ASptISptSSv 2yr'!Q27+'PLANT OPER MAIN 2yr'!Q27+'SCHOLAR FELLOW 2yr'!Q27+'All Other 2yr'!Q27)-Q27</f>
        <v>0</v>
      </c>
      <c r="AR27" s="130">
        <f>('INSTRUCTION-2YR'!R27+'RESEARCH 2yr'!R27+'PUBLIC SERVICE 2yr'!R27+'ASptISptSSv 2yr'!R27+'PLANT OPER MAIN 2yr'!R27+'SCHOLAR FELLOW 2yr'!R27+'All Other 2yr'!R27)-R27</f>
        <v>0</v>
      </c>
      <c r="AS27" s="130">
        <f>('INSTRUCTION-2YR'!S27+'RESEARCH 2yr'!S27+'PUBLIC SERVICE 2yr'!S27+'ASptISptSSv 2yr'!S27+'PLANT OPER MAIN 2yr'!S27+'SCHOLAR FELLOW 2yr'!S27+'All Other 2yr'!S27)-S27</f>
        <v>0</v>
      </c>
      <c r="AT27" s="130">
        <f>('INSTRUCTION-2YR'!T27+'RESEARCH 2yr'!T27+'PUBLIC SERVICE 2yr'!T27+'ASptISptSSv 2yr'!T27+'PLANT OPER MAIN 2yr'!T27+'SCHOLAR FELLOW 2yr'!T27+'All Other 2yr'!T27)-T27</f>
        <v>0</v>
      </c>
      <c r="AU27" s="130">
        <f>('INSTRUCTION-2YR'!U27+'RESEARCH 2yr'!U27+'PUBLIC SERVICE 2yr'!U27+'ASptISptSSv 2yr'!U27+'PLANT OPER MAIN 2yr'!U27+'SCHOLAR FELLOW 2yr'!U27+'All Other 2yr'!U27)-U27</f>
        <v>0</v>
      </c>
      <c r="AV27" s="130">
        <f>('INSTRUCTION-2YR'!V27+'RESEARCH 2yr'!V27+'PUBLIC SERVICE 2yr'!V27+'ASptISptSSv 2yr'!V27+'PLANT OPER MAIN 2yr'!V27+'SCHOLAR FELLOW 2yr'!V27+'All Other 2yr'!V27)-V27</f>
        <v>0</v>
      </c>
      <c r="AW27" s="130">
        <f>('INSTRUCTION-2YR'!W27+'RESEARCH 2yr'!W27+'PUBLIC SERVICE 2yr'!W27+'ASptISptSSv 2yr'!W27+'PLANT OPER MAIN 2yr'!W27+'SCHOLAR FELLOW 2yr'!W27+'All Other 2yr'!W27)-W27</f>
        <v>0</v>
      </c>
      <c r="AX27" s="130">
        <f>('INSTRUCTION-2YR'!X27+'RESEARCH 2yr'!X27+'PUBLIC SERVICE 2yr'!X27+'ASptISptSSv 2yr'!X27+'PLANT OPER MAIN 2yr'!X27+'SCHOLAR FELLOW 2yr'!X27+'All Other 2yr'!X27)-X27</f>
        <v>0</v>
      </c>
      <c r="AY27" s="130">
        <f>('INSTRUCTION-2YR'!Y27+'RESEARCH 2yr'!Y27+'PUBLIC SERVICE 2yr'!Y27+'ASptISptSSv 2yr'!Y27+'PLANT OPER MAIN 2yr'!Y27+'SCHOLAR FELLOW 2yr'!Y27+'All Other 2yr'!Y27)-Y27</f>
        <v>0</v>
      </c>
      <c r="AZ27" s="130">
        <f>('INSTRUCTION-2YR'!Z27+'RESEARCH 2yr'!Z27+'PUBLIC SERVICE 2yr'!Z27+'ASptISptSSv 2yr'!Z27+'PLANT OPER MAIN 2yr'!Z27+'SCHOLAR FELLOW 2yr'!Z27+'All Other 2yr'!Z27)-Z27</f>
        <v>0</v>
      </c>
      <c r="BA27" s="130">
        <f>('INSTRUCTION-2YR'!AA27+'RESEARCH 2yr'!AA27+'PUBLIC SERVICE 2yr'!AA27+'ASptISptSSv 2yr'!AA27+'PLANT OPER MAIN 2yr'!AA27+'SCHOLAR FELLOW 2yr'!AA27+'All Other 2yr'!AA27)-AA27</f>
        <v>0</v>
      </c>
    </row>
    <row r="28" spans="1:53">
      <c r="A28" s="23" t="s">
        <v>86</v>
      </c>
      <c r="B28" s="36"/>
      <c r="C28" s="36"/>
      <c r="D28" s="36"/>
      <c r="E28" s="36"/>
      <c r="F28" s="77">
        <v>363896.53600000002</v>
      </c>
      <c r="G28" s="36"/>
      <c r="H28" s="36"/>
      <c r="I28" s="37">
        <v>418336.59899999999</v>
      </c>
      <c r="J28" s="37"/>
      <c r="K28" s="37">
        <v>524868.63231999998</v>
      </c>
      <c r="L28" s="37">
        <v>602974.10499999998</v>
      </c>
      <c r="M28" s="37">
        <v>650465.37300000002</v>
      </c>
      <c r="N28" s="37">
        <v>731775.14</v>
      </c>
      <c r="O28" s="37">
        <v>801538.41200000001</v>
      </c>
      <c r="P28" s="37">
        <v>859754.13199999998</v>
      </c>
      <c r="Q28" s="37">
        <v>908165.13100000005</v>
      </c>
      <c r="R28" s="37">
        <v>958325.13300000003</v>
      </c>
      <c r="S28" s="37">
        <v>1014550.073</v>
      </c>
      <c r="T28" s="23">
        <v>1052281.3089999999</v>
      </c>
      <c r="U28" s="23">
        <v>1126453.3999999999</v>
      </c>
      <c r="V28" s="23">
        <v>1284434.07</v>
      </c>
      <c r="W28" s="23">
        <v>1374123.2180000001</v>
      </c>
      <c r="X28" s="23">
        <v>1438062.4410000001</v>
      </c>
      <c r="Y28" s="2">
        <v>339019.51899999997</v>
      </c>
      <c r="Z28" s="2">
        <v>343497.94</v>
      </c>
      <c r="AA28" s="2">
        <v>342792.21</v>
      </c>
      <c r="AB28" s="130">
        <f>('INSTRUCTION-2YR'!B28+'RESEARCH 2yr'!B28+'PUBLIC SERVICE 2yr'!B28+'ASptISptSSv 2yr'!B28+'PLANT OPER MAIN 2yr'!B28+'SCHOLAR FELLOW 2yr'!B28+'All Other 2yr'!B28)-B28</f>
        <v>0</v>
      </c>
      <c r="AC28" s="130">
        <f>('INSTRUCTION-2YR'!C28+'RESEARCH 2yr'!C28+'PUBLIC SERVICE 2yr'!C28+'ASptISptSSv 2yr'!C28+'PLANT OPER MAIN 2yr'!C28+'SCHOLAR FELLOW 2yr'!C28+'All Other 2yr'!C28)-C28</f>
        <v>0</v>
      </c>
      <c r="AD28" s="130">
        <f>('INSTRUCTION-2YR'!D28+'RESEARCH 2yr'!D28+'PUBLIC SERVICE 2yr'!D28+'ASptISptSSv 2yr'!D28+'PLANT OPER MAIN 2yr'!D28+'SCHOLAR FELLOW 2yr'!D28+'All Other 2yr'!D28)-D28</f>
        <v>0</v>
      </c>
      <c r="AE28" s="130">
        <f>('INSTRUCTION-2YR'!E28+'RESEARCH 2yr'!E28+'PUBLIC SERVICE 2yr'!E28+'ASptISptSSv 2yr'!E28+'PLANT OPER MAIN 2yr'!E28+'SCHOLAR FELLOW 2yr'!E28+'All Other 2yr'!E28)-E28</f>
        <v>0</v>
      </c>
      <c r="AF28" s="130">
        <f>('INSTRUCTION-2YR'!F28+'RESEARCH 2yr'!F28+'PUBLIC SERVICE 2yr'!F28+'ASptISptSSv 2yr'!F28+'PLANT OPER MAIN 2yr'!F28+'SCHOLAR FELLOW 2yr'!F28+'All Other 2yr'!F28)-F28</f>
        <v>0</v>
      </c>
      <c r="AG28" s="130">
        <f>('INSTRUCTION-2YR'!G28+'RESEARCH 2yr'!G28+'PUBLIC SERVICE 2yr'!G28+'ASptISptSSv 2yr'!G28+'PLANT OPER MAIN 2yr'!G28+'SCHOLAR FELLOW 2yr'!G28+'All Other 2yr'!G28)-G28</f>
        <v>0</v>
      </c>
      <c r="AH28" s="130">
        <f>('INSTRUCTION-2YR'!H28+'RESEARCH 2yr'!H28+'PUBLIC SERVICE 2yr'!H28+'ASptISptSSv 2yr'!H28+'PLANT OPER MAIN 2yr'!H28+'SCHOLAR FELLOW 2yr'!H28+'All Other 2yr'!H28)-H28</f>
        <v>0</v>
      </c>
      <c r="AI28" s="130">
        <f>('INSTRUCTION-2YR'!I28+'RESEARCH 2yr'!I28+'PUBLIC SERVICE 2yr'!I28+'ASptISptSSv 2yr'!I28+'PLANT OPER MAIN 2yr'!I28+'SCHOLAR FELLOW 2yr'!I28+'All Other 2yr'!I28)-I28</f>
        <v>0</v>
      </c>
      <c r="AJ28" s="130">
        <f>('INSTRUCTION-2YR'!J28+'RESEARCH 2yr'!J28+'PUBLIC SERVICE 2yr'!J28+'ASptISptSSv 2yr'!J28+'PLANT OPER MAIN 2yr'!J28+'SCHOLAR FELLOW 2yr'!J28+'All Other 2yr'!J28)-J28</f>
        <v>0</v>
      </c>
      <c r="AK28" s="130">
        <f>('INSTRUCTION-2YR'!K28+'RESEARCH 2yr'!K28+'PUBLIC SERVICE 2yr'!K28+'ASptISptSSv 2yr'!K28+'PLANT OPER MAIN 2yr'!K28+'SCHOLAR FELLOW 2yr'!K28+'All Other 2yr'!K28)-K28</f>
        <v>0</v>
      </c>
      <c r="AL28" s="130">
        <f>('INSTRUCTION-2YR'!L28+'RESEARCH 2yr'!L28+'PUBLIC SERVICE 2yr'!L28+'ASptISptSSv 2yr'!L28+'PLANT OPER MAIN 2yr'!L28+'SCHOLAR FELLOW 2yr'!L28+'All Other 2yr'!L28)-L28</f>
        <v>0</v>
      </c>
      <c r="AM28" s="130">
        <f>('INSTRUCTION-2YR'!M28+'RESEARCH 2yr'!M28+'PUBLIC SERVICE 2yr'!M28+'ASptISptSSv 2yr'!M28+'PLANT OPER MAIN 2yr'!M28+'SCHOLAR FELLOW 2yr'!M28+'All Other 2yr'!M28)-M28</f>
        <v>0</v>
      </c>
      <c r="AN28" s="130">
        <f>('INSTRUCTION-2YR'!N28+'RESEARCH 2yr'!N28+'PUBLIC SERVICE 2yr'!N28+'ASptISptSSv 2yr'!N28+'PLANT OPER MAIN 2yr'!N28+'SCHOLAR FELLOW 2yr'!N28+'All Other 2yr'!N28)-N28</f>
        <v>0</v>
      </c>
      <c r="AO28" s="130">
        <f>('INSTRUCTION-2YR'!O28+'RESEARCH 2yr'!O28+'PUBLIC SERVICE 2yr'!O28+'ASptISptSSv 2yr'!O28+'PLANT OPER MAIN 2yr'!O28+'SCHOLAR FELLOW 2yr'!O28+'All Other 2yr'!O28)-O28</f>
        <v>0</v>
      </c>
      <c r="AP28" s="130">
        <f>('INSTRUCTION-2YR'!P28+'RESEARCH 2yr'!P28+'PUBLIC SERVICE 2yr'!P28+'ASptISptSSv 2yr'!P28+'PLANT OPER MAIN 2yr'!P28+'SCHOLAR FELLOW 2yr'!P28+'All Other 2yr'!P28)-P28</f>
        <v>0</v>
      </c>
      <c r="AQ28" s="130">
        <f>('INSTRUCTION-2YR'!Q28+'RESEARCH 2yr'!Q28+'PUBLIC SERVICE 2yr'!Q28+'ASptISptSSv 2yr'!Q28+'PLANT OPER MAIN 2yr'!Q28+'SCHOLAR FELLOW 2yr'!Q28+'All Other 2yr'!Q28)-Q28</f>
        <v>0</v>
      </c>
      <c r="AR28" s="130">
        <f>('INSTRUCTION-2YR'!R28+'RESEARCH 2yr'!R28+'PUBLIC SERVICE 2yr'!R28+'ASptISptSSv 2yr'!R28+'PLANT OPER MAIN 2yr'!R28+'SCHOLAR FELLOW 2yr'!R28+'All Other 2yr'!R28)-R28</f>
        <v>0</v>
      </c>
      <c r="AS28" s="130">
        <f>('INSTRUCTION-2YR'!S28+'RESEARCH 2yr'!S28+'PUBLIC SERVICE 2yr'!S28+'ASptISptSSv 2yr'!S28+'PLANT OPER MAIN 2yr'!S28+'SCHOLAR FELLOW 2yr'!S28+'All Other 2yr'!S28)-S28</f>
        <v>0</v>
      </c>
      <c r="AT28" s="130">
        <f>('INSTRUCTION-2YR'!T28+'RESEARCH 2yr'!T28+'PUBLIC SERVICE 2yr'!T28+'ASptISptSSv 2yr'!T28+'PLANT OPER MAIN 2yr'!T28+'SCHOLAR FELLOW 2yr'!T28+'All Other 2yr'!T28)-T28</f>
        <v>0</v>
      </c>
      <c r="AU28" s="130">
        <f>('INSTRUCTION-2YR'!U28+'RESEARCH 2yr'!U28+'PUBLIC SERVICE 2yr'!U28+'ASptISptSSv 2yr'!U28+'PLANT OPER MAIN 2yr'!U28+'SCHOLAR FELLOW 2yr'!U28+'All Other 2yr'!U28)-U28</f>
        <v>0</v>
      </c>
      <c r="AV28" s="130">
        <f>('INSTRUCTION-2YR'!V28+'RESEARCH 2yr'!V28+'PUBLIC SERVICE 2yr'!V28+'ASptISptSSv 2yr'!V28+'PLANT OPER MAIN 2yr'!V28+'SCHOLAR FELLOW 2yr'!V28+'All Other 2yr'!V28)-V28</f>
        <v>0</v>
      </c>
      <c r="AW28" s="130">
        <f>('INSTRUCTION-2YR'!W28+'RESEARCH 2yr'!W28+'PUBLIC SERVICE 2yr'!W28+'ASptISptSSv 2yr'!W28+'PLANT OPER MAIN 2yr'!W28+'SCHOLAR FELLOW 2yr'!W28+'All Other 2yr'!W28)-W28</f>
        <v>0</v>
      </c>
      <c r="AX28" s="130">
        <f>('INSTRUCTION-2YR'!X28+'RESEARCH 2yr'!X28+'PUBLIC SERVICE 2yr'!X28+'ASptISptSSv 2yr'!X28+'PLANT OPER MAIN 2yr'!X28+'SCHOLAR FELLOW 2yr'!X28+'All Other 2yr'!X28)-X28</f>
        <v>0</v>
      </c>
      <c r="AY28" s="130">
        <f>('INSTRUCTION-2YR'!Y28+'RESEARCH 2yr'!Y28+'PUBLIC SERVICE 2yr'!Y28+'ASptISptSSv 2yr'!Y28+'PLANT OPER MAIN 2yr'!Y28+'SCHOLAR FELLOW 2yr'!Y28+'All Other 2yr'!Y28)-Y28</f>
        <v>0</v>
      </c>
      <c r="AZ28" s="130">
        <f>('INSTRUCTION-2YR'!Z28+'RESEARCH 2yr'!Z28+'PUBLIC SERVICE 2yr'!Z28+'ASptISptSSv 2yr'!Z28+'PLANT OPER MAIN 2yr'!Z28+'SCHOLAR FELLOW 2yr'!Z28+'All Other 2yr'!Z28)-Z28</f>
        <v>0</v>
      </c>
      <c r="BA28" s="130">
        <f>('INSTRUCTION-2YR'!AA28+'RESEARCH 2yr'!AA28+'PUBLIC SERVICE 2yr'!AA28+'ASptISptSSv 2yr'!AA28+'PLANT OPER MAIN 2yr'!AA28+'SCHOLAR FELLOW 2yr'!AA28+'All Other 2yr'!AA28)-AA28</f>
        <v>0</v>
      </c>
    </row>
    <row r="29" spans="1:53">
      <c r="A29" s="23" t="s">
        <v>87</v>
      </c>
      <c r="B29" s="36"/>
      <c r="C29" s="36"/>
      <c r="D29" s="36"/>
      <c r="E29" s="36"/>
      <c r="F29" s="77">
        <v>3054566.8220000002</v>
      </c>
      <c r="G29" s="36"/>
      <c r="H29" s="36"/>
      <c r="I29" s="37">
        <v>3269711.0070000002</v>
      </c>
      <c r="J29" s="37"/>
      <c r="K29" s="37">
        <v>4248387.3127700007</v>
      </c>
      <c r="L29" s="37">
        <v>3802965.6030000001</v>
      </c>
      <c r="M29" s="37">
        <v>4146852.7420000001</v>
      </c>
      <c r="N29" s="37">
        <v>4515988.5389999999</v>
      </c>
      <c r="O29" s="37">
        <v>4627004.415</v>
      </c>
      <c r="P29" s="37">
        <v>4674531.9060000004</v>
      </c>
      <c r="Q29" s="37">
        <v>6752603.5990000004</v>
      </c>
      <c r="R29" s="37">
        <v>7204829.5930000003</v>
      </c>
      <c r="S29" s="37">
        <v>7949626.4699999997</v>
      </c>
      <c r="T29" s="23">
        <v>8709183.4969999995</v>
      </c>
      <c r="U29" s="23">
        <v>9199154.6109999996</v>
      </c>
      <c r="V29" s="23">
        <v>9517428.9389999993</v>
      </c>
      <c r="W29" s="23">
        <v>10607184.348999999</v>
      </c>
      <c r="X29" s="23">
        <v>10435664.01</v>
      </c>
      <c r="Y29" s="2">
        <v>7625430.4890000001</v>
      </c>
      <c r="Z29" s="2">
        <v>7982002.3669999996</v>
      </c>
      <c r="AA29" s="2">
        <v>8459857.1960000005</v>
      </c>
      <c r="AB29" s="130">
        <f>('INSTRUCTION-2YR'!B29+'RESEARCH 2yr'!B29+'PUBLIC SERVICE 2yr'!B29+'ASptISptSSv 2yr'!B29+'PLANT OPER MAIN 2yr'!B29+'SCHOLAR FELLOW 2yr'!B29+'All Other 2yr'!B29)-B29</f>
        <v>0</v>
      </c>
      <c r="AC29" s="130">
        <f>('INSTRUCTION-2YR'!C29+'RESEARCH 2yr'!C29+'PUBLIC SERVICE 2yr'!C29+'ASptISptSSv 2yr'!C29+'PLANT OPER MAIN 2yr'!C29+'SCHOLAR FELLOW 2yr'!C29+'All Other 2yr'!C29)-C29</f>
        <v>0</v>
      </c>
      <c r="AD29" s="130">
        <f>('INSTRUCTION-2YR'!D29+'RESEARCH 2yr'!D29+'PUBLIC SERVICE 2yr'!D29+'ASptISptSSv 2yr'!D29+'PLANT OPER MAIN 2yr'!D29+'SCHOLAR FELLOW 2yr'!D29+'All Other 2yr'!D29)-D29</f>
        <v>0</v>
      </c>
      <c r="AE29" s="130">
        <f>('INSTRUCTION-2YR'!E29+'RESEARCH 2yr'!E29+'PUBLIC SERVICE 2yr'!E29+'ASptISptSSv 2yr'!E29+'PLANT OPER MAIN 2yr'!E29+'SCHOLAR FELLOW 2yr'!E29+'All Other 2yr'!E29)-E29</f>
        <v>0</v>
      </c>
      <c r="AF29" s="130">
        <f>('INSTRUCTION-2YR'!F29+'RESEARCH 2yr'!F29+'PUBLIC SERVICE 2yr'!F29+'ASptISptSSv 2yr'!F29+'PLANT OPER MAIN 2yr'!F29+'SCHOLAR FELLOW 2yr'!F29+'All Other 2yr'!F29)-F29</f>
        <v>0</v>
      </c>
      <c r="AG29" s="130">
        <f>('INSTRUCTION-2YR'!G29+'RESEARCH 2yr'!G29+'PUBLIC SERVICE 2yr'!G29+'ASptISptSSv 2yr'!G29+'PLANT OPER MAIN 2yr'!G29+'SCHOLAR FELLOW 2yr'!G29+'All Other 2yr'!G29)-G29</f>
        <v>0</v>
      </c>
      <c r="AH29" s="130">
        <f>('INSTRUCTION-2YR'!H29+'RESEARCH 2yr'!H29+'PUBLIC SERVICE 2yr'!H29+'ASptISptSSv 2yr'!H29+'PLANT OPER MAIN 2yr'!H29+'SCHOLAR FELLOW 2yr'!H29+'All Other 2yr'!H29)-H29</f>
        <v>0</v>
      </c>
      <c r="AI29" s="130">
        <f>('INSTRUCTION-2YR'!I29+'RESEARCH 2yr'!I29+'PUBLIC SERVICE 2yr'!I29+'ASptISptSSv 2yr'!I29+'PLANT OPER MAIN 2yr'!I29+'SCHOLAR FELLOW 2yr'!I29+'All Other 2yr'!I29)-I29</f>
        <v>0</v>
      </c>
      <c r="AJ29" s="130">
        <f>('INSTRUCTION-2YR'!J29+'RESEARCH 2yr'!J29+'PUBLIC SERVICE 2yr'!J29+'ASptISptSSv 2yr'!J29+'PLANT OPER MAIN 2yr'!J29+'SCHOLAR FELLOW 2yr'!J29+'All Other 2yr'!J29)-J29</f>
        <v>0</v>
      </c>
      <c r="AK29" s="130">
        <f>('INSTRUCTION-2YR'!K29+'RESEARCH 2yr'!K29+'PUBLIC SERVICE 2yr'!K29+'ASptISptSSv 2yr'!K29+'PLANT OPER MAIN 2yr'!K29+'SCHOLAR FELLOW 2yr'!K29+'All Other 2yr'!K29)-K29</f>
        <v>0</v>
      </c>
      <c r="AL29" s="130">
        <f>('INSTRUCTION-2YR'!L29+'RESEARCH 2yr'!L29+'PUBLIC SERVICE 2yr'!L29+'ASptISptSSv 2yr'!L29+'PLANT OPER MAIN 2yr'!L29+'SCHOLAR FELLOW 2yr'!L29+'All Other 2yr'!L29)-L29</f>
        <v>0</v>
      </c>
      <c r="AM29" s="130">
        <f>('INSTRUCTION-2YR'!M29+'RESEARCH 2yr'!M29+'PUBLIC SERVICE 2yr'!M29+'ASptISptSSv 2yr'!M29+'PLANT OPER MAIN 2yr'!M29+'SCHOLAR FELLOW 2yr'!M29+'All Other 2yr'!M29)-M29</f>
        <v>0</v>
      </c>
      <c r="AN29" s="130">
        <f>('INSTRUCTION-2YR'!N29+'RESEARCH 2yr'!N29+'PUBLIC SERVICE 2yr'!N29+'ASptISptSSv 2yr'!N29+'PLANT OPER MAIN 2yr'!N29+'SCHOLAR FELLOW 2yr'!N29+'All Other 2yr'!N29)-N29</f>
        <v>0</v>
      </c>
      <c r="AO29" s="130">
        <f>('INSTRUCTION-2YR'!O29+'RESEARCH 2yr'!O29+'PUBLIC SERVICE 2yr'!O29+'ASptISptSSv 2yr'!O29+'PLANT OPER MAIN 2yr'!O29+'SCHOLAR FELLOW 2yr'!O29+'All Other 2yr'!O29)-O29</f>
        <v>0</v>
      </c>
      <c r="AP29" s="130">
        <f>('INSTRUCTION-2YR'!P29+'RESEARCH 2yr'!P29+'PUBLIC SERVICE 2yr'!P29+'ASptISptSSv 2yr'!P29+'PLANT OPER MAIN 2yr'!P29+'SCHOLAR FELLOW 2yr'!P29+'All Other 2yr'!P29)-P29</f>
        <v>0</v>
      </c>
      <c r="AQ29" s="130">
        <f>('INSTRUCTION-2YR'!Q29+'RESEARCH 2yr'!Q29+'PUBLIC SERVICE 2yr'!Q29+'ASptISptSSv 2yr'!Q29+'PLANT OPER MAIN 2yr'!Q29+'SCHOLAR FELLOW 2yr'!Q29+'All Other 2yr'!Q29)-Q29</f>
        <v>0</v>
      </c>
      <c r="AR29" s="130">
        <f>('INSTRUCTION-2YR'!R29+'RESEARCH 2yr'!R29+'PUBLIC SERVICE 2yr'!R29+'ASptISptSSv 2yr'!R29+'PLANT OPER MAIN 2yr'!R29+'SCHOLAR FELLOW 2yr'!R29+'All Other 2yr'!R29)-R29</f>
        <v>0</v>
      </c>
      <c r="AS29" s="130">
        <f>('INSTRUCTION-2YR'!S29+'RESEARCH 2yr'!S29+'PUBLIC SERVICE 2yr'!S29+'ASptISptSSv 2yr'!S29+'PLANT OPER MAIN 2yr'!S29+'SCHOLAR FELLOW 2yr'!S29+'All Other 2yr'!S29)-S29</f>
        <v>0</v>
      </c>
      <c r="AT29" s="130">
        <f>('INSTRUCTION-2YR'!T29+'RESEARCH 2yr'!T29+'PUBLIC SERVICE 2yr'!T29+'ASptISptSSv 2yr'!T29+'PLANT OPER MAIN 2yr'!T29+'SCHOLAR FELLOW 2yr'!T29+'All Other 2yr'!T29)-T29</f>
        <v>0</v>
      </c>
      <c r="AU29" s="130">
        <f>('INSTRUCTION-2YR'!U29+'RESEARCH 2yr'!U29+'PUBLIC SERVICE 2yr'!U29+'ASptISptSSv 2yr'!U29+'PLANT OPER MAIN 2yr'!U29+'SCHOLAR FELLOW 2yr'!U29+'All Other 2yr'!U29)-U29</f>
        <v>0</v>
      </c>
      <c r="AV29" s="130">
        <f>('INSTRUCTION-2YR'!V29+'RESEARCH 2yr'!V29+'PUBLIC SERVICE 2yr'!V29+'ASptISptSSv 2yr'!V29+'PLANT OPER MAIN 2yr'!V29+'SCHOLAR FELLOW 2yr'!V29+'All Other 2yr'!V29)-V29</f>
        <v>0</v>
      </c>
      <c r="AW29" s="130">
        <f>('INSTRUCTION-2YR'!W29+'RESEARCH 2yr'!W29+'PUBLIC SERVICE 2yr'!W29+'ASptISptSSv 2yr'!W29+'PLANT OPER MAIN 2yr'!W29+'SCHOLAR FELLOW 2yr'!W29+'All Other 2yr'!W29)-W29</f>
        <v>0</v>
      </c>
      <c r="AX29" s="130">
        <f>('INSTRUCTION-2YR'!X29+'RESEARCH 2yr'!X29+'PUBLIC SERVICE 2yr'!X29+'ASptISptSSv 2yr'!X29+'PLANT OPER MAIN 2yr'!X29+'SCHOLAR FELLOW 2yr'!X29+'All Other 2yr'!X29)-X29</f>
        <v>0</v>
      </c>
      <c r="AY29" s="130">
        <f>('INSTRUCTION-2YR'!Y29+'RESEARCH 2yr'!Y29+'PUBLIC SERVICE 2yr'!Y29+'ASptISptSSv 2yr'!Y29+'PLANT OPER MAIN 2yr'!Y29+'SCHOLAR FELLOW 2yr'!Y29+'All Other 2yr'!Y29)-Y29</f>
        <v>0</v>
      </c>
      <c r="AZ29" s="130">
        <f>('INSTRUCTION-2YR'!Z29+'RESEARCH 2yr'!Z29+'PUBLIC SERVICE 2yr'!Z29+'ASptISptSSv 2yr'!Z29+'PLANT OPER MAIN 2yr'!Z29+'SCHOLAR FELLOW 2yr'!Z29+'All Other 2yr'!Z29)-Z29</f>
        <v>0</v>
      </c>
      <c r="BA29" s="130">
        <f>('INSTRUCTION-2YR'!AA29+'RESEARCH 2yr'!AA29+'PUBLIC SERVICE 2yr'!AA29+'ASptISptSSv 2yr'!AA29+'PLANT OPER MAIN 2yr'!AA29+'SCHOLAR FELLOW 2yr'!AA29+'All Other 2yr'!AA29)-AA29</f>
        <v>0</v>
      </c>
    </row>
    <row r="30" spans="1:53">
      <c r="A30" s="23" t="s">
        <v>88</v>
      </c>
      <c r="B30" s="36"/>
      <c r="C30" s="36"/>
      <c r="D30" s="36"/>
      <c r="E30" s="36"/>
      <c r="F30" s="77">
        <v>212171.04699999999</v>
      </c>
      <c r="G30" s="36"/>
      <c r="H30" s="36"/>
      <c r="I30" s="37">
        <v>263157.62800000003</v>
      </c>
      <c r="J30" s="37"/>
      <c r="K30" s="37">
        <v>300145.93400000001</v>
      </c>
      <c r="L30" s="37">
        <v>338417.24099999998</v>
      </c>
      <c r="M30" s="37">
        <v>357240.88500000001</v>
      </c>
      <c r="N30" s="37">
        <v>419695.054</v>
      </c>
      <c r="O30" s="37">
        <v>425157.071</v>
      </c>
      <c r="P30" s="37">
        <v>415164.989</v>
      </c>
      <c r="Q30" s="37">
        <v>430039.35200000001</v>
      </c>
      <c r="R30" s="37">
        <v>457211.94900000002</v>
      </c>
      <c r="S30" s="37">
        <v>465487.761</v>
      </c>
      <c r="T30" s="23">
        <v>497707.60600000003</v>
      </c>
      <c r="U30" s="23">
        <v>538257.85199999996</v>
      </c>
      <c r="V30" s="23">
        <v>619674.24600000004</v>
      </c>
      <c r="W30" s="23">
        <v>695458.22199999995</v>
      </c>
      <c r="X30" s="23">
        <v>729647.83299999998</v>
      </c>
      <c r="Y30" s="2">
        <v>340608.005</v>
      </c>
      <c r="Z30" s="2">
        <v>333171.27600000001</v>
      </c>
      <c r="AA30" s="2">
        <v>356754.44199999998</v>
      </c>
      <c r="AB30" s="130">
        <f>('INSTRUCTION-2YR'!B30+'RESEARCH 2yr'!B30+'PUBLIC SERVICE 2yr'!B30+'ASptISptSSv 2yr'!B30+'PLANT OPER MAIN 2yr'!B30+'SCHOLAR FELLOW 2yr'!B30+'All Other 2yr'!B30)-B30</f>
        <v>0</v>
      </c>
      <c r="AC30" s="130">
        <f>('INSTRUCTION-2YR'!C30+'RESEARCH 2yr'!C30+'PUBLIC SERVICE 2yr'!C30+'ASptISptSSv 2yr'!C30+'PLANT OPER MAIN 2yr'!C30+'SCHOLAR FELLOW 2yr'!C30+'All Other 2yr'!C30)-C30</f>
        <v>0</v>
      </c>
      <c r="AD30" s="130">
        <f>('INSTRUCTION-2YR'!D30+'RESEARCH 2yr'!D30+'PUBLIC SERVICE 2yr'!D30+'ASptISptSSv 2yr'!D30+'PLANT OPER MAIN 2yr'!D30+'SCHOLAR FELLOW 2yr'!D30+'All Other 2yr'!D30)-D30</f>
        <v>0</v>
      </c>
      <c r="AE30" s="130">
        <f>('INSTRUCTION-2YR'!E30+'RESEARCH 2yr'!E30+'PUBLIC SERVICE 2yr'!E30+'ASptISptSSv 2yr'!E30+'PLANT OPER MAIN 2yr'!E30+'SCHOLAR FELLOW 2yr'!E30+'All Other 2yr'!E30)-E30</f>
        <v>0</v>
      </c>
      <c r="AF30" s="130">
        <f>('INSTRUCTION-2YR'!F30+'RESEARCH 2yr'!F30+'PUBLIC SERVICE 2yr'!F30+'ASptISptSSv 2yr'!F30+'PLANT OPER MAIN 2yr'!F30+'SCHOLAR FELLOW 2yr'!F30+'All Other 2yr'!F30)-F30</f>
        <v>0</v>
      </c>
      <c r="AG30" s="130">
        <f>('INSTRUCTION-2YR'!G30+'RESEARCH 2yr'!G30+'PUBLIC SERVICE 2yr'!G30+'ASptISptSSv 2yr'!G30+'PLANT OPER MAIN 2yr'!G30+'SCHOLAR FELLOW 2yr'!G30+'All Other 2yr'!G30)-G30</f>
        <v>0</v>
      </c>
      <c r="AH30" s="130">
        <f>('INSTRUCTION-2YR'!H30+'RESEARCH 2yr'!H30+'PUBLIC SERVICE 2yr'!H30+'ASptISptSSv 2yr'!H30+'PLANT OPER MAIN 2yr'!H30+'SCHOLAR FELLOW 2yr'!H30+'All Other 2yr'!H30)-H30</f>
        <v>0</v>
      </c>
      <c r="AI30" s="130">
        <f>('INSTRUCTION-2YR'!I30+'RESEARCH 2yr'!I30+'PUBLIC SERVICE 2yr'!I30+'ASptISptSSv 2yr'!I30+'PLANT OPER MAIN 2yr'!I30+'SCHOLAR FELLOW 2yr'!I30+'All Other 2yr'!I30)-I30</f>
        <v>0</v>
      </c>
      <c r="AJ30" s="130">
        <f>('INSTRUCTION-2YR'!J30+'RESEARCH 2yr'!J30+'PUBLIC SERVICE 2yr'!J30+'ASptISptSSv 2yr'!J30+'PLANT OPER MAIN 2yr'!J30+'SCHOLAR FELLOW 2yr'!J30+'All Other 2yr'!J30)-J30</f>
        <v>0</v>
      </c>
      <c r="AK30" s="130">
        <f>('INSTRUCTION-2YR'!K30+'RESEARCH 2yr'!K30+'PUBLIC SERVICE 2yr'!K30+'ASptISptSSv 2yr'!K30+'PLANT OPER MAIN 2yr'!K30+'SCHOLAR FELLOW 2yr'!K30+'All Other 2yr'!K30)-K30</f>
        <v>0</v>
      </c>
      <c r="AL30" s="130">
        <f>('INSTRUCTION-2YR'!L30+'RESEARCH 2yr'!L30+'PUBLIC SERVICE 2yr'!L30+'ASptISptSSv 2yr'!L30+'PLANT OPER MAIN 2yr'!L30+'SCHOLAR FELLOW 2yr'!L30+'All Other 2yr'!L30)-L30</f>
        <v>0</v>
      </c>
      <c r="AM30" s="130">
        <f>('INSTRUCTION-2YR'!M30+'RESEARCH 2yr'!M30+'PUBLIC SERVICE 2yr'!M30+'ASptISptSSv 2yr'!M30+'PLANT OPER MAIN 2yr'!M30+'SCHOLAR FELLOW 2yr'!M30+'All Other 2yr'!M30)-M30</f>
        <v>0</v>
      </c>
      <c r="AN30" s="130">
        <f>('INSTRUCTION-2YR'!N30+'RESEARCH 2yr'!N30+'PUBLIC SERVICE 2yr'!N30+'ASptISptSSv 2yr'!N30+'PLANT OPER MAIN 2yr'!N30+'SCHOLAR FELLOW 2yr'!N30+'All Other 2yr'!N30)-N30</f>
        <v>0</v>
      </c>
      <c r="AO30" s="130">
        <f>('INSTRUCTION-2YR'!O30+'RESEARCH 2yr'!O30+'PUBLIC SERVICE 2yr'!O30+'ASptISptSSv 2yr'!O30+'PLANT OPER MAIN 2yr'!O30+'SCHOLAR FELLOW 2yr'!O30+'All Other 2yr'!O30)-O30</f>
        <v>0</v>
      </c>
      <c r="AP30" s="130">
        <f>('INSTRUCTION-2YR'!P30+'RESEARCH 2yr'!P30+'PUBLIC SERVICE 2yr'!P30+'ASptISptSSv 2yr'!P30+'PLANT OPER MAIN 2yr'!P30+'SCHOLAR FELLOW 2yr'!P30+'All Other 2yr'!P30)-P30</f>
        <v>0</v>
      </c>
      <c r="AQ30" s="130">
        <f>('INSTRUCTION-2YR'!Q30+'RESEARCH 2yr'!Q30+'PUBLIC SERVICE 2yr'!Q30+'ASptISptSSv 2yr'!Q30+'PLANT OPER MAIN 2yr'!Q30+'SCHOLAR FELLOW 2yr'!Q30+'All Other 2yr'!Q30)-Q30</f>
        <v>0</v>
      </c>
      <c r="AR30" s="130">
        <f>('INSTRUCTION-2YR'!R30+'RESEARCH 2yr'!R30+'PUBLIC SERVICE 2yr'!R30+'ASptISptSSv 2yr'!R30+'PLANT OPER MAIN 2yr'!R30+'SCHOLAR FELLOW 2yr'!R30+'All Other 2yr'!R30)-R30</f>
        <v>0</v>
      </c>
      <c r="AS30" s="130">
        <f>('INSTRUCTION-2YR'!S30+'RESEARCH 2yr'!S30+'PUBLIC SERVICE 2yr'!S30+'ASptISptSSv 2yr'!S30+'PLANT OPER MAIN 2yr'!S30+'SCHOLAR FELLOW 2yr'!S30+'All Other 2yr'!S30)-S30</f>
        <v>0</v>
      </c>
      <c r="AT30" s="130">
        <f>('INSTRUCTION-2YR'!T30+'RESEARCH 2yr'!T30+'PUBLIC SERVICE 2yr'!T30+'ASptISptSSv 2yr'!T30+'PLANT OPER MAIN 2yr'!T30+'SCHOLAR FELLOW 2yr'!T30+'All Other 2yr'!T30)-T30</f>
        <v>0</v>
      </c>
      <c r="AU30" s="130">
        <f>('INSTRUCTION-2YR'!U30+'RESEARCH 2yr'!U30+'PUBLIC SERVICE 2yr'!U30+'ASptISptSSv 2yr'!U30+'PLANT OPER MAIN 2yr'!U30+'SCHOLAR FELLOW 2yr'!U30+'All Other 2yr'!U30)-U30</f>
        <v>0</v>
      </c>
      <c r="AV30" s="130">
        <f>('INSTRUCTION-2YR'!V30+'RESEARCH 2yr'!V30+'PUBLIC SERVICE 2yr'!V30+'ASptISptSSv 2yr'!V30+'PLANT OPER MAIN 2yr'!V30+'SCHOLAR FELLOW 2yr'!V30+'All Other 2yr'!V30)-V30</f>
        <v>0</v>
      </c>
      <c r="AW30" s="130">
        <f>('INSTRUCTION-2YR'!W30+'RESEARCH 2yr'!W30+'PUBLIC SERVICE 2yr'!W30+'ASptISptSSv 2yr'!W30+'PLANT OPER MAIN 2yr'!W30+'SCHOLAR FELLOW 2yr'!W30+'All Other 2yr'!W30)-W30</f>
        <v>0</v>
      </c>
      <c r="AX30" s="130">
        <f>('INSTRUCTION-2YR'!X30+'RESEARCH 2yr'!X30+'PUBLIC SERVICE 2yr'!X30+'ASptISptSSv 2yr'!X30+'PLANT OPER MAIN 2yr'!X30+'SCHOLAR FELLOW 2yr'!X30+'All Other 2yr'!X30)-X30</f>
        <v>0</v>
      </c>
      <c r="AY30" s="130">
        <f>('INSTRUCTION-2YR'!Y30+'RESEARCH 2yr'!Y30+'PUBLIC SERVICE 2yr'!Y30+'ASptISptSSv 2yr'!Y30+'PLANT OPER MAIN 2yr'!Y30+'SCHOLAR FELLOW 2yr'!Y30+'All Other 2yr'!Y30)-Y30</f>
        <v>0</v>
      </c>
      <c r="AZ30" s="130">
        <f>('INSTRUCTION-2YR'!Z30+'RESEARCH 2yr'!Z30+'PUBLIC SERVICE 2yr'!Z30+'ASptISptSSv 2yr'!Z30+'PLANT OPER MAIN 2yr'!Z30+'SCHOLAR FELLOW 2yr'!Z30+'All Other 2yr'!Z30)-Z30</f>
        <v>0</v>
      </c>
      <c r="BA30" s="130">
        <f>('INSTRUCTION-2YR'!AA30+'RESEARCH 2yr'!AA30+'PUBLIC SERVICE 2yr'!AA30+'ASptISptSSv 2yr'!AA30+'PLANT OPER MAIN 2yr'!AA30+'SCHOLAR FELLOW 2yr'!AA30+'All Other 2yr'!AA30)-AA30</f>
        <v>0</v>
      </c>
    </row>
    <row r="31" spans="1:53">
      <c r="A31" s="23" t="s">
        <v>91</v>
      </c>
      <c r="B31" s="36"/>
      <c r="C31" s="36"/>
      <c r="D31" s="36"/>
      <c r="E31" s="36"/>
      <c r="F31" s="77">
        <v>97550.804000000004</v>
      </c>
      <c r="G31" s="36"/>
      <c r="H31" s="36"/>
      <c r="I31" s="37">
        <v>114336.895</v>
      </c>
      <c r="J31" s="37"/>
      <c r="K31" s="37">
        <v>118847.82</v>
      </c>
      <c r="L31" s="37">
        <v>130485.81600000001</v>
      </c>
      <c r="M31" s="37">
        <v>131597.22500000001</v>
      </c>
      <c r="N31" s="37">
        <v>159636.49</v>
      </c>
      <c r="O31" s="37">
        <v>176313.79</v>
      </c>
      <c r="P31" s="37">
        <v>154724.552</v>
      </c>
      <c r="Q31" s="37">
        <v>157190.81400000001</v>
      </c>
      <c r="R31" s="37">
        <v>158527.21799999999</v>
      </c>
      <c r="S31" s="37">
        <v>174005.46599999999</v>
      </c>
      <c r="T31" s="23">
        <v>197522.935</v>
      </c>
      <c r="U31" s="23">
        <v>271804.17200000002</v>
      </c>
      <c r="V31" s="23">
        <v>262094.93799999999</v>
      </c>
      <c r="W31" s="23">
        <v>284002.71799999999</v>
      </c>
      <c r="X31" s="23">
        <v>298623.73300000001</v>
      </c>
      <c r="Y31" s="2">
        <v>308842.674</v>
      </c>
      <c r="Z31" s="2">
        <v>318989.47899999999</v>
      </c>
      <c r="AA31" s="2">
        <v>329547.326</v>
      </c>
      <c r="AB31" s="130">
        <f>('INSTRUCTION-2YR'!B31+'RESEARCH 2yr'!B31+'PUBLIC SERVICE 2yr'!B31+'ASptISptSSv 2yr'!B31+'PLANT OPER MAIN 2yr'!B31+'SCHOLAR FELLOW 2yr'!B31+'All Other 2yr'!B31)-B31</f>
        <v>0</v>
      </c>
      <c r="AC31" s="130">
        <f>('INSTRUCTION-2YR'!C31+'RESEARCH 2yr'!C31+'PUBLIC SERVICE 2yr'!C31+'ASptISptSSv 2yr'!C31+'PLANT OPER MAIN 2yr'!C31+'SCHOLAR FELLOW 2yr'!C31+'All Other 2yr'!C31)-C31</f>
        <v>0</v>
      </c>
      <c r="AD31" s="130">
        <f>('INSTRUCTION-2YR'!D31+'RESEARCH 2yr'!D31+'PUBLIC SERVICE 2yr'!D31+'ASptISptSSv 2yr'!D31+'PLANT OPER MAIN 2yr'!D31+'SCHOLAR FELLOW 2yr'!D31+'All Other 2yr'!D31)-D31</f>
        <v>0</v>
      </c>
      <c r="AE31" s="130">
        <f>('INSTRUCTION-2YR'!E31+'RESEARCH 2yr'!E31+'PUBLIC SERVICE 2yr'!E31+'ASptISptSSv 2yr'!E31+'PLANT OPER MAIN 2yr'!E31+'SCHOLAR FELLOW 2yr'!E31+'All Other 2yr'!E31)-E31</f>
        <v>0</v>
      </c>
      <c r="AF31" s="130">
        <f>('INSTRUCTION-2YR'!F31+'RESEARCH 2yr'!F31+'PUBLIC SERVICE 2yr'!F31+'ASptISptSSv 2yr'!F31+'PLANT OPER MAIN 2yr'!F31+'SCHOLAR FELLOW 2yr'!F31+'All Other 2yr'!F31)-F31</f>
        <v>0</v>
      </c>
      <c r="AG31" s="130">
        <f>('INSTRUCTION-2YR'!G31+'RESEARCH 2yr'!G31+'PUBLIC SERVICE 2yr'!G31+'ASptISptSSv 2yr'!G31+'PLANT OPER MAIN 2yr'!G31+'SCHOLAR FELLOW 2yr'!G31+'All Other 2yr'!G31)-G31</f>
        <v>0</v>
      </c>
      <c r="AH31" s="130">
        <f>('INSTRUCTION-2YR'!H31+'RESEARCH 2yr'!H31+'PUBLIC SERVICE 2yr'!H31+'ASptISptSSv 2yr'!H31+'PLANT OPER MAIN 2yr'!H31+'SCHOLAR FELLOW 2yr'!H31+'All Other 2yr'!H31)-H31</f>
        <v>0</v>
      </c>
      <c r="AI31" s="130">
        <f>('INSTRUCTION-2YR'!I31+'RESEARCH 2yr'!I31+'PUBLIC SERVICE 2yr'!I31+'ASptISptSSv 2yr'!I31+'PLANT OPER MAIN 2yr'!I31+'SCHOLAR FELLOW 2yr'!I31+'All Other 2yr'!I31)-I31</f>
        <v>0</v>
      </c>
      <c r="AJ31" s="130">
        <f>('INSTRUCTION-2YR'!J31+'RESEARCH 2yr'!J31+'PUBLIC SERVICE 2yr'!J31+'ASptISptSSv 2yr'!J31+'PLANT OPER MAIN 2yr'!J31+'SCHOLAR FELLOW 2yr'!J31+'All Other 2yr'!J31)-J31</f>
        <v>0</v>
      </c>
      <c r="AK31" s="130">
        <f>('INSTRUCTION-2YR'!K31+'RESEARCH 2yr'!K31+'PUBLIC SERVICE 2yr'!K31+'ASptISptSSv 2yr'!K31+'PLANT OPER MAIN 2yr'!K31+'SCHOLAR FELLOW 2yr'!K31+'All Other 2yr'!K31)-K31</f>
        <v>0</v>
      </c>
      <c r="AL31" s="130">
        <f>('INSTRUCTION-2YR'!L31+'RESEARCH 2yr'!L31+'PUBLIC SERVICE 2yr'!L31+'ASptISptSSv 2yr'!L31+'PLANT OPER MAIN 2yr'!L31+'SCHOLAR FELLOW 2yr'!L31+'All Other 2yr'!L31)-L31</f>
        <v>0</v>
      </c>
      <c r="AM31" s="130">
        <f>('INSTRUCTION-2YR'!M31+'RESEARCH 2yr'!M31+'PUBLIC SERVICE 2yr'!M31+'ASptISptSSv 2yr'!M31+'PLANT OPER MAIN 2yr'!M31+'SCHOLAR FELLOW 2yr'!M31+'All Other 2yr'!M31)-M31</f>
        <v>0</v>
      </c>
      <c r="AN31" s="130">
        <f>('INSTRUCTION-2YR'!N31+'RESEARCH 2yr'!N31+'PUBLIC SERVICE 2yr'!N31+'ASptISptSSv 2yr'!N31+'PLANT OPER MAIN 2yr'!N31+'SCHOLAR FELLOW 2yr'!N31+'All Other 2yr'!N31)-N31</f>
        <v>0</v>
      </c>
      <c r="AO31" s="130">
        <f>('INSTRUCTION-2YR'!O31+'RESEARCH 2yr'!O31+'PUBLIC SERVICE 2yr'!O31+'ASptISptSSv 2yr'!O31+'PLANT OPER MAIN 2yr'!O31+'SCHOLAR FELLOW 2yr'!O31+'All Other 2yr'!O31)-O31</f>
        <v>0</v>
      </c>
      <c r="AP31" s="130">
        <f>('INSTRUCTION-2YR'!P31+'RESEARCH 2yr'!P31+'PUBLIC SERVICE 2yr'!P31+'ASptISptSSv 2yr'!P31+'PLANT OPER MAIN 2yr'!P31+'SCHOLAR FELLOW 2yr'!P31+'All Other 2yr'!P31)-P31</f>
        <v>0</v>
      </c>
      <c r="AQ31" s="130">
        <f>('INSTRUCTION-2YR'!Q31+'RESEARCH 2yr'!Q31+'PUBLIC SERVICE 2yr'!Q31+'ASptISptSSv 2yr'!Q31+'PLANT OPER MAIN 2yr'!Q31+'SCHOLAR FELLOW 2yr'!Q31+'All Other 2yr'!Q31)-Q31</f>
        <v>0</v>
      </c>
      <c r="AR31" s="130">
        <f>('INSTRUCTION-2YR'!R31+'RESEARCH 2yr'!R31+'PUBLIC SERVICE 2yr'!R31+'ASptISptSSv 2yr'!R31+'PLANT OPER MAIN 2yr'!R31+'SCHOLAR FELLOW 2yr'!R31+'All Other 2yr'!R31)-R31</f>
        <v>0</v>
      </c>
      <c r="AS31" s="130">
        <f>('INSTRUCTION-2YR'!S31+'RESEARCH 2yr'!S31+'PUBLIC SERVICE 2yr'!S31+'ASptISptSSv 2yr'!S31+'PLANT OPER MAIN 2yr'!S31+'SCHOLAR FELLOW 2yr'!S31+'All Other 2yr'!S31)-S31</f>
        <v>0</v>
      </c>
      <c r="AT31" s="130">
        <f>('INSTRUCTION-2YR'!T31+'RESEARCH 2yr'!T31+'PUBLIC SERVICE 2yr'!T31+'ASptISptSSv 2yr'!T31+'PLANT OPER MAIN 2yr'!T31+'SCHOLAR FELLOW 2yr'!T31+'All Other 2yr'!T31)-T31</f>
        <v>0</v>
      </c>
      <c r="AU31" s="130">
        <f>('INSTRUCTION-2YR'!U31+'RESEARCH 2yr'!U31+'PUBLIC SERVICE 2yr'!U31+'ASptISptSSv 2yr'!U31+'PLANT OPER MAIN 2yr'!U31+'SCHOLAR FELLOW 2yr'!U31+'All Other 2yr'!U31)-U31</f>
        <v>0</v>
      </c>
      <c r="AV31" s="130">
        <f>('INSTRUCTION-2YR'!V31+'RESEARCH 2yr'!V31+'PUBLIC SERVICE 2yr'!V31+'ASptISptSSv 2yr'!V31+'PLANT OPER MAIN 2yr'!V31+'SCHOLAR FELLOW 2yr'!V31+'All Other 2yr'!V31)-V31</f>
        <v>0</v>
      </c>
      <c r="AW31" s="130">
        <f>('INSTRUCTION-2YR'!W31+'RESEARCH 2yr'!W31+'PUBLIC SERVICE 2yr'!W31+'ASptISptSSv 2yr'!W31+'PLANT OPER MAIN 2yr'!W31+'SCHOLAR FELLOW 2yr'!W31+'All Other 2yr'!W31)-W31</f>
        <v>0</v>
      </c>
      <c r="AX31" s="130">
        <f>('INSTRUCTION-2YR'!X31+'RESEARCH 2yr'!X31+'PUBLIC SERVICE 2yr'!X31+'ASptISptSSv 2yr'!X31+'PLANT OPER MAIN 2yr'!X31+'SCHOLAR FELLOW 2yr'!X31+'All Other 2yr'!X31)-X31</f>
        <v>0</v>
      </c>
      <c r="AY31" s="130">
        <f>('INSTRUCTION-2YR'!Y31+'RESEARCH 2yr'!Y31+'PUBLIC SERVICE 2yr'!Y31+'ASptISptSSv 2yr'!Y31+'PLANT OPER MAIN 2yr'!Y31+'SCHOLAR FELLOW 2yr'!Y31+'All Other 2yr'!Y31)-Y31</f>
        <v>0</v>
      </c>
      <c r="AZ31" s="130">
        <f>('INSTRUCTION-2YR'!Z31+'RESEARCH 2yr'!Z31+'PUBLIC SERVICE 2yr'!Z31+'ASptISptSSv 2yr'!Z31+'PLANT OPER MAIN 2yr'!Z31+'SCHOLAR FELLOW 2yr'!Z31+'All Other 2yr'!Z31)-Z31</f>
        <v>0</v>
      </c>
      <c r="BA31" s="130">
        <f>('INSTRUCTION-2YR'!AA31+'RESEARCH 2yr'!AA31+'PUBLIC SERVICE 2yr'!AA31+'ASptISptSSv 2yr'!AA31+'PLANT OPER MAIN 2yr'!AA31+'SCHOLAR FELLOW 2yr'!AA31+'All Other 2yr'!AA31)-AA31</f>
        <v>0</v>
      </c>
    </row>
    <row r="32" spans="1:53">
      <c r="A32" s="23" t="s">
        <v>92</v>
      </c>
      <c r="B32" s="36"/>
      <c r="C32" s="36"/>
      <c r="D32" s="36"/>
      <c r="E32" s="36"/>
      <c r="F32" s="77">
        <v>38762.355000000003</v>
      </c>
      <c r="G32" s="36"/>
      <c r="H32" s="36"/>
      <c r="I32" s="37">
        <v>45222.82</v>
      </c>
      <c r="J32" s="37"/>
      <c r="K32" s="37">
        <v>59213.902999999998</v>
      </c>
      <c r="L32" s="37">
        <v>73347.051999999996</v>
      </c>
      <c r="M32" s="37">
        <v>81172.069000000003</v>
      </c>
      <c r="N32" s="37">
        <v>88977.48</v>
      </c>
      <c r="O32" s="37">
        <v>104890.762</v>
      </c>
      <c r="P32" s="37">
        <v>125928.99099999999</v>
      </c>
      <c r="Q32" s="37">
        <v>128571.287</v>
      </c>
      <c r="R32" s="37">
        <v>133915.413</v>
      </c>
      <c r="S32" s="37">
        <v>126518.186</v>
      </c>
      <c r="T32" s="23">
        <v>135089.878</v>
      </c>
      <c r="U32" s="23">
        <v>152188.951</v>
      </c>
      <c r="V32" s="23">
        <v>196971.22700000001</v>
      </c>
      <c r="W32" s="23">
        <v>229219.46299999999</v>
      </c>
      <c r="X32" s="23">
        <v>295634.04200000002</v>
      </c>
      <c r="Y32" s="2">
        <v>218226.12700000001</v>
      </c>
      <c r="Z32" s="2">
        <v>216058.69399999999</v>
      </c>
      <c r="AA32" s="2">
        <v>201480.08199999999</v>
      </c>
      <c r="AB32" s="130">
        <f>('INSTRUCTION-2YR'!B32+'RESEARCH 2yr'!B32+'PUBLIC SERVICE 2yr'!B32+'ASptISptSSv 2yr'!B32+'PLANT OPER MAIN 2yr'!B32+'SCHOLAR FELLOW 2yr'!B32+'All Other 2yr'!B32)-B32</f>
        <v>0</v>
      </c>
      <c r="AC32" s="130">
        <f>('INSTRUCTION-2YR'!C32+'RESEARCH 2yr'!C32+'PUBLIC SERVICE 2yr'!C32+'ASptISptSSv 2yr'!C32+'PLANT OPER MAIN 2yr'!C32+'SCHOLAR FELLOW 2yr'!C32+'All Other 2yr'!C32)-C32</f>
        <v>0</v>
      </c>
      <c r="AD32" s="130">
        <f>('INSTRUCTION-2YR'!D32+'RESEARCH 2yr'!D32+'PUBLIC SERVICE 2yr'!D32+'ASptISptSSv 2yr'!D32+'PLANT OPER MAIN 2yr'!D32+'SCHOLAR FELLOW 2yr'!D32+'All Other 2yr'!D32)-D32</f>
        <v>0</v>
      </c>
      <c r="AE32" s="130">
        <f>('INSTRUCTION-2YR'!E32+'RESEARCH 2yr'!E32+'PUBLIC SERVICE 2yr'!E32+'ASptISptSSv 2yr'!E32+'PLANT OPER MAIN 2yr'!E32+'SCHOLAR FELLOW 2yr'!E32+'All Other 2yr'!E32)-E32</f>
        <v>0</v>
      </c>
      <c r="AF32" s="130">
        <f>('INSTRUCTION-2YR'!F32+'RESEARCH 2yr'!F32+'PUBLIC SERVICE 2yr'!F32+'ASptISptSSv 2yr'!F32+'PLANT OPER MAIN 2yr'!F32+'SCHOLAR FELLOW 2yr'!F32+'All Other 2yr'!F32)-F32</f>
        <v>0</v>
      </c>
      <c r="AG32" s="130">
        <f>('INSTRUCTION-2YR'!G32+'RESEARCH 2yr'!G32+'PUBLIC SERVICE 2yr'!G32+'ASptISptSSv 2yr'!G32+'PLANT OPER MAIN 2yr'!G32+'SCHOLAR FELLOW 2yr'!G32+'All Other 2yr'!G32)-G32</f>
        <v>0</v>
      </c>
      <c r="AH32" s="130">
        <f>('INSTRUCTION-2YR'!H32+'RESEARCH 2yr'!H32+'PUBLIC SERVICE 2yr'!H32+'ASptISptSSv 2yr'!H32+'PLANT OPER MAIN 2yr'!H32+'SCHOLAR FELLOW 2yr'!H32+'All Other 2yr'!H32)-H32</f>
        <v>0</v>
      </c>
      <c r="AI32" s="130">
        <f>('INSTRUCTION-2YR'!I32+'RESEARCH 2yr'!I32+'PUBLIC SERVICE 2yr'!I32+'ASptISptSSv 2yr'!I32+'PLANT OPER MAIN 2yr'!I32+'SCHOLAR FELLOW 2yr'!I32+'All Other 2yr'!I32)-I32</f>
        <v>0</v>
      </c>
      <c r="AJ32" s="130">
        <f>('INSTRUCTION-2YR'!J32+'RESEARCH 2yr'!J32+'PUBLIC SERVICE 2yr'!J32+'ASptISptSSv 2yr'!J32+'PLANT OPER MAIN 2yr'!J32+'SCHOLAR FELLOW 2yr'!J32+'All Other 2yr'!J32)-J32</f>
        <v>0</v>
      </c>
      <c r="AK32" s="130">
        <f>('INSTRUCTION-2YR'!K32+'RESEARCH 2yr'!K32+'PUBLIC SERVICE 2yr'!K32+'ASptISptSSv 2yr'!K32+'PLANT OPER MAIN 2yr'!K32+'SCHOLAR FELLOW 2yr'!K32+'All Other 2yr'!K32)-K32</f>
        <v>0</v>
      </c>
      <c r="AL32" s="130">
        <f>('INSTRUCTION-2YR'!L32+'RESEARCH 2yr'!L32+'PUBLIC SERVICE 2yr'!L32+'ASptISptSSv 2yr'!L32+'PLANT OPER MAIN 2yr'!L32+'SCHOLAR FELLOW 2yr'!L32+'All Other 2yr'!L32)-L32</f>
        <v>0</v>
      </c>
      <c r="AM32" s="130">
        <f>('INSTRUCTION-2YR'!M32+'RESEARCH 2yr'!M32+'PUBLIC SERVICE 2yr'!M32+'ASptISptSSv 2yr'!M32+'PLANT OPER MAIN 2yr'!M32+'SCHOLAR FELLOW 2yr'!M32+'All Other 2yr'!M32)-M32</f>
        <v>0</v>
      </c>
      <c r="AN32" s="130">
        <f>('INSTRUCTION-2YR'!N32+'RESEARCH 2yr'!N32+'PUBLIC SERVICE 2yr'!N32+'ASptISptSSv 2yr'!N32+'PLANT OPER MAIN 2yr'!N32+'SCHOLAR FELLOW 2yr'!N32+'All Other 2yr'!N32)-N32</f>
        <v>0</v>
      </c>
      <c r="AO32" s="130">
        <f>('INSTRUCTION-2YR'!O32+'RESEARCH 2yr'!O32+'PUBLIC SERVICE 2yr'!O32+'ASptISptSSv 2yr'!O32+'PLANT OPER MAIN 2yr'!O32+'SCHOLAR FELLOW 2yr'!O32+'All Other 2yr'!O32)-O32</f>
        <v>0</v>
      </c>
      <c r="AP32" s="130">
        <f>('INSTRUCTION-2YR'!P32+'RESEARCH 2yr'!P32+'PUBLIC SERVICE 2yr'!P32+'ASptISptSSv 2yr'!P32+'PLANT OPER MAIN 2yr'!P32+'SCHOLAR FELLOW 2yr'!P32+'All Other 2yr'!P32)-P32</f>
        <v>0</v>
      </c>
      <c r="AQ32" s="130">
        <f>('INSTRUCTION-2YR'!Q32+'RESEARCH 2yr'!Q32+'PUBLIC SERVICE 2yr'!Q32+'ASptISptSSv 2yr'!Q32+'PLANT OPER MAIN 2yr'!Q32+'SCHOLAR FELLOW 2yr'!Q32+'All Other 2yr'!Q32)-Q32</f>
        <v>0</v>
      </c>
      <c r="AR32" s="130">
        <f>('INSTRUCTION-2YR'!R32+'RESEARCH 2yr'!R32+'PUBLIC SERVICE 2yr'!R32+'ASptISptSSv 2yr'!R32+'PLANT OPER MAIN 2yr'!R32+'SCHOLAR FELLOW 2yr'!R32+'All Other 2yr'!R32)-R32</f>
        <v>0</v>
      </c>
      <c r="AS32" s="130">
        <f>('INSTRUCTION-2YR'!S32+'RESEARCH 2yr'!S32+'PUBLIC SERVICE 2yr'!S32+'ASptISptSSv 2yr'!S32+'PLANT OPER MAIN 2yr'!S32+'SCHOLAR FELLOW 2yr'!S32+'All Other 2yr'!S32)-S32</f>
        <v>0</v>
      </c>
      <c r="AT32" s="130">
        <f>('INSTRUCTION-2YR'!T32+'RESEARCH 2yr'!T32+'PUBLIC SERVICE 2yr'!T32+'ASptISptSSv 2yr'!T32+'PLANT OPER MAIN 2yr'!T32+'SCHOLAR FELLOW 2yr'!T32+'All Other 2yr'!T32)-T32</f>
        <v>0</v>
      </c>
      <c r="AU32" s="130">
        <f>('INSTRUCTION-2YR'!U32+'RESEARCH 2yr'!U32+'PUBLIC SERVICE 2yr'!U32+'ASptISptSSv 2yr'!U32+'PLANT OPER MAIN 2yr'!U32+'SCHOLAR FELLOW 2yr'!U32+'All Other 2yr'!U32)-U32</f>
        <v>0</v>
      </c>
      <c r="AV32" s="130">
        <f>('INSTRUCTION-2YR'!V32+'RESEARCH 2yr'!V32+'PUBLIC SERVICE 2yr'!V32+'ASptISptSSv 2yr'!V32+'PLANT OPER MAIN 2yr'!V32+'SCHOLAR FELLOW 2yr'!V32+'All Other 2yr'!V32)-V32</f>
        <v>0</v>
      </c>
      <c r="AW32" s="130">
        <f>('INSTRUCTION-2YR'!W32+'RESEARCH 2yr'!W32+'PUBLIC SERVICE 2yr'!W32+'ASptISptSSv 2yr'!W32+'PLANT OPER MAIN 2yr'!W32+'SCHOLAR FELLOW 2yr'!W32+'All Other 2yr'!W32)-W32</f>
        <v>0</v>
      </c>
      <c r="AX32" s="130">
        <f>('INSTRUCTION-2YR'!X32+'RESEARCH 2yr'!X32+'PUBLIC SERVICE 2yr'!X32+'ASptISptSSv 2yr'!X32+'PLANT OPER MAIN 2yr'!X32+'SCHOLAR FELLOW 2yr'!X32+'All Other 2yr'!X32)-X32</f>
        <v>0</v>
      </c>
      <c r="AY32" s="130">
        <f>('INSTRUCTION-2YR'!Y32+'RESEARCH 2yr'!Y32+'PUBLIC SERVICE 2yr'!Y32+'ASptISptSSv 2yr'!Y32+'PLANT OPER MAIN 2yr'!Y32+'SCHOLAR FELLOW 2yr'!Y32+'All Other 2yr'!Y32)-Y32</f>
        <v>0</v>
      </c>
      <c r="AZ32" s="130">
        <f>('INSTRUCTION-2YR'!Z32+'RESEARCH 2yr'!Z32+'PUBLIC SERVICE 2yr'!Z32+'ASptISptSSv 2yr'!Z32+'PLANT OPER MAIN 2yr'!Z32+'SCHOLAR FELLOW 2yr'!Z32+'All Other 2yr'!Z32)-Z32</f>
        <v>0</v>
      </c>
      <c r="BA32" s="130">
        <f>('INSTRUCTION-2YR'!AA32+'RESEARCH 2yr'!AA32+'PUBLIC SERVICE 2yr'!AA32+'ASptISptSSv 2yr'!AA32+'PLANT OPER MAIN 2yr'!AA32+'SCHOLAR FELLOW 2yr'!AA32+'All Other 2yr'!AA32)-AA32</f>
        <v>0</v>
      </c>
    </row>
    <row r="33" spans="1:53">
      <c r="A33" s="23" t="s">
        <v>100</v>
      </c>
      <c r="B33" s="37"/>
      <c r="C33" s="37"/>
      <c r="D33" s="37"/>
      <c r="E33" s="37"/>
      <c r="F33" s="77">
        <v>28013.615000000002</v>
      </c>
      <c r="G33" s="37"/>
      <c r="H33" s="37"/>
      <c r="I33" s="37">
        <v>42617.489000000001</v>
      </c>
      <c r="J33" s="37"/>
      <c r="K33" s="37">
        <v>42603.248510000012</v>
      </c>
      <c r="L33" s="37">
        <v>46263.13</v>
      </c>
      <c r="M33" s="37">
        <v>53650.197</v>
      </c>
      <c r="N33" s="37">
        <v>65109.055</v>
      </c>
      <c r="O33" s="37">
        <v>64363.023000000001</v>
      </c>
      <c r="P33" s="37">
        <v>70198.403999999995</v>
      </c>
      <c r="Q33" s="37">
        <v>82077.119000000006</v>
      </c>
      <c r="R33" s="37">
        <v>88573.213000000003</v>
      </c>
      <c r="S33" s="37">
        <v>82563.956000000006</v>
      </c>
      <c r="T33" s="23">
        <v>92329.84</v>
      </c>
      <c r="U33" s="23">
        <v>103518.727</v>
      </c>
      <c r="V33" s="23">
        <v>117203.08</v>
      </c>
      <c r="W33" s="23">
        <v>121049.448</v>
      </c>
      <c r="X33" s="23">
        <v>126546.511</v>
      </c>
      <c r="Y33" s="2">
        <v>115843.04700000001</v>
      </c>
      <c r="Z33" s="2">
        <v>116614.601</v>
      </c>
      <c r="AA33" s="2">
        <v>112852.41099999999</v>
      </c>
      <c r="AB33" s="130">
        <f>('INSTRUCTION-2YR'!B33+'RESEARCH 2yr'!B33+'PUBLIC SERVICE 2yr'!B33+'ASptISptSSv 2yr'!B33+'PLANT OPER MAIN 2yr'!B33+'SCHOLAR FELLOW 2yr'!B33+'All Other 2yr'!B33)-B33</f>
        <v>0</v>
      </c>
      <c r="AC33" s="130">
        <f>('INSTRUCTION-2YR'!C33+'RESEARCH 2yr'!C33+'PUBLIC SERVICE 2yr'!C33+'ASptISptSSv 2yr'!C33+'PLANT OPER MAIN 2yr'!C33+'SCHOLAR FELLOW 2yr'!C33+'All Other 2yr'!C33)-C33</f>
        <v>0</v>
      </c>
      <c r="AD33" s="130">
        <f>('INSTRUCTION-2YR'!D33+'RESEARCH 2yr'!D33+'PUBLIC SERVICE 2yr'!D33+'ASptISptSSv 2yr'!D33+'PLANT OPER MAIN 2yr'!D33+'SCHOLAR FELLOW 2yr'!D33+'All Other 2yr'!D33)-D33</f>
        <v>0</v>
      </c>
      <c r="AE33" s="130">
        <f>('INSTRUCTION-2YR'!E33+'RESEARCH 2yr'!E33+'PUBLIC SERVICE 2yr'!E33+'ASptISptSSv 2yr'!E33+'PLANT OPER MAIN 2yr'!E33+'SCHOLAR FELLOW 2yr'!E33+'All Other 2yr'!E33)-E33</f>
        <v>0</v>
      </c>
      <c r="AF33" s="130">
        <f>('INSTRUCTION-2YR'!F33+'RESEARCH 2yr'!F33+'PUBLIC SERVICE 2yr'!F33+'ASptISptSSv 2yr'!F33+'PLANT OPER MAIN 2yr'!F33+'SCHOLAR FELLOW 2yr'!F33+'All Other 2yr'!F33)-F33</f>
        <v>0</v>
      </c>
      <c r="AG33" s="130">
        <f>('INSTRUCTION-2YR'!G33+'RESEARCH 2yr'!G33+'PUBLIC SERVICE 2yr'!G33+'ASptISptSSv 2yr'!G33+'PLANT OPER MAIN 2yr'!G33+'SCHOLAR FELLOW 2yr'!G33+'All Other 2yr'!G33)-G33</f>
        <v>0</v>
      </c>
      <c r="AH33" s="130">
        <f>('INSTRUCTION-2YR'!H33+'RESEARCH 2yr'!H33+'PUBLIC SERVICE 2yr'!H33+'ASptISptSSv 2yr'!H33+'PLANT OPER MAIN 2yr'!H33+'SCHOLAR FELLOW 2yr'!H33+'All Other 2yr'!H33)-H33</f>
        <v>0</v>
      </c>
      <c r="AI33" s="130">
        <f>('INSTRUCTION-2YR'!I33+'RESEARCH 2yr'!I33+'PUBLIC SERVICE 2yr'!I33+'ASptISptSSv 2yr'!I33+'PLANT OPER MAIN 2yr'!I33+'SCHOLAR FELLOW 2yr'!I33+'All Other 2yr'!I33)-I33</f>
        <v>0</v>
      </c>
      <c r="AJ33" s="130">
        <f>('INSTRUCTION-2YR'!J33+'RESEARCH 2yr'!J33+'PUBLIC SERVICE 2yr'!J33+'ASptISptSSv 2yr'!J33+'PLANT OPER MAIN 2yr'!J33+'SCHOLAR FELLOW 2yr'!J33+'All Other 2yr'!J33)-J33</f>
        <v>0</v>
      </c>
      <c r="AK33" s="130">
        <f>('INSTRUCTION-2YR'!K33+'RESEARCH 2yr'!K33+'PUBLIC SERVICE 2yr'!K33+'ASptISptSSv 2yr'!K33+'PLANT OPER MAIN 2yr'!K33+'SCHOLAR FELLOW 2yr'!K33+'All Other 2yr'!K33)-K33</f>
        <v>0</v>
      </c>
      <c r="AL33" s="130">
        <f>('INSTRUCTION-2YR'!L33+'RESEARCH 2yr'!L33+'PUBLIC SERVICE 2yr'!L33+'ASptISptSSv 2yr'!L33+'PLANT OPER MAIN 2yr'!L33+'SCHOLAR FELLOW 2yr'!L33+'All Other 2yr'!L33)-L33</f>
        <v>0</v>
      </c>
      <c r="AM33" s="130">
        <f>('INSTRUCTION-2YR'!M33+'RESEARCH 2yr'!M33+'PUBLIC SERVICE 2yr'!M33+'ASptISptSSv 2yr'!M33+'PLANT OPER MAIN 2yr'!M33+'SCHOLAR FELLOW 2yr'!M33+'All Other 2yr'!M33)-M33</f>
        <v>0</v>
      </c>
      <c r="AN33" s="130">
        <f>('INSTRUCTION-2YR'!N33+'RESEARCH 2yr'!N33+'PUBLIC SERVICE 2yr'!N33+'ASptISptSSv 2yr'!N33+'PLANT OPER MAIN 2yr'!N33+'SCHOLAR FELLOW 2yr'!N33+'All Other 2yr'!N33)-N33</f>
        <v>0</v>
      </c>
      <c r="AO33" s="130">
        <f>('INSTRUCTION-2YR'!O33+'RESEARCH 2yr'!O33+'PUBLIC SERVICE 2yr'!O33+'ASptISptSSv 2yr'!O33+'PLANT OPER MAIN 2yr'!O33+'SCHOLAR FELLOW 2yr'!O33+'All Other 2yr'!O33)-O33</f>
        <v>0</v>
      </c>
      <c r="AP33" s="130">
        <f>('INSTRUCTION-2YR'!P33+'RESEARCH 2yr'!P33+'PUBLIC SERVICE 2yr'!P33+'ASptISptSSv 2yr'!P33+'PLANT OPER MAIN 2yr'!P33+'SCHOLAR FELLOW 2yr'!P33+'All Other 2yr'!P33)-P33</f>
        <v>0</v>
      </c>
      <c r="AQ33" s="130">
        <f>('INSTRUCTION-2YR'!Q33+'RESEARCH 2yr'!Q33+'PUBLIC SERVICE 2yr'!Q33+'ASptISptSSv 2yr'!Q33+'PLANT OPER MAIN 2yr'!Q33+'SCHOLAR FELLOW 2yr'!Q33+'All Other 2yr'!Q33)-Q33</f>
        <v>0</v>
      </c>
      <c r="AR33" s="130">
        <f>('INSTRUCTION-2YR'!R33+'RESEARCH 2yr'!R33+'PUBLIC SERVICE 2yr'!R33+'ASptISptSSv 2yr'!R33+'PLANT OPER MAIN 2yr'!R33+'SCHOLAR FELLOW 2yr'!R33+'All Other 2yr'!R33)-R33</f>
        <v>0</v>
      </c>
      <c r="AS33" s="130">
        <f>('INSTRUCTION-2YR'!S33+'RESEARCH 2yr'!S33+'PUBLIC SERVICE 2yr'!S33+'ASptISptSSv 2yr'!S33+'PLANT OPER MAIN 2yr'!S33+'SCHOLAR FELLOW 2yr'!S33+'All Other 2yr'!S33)-S33</f>
        <v>0</v>
      </c>
      <c r="AT33" s="130">
        <f>('INSTRUCTION-2YR'!T33+'RESEARCH 2yr'!T33+'PUBLIC SERVICE 2yr'!T33+'ASptISptSSv 2yr'!T33+'PLANT OPER MAIN 2yr'!T33+'SCHOLAR FELLOW 2yr'!T33+'All Other 2yr'!T33)-T33</f>
        <v>0</v>
      </c>
      <c r="AU33" s="130">
        <f>('INSTRUCTION-2YR'!U33+'RESEARCH 2yr'!U33+'PUBLIC SERVICE 2yr'!U33+'ASptISptSSv 2yr'!U33+'PLANT OPER MAIN 2yr'!U33+'SCHOLAR FELLOW 2yr'!U33+'All Other 2yr'!U33)-U33</f>
        <v>0</v>
      </c>
      <c r="AV33" s="130">
        <f>('INSTRUCTION-2YR'!V33+'RESEARCH 2yr'!V33+'PUBLIC SERVICE 2yr'!V33+'ASptISptSSv 2yr'!V33+'PLANT OPER MAIN 2yr'!V33+'SCHOLAR FELLOW 2yr'!V33+'All Other 2yr'!V33)-V33</f>
        <v>0</v>
      </c>
      <c r="AW33" s="130">
        <f>('INSTRUCTION-2YR'!W33+'RESEARCH 2yr'!W33+'PUBLIC SERVICE 2yr'!W33+'ASptISptSSv 2yr'!W33+'PLANT OPER MAIN 2yr'!W33+'SCHOLAR FELLOW 2yr'!W33+'All Other 2yr'!W33)-W33</f>
        <v>0</v>
      </c>
      <c r="AX33" s="130">
        <f>('INSTRUCTION-2YR'!X33+'RESEARCH 2yr'!X33+'PUBLIC SERVICE 2yr'!X33+'ASptISptSSv 2yr'!X33+'PLANT OPER MAIN 2yr'!X33+'SCHOLAR FELLOW 2yr'!X33+'All Other 2yr'!X33)-X33</f>
        <v>0</v>
      </c>
      <c r="AY33" s="130">
        <f>('INSTRUCTION-2YR'!Y33+'RESEARCH 2yr'!Y33+'PUBLIC SERVICE 2yr'!Y33+'ASptISptSSv 2yr'!Y33+'PLANT OPER MAIN 2yr'!Y33+'SCHOLAR FELLOW 2yr'!Y33+'All Other 2yr'!Y33)-Y33</f>
        <v>0</v>
      </c>
      <c r="AZ33" s="130">
        <f>('INSTRUCTION-2YR'!Z33+'RESEARCH 2yr'!Z33+'PUBLIC SERVICE 2yr'!Z33+'ASptISptSSv 2yr'!Z33+'PLANT OPER MAIN 2yr'!Z33+'SCHOLAR FELLOW 2yr'!Z33+'All Other 2yr'!Z33)-Z33</f>
        <v>0</v>
      </c>
      <c r="BA33" s="130">
        <f>('INSTRUCTION-2YR'!AA33+'RESEARCH 2yr'!AA33+'PUBLIC SERVICE 2yr'!AA33+'ASptISptSSv 2yr'!AA33+'PLANT OPER MAIN 2yr'!AA33+'SCHOLAR FELLOW 2yr'!AA33+'All Other 2yr'!AA33)-AA33</f>
        <v>0</v>
      </c>
    </row>
    <row r="34" spans="1:53">
      <c r="A34" s="23" t="s">
        <v>102</v>
      </c>
      <c r="B34" s="37"/>
      <c r="C34" s="37"/>
      <c r="D34" s="37"/>
      <c r="E34" s="37"/>
      <c r="F34" s="77">
        <v>62255.595999999998</v>
      </c>
      <c r="G34" s="37"/>
      <c r="H34" s="37"/>
      <c r="I34" s="37">
        <v>71677.506999999998</v>
      </c>
      <c r="J34" s="37"/>
      <c r="K34" s="37">
        <v>104611</v>
      </c>
      <c r="L34" s="37">
        <v>142973.80799999999</v>
      </c>
      <c r="M34" s="37">
        <v>146047</v>
      </c>
      <c r="N34" s="37">
        <v>177458.19399999999</v>
      </c>
      <c r="O34" s="37">
        <v>192381</v>
      </c>
      <c r="P34" s="37">
        <v>74704.217000000004</v>
      </c>
      <c r="Q34" s="37">
        <v>81151.002999999997</v>
      </c>
      <c r="R34" s="37">
        <v>86427.490999999995</v>
      </c>
      <c r="S34" s="37">
        <v>60861</v>
      </c>
      <c r="T34" s="23">
        <v>66294</v>
      </c>
      <c r="U34" s="23">
        <v>303752.12300000002</v>
      </c>
      <c r="V34" s="23">
        <v>332517.68300000002</v>
      </c>
      <c r="W34" s="23">
        <v>352081.25099999999</v>
      </c>
      <c r="X34" s="23">
        <v>338058.59600000002</v>
      </c>
      <c r="Y34" s="2">
        <v>339699.92499999999</v>
      </c>
      <c r="Z34" s="2">
        <v>352564.47899999999</v>
      </c>
      <c r="AA34" s="2">
        <v>365202.55800000002</v>
      </c>
      <c r="AB34" s="130">
        <f>('INSTRUCTION-2YR'!B34+'RESEARCH 2yr'!B34+'PUBLIC SERVICE 2yr'!B34+'ASptISptSSv 2yr'!B34+'PLANT OPER MAIN 2yr'!B34+'SCHOLAR FELLOW 2yr'!B34+'All Other 2yr'!B34)-B34</f>
        <v>0</v>
      </c>
      <c r="AC34" s="130">
        <f>('INSTRUCTION-2YR'!C34+'RESEARCH 2yr'!C34+'PUBLIC SERVICE 2yr'!C34+'ASptISptSSv 2yr'!C34+'PLANT OPER MAIN 2yr'!C34+'SCHOLAR FELLOW 2yr'!C34+'All Other 2yr'!C34)-C34</f>
        <v>0</v>
      </c>
      <c r="AD34" s="130">
        <f>('INSTRUCTION-2YR'!D34+'RESEARCH 2yr'!D34+'PUBLIC SERVICE 2yr'!D34+'ASptISptSSv 2yr'!D34+'PLANT OPER MAIN 2yr'!D34+'SCHOLAR FELLOW 2yr'!D34+'All Other 2yr'!D34)-D34</f>
        <v>0</v>
      </c>
      <c r="AE34" s="130">
        <f>('INSTRUCTION-2YR'!E34+'RESEARCH 2yr'!E34+'PUBLIC SERVICE 2yr'!E34+'ASptISptSSv 2yr'!E34+'PLANT OPER MAIN 2yr'!E34+'SCHOLAR FELLOW 2yr'!E34+'All Other 2yr'!E34)-E34</f>
        <v>0</v>
      </c>
      <c r="AF34" s="130">
        <f>('INSTRUCTION-2YR'!F34+'RESEARCH 2yr'!F34+'PUBLIC SERVICE 2yr'!F34+'ASptISptSSv 2yr'!F34+'PLANT OPER MAIN 2yr'!F34+'SCHOLAR FELLOW 2yr'!F34+'All Other 2yr'!F34)-F34</f>
        <v>0</v>
      </c>
      <c r="AG34" s="130">
        <f>('INSTRUCTION-2YR'!G34+'RESEARCH 2yr'!G34+'PUBLIC SERVICE 2yr'!G34+'ASptISptSSv 2yr'!G34+'PLANT OPER MAIN 2yr'!G34+'SCHOLAR FELLOW 2yr'!G34+'All Other 2yr'!G34)-G34</f>
        <v>0</v>
      </c>
      <c r="AH34" s="130">
        <f>('INSTRUCTION-2YR'!H34+'RESEARCH 2yr'!H34+'PUBLIC SERVICE 2yr'!H34+'ASptISptSSv 2yr'!H34+'PLANT OPER MAIN 2yr'!H34+'SCHOLAR FELLOW 2yr'!H34+'All Other 2yr'!H34)-H34</f>
        <v>0</v>
      </c>
      <c r="AI34" s="130">
        <f>('INSTRUCTION-2YR'!I34+'RESEARCH 2yr'!I34+'PUBLIC SERVICE 2yr'!I34+'ASptISptSSv 2yr'!I34+'PLANT OPER MAIN 2yr'!I34+'SCHOLAR FELLOW 2yr'!I34+'All Other 2yr'!I34)-I34</f>
        <v>0</v>
      </c>
      <c r="AJ34" s="130">
        <f>('INSTRUCTION-2YR'!J34+'RESEARCH 2yr'!J34+'PUBLIC SERVICE 2yr'!J34+'ASptISptSSv 2yr'!J34+'PLANT OPER MAIN 2yr'!J34+'SCHOLAR FELLOW 2yr'!J34+'All Other 2yr'!J34)-J34</f>
        <v>0</v>
      </c>
      <c r="AK34" s="130">
        <f>('INSTRUCTION-2YR'!K34+'RESEARCH 2yr'!K34+'PUBLIC SERVICE 2yr'!K34+'ASptISptSSv 2yr'!K34+'PLANT OPER MAIN 2yr'!K34+'SCHOLAR FELLOW 2yr'!K34+'All Other 2yr'!K34)-K34</f>
        <v>0</v>
      </c>
      <c r="AL34" s="130">
        <f>('INSTRUCTION-2YR'!L34+'RESEARCH 2yr'!L34+'PUBLIC SERVICE 2yr'!L34+'ASptISptSSv 2yr'!L34+'PLANT OPER MAIN 2yr'!L34+'SCHOLAR FELLOW 2yr'!L34+'All Other 2yr'!L34)-L34</f>
        <v>0</v>
      </c>
      <c r="AM34" s="130">
        <f>('INSTRUCTION-2YR'!M34+'RESEARCH 2yr'!M34+'PUBLIC SERVICE 2yr'!M34+'ASptISptSSv 2yr'!M34+'PLANT OPER MAIN 2yr'!M34+'SCHOLAR FELLOW 2yr'!M34+'All Other 2yr'!M34)-M34</f>
        <v>0</v>
      </c>
      <c r="AN34" s="130">
        <f>('INSTRUCTION-2YR'!N34+'RESEARCH 2yr'!N34+'PUBLIC SERVICE 2yr'!N34+'ASptISptSSv 2yr'!N34+'PLANT OPER MAIN 2yr'!N34+'SCHOLAR FELLOW 2yr'!N34+'All Other 2yr'!N34)-N34</f>
        <v>0</v>
      </c>
      <c r="AO34" s="130">
        <f>('INSTRUCTION-2YR'!O34+'RESEARCH 2yr'!O34+'PUBLIC SERVICE 2yr'!O34+'ASptISptSSv 2yr'!O34+'PLANT OPER MAIN 2yr'!O34+'SCHOLAR FELLOW 2yr'!O34+'All Other 2yr'!O34)-O34</f>
        <v>0</v>
      </c>
      <c r="AP34" s="130">
        <f>('INSTRUCTION-2YR'!P34+'RESEARCH 2yr'!P34+'PUBLIC SERVICE 2yr'!P34+'ASptISptSSv 2yr'!P34+'PLANT OPER MAIN 2yr'!P34+'SCHOLAR FELLOW 2yr'!P34+'All Other 2yr'!P34)-P34</f>
        <v>0</v>
      </c>
      <c r="AQ34" s="130">
        <f>('INSTRUCTION-2YR'!Q34+'RESEARCH 2yr'!Q34+'PUBLIC SERVICE 2yr'!Q34+'ASptISptSSv 2yr'!Q34+'PLANT OPER MAIN 2yr'!Q34+'SCHOLAR FELLOW 2yr'!Q34+'All Other 2yr'!Q34)-Q34</f>
        <v>0</v>
      </c>
      <c r="AR34" s="130">
        <f>('INSTRUCTION-2YR'!R34+'RESEARCH 2yr'!R34+'PUBLIC SERVICE 2yr'!R34+'ASptISptSSv 2yr'!R34+'PLANT OPER MAIN 2yr'!R34+'SCHOLAR FELLOW 2yr'!R34+'All Other 2yr'!R34)-R34</f>
        <v>0</v>
      </c>
      <c r="AS34" s="130">
        <f>('INSTRUCTION-2YR'!S34+'RESEARCH 2yr'!S34+'PUBLIC SERVICE 2yr'!S34+'ASptISptSSv 2yr'!S34+'PLANT OPER MAIN 2yr'!S34+'SCHOLAR FELLOW 2yr'!S34+'All Other 2yr'!S34)-S34</f>
        <v>0</v>
      </c>
      <c r="AT34" s="130">
        <f>('INSTRUCTION-2YR'!T34+'RESEARCH 2yr'!T34+'PUBLIC SERVICE 2yr'!T34+'ASptISptSSv 2yr'!T34+'PLANT OPER MAIN 2yr'!T34+'SCHOLAR FELLOW 2yr'!T34+'All Other 2yr'!T34)-T34</f>
        <v>0</v>
      </c>
      <c r="AU34" s="130">
        <f>('INSTRUCTION-2YR'!U34+'RESEARCH 2yr'!U34+'PUBLIC SERVICE 2yr'!U34+'ASptISptSSv 2yr'!U34+'PLANT OPER MAIN 2yr'!U34+'SCHOLAR FELLOW 2yr'!U34+'All Other 2yr'!U34)-U34</f>
        <v>0</v>
      </c>
      <c r="AV34" s="130">
        <f>('INSTRUCTION-2YR'!V34+'RESEARCH 2yr'!V34+'PUBLIC SERVICE 2yr'!V34+'ASptISptSSv 2yr'!V34+'PLANT OPER MAIN 2yr'!V34+'SCHOLAR FELLOW 2yr'!V34+'All Other 2yr'!V34)-V34</f>
        <v>0</v>
      </c>
      <c r="AW34" s="130">
        <f>('INSTRUCTION-2YR'!W34+'RESEARCH 2yr'!W34+'PUBLIC SERVICE 2yr'!W34+'ASptISptSSv 2yr'!W34+'PLANT OPER MAIN 2yr'!W34+'SCHOLAR FELLOW 2yr'!W34+'All Other 2yr'!W34)-W34</f>
        <v>0</v>
      </c>
      <c r="AX34" s="130">
        <f>('INSTRUCTION-2YR'!X34+'RESEARCH 2yr'!X34+'PUBLIC SERVICE 2yr'!X34+'ASptISptSSv 2yr'!X34+'PLANT OPER MAIN 2yr'!X34+'SCHOLAR FELLOW 2yr'!X34+'All Other 2yr'!X34)-X34</f>
        <v>0</v>
      </c>
      <c r="AY34" s="130">
        <f>('INSTRUCTION-2YR'!Y34+'RESEARCH 2yr'!Y34+'PUBLIC SERVICE 2yr'!Y34+'ASptISptSSv 2yr'!Y34+'PLANT OPER MAIN 2yr'!Y34+'SCHOLAR FELLOW 2yr'!Y34+'All Other 2yr'!Y34)-Y34</f>
        <v>0</v>
      </c>
      <c r="AZ34" s="130">
        <f>('INSTRUCTION-2YR'!Z34+'RESEARCH 2yr'!Z34+'PUBLIC SERVICE 2yr'!Z34+'ASptISptSSv 2yr'!Z34+'PLANT OPER MAIN 2yr'!Z34+'SCHOLAR FELLOW 2yr'!Z34+'All Other 2yr'!Z34)-Z34</f>
        <v>0</v>
      </c>
      <c r="BA34" s="130">
        <f>('INSTRUCTION-2YR'!AA34+'RESEARCH 2yr'!AA34+'PUBLIC SERVICE 2yr'!AA34+'ASptISptSSv 2yr'!AA34+'PLANT OPER MAIN 2yr'!AA34+'SCHOLAR FELLOW 2yr'!AA34+'All Other 2yr'!AA34)-AA34</f>
        <v>0</v>
      </c>
    </row>
    <row r="35" spans="1:53">
      <c r="A35" s="23" t="s">
        <v>105</v>
      </c>
      <c r="B35" s="37"/>
      <c r="C35" s="37"/>
      <c r="D35" s="37"/>
      <c r="E35" s="37"/>
      <c r="F35" s="77">
        <v>140280.38699999999</v>
      </c>
      <c r="G35" s="37"/>
      <c r="H35" s="37"/>
      <c r="I35" s="37">
        <v>195458.75</v>
      </c>
      <c r="J35" s="37"/>
      <c r="K35" s="37">
        <v>244214.27297000002</v>
      </c>
      <c r="L35" s="37">
        <v>304624.62099999998</v>
      </c>
      <c r="M35" s="37">
        <v>315354.03000000003</v>
      </c>
      <c r="N35" s="37">
        <v>348094.69400000002</v>
      </c>
      <c r="O35" s="37">
        <v>382237.47399999999</v>
      </c>
      <c r="P35" s="37">
        <v>404949.21500000003</v>
      </c>
      <c r="Q35" s="37">
        <v>434359.33399999997</v>
      </c>
      <c r="R35" s="37">
        <v>451228.49699999997</v>
      </c>
      <c r="S35" s="37">
        <v>475800.13299999997</v>
      </c>
      <c r="T35" s="23">
        <v>508380.54300000001</v>
      </c>
      <c r="U35" s="23">
        <v>574969.29</v>
      </c>
      <c r="V35" s="23">
        <v>613609.70299999998</v>
      </c>
      <c r="W35" s="23">
        <v>667439.96600000001</v>
      </c>
      <c r="X35" s="23">
        <v>667213.04299999995</v>
      </c>
      <c r="Y35" s="2">
        <v>432511.37300000002</v>
      </c>
      <c r="Z35" s="2">
        <v>437442.49599999998</v>
      </c>
      <c r="AA35" s="2">
        <v>428523.299</v>
      </c>
      <c r="AB35" s="130">
        <f>('INSTRUCTION-2YR'!B35+'RESEARCH 2yr'!B35+'PUBLIC SERVICE 2yr'!B35+'ASptISptSSv 2yr'!B35+'PLANT OPER MAIN 2yr'!B35+'SCHOLAR FELLOW 2yr'!B35+'All Other 2yr'!B35)-B35</f>
        <v>0</v>
      </c>
      <c r="AC35" s="130">
        <f>('INSTRUCTION-2YR'!C35+'RESEARCH 2yr'!C35+'PUBLIC SERVICE 2yr'!C35+'ASptISptSSv 2yr'!C35+'PLANT OPER MAIN 2yr'!C35+'SCHOLAR FELLOW 2yr'!C35+'All Other 2yr'!C35)-C35</f>
        <v>0</v>
      </c>
      <c r="AD35" s="130">
        <f>('INSTRUCTION-2YR'!D35+'RESEARCH 2yr'!D35+'PUBLIC SERVICE 2yr'!D35+'ASptISptSSv 2yr'!D35+'PLANT OPER MAIN 2yr'!D35+'SCHOLAR FELLOW 2yr'!D35+'All Other 2yr'!D35)-D35</f>
        <v>0</v>
      </c>
      <c r="AE35" s="130">
        <f>('INSTRUCTION-2YR'!E35+'RESEARCH 2yr'!E35+'PUBLIC SERVICE 2yr'!E35+'ASptISptSSv 2yr'!E35+'PLANT OPER MAIN 2yr'!E35+'SCHOLAR FELLOW 2yr'!E35+'All Other 2yr'!E35)-E35</f>
        <v>0</v>
      </c>
      <c r="AF35" s="130">
        <f>('INSTRUCTION-2YR'!F35+'RESEARCH 2yr'!F35+'PUBLIC SERVICE 2yr'!F35+'ASptISptSSv 2yr'!F35+'PLANT OPER MAIN 2yr'!F35+'SCHOLAR FELLOW 2yr'!F35+'All Other 2yr'!F35)-F35</f>
        <v>0</v>
      </c>
      <c r="AG35" s="130">
        <f>('INSTRUCTION-2YR'!G35+'RESEARCH 2yr'!G35+'PUBLIC SERVICE 2yr'!G35+'ASptISptSSv 2yr'!G35+'PLANT OPER MAIN 2yr'!G35+'SCHOLAR FELLOW 2yr'!G35+'All Other 2yr'!G35)-G35</f>
        <v>0</v>
      </c>
      <c r="AH35" s="130">
        <f>('INSTRUCTION-2YR'!H35+'RESEARCH 2yr'!H35+'PUBLIC SERVICE 2yr'!H35+'ASptISptSSv 2yr'!H35+'PLANT OPER MAIN 2yr'!H35+'SCHOLAR FELLOW 2yr'!H35+'All Other 2yr'!H35)-H35</f>
        <v>0</v>
      </c>
      <c r="AI35" s="130">
        <f>('INSTRUCTION-2YR'!I35+'RESEARCH 2yr'!I35+'PUBLIC SERVICE 2yr'!I35+'ASptISptSSv 2yr'!I35+'PLANT OPER MAIN 2yr'!I35+'SCHOLAR FELLOW 2yr'!I35+'All Other 2yr'!I35)-I35</f>
        <v>0</v>
      </c>
      <c r="AJ35" s="130">
        <f>('INSTRUCTION-2YR'!J35+'RESEARCH 2yr'!J35+'PUBLIC SERVICE 2yr'!J35+'ASptISptSSv 2yr'!J35+'PLANT OPER MAIN 2yr'!J35+'SCHOLAR FELLOW 2yr'!J35+'All Other 2yr'!J35)-J35</f>
        <v>0</v>
      </c>
      <c r="AK35" s="130">
        <f>('INSTRUCTION-2YR'!K35+'RESEARCH 2yr'!K35+'PUBLIC SERVICE 2yr'!K35+'ASptISptSSv 2yr'!K35+'PLANT OPER MAIN 2yr'!K35+'SCHOLAR FELLOW 2yr'!K35+'All Other 2yr'!K35)-K35</f>
        <v>0</v>
      </c>
      <c r="AL35" s="130">
        <f>('INSTRUCTION-2YR'!L35+'RESEARCH 2yr'!L35+'PUBLIC SERVICE 2yr'!L35+'ASptISptSSv 2yr'!L35+'PLANT OPER MAIN 2yr'!L35+'SCHOLAR FELLOW 2yr'!L35+'All Other 2yr'!L35)-L35</f>
        <v>0</v>
      </c>
      <c r="AM35" s="130">
        <f>('INSTRUCTION-2YR'!M35+'RESEARCH 2yr'!M35+'PUBLIC SERVICE 2yr'!M35+'ASptISptSSv 2yr'!M35+'PLANT OPER MAIN 2yr'!M35+'SCHOLAR FELLOW 2yr'!M35+'All Other 2yr'!M35)-M35</f>
        <v>0</v>
      </c>
      <c r="AN35" s="130">
        <f>('INSTRUCTION-2YR'!N35+'RESEARCH 2yr'!N35+'PUBLIC SERVICE 2yr'!N35+'ASptISptSSv 2yr'!N35+'PLANT OPER MAIN 2yr'!N35+'SCHOLAR FELLOW 2yr'!N35+'All Other 2yr'!N35)-N35</f>
        <v>0</v>
      </c>
      <c r="AO35" s="130">
        <f>('INSTRUCTION-2YR'!O35+'RESEARCH 2yr'!O35+'PUBLIC SERVICE 2yr'!O35+'ASptISptSSv 2yr'!O35+'PLANT OPER MAIN 2yr'!O35+'SCHOLAR FELLOW 2yr'!O35+'All Other 2yr'!O35)-O35</f>
        <v>0</v>
      </c>
      <c r="AP35" s="130">
        <f>('INSTRUCTION-2YR'!P35+'RESEARCH 2yr'!P35+'PUBLIC SERVICE 2yr'!P35+'ASptISptSSv 2yr'!P35+'PLANT OPER MAIN 2yr'!P35+'SCHOLAR FELLOW 2yr'!P35+'All Other 2yr'!P35)-P35</f>
        <v>0</v>
      </c>
      <c r="AQ35" s="130">
        <f>('INSTRUCTION-2YR'!Q35+'RESEARCH 2yr'!Q35+'PUBLIC SERVICE 2yr'!Q35+'ASptISptSSv 2yr'!Q35+'PLANT OPER MAIN 2yr'!Q35+'SCHOLAR FELLOW 2yr'!Q35+'All Other 2yr'!Q35)-Q35</f>
        <v>0</v>
      </c>
      <c r="AR35" s="130">
        <f>('INSTRUCTION-2YR'!R35+'RESEARCH 2yr'!R35+'PUBLIC SERVICE 2yr'!R35+'ASptISptSSv 2yr'!R35+'PLANT OPER MAIN 2yr'!R35+'SCHOLAR FELLOW 2yr'!R35+'All Other 2yr'!R35)-R35</f>
        <v>0</v>
      </c>
      <c r="AS35" s="130">
        <f>('INSTRUCTION-2YR'!S35+'RESEARCH 2yr'!S35+'PUBLIC SERVICE 2yr'!S35+'ASptISptSSv 2yr'!S35+'PLANT OPER MAIN 2yr'!S35+'SCHOLAR FELLOW 2yr'!S35+'All Other 2yr'!S35)-S35</f>
        <v>0</v>
      </c>
      <c r="AT35" s="130">
        <f>('INSTRUCTION-2YR'!T35+'RESEARCH 2yr'!T35+'PUBLIC SERVICE 2yr'!T35+'ASptISptSSv 2yr'!T35+'PLANT OPER MAIN 2yr'!T35+'SCHOLAR FELLOW 2yr'!T35+'All Other 2yr'!T35)-T35</f>
        <v>0</v>
      </c>
      <c r="AU35" s="130">
        <f>('INSTRUCTION-2YR'!U35+'RESEARCH 2yr'!U35+'PUBLIC SERVICE 2yr'!U35+'ASptISptSSv 2yr'!U35+'PLANT OPER MAIN 2yr'!U35+'SCHOLAR FELLOW 2yr'!U35+'All Other 2yr'!U35)-U35</f>
        <v>0</v>
      </c>
      <c r="AV35" s="130">
        <f>('INSTRUCTION-2YR'!V35+'RESEARCH 2yr'!V35+'PUBLIC SERVICE 2yr'!V35+'ASptISptSSv 2yr'!V35+'PLANT OPER MAIN 2yr'!V35+'SCHOLAR FELLOW 2yr'!V35+'All Other 2yr'!V35)-V35</f>
        <v>0</v>
      </c>
      <c r="AW35" s="130">
        <f>('INSTRUCTION-2YR'!W35+'RESEARCH 2yr'!W35+'PUBLIC SERVICE 2yr'!W35+'ASptISptSSv 2yr'!W35+'PLANT OPER MAIN 2yr'!W35+'SCHOLAR FELLOW 2yr'!W35+'All Other 2yr'!W35)-W35</f>
        <v>0</v>
      </c>
      <c r="AX35" s="130">
        <f>('INSTRUCTION-2YR'!X35+'RESEARCH 2yr'!X35+'PUBLIC SERVICE 2yr'!X35+'ASptISptSSv 2yr'!X35+'PLANT OPER MAIN 2yr'!X35+'SCHOLAR FELLOW 2yr'!X35+'All Other 2yr'!X35)-X35</f>
        <v>0</v>
      </c>
      <c r="AY35" s="130">
        <f>('INSTRUCTION-2YR'!Y35+'RESEARCH 2yr'!Y35+'PUBLIC SERVICE 2yr'!Y35+'ASptISptSSv 2yr'!Y35+'PLANT OPER MAIN 2yr'!Y35+'SCHOLAR FELLOW 2yr'!Y35+'All Other 2yr'!Y35)-Y35</f>
        <v>0</v>
      </c>
      <c r="AZ35" s="130">
        <f>('INSTRUCTION-2YR'!Z35+'RESEARCH 2yr'!Z35+'PUBLIC SERVICE 2yr'!Z35+'ASptISptSSv 2yr'!Z35+'PLANT OPER MAIN 2yr'!Z35+'SCHOLAR FELLOW 2yr'!Z35+'All Other 2yr'!Z35)-Z35</f>
        <v>0</v>
      </c>
      <c r="BA35" s="130">
        <f>('INSTRUCTION-2YR'!AA35+'RESEARCH 2yr'!AA35+'PUBLIC SERVICE 2yr'!AA35+'ASptISptSSv 2yr'!AA35+'PLANT OPER MAIN 2yr'!AA35+'SCHOLAR FELLOW 2yr'!AA35+'All Other 2yr'!AA35)-AA35</f>
        <v>0</v>
      </c>
    </row>
    <row r="36" spans="1:53">
      <c r="A36" s="23" t="s">
        <v>109</v>
      </c>
      <c r="B36" s="37"/>
      <c r="C36" s="37"/>
      <c r="D36" s="37"/>
      <c r="E36" s="37"/>
      <c r="F36" s="77">
        <v>360126.71399999998</v>
      </c>
      <c r="G36" s="37"/>
      <c r="H36" s="37"/>
      <c r="I36" s="37">
        <v>414274.95299999998</v>
      </c>
      <c r="J36" s="37"/>
      <c r="K36" s="37">
        <v>486216.39627999999</v>
      </c>
      <c r="L36" s="37">
        <v>571613.20299999998</v>
      </c>
      <c r="M36" s="37">
        <v>594902.23499999999</v>
      </c>
      <c r="N36" s="37">
        <v>650017.72699999996</v>
      </c>
      <c r="O36" s="37">
        <v>687806.70200000005</v>
      </c>
      <c r="P36" s="37">
        <v>699439.66200000001</v>
      </c>
      <c r="Q36" s="37">
        <v>741730.19499999995</v>
      </c>
      <c r="R36" s="37">
        <v>788742.527</v>
      </c>
      <c r="S36" s="37">
        <v>810007.58200000005</v>
      </c>
      <c r="T36" s="23">
        <v>851164.32</v>
      </c>
      <c r="U36" s="23">
        <v>1059219.79</v>
      </c>
      <c r="V36" s="23">
        <v>1105389.9410000001</v>
      </c>
      <c r="W36" s="23">
        <v>1241330.7990000001</v>
      </c>
      <c r="X36" s="23">
        <v>1201190.098</v>
      </c>
      <c r="Y36" s="2">
        <v>1190908.037</v>
      </c>
      <c r="Z36" s="2">
        <v>1166059.7039999999</v>
      </c>
      <c r="AA36" s="2">
        <v>1017320.495</v>
      </c>
      <c r="AB36" s="130">
        <f>('INSTRUCTION-2YR'!B36+'RESEARCH 2yr'!B36+'PUBLIC SERVICE 2yr'!B36+'ASptISptSSv 2yr'!B36+'PLANT OPER MAIN 2yr'!B36+'SCHOLAR FELLOW 2yr'!B36+'All Other 2yr'!B36)-B36</f>
        <v>0</v>
      </c>
      <c r="AC36" s="130">
        <f>('INSTRUCTION-2YR'!C36+'RESEARCH 2yr'!C36+'PUBLIC SERVICE 2yr'!C36+'ASptISptSSv 2yr'!C36+'PLANT OPER MAIN 2yr'!C36+'SCHOLAR FELLOW 2yr'!C36+'All Other 2yr'!C36)-C36</f>
        <v>0</v>
      </c>
      <c r="AD36" s="130">
        <f>('INSTRUCTION-2YR'!D36+'RESEARCH 2yr'!D36+'PUBLIC SERVICE 2yr'!D36+'ASptISptSSv 2yr'!D36+'PLANT OPER MAIN 2yr'!D36+'SCHOLAR FELLOW 2yr'!D36+'All Other 2yr'!D36)-D36</f>
        <v>0</v>
      </c>
      <c r="AE36" s="130">
        <f>('INSTRUCTION-2YR'!E36+'RESEARCH 2yr'!E36+'PUBLIC SERVICE 2yr'!E36+'ASptISptSSv 2yr'!E36+'PLANT OPER MAIN 2yr'!E36+'SCHOLAR FELLOW 2yr'!E36+'All Other 2yr'!E36)-E36</f>
        <v>0</v>
      </c>
      <c r="AF36" s="130">
        <f>('INSTRUCTION-2YR'!F36+'RESEARCH 2yr'!F36+'PUBLIC SERVICE 2yr'!F36+'ASptISptSSv 2yr'!F36+'PLANT OPER MAIN 2yr'!F36+'SCHOLAR FELLOW 2yr'!F36+'All Other 2yr'!F36)-F36</f>
        <v>0</v>
      </c>
      <c r="AG36" s="130">
        <f>('INSTRUCTION-2YR'!G36+'RESEARCH 2yr'!G36+'PUBLIC SERVICE 2yr'!G36+'ASptISptSSv 2yr'!G36+'PLANT OPER MAIN 2yr'!G36+'SCHOLAR FELLOW 2yr'!G36+'All Other 2yr'!G36)-G36</f>
        <v>0</v>
      </c>
      <c r="AH36" s="130">
        <f>('INSTRUCTION-2YR'!H36+'RESEARCH 2yr'!H36+'PUBLIC SERVICE 2yr'!H36+'ASptISptSSv 2yr'!H36+'PLANT OPER MAIN 2yr'!H36+'SCHOLAR FELLOW 2yr'!H36+'All Other 2yr'!H36)-H36</f>
        <v>0</v>
      </c>
      <c r="AI36" s="130">
        <f>('INSTRUCTION-2YR'!I36+'RESEARCH 2yr'!I36+'PUBLIC SERVICE 2yr'!I36+'ASptISptSSv 2yr'!I36+'PLANT OPER MAIN 2yr'!I36+'SCHOLAR FELLOW 2yr'!I36+'All Other 2yr'!I36)-I36</f>
        <v>0</v>
      </c>
      <c r="AJ36" s="130">
        <f>('INSTRUCTION-2YR'!J36+'RESEARCH 2yr'!J36+'PUBLIC SERVICE 2yr'!J36+'ASptISptSSv 2yr'!J36+'PLANT OPER MAIN 2yr'!J36+'SCHOLAR FELLOW 2yr'!J36+'All Other 2yr'!J36)-J36</f>
        <v>0</v>
      </c>
      <c r="AK36" s="130">
        <f>('INSTRUCTION-2YR'!K36+'RESEARCH 2yr'!K36+'PUBLIC SERVICE 2yr'!K36+'ASptISptSSv 2yr'!K36+'PLANT OPER MAIN 2yr'!K36+'SCHOLAR FELLOW 2yr'!K36+'All Other 2yr'!K36)-K36</f>
        <v>0</v>
      </c>
      <c r="AL36" s="130">
        <f>('INSTRUCTION-2YR'!L36+'RESEARCH 2yr'!L36+'PUBLIC SERVICE 2yr'!L36+'ASptISptSSv 2yr'!L36+'PLANT OPER MAIN 2yr'!L36+'SCHOLAR FELLOW 2yr'!L36+'All Other 2yr'!L36)-L36</f>
        <v>0</v>
      </c>
      <c r="AM36" s="130">
        <f>('INSTRUCTION-2YR'!M36+'RESEARCH 2yr'!M36+'PUBLIC SERVICE 2yr'!M36+'ASptISptSSv 2yr'!M36+'PLANT OPER MAIN 2yr'!M36+'SCHOLAR FELLOW 2yr'!M36+'All Other 2yr'!M36)-M36</f>
        <v>0</v>
      </c>
      <c r="AN36" s="130">
        <f>('INSTRUCTION-2YR'!N36+'RESEARCH 2yr'!N36+'PUBLIC SERVICE 2yr'!N36+'ASptISptSSv 2yr'!N36+'PLANT OPER MAIN 2yr'!N36+'SCHOLAR FELLOW 2yr'!N36+'All Other 2yr'!N36)-N36</f>
        <v>0</v>
      </c>
      <c r="AO36" s="130">
        <f>('INSTRUCTION-2YR'!O36+'RESEARCH 2yr'!O36+'PUBLIC SERVICE 2yr'!O36+'ASptISptSSv 2yr'!O36+'PLANT OPER MAIN 2yr'!O36+'SCHOLAR FELLOW 2yr'!O36+'All Other 2yr'!O36)-O36</f>
        <v>0</v>
      </c>
      <c r="AP36" s="130">
        <f>('INSTRUCTION-2YR'!P36+'RESEARCH 2yr'!P36+'PUBLIC SERVICE 2yr'!P36+'ASptISptSSv 2yr'!P36+'PLANT OPER MAIN 2yr'!P36+'SCHOLAR FELLOW 2yr'!P36+'All Other 2yr'!P36)-P36</f>
        <v>0</v>
      </c>
      <c r="AQ36" s="130">
        <f>('INSTRUCTION-2YR'!Q36+'RESEARCH 2yr'!Q36+'PUBLIC SERVICE 2yr'!Q36+'ASptISptSSv 2yr'!Q36+'PLANT OPER MAIN 2yr'!Q36+'SCHOLAR FELLOW 2yr'!Q36+'All Other 2yr'!Q36)-Q36</f>
        <v>0</v>
      </c>
      <c r="AR36" s="130">
        <f>('INSTRUCTION-2YR'!R36+'RESEARCH 2yr'!R36+'PUBLIC SERVICE 2yr'!R36+'ASptISptSSv 2yr'!R36+'PLANT OPER MAIN 2yr'!R36+'SCHOLAR FELLOW 2yr'!R36+'All Other 2yr'!R36)-R36</f>
        <v>0</v>
      </c>
      <c r="AS36" s="130">
        <f>('INSTRUCTION-2YR'!S36+'RESEARCH 2yr'!S36+'PUBLIC SERVICE 2yr'!S36+'ASptISptSSv 2yr'!S36+'PLANT OPER MAIN 2yr'!S36+'SCHOLAR FELLOW 2yr'!S36+'All Other 2yr'!S36)-S36</f>
        <v>0</v>
      </c>
      <c r="AT36" s="130">
        <f>('INSTRUCTION-2YR'!T36+'RESEARCH 2yr'!T36+'PUBLIC SERVICE 2yr'!T36+'ASptISptSSv 2yr'!T36+'PLANT OPER MAIN 2yr'!T36+'SCHOLAR FELLOW 2yr'!T36+'All Other 2yr'!T36)-T36</f>
        <v>0</v>
      </c>
      <c r="AU36" s="130">
        <f>('INSTRUCTION-2YR'!U36+'RESEARCH 2yr'!U36+'PUBLIC SERVICE 2yr'!U36+'ASptISptSSv 2yr'!U36+'PLANT OPER MAIN 2yr'!U36+'SCHOLAR FELLOW 2yr'!U36+'All Other 2yr'!U36)-U36</f>
        <v>0</v>
      </c>
      <c r="AV36" s="130">
        <f>('INSTRUCTION-2YR'!V36+'RESEARCH 2yr'!V36+'PUBLIC SERVICE 2yr'!V36+'ASptISptSSv 2yr'!V36+'PLANT OPER MAIN 2yr'!V36+'SCHOLAR FELLOW 2yr'!V36+'All Other 2yr'!V36)-V36</f>
        <v>0</v>
      </c>
      <c r="AW36" s="130">
        <f>('INSTRUCTION-2YR'!W36+'RESEARCH 2yr'!W36+'PUBLIC SERVICE 2yr'!W36+'ASptISptSSv 2yr'!W36+'PLANT OPER MAIN 2yr'!W36+'SCHOLAR FELLOW 2yr'!W36+'All Other 2yr'!W36)-W36</f>
        <v>0</v>
      </c>
      <c r="AX36" s="130">
        <f>('INSTRUCTION-2YR'!X36+'RESEARCH 2yr'!X36+'PUBLIC SERVICE 2yr'!X36+'ASptISptSSv 2yr'!X36+'PLANT OPER MAIN 2yr'!X36+'SCHOLAR FELLOW 2yr'!X36+'All Other 2yr'!X36)-X36</f>
        <v>0</v>
      </c>
      <c r="AY36" s="130">
        <f>('INSTRUCTION-2YR'!Y36+'RESEARCH 2yr'!Y36+'PUBLIC SERVICE 2yr'!Y36+'ASptISptSSv 2yr'!Y36+'PLANT OPER MAIN 2yr'!Y36+'SCHOLAR FELLOW 2yr'!Y36+'All Other 2yr'!Y36)-Y36</f>
        <v>0</v>
      </c>
      <c r="AZ36" s="130">
        <f>('INSTRUCTION-2YR'!Z36+'RESEARCH 2yr'!Z36+'PUBLIC SERVICE 2yr'!Z36+'ASptISptSSv 2yr'!Z36+'PLANT OPER MAIN 2yr'!Z36+'SCHOLAR FELLOW 2yr'!Z36+'All Other 2yr'!Z36)-Z36</f>
        <v>0</v>
      </c>
      <c r="BA36" s="130">
        <f>('INSTRUCTION-2YR'!AA36+'RESEARCH 2yr'!AA36+'PUBLIC SERVICE 2yr'!AA36+'ASptISptSSv 2yr'!AA36+'PLANT OPER MAIN 2yr'!AA36+'SCHOLAR FELLOW 2yr'!AA36+'All Other 2yr'!AA36)-AA36</f>
        <v>0</v>
      </c>
    </row>
    <row r="37" spans="1:53">
      <c r="A37" s="23" t="s">
        <v>113</v>
      </c>
      <c r="B37" s="37"/>
      <c r="C37" s="37"/>
      <c r="D37" s="37"/>
      <c r="E37" s="37"/>
      <c r="F37" s="77">
        <v>130846.202</v>
      </c>
      <c r="G37" s="37"/>
      <c r="H37" s="37"/>
      <c r="I37" s="37">
        <v>122423.94</v>
      </c>
      <c r="J37" s="37"/>
      <c r="K37" s="37">
        <v>143080.527</v>
      </c>
      <c r="L37" s="37">
        <v>139353.334</v>
      </c>
      <c r="M37" s="37">
        <v>162095.149</v>
      </c>
      <c r="N37" s="37">
        <v>177274.788</v>
      </c>
      <c r="O37" s="37">
        <v>181125.204</v>
      </c>
      <c r="P37" s="37">
        <v>213127.51</v>
      </c>
      <c r="Q37" s="37">
        <v>227300.72899999999</v>
      </c>
      <c r="R37" s="37">
        <v>232773.611</v>
      </c>
      <c r="S37" s="37">
        <v>250604.23699999999</v>
      </c>
      <c r="T37" s="23">
        <v>270884.66399999999</v>
      </c>
      <c r="U37" s="23">
        <v>264923.42</v>
      </c>
      <c r="V37" s="23">
        <v>321129.88299999997</v>
      </c>
      <c r="W37" s="23">
        <v>305240.41499999998</v>
      </c>
      <c r="X37" s="23">
        <v>249484.85399999999</v>
      </c>
      <c r="Y37" s="2">
        <v>345209.51</v>
      </c>
      <c r="Z37" s="2">
        <v>345571.70899999997</v>
      </c>
      <c r="AA37" s="2">
        <v>351448.24300000002</v>
      </c>
      <c r="AB37" s="130">
        <f>('INSTRUCTION-2YR'!B37+'RESEARCH 2yr'!B37+'PUBLIC SERVICE 2yr'!B37+'ASptISptSSv 2yr'!B37+'PLANT OPER MAIN 2yr'!B37+'SCHOLAR FELLOW 2yr'!B37+'All Other 2yr'!B37)-B37</f>
        <v>0</v>
      </c>
      <c r="AC37" s="130">
        <f>('INSTRUCTION-2YR'!C37+'RESEARCH 2yr'!C37+'PUBLIC SERVICE 2yr'!C37+'ASptISptSSv 2yr'!C37+'PLANT OPER MAIN 2yr'!C37+'SCHOLAR FELLOW 2yr'!C37+'All Other 2yr'!C37)-C37</f>
        <v>0</v>
      </c>
      <c r="AD37" s="130">
        <f>('INSTRUCTION-2YR'!D37+'RESEARCH 2yr'!D37+'PUBLIC SERVICE 2yr'!D37+'ASptISptSSv 2yr'!D37+'PLANT OPER MAIN 2yr'!D37+'SCHOLAR FELLOW 2yr'!D37+'All Other 2yr'!D37)-D37</f>
        <v>0</v>
      </c>
      <c r="AE37" s="130">
        <f>('INSTRUCTION-2YR'!E37+'RESEARCH 2yr'!E37+'PUBLIC SERVICE 2yr'!E37+'ASptISptSSv 2yr'!E37+'PLANT OPER MAIN 2yr'!E37+'SCHOLAR FELLOW 2yr'!E37+'All Other 2yr'!E37)-E37</f>
        <v>0</v>
      </c>
      <c r="AF37" s="130">
        <f>('INSTRUCTION-2YR'!F37+'RESEARCH 2yr'!F37+'PUBLIC SERVICE 2yr'!F37+'ASptISptSSv 2yr'!F37+'PLANT OPER MAIN 2yr'!F37+'SCHOLAR FELLOW 2yr'!F37+'All Other 2yr'!F37)-F37</f>
        <v>0</v>
      </c>
      <c r="AG37" s="130">
        <f>('INSTRUCTION-2YR'!G37+'RESEARCH 2yr'!G37+'PUBLIC SERVICE 2yr'!G37+'ASptISptSSv 2yr'!G37+'PLANT OPER MAIN 2yr'!G37+'SCHOLAR FELLOW 2yr'!G37+'All Other 2yr'!G37)-G37</f>
        <v>0</v>
      </c>
      <c r="AH37" s="130">
        <f>('INSTRUCTION-2YR'!H37+'RESEARCH 2yr'!H37+'PUBLIC SERVICE 2yr'!H37+'ASptISptSSv 2yr'!H37+'PLANT OPER MAIN 2yr'!H37+'SCHOLAR FELLOW 2yr'!H37+'All Other 2yr'!H37)-H37</f>
        <v>0</v>
      </c>
      <c r="AI37" s="130">
        <f>('INSTRUCTION-2YR'!I37+'RESEARCH 2yr'!I37+'PUBLIC SERVICE 2yr'!I37+'ASptISptSSv 2yr'!I37+'PLANT OPER MAIN 2yr'!I37+'SCHOLAR FELLOW 2yr'!I37+'All Other 2yr'!I37)-I37</f>
        <v>0</v>
      </c>
      <c r="AJ37" s="130">
        <f>('INSTRUCTION-2YR'!J37+'RESEARCH 2yr'!J37+'PUBLIC SERVICE 2yr'!J37+'ASptISptSSv 2yr'!J37+'PLANT OPER MAIN 2yr'!J37+'SCHOLAR FELLOW 2yr'!J37+'All Other 2yr'!J37)-J37</f>
        <v>0</v>
      </c>
      <c r="AK37" s="130">
        <f>('INSTRUCTION-2YR'!K37+'RESEARCH 2yr'!K37+'PUBLIC SERVICE 2yr'!K37+'ASptISptSSv 2yr'!K37+'PLANT OPER MAIN 2yr'!K37+'SCHOLAR FELLOW 2yr'!K37+'All Other 2yr'!K37)-K37</f>
        <v>0</v>
      </c>
      <c r="AL37" s="130">
        <f>('INSTRUCTION-2YR'!L37+'RESEARCH 2yr'!L37+'PUBLIC SERVICE 2yr'!L37+'ASptISptSSv 2yr'!L37+'PLANT OPER MAIN 2yr'!L37+'SCHOLAR FELLOW 2yr'!L37+'All Other 2yr'!L37)-L37</f>
        <v>0</v>
      </c>
      <c r="AM37" s="130">
        <f>('INSTRUCTION-2YR'!M37+'RESEARCH 2yr'!M37+'PUBLIC SERVICE 2yr'!M37+'ASptISptSSv 2yr'!M37+'PLANT OPER MAIN 2yr'!M37+'SCHOLAR FELLOW 2yr'!M37+'All Other 2yr'!M37)-M37</f>
        <v>0</v>
      </c>
      <c r="AN37" s="130">
        <f>('INSTRUCTION-2YR'!N37+'RESEARCH 2yr'!N37+'PUBLIC SERVICE 2yr'!N37+'ASptISptSSv 2yr'!N37+'PLANT OPER MAIN 2yr'!N37+'SCHOLAR FELLOW 2yr'!N37+'All Other 2yr'!N37)-N37</f>
        <v>0</v>
      </c>
      <c r="AO37" s="130">
        <f>('INSTRUCTION-2YR'!O37+'RESEARCH 2yr'!O37+'PUBLIC SERVICE 2yr'!O37+'ASptISptSSv 2yr'!O37+'PLANT OPER MAIN 2yr'!O37+'SCHOLAR FELLOW 2yr'!O37+'All Other 2yr'!O37)-O37</f>
        <v>0</v>
      </c>
      <c r="AP37" s="130">
        <f>('INSTRUCTION-2YR'!P37+'RESEARCH 2yr'!P37+'PUBLIC SERVICE 2yr'!P37+'ASptISptSSv 2yr'!P37+'PLANT OPER MAIN 2yr'!P37+'SCHOLAR FELLOW 2yr'!P37+'All Other 2yr'!P37)-P37</f>
        <v>0</v>
      </c>
      <c r="AQ37" s="130">
        <f>('INSTRUCTION-2YR'!Q37+'RESEARCH 2yr'!Q37+'PUBLIC SERVICE 2yr'!Q37+'ASptISptSSv 2yr'!Q37+'PLANT OPER MAIN 2yr'!Q37+'SCHOLAR FELLOW 2yr'!Q37+'All Other 2yr'!Q37)-Q37</f>
        <v>0</v>
      </c>
      <c r="AR37" s="130">
        <f>('INSTRUCTION-2YR'!R37+'RESEARCH 2yr'!R37+'PUBLIC SERVICE 2yr'!R37+'ASptISptSSv 2yr'!R37+'PLANT OPER MAIN 2yr'!R37+'SCHOLAR FELLOW 2yr'!R37+'All Other 2yr'!R37)-R37</f>
        <v>0</v>
      </c>
      <c r="AS37" s="130">
        <f>('INSTRUCTION-2YR'!S37+'RESEARCH 2yr'!S37+'PUBLIC SERVICE 2yr'!S37+'ASptISptSSv 2yr'!S37+'PLANT OPER MAIN 2yr'!S37+'SCHOLAR FELLOW 2yr'!S37+'All Other 2yr'!S37)-S37</f>
        <v>0</v>
      </c>
      <c r="AT37" s="130">
        <f>('INSTRUCTION-2YR'!T37+'RESEARCH 2yr'!T37+'PUBLIC SERVICE 2yr'!T37+'ASptISptSSv 2yr'!T37+'PLANT OPER MAIN 2yr'!T37+'SCHOLAR FELLOW 2yr'!T37+'All Other 2yr'!T37)-T37</f>
        <v>0</v>
      </c>
      <c r="AU37" s="130">
        <f>('INSTRUCTION-2YR'!U37+'RESEARCH 2yr'!U37+'PUBLIC SERVICE 2yr'!U37+'ASptISptSSv 2yr'!U37+'PLANT OPER MAIN 2yr'!U37+'SCHOLAR FELLOW 2yr'!U37+'All Other 2yr'!U37)-U37</f>
        <v>0</v>
      </c>
      <c r="AV37" s="130">
        <f>('INSTRUCTION-2YR'!V37+'RESEARCH 2yr'!V37+'PUBLIC SERVICE 2yr'!V37+'ASptISptSSv 2yr'!V37+'PLANT OPER MAIN 2yr'!V37+'SCHOLAR FELLOW 2yr'!V37+'All Other 2yr'!V37)-V37</f>
        <v>0</v>
      </c>
      <c r="AW37" s="130">
        <f>('INSTRUCTION-2YR'!W37+'RESEARCH 2yr'!W37+'PUBLIC SERVICE 2yr'!W37+'ASptISptSSv 2yr'!W37+'PLANT OPER MAIN 2yr'!W37+'SCHOLAR FELLOW 2yr'!W37+'All Other 2yr'!W37)-W37</f>
        <v>0</v>
      </c>
      <c r="AX37" s="130">
        <f>('INSTRUCTION-2YR'!X37+'RESEARCH 2yr'!X37+'PUBLIC SERVICE 2yr'!X37+'ASptISptSSv 2yr'!X37+'PLANT OPER MAIN 2yr'!X37+'SCHOLAR FELLOW 2yr'!X37+'All Other 2yr'!X37)-X37</f>
        <v>0</v>
      </c>
      <c r="AY37" s="130">
        <f>('INSTRUCTION-2YR'!Y37+'RESEARCH 2yr'!Y37+'PUBLIC SERVICE 2yr'!Y37+'ASptISptSSv 2yr'!Y37+'PLANT OPER MAIN 2yr'!Y37+'SCHOLAR FELLOW 2yr'!Y37+'All Other 2yr'!Y37)-Y37</f>
        <v>0</v>
      </c>
      <c r="AZ37" s="130">
        <f>('INSTRUCTION-2YR'!Z37+'RESEARCH 2yr'!Z37+'PUBLIC SERVICE 2yr'!Z37+'ASptISptSSv 2yr'!Z37+'PLANT OPER MAIN 2yr'!Z37+'SCHOLAR FELLOW 2yr'!Z37+'All Other 2yr'!Z37)-Z37</f>
        <v>0</v>
      </c>
      <c r="BA37" s="130">
        <f>('INSTRUCTION-2YR'!AA37+'RESEARCH 2yr'!AA37+'PUBLIC SERVICE 2yr'!AA37+'ASptISptSSv 2yr'!AA37+'PLANT OPER MAIN 2yr'!AA37+'SCHOLAR FELLOW 2yr'!AA37+'All Other 2yr'!AA37)-AA37</f>
        <v>0</v>
      </c>
    </row>
    <row r="38" spans="1:53">
      <c r="A38" s="23" t="s">
        <v>115</v>
      </c>
      <c r="B38" s="37"/>
      <c r="C38" s="37"/>
      <c r="D38" s="37"/>
      <c r="E38" s="37"/>
      <c r="F38" s="77">
        <v>511025.64</v>
      </c>
      <c r="G38" s="37"/>
      <c r="H38" s="37"/>
      <c r="I38" s="37">
        <v>677485.38100000005</v>
      </c>
      <c r="J38" s="37"/>
      <c r="K38" s="37">
        <v>791166.17807000002</v>
      </c>
      <c r="L38" s="37">
        <v>948229.98</v>
      </c>
      <c r="M38" s="37">
        <v>1071851.7479999999</v>
      </c>
      <c r="N38" s="37">
        <v>1098175.9669999999</v>
      </c>
      <c r="O38" s="37">
        <v>1173529.611</v>
      </c>
      <c r="P38" s="37">
        <v>1317011.3189999999</v>
      </c>
      <c r="Q38" s="37">
        <v>1379717.9439999999</v>
      </c>
      <c r="R38" s="37">
        <v>1415428.655</v>
      </c>
      <c r="S38" s="37">
        <v>1277729.504</v>
      </c>
      <c r="T38" s="23">
        <v>1396505.426</v>
      </c>
      <c r="U38" s="23">
        <v>1690458.7660000001</v>
      </c>
      <c r="V38" s="23">
        <v>1798259.44</v>
      </c>
      <c r="W38" s="23">
        <v>1929269.5160000001</v>
      </c>
      <c r="X38" s="23">
        <v>1909230.379</v>
      </c>
      <c r="Y38" s="2">
        <v>1510719.2679999999</v>
      </c>
      <c r="Z38" s="2">
        <v>1539961.89</v>
      </c>
      <c r="AA38" s="2">
        <v>1549907.58</v>
      </c>
      <c r="AB38" s="130">
        <f>('INSTRUCTION-2YR'!B38+'RESEARCH 2yr'!B38+'PUBLIC SERVICE 2yr'!B38+'ASptISptSSv 2yr'!B38+'PLANT OPER MAIN 2yr'!B38+'SCHOLAR FELLOW 2yr'!B38+'All Other 2yr'!B38)-B38</f>
        <v>0</v>
      </c>
      <c r="AC38" s="130">
        <f>('INSTRUCTION-2YR'!C38+'RESEARCH 2yr'!C38+'PUBLIC SERVICE 2yr'!C38+'ASptISptSSv 2yr'!C38+'PLANT OPER MAIN 2yr'!C38+'SCHOLAR FELLOW 2yr'!C38+'All Other 2yr'!C38)-C38</f>
        <v>0</v>
      </c>
      <c r="AD38" s="130">
        <f>('INSTRUCTION-2YR'!D38+'RESEARCH 2yr'!D38+'PUBLIC SERVICE 2yr'!D38+'ASptISptSSv 2yr'!D38+'PLANT OPER MAIN 2yr'!D38+'SCHOLAR FELLOW 2yr'!D38+'All Other 2yr'!D38)-D38</f>
        <v>0</v>
      </c>
      <c r="AE38" s="130">
        <f>('INSTRUCTION-2YR'!E38+'RESEARCH 2yr'!E38+'PUBLIC SERVICE 2yr'!E38+'ASptISptSSv 2yr'!E38+'PLANT OPER MAIN 2yr'!E38+'SCHOLAR FELLOW 2yr'!E38+'All Other 2yr'!E38)-E38</f>
        <v>0</v>
      </c>
      <c r="AF38" s="130">
        <f>('INSTRUCTION-2YR'!F38+'RESEARCH 2yr'!F38+'PUBLIC SERVICE 2yr'!F38+'ASptISptSSv 2yr'!F38+'PLANT OPER MAIN 2yr'!F38+'SCHOLAR FELLOW 2yr'!F38+'All Other 2yr'!F38)-F38</f>
        <v>0</v>
      </c>
      <c r="AG38" s="130">
        <f>('INSTRUCTION-2YR'!G38+'RESEARCH 2yr'!G38+'PUBLIC SERVICE 2yr'!G38+'ASptISptSSv 2yr'!G38+'PLANT OPER MAIN 2yr'!G38+'SCHOLAR FELLOW 2yr'!G38+'All Other 2yr'!G38)-G38</f>
        <v>0</v>
      </c>
      <c r="AH38" s="130">
        <f>('INSTRUCTION-2YR'!H38+'RESEARCH 2yr'!H38+'PUBLIC SERVICE 2yr'!H38+'ASptISptSSv 2yr'!H38+'PLANT OPER MAIN 2yr'!H38+'SCHOLAR FELLOW 2yr'!H38+'All Other 2yr'!H38)-H38</f>
        <v>0</v>
      </c>
      <c r="AI38" s="130">
        <f>('INSTRUCTION-2YR'!I38+'RESEARCH 2yr'!I38+'PUBLIC SERVICE 2yr'!I38+'ASptISptSSv 2yr'!I38+'PLANT OPER MAIN 2yr'!I38+'SCHOLAR FELLOW 2yr'!I38+'All Other 2yr'!I38)-I38</f>
        <v>0</v>
      </c>
      <c r="AJ38" s="130">
        <f>('INSTRUCTION-2YR'!J38+'RESEARCH 2yr'!J38+'PUBLIC SERVICE 2yr'!J38+'ASptISptSSv 2yr'!J38+'PLANT OPER MAIN 2yr'!J38+'SCHOLAR FELLOW 2yr'!J38+'All Other 2yr'!J38)-J38</f>
        <v>0</v>
      </c>
      <c r="AK38" s="130">
        <f>('INSTRUCTION-2YR'!K38+'RESEARCH 2yr'!K38+'PUBLIC SERVICE 2yr'!K38+'ASptISptSSv 2yr'!K38+'PLANT OPER MAIN 2yr'!K38+'SCHOLAR FELLOW 2yr'!K38+'All Other 2yr'!K38)-K38</f>
        <v>0</v>
      </c>
      <c r="AL38" s="130">
        <f>('INSTRUCTION-2YR'!L38+'RESEARCH 2yr'!L38+'PUBLIC SERVICE 2yr'!L38+'ASptISptSSv 2yr'!L38+'PLANT OPER MAIN 2yr'!L38+'SCHOLAR FELLOW 2yr'!L38+'All Other 2yr'!L38)-L38</f>
        <v>0</v>
      </c>
      <c r="AM38" s="130">
        <f>('INSTRUCTION-2YR'!M38+'RESEARCH 2yr'!M38+'PUBLIC SERVICE 2yr'!M38+'ASptISptSSv 2yr'!M38+'PLANT OPER MAIN 2yr'!M38+'SCHOLAR FELLOW 2yr'!M38+'All Other 2yr'!M38)-M38</f>
        <v>0</v>
      </c>
      <c r="AN38" s="130">
        <f>('INSTRUCTION-2YR'!N38+'RESEARCH 2yr'!N38+'PUBLIC SERVICE 2yr'!N38+'ASptISptSSv 2yr'!N38+'PLANT OPER MAIN 2yr'!N38+'SCHOLAR FELLOW 2yr'!N38+'All Other 2yr'!N38)-N38</f>
        <v>0</v>
      </c>
      <c r="AO38" s="130">
        <f>('INSTRUCTION-2YR'!O38+'RESEARCH 2yr'!O38+'PUBLIC SERVICE 2yr'!O38+'ASptISptSSv 2yr'!O38+'PLANT OPER MAIN 2yr'!O38+'SCHOLAR FELLOW 2yr'!O38+'All Other 2yr'!O38)-O38</f>
        <v>0</v>
      </c>
      <c r="AP38" s="130">
        <f>('INSTRUCTION-2YR'!P38+'RESEARCH 2yr'!P38+'PUBLIC SERVICE 2yr'!P38+'ASptISptSSv 2yr'!P38+'PLANT OPER MAIN 2yr'!P38+'SCHOLAR FELLOW 2yr'!P38+'All Other 2yr'!P38)-P38</f>
        <v>0</v>
      </c>
      <c r="AQ38" s="130">
        <f>('INSTRUCTION-2YR'!Q38+'RESEARCH 2yr'!Q38+'PUBLIC SERVICE 2yr'!Q38+'ASptISptSSv 2yr'!Q38+'PLANT OPER MAIN 2yr'!Q38+'SCHOLAR FELLOW 2yr'!Q38+'All Other 2yr'!Q38)-Q38</f>
        <v>0</v>
      </c>
      <c r="AR38" s="130">
        <f>('INSTRUCTION-2YR'!R38+'RESEARCH 2yr'!R38+'PUBLIC SERVICE 2yr'!R38+'ASptISptSSv 2yr'!R38+'PLANT OPER MAIN 2yr'!R38+'SCHOLAR FELLOW 2yr'!R38+'All Other 2yr'!R38)-R38</f>
        <v>0</v>
      </c>
      <c r="AS38" s="130">
        <f>('INSTRUCTION-2YR'!S38+'RESEARCH 2yr'!S38+'PUBLIC SERVICE 2yr'!S38+'ASptISptSSv 2yr'!S38+'PLANT OPER MAIN 2yr'!S38+'SCHOLAR FELLOW 2yr'!S38+'All Other 2yr'!S38)-S38</f>
        <v>0</v>
      </c>
      <c r="AT38" s="130">
        <f>('INSTRUCTION-2YR'!T38+'RESEARCH 2yr'!T38+'PUBLIC SERVICE 2yr'!T38+'ASptISptSSv 2yr'!T38+'PLANT OPER MAIN 2yr'!T38+'SCHOLAR FELLOW 2yr'!T38+'All Other 2yr'!T38)-T38</f>
        <v>0</v>
      </c>
      <c r="AU38" s="130">
        <f>('INSTRUCTION-2YR'!U38+'RESEARCH 2yr'!U38+'PUBLIC SERVICE 2yr'!U38+'ASptISptSSv 2yr'!U38+'PLANT OPER MAIN 2yr'!U38+'SCHOLAR FELLOW 2yr'!U38+'All Other 2yr'!U38)-U38</f>
        <v>0</v>
      </c>
      <c r="AV38" s="130">
        <f>('INSTRUCTION-2YR'!V38+'RESEARCH 2yr'!V38+'PUBLIC SERVICE 2yr'!V38+'ASptISptSSv 2yr'!V38+'PLANT OPER MAIN 2yr'!V38+'SCHOLAR FELLOW 2yr'!V38+'All Other 2yr'!V38)-V38</f>
        <v>0</v>
      </c>
      <c r="AW38" s="130">
        <f>('INSTRUCTION-2YR'!W38+'RESEARCH 2yr'!W38+'PUBLIC SERVICE 2yr'!W38+'ASptISptSSv 2yr'!W38+'PLANT OPER MAIN 2yr'!W38+'SCHOLAR FELLOW 2yr'!W38+'All Other 2yr'!W38)-W38</f>
        <v>0</v>
      </c>
      <c r="AX38" s="130">
        <f>('INSTRUCTION-2YR'!X38+'RESEARCH 2yr'!X38+'PUBLIC SERVICE 2yr'!X38+'ASptISptSSv 2yr'!X38+'PLANT OPER MAIN 2yr'!X38+'SCHOLAR FELLOW 2yr'!X38+'All Other 2yr'!X38)-X38</f>
        <v>0</v>
      </c>
      <c r="AY38" s="130">
        <f>('INSTRUCTION-2YR'!Y38+'RESEARCH 2yr'!Y38+'PUBLIC SERVICE 2yr'!Y38+'ASptISptSSv 2yr'!Y38+'PLANT OPER MAIN 2yr'!Y38+'SCHOLAR FELLOW 2yr'!Y38+'All Other 2yr'!Y38)-Y38</f>
        <v>0</v>
      </c>
      <c r="AZ38" s="130">
        <f>('INSTRUCTION-2YR'!Z38+'RESEARCH 2yr'!Z38+'PUBLIC SERVICE 2yr'!Z38+'ASptISptSSv 2yr'!Z38+'PLANT OPER MAIN 2yr'!Z38+'SCHOLAR FELLOW 2yr'!Z38+'All Other 2yr'!Z38)-Z38</f>
        <v>0</v>
      </c>
      <c r="BA38" s="130">
        <f>('INSTRUCTION-2YR'!AA38+'RESEARCH 2yr'!AA38+'PUBLIC SERVICE 2yr'!AA38+'ASptISptSSv 2yr'!AA38+'PLANT OPER MAIN 2yr'!AA38+'SCHOLAR FELLOW 2yr'!AA38+'All Other 2yr'!AA38)-AA38</f>
        <v>0</v>
      </c>
    </row>
    <row r="39" spans="1:53">
      <c r="A39" s="45" t="s">
        <v>117</v>
      </c>
      <c r="B39" s="63"/>
      <c r="C39" s="63"/>
      <c r="D39" s="63"/>
      <c r="E39" s="63"/>
      <c r="F39" s="82">
        <v>83610.176000000007</v>
      </c>
      <c r="G39" s="63"/>
      <c r="H39" s="63"/>
      <c r="I39" s="63">
        <v>83880.491999999998</v>
      </c>
      <c r="J39" s="63"/>
      <c r="K39" s="63">
        <v>87501.766000000003</v>
      </c>
      <c r="L39" s="63">
        <v>98254.82</v>
      </c>
      <c r="M39" s="63">
        <v>105341.41499999999</v>
      </c>
      <c r="N39" s="63">
        <v>124657.099</v>
      </c>
      <c r="O39" s="63">
        <v>137398.69500000001</v>
      </c>
      <c r="P39" s="63">
        <v>149250.533</v>
      </c>
      <c r="Q39" s="63">
        <v>153824.75200000001</v>
      </c>
      <c r="R39" s="63">
        <v>165634.78200000001</v>
      </c>
      <c r="S39" s="63">
        <v>182299.98199999999</v>
      </c>
      <c r="T39" s="45">
        <v>212489.70499999999</v>
      </c>
      <c r="U39" s="45">
        <v>228931.35200000001</v>
      </c>
      <c r="V39" s="45">
        <v>235065.571</v>
      </c>
      <c r="W39" s="45">
        <v>249146.772</v>
      </c>
      <c r="X39" s="45">
        <v>266532.19099999999</v>
      </c>
      <c r="Y39" s="45">
        <v>268757.42800000001</v>
      </c>
      <c r="Z39" s="45">
        <v>270141.07199999999</v>
      </c>
      <c r="AA39" s="45">
        <v>288181.89199999999</v>
      </c>
      <c r="AB39" s="130">
        <f>('INSTRUCTION-2YR'!B39+'RESEARCH 2yr'!B39+'PUBLIC SERVICE 2yr'!B39+'ASptISptSSv 2yr'!B39+'PLANT OPER MAIN 2yr'!B39+'SCHOLAR FELLOW 2yr'!B39+'All Other 2yr'!B39)-B39</f>
        <v>0</v>
      </c>
      <c r="AC39" s="130">
        <f>('INSTRUCTION-2YR'!C39+'RESEARCH 2yr'!C39+'PUBLIC SERVICE 2yr'!C39+'ASptISptSSv 2yr'!C39+'PLANT OPER MAIN 2yr'!C39+'SCHOLAR FELLOW 2yr'!C39+'All Other 2yr'!C39)-C39</f>
        <v>0</v>
      </c>
      <c r="AD39" s="130">
        <f>('INSTRUCTION-2YR'!D39+'RESEARCH 2yr'!D39+'PUBLIC SERVICE 2yr'!D39+'ASptISptSSv 2yr'!D39+'PLANT OPER MAIN 2yr'!D39+'SCHOLAR FELLOW 2yr'!D39+'All Other 2yr'!D39)-D39</f>
        <v>0</v>
      </c>
      <c r="AE39" s="130">
        <f>('INSTRUCTION-2YR'!E39+'RESEARCH 2yr'!E39+'PUBLIC SERVICE 2yr'!E39+'ASptISptSSv 2yr'!E39+'PLANT OPER MAIN 2yr'!E39+'SCHOLAR FELLOW 2yr'!E39+'All Other 2yr'!E39)-E39</f>
        <v>0</v>
      </c>
      <c r="AF39" s="130">
        <f>('INSTRUCTION-2YR'!F39+'RESEARCH 2yr'!F39+'PUBLIC SERVICE 2yr'!F39+'ASptISptSSv 2yr'!F39+'PLANT OPER MAIN 2yr'!F39+'SCHOLAR FELLOW 2yr'!F39+'All Other 2yr'!F39)-F39</f>
        <v>0</v>
      </c>
      <c r="AG39" s="130">
        <f>('INSTRUCTION-2YR'!G39+'RESEARCH 2yr'!G39+'PUBLIC SERVICE 2yr'!G39+'ASptISptSSv 2yr'!G39+'PLANT OPER MAIN 2yr'!G39+'SCHOLAR FELLOW 2yr'!G39+'All Other 2yr'!G39)-G39</f>
        <v>0</v>
      </c>
      <c r="AH39" s="130">
        <f>('INSTRUCTION-2YR'!H39+'RESEARCH 2yr'!H39+'PUBLIC SERVICE 2yr'!H39+'ASptISptSSv 2yr'!H39+'PLANT OPER MAIN 2yr'!H39+'SCHOLAR FELLOW 2yr'!H39+'All Other 2yr'!H39)-H39</f>
        <v>0</v>
      </c>
      <c r="AI39" s="130">
        <f>('INSTRUCTION-2YR'!I39+'RESEARCH 2yr'!I39+'PUBLIC SERVICE 2yr'!I39+'ASptISptSSv 2yr'!I39+'PLANT OPER MAIN 2yr'!I39+'SCHOLAR FELLOW 2yr'!I39+'All Other 2yr'!I39)-I39</f>
        <v>0</v>
      </c>
      <c r="AJ39" s="130">
        <f>('INSTRUCTION-2YR'!J39+'RESEARCH 2yr'!J39+'PUBLIC SERVICE 2yr'!J39+'ASptISptSSv 2yr'!J39+'PLANT OPER MAIN 2yr'!J39+'SCHOLAR FELLOW 2yr'!J39+'All Other 2yr'!J39)-J39</f>
        <v>0</v>
      </c>
      <c r="AK39" s="130">
        <f>('INSTRUCTION-2YR'!K39+'RESEARCH 2yr'!K39+'PUBLIC SERVICE 2yr'!K39+'ASptISptSSv 2yr'!K39+'PLANT OPER MAIN 2yr'!K39+'SCHOLAR FELLOW 2yr'!K39+'All Other 2yr'!K39)-K39</f>
        <v>0</v>
      </c>
      <c r="AL39" s="130">
        <f>('INSTRUCTION-2YR'!L39+'RESEARCH 2yr'!L39+'PUBLIC SERVICE 2yr'!L39+'ASptISptSSv 2yr'!L39+'PLANT OPER MAIN 2yr'!L39+'SCHOLAR FELLOW 2yr'!L39+'All Other 2yr'!L39)-L39</f>
        <v>0</v>
      </c>
      <c r="AM39" s="130">
        <f>('INSTRUCTION-2YR'!M39+'RESEARCH 2yr'!M39+'PUBLIC SERVICE 2yr'!M39+'ASptISptSSv 2yr'!M39+'PLANT OPER MAIN 2yr'!M39+'SCHOLAR FELLOW 2yr'!M39+'All Other 2yr'!M39)-M39</f>
        <v>0</v>
      </c>
      <c r="AN39" s="130">
        <f>('INSTRUCTION-2YR'!N39+'RESEARCH 2yr'!N39+'PUBLIC SERVICE 2yr'!N39+'ASptISptSSv 2yr'!N39+'PLANT OPER MAIN 2yr'!N39+'SCHOLAR FELLOW 2yr'!N39+'All Other 2yr'!N39)-N39</f>
        <v>0</v>
      </c>
      <c r="AO39" s="130">
        <f>('INSTRUCTION-2YR'!O39+'RESEARCH 2yr'!O39+'PUBLIC SERVICE 2yr'!O39+'ASptISptSSv 2yr'!O39+'PLANT OPER MAIN 2yr'!O39+'SCHOLAR FELLOW 2yr'!O39+'All Other 2yr'!O39)-O39</f>
        <v>0</v>
      </c>
      <c r="AP39" s="130">
        <f>('INSTRUCTION-2YR'!P39+'RESEARCH 2yr'!P39+'PUBLIC SERVICE 2yr'!P39+'ASptISptSSv 2yr'!P39+'PLANT OPER MAIN 2yr'!P39+'SCHOLAR FELLOW 2yr'!P39+'All Other 2yr'!P39)-P39</f>
        <v>0</v>
      </c>
      <c r="AQ39" s="130">
        <f>('INSTRUCTION-2YR'!Q39+'RESEARCH 2yr'!Q39+'PUBLIC SERVICE 2yr'!Q39+'ASptISptSSv 2yr'!Q39+'PLANT OPER MAIN 2yr'!Q39+'SCHOLAR FELLOW 2yr'!Q39+'All Other 2yr'!Q39)-Q39</f>
        <v>0</v>
      </c>
      <c r="AR39" s="130">
        <f>('INSTRUCTION-2YR'!R39+'RESEARCH 2yr'!R39+'PUBLIC SERVICE 2yr'!R39+'ASptISptSSv 2yr'!R39+'PLANT OPER MAIN 2yr'!R39+'SCHOLAR FELLOW 2yr'!R39+'All Other 2yr'!R39)-R39</f>
        <v>0</v>
      </c>
      <c r="AS39" s="130">
        <f>('INSTRUCTION-2YR'!S39+'RESEARCH 2yr'!S39+'PUBLIC SERVICE 2yr'!S39+'ASptISptSSv 2yr'!S39+'PLANT OPER MAIN 2yr'!S39+'SCHOLAR FELLOW 2yr'!S39+'All Other 2yr'!S39)-S39</f>
        <v>0</v>
      </c>
      <c r="AT39" s="130">
        <f>('INSTRUCTION-2YR'!T39+'RESEARCH 2yr'!T39+'PUBLIC SERVICE 2yr'!T39+'ASptISptSSv 2yr'!T39+'PLANT OPER MAIN 2yr'!T39+'SCHOLAR FELLOW 2yr'!T39+'All Other 2yr'!T39)-T39</f>
        <v>0</v>
      </c>
      <c r="AU39" s="130">
        <f>('INSTRUCTION-2YR'!U39+'RESEARCH 2yr'!U39+'PUBLIC SERVICE 2yr'!U39+'ASptISptSSv 2yr'!U39+'PLANT OPER MAIN 2yr'!U39+'SCHOLAR FELLOW 2yr'!U39+'All Other 2yr'!U39)-U39</f>
        <v>0</v>
      </c>
      <c r="AV39" s="130">
        <f>('INSTRUCTION-2YR'!V39+'RESEARCH 2yr'!V39+'PUBLIC SERVICE 2yr'!V39+'ASptISptSSv 2yr'!V39+'PLANT OPER MAIN 2yr'!V39+'SCHOLAR FELLOW 2yr'!V39+'All Other 2yr'!V39)-V39</f>
        <v>0</v>
      </c>
      <c r="AW39" s="130">
        <f>('INSTRUCTION-2YR'!W39+'RESEARCH 2yr'!W39+'PUBLIC SERVICE 2yr'!W39+'ASptISptSSv 2yr'!W39+'PLANT OPER MAIN 2yr'!W39+'SCHOLAR FELLOW 2yr'!W39+'All Other 2yr'!W39)-W39</f>
        <v>0</v>
      </c>
      <c r="AX39" s="130">
        <f>('INSTRUCTION-2YR'!X39+'RESEARCH 2yr'!X39+'PUBLIC SERVICE 2yr'!X39+'ASptISptSSv 2yr'!X39+'PLANT OPER MAIN 2yr'!X39+'SCHOLAR FELLOW 2yr'!X39+'All Other 2yr'!X39)-X39</f>
        <v>0</v>
      </c>
      <c r="AY39" s="130">
        <f>('INSTRUCTION-2YR'!Y39+'RESEARCH 2yr'!Y39+'PUBLIC SERVICE 2yr'!Y39+'ASptISptSSv 2yr'!Y39+'PLANT OPER MAIN 2yr'!Y39+'SCHOLAR FELLOW 2yr'!Y39+'All Other 2yr'!Y39)-Y39</f>
        <v>0</v>
      </c>
      <c r="AZ39" s="130">
        <f>('INSTRUCTION-2YR'!Z39+'RESEARCH 2yr'!Z39+'PUBLIC SERVICE 2yr'!Z39+'ASptISptSSv 2yr'!Z39+'PLANT OPER MAIN 2yr'!Z39+'SCHOLAR FELLOW 2yr'!Z39+'All Other 2yr'!Z39)-Z39</f>
        <v>0</v>
      </c>
      <c r="BA39" s="130">
        <f>('INSTRUCTION-2YR'!AA39+'RESEARCH 2yr'!AA39+'PUBLIC SERVICE 2yr'!AA39+'ASptISptSSv 2yr'!AA39+'PLANT OPER MAIN 2yr'!AA39+'SCHOLAR FELLOW 2yr'!AA39+'All Other 2yr'!AA39)-AA39</f>
        <v>0</v>
      </c>
    </row>
    <row r="40" spans="1:53" s="23" customFormat="1">
      <c r="A40" s="79" t="s">
        <v>121</v>
      </c>
      <c r="B40" s="90">
        <f>SUM(B42:B53)</f>
        <v>0</v>
      </c>
      <c r="C40" s="90">
        <f t="shared" ref="C40:AA40" si="11">SUM(C42:C53)</f>
        <v>0</v>
      </c>
      <c r="D40" s="90">
        <f t="shared" si="11"/>
        <v>0</v>
      </c>
      <c r="E40" s="90">
        <f t="shared" si="11"/>
        <v>0</v>
      </c>
      <c r="F40" s="90">
        <f t="shared" si="11"/>
        <v>4259626.72</v>
      </c>
      <c r="G40" s="90">
        <f t="shared" si="11"/>
        <v>0</v>
      </c>
      <c r="H40" s="90">
        <f t="shared" si="11"/>
        <v>0</v>
      </c>
      <c r="I40" s="90">
        <f t="shared" si="11"/>
        <v>4820534.1730000004</v>
      </c>
      <c r="J40" s="90">
        <f t="shared" si="11"/>
        <v>0</v>
      </c>
      <c r="K40" s="90">
        <f t="shared" si="11"/>
        <v>5609860.1867300002</v>
      </c>
      <c r="L40" s="90">
        <f t="shared" si="11"/>
        <v>6424138.4040000001</v>
      </c>
      <c r="M40" s="90">
        <f t="shared" si="11"/>
        <v>6939268.0340000009</v>
      </c>
      <c r="N40" s="90">
        <f t="shared" si="11"/>
        <v>7448520.0999999996</v>
      </c>
      <c r="O40" s="90">
        <f t="shared" si="11"/>
        <v>7926938.9130000006</v>
      </c>
      <c r="P40" s="90">
        <f t="shared" si="11"/>
        <v>8483175.4470000006</v>
      </c>
      <c r="Q40" s="90">
        <f t="shared" si="11"/>
        <v>8647448.5929999985</v>
      </c>
      <c r="R40" s="90">
        <f t="shared" si="11"/>
        <v>9066584.3829999994</v>
      </c>
      <c r="S40" s="90">
        <f t="shared" si="11"/>
        <v>9338104.6229999997</v>
      </c>
      <c r="T40" s="90">
        <f t="shared" si="11"/>
        <v>9894923.9419999998</v>
      </c>
      <c r="U40" s="90">
        <f t="shared" si="11"/>
        <v>11053874.666999999</v>
      </c>
      <c r="V40" s="90">
        <f t="shared" si="11"/>
        <v>12479881.108000003</v>
      </c>
      <c r="W40" s="90">
        <f t="shared" si="11"/>
        <v>13633926.005000001</v>
      </c>
      <c r="X40" s="90">
        <f t="shared" si="11"/>
        <v>13632667.156000001</v>
      </c>
      <c r="Y40" s="90">
        <f t="shared" si="11"/>
        <v>10556927.597000001</v>
      </c>
      <c r="Z40" s="90">
        <f t="shared" si="11"/>
        <v>10653037.125999998</v>
      </c>
      <c r="AA40" s="90">
        <f t="shared" si="11"/>
        <v>10535388.676000001</v>
      </c>
      <c r="AB40" s="130">
        <f>('INSTRUCTION-2YR'!B40+'RESEARCH 2yr'!B40+'PUBLIC SERVICE 2yr'!B40+'ASptISptSSv 2yr'!B40+'PLANT OPER MAIN 2yr'!B40+'SCHOLAR FELLOW 2yr'!B40+'All Other 2yr'!B40)-B40</f>
        <v>0</v>
      </c>
      <c r="AC40" s="130">
        <f>('INSTRUCTION-2YR'!C40+'RESEARCH 2yr'!C40+'PUBLIC SERVICE 2yr'!C40+'ASptISptSSv 2yr'!C40+'PLANT OPER MAIN 2yr'!C40+'SCHOLAR FELLOW 2yr'!C40+'All Other 2yr'!C40)-C40</f>
        <v>0</v>
      </c>
      <c r="AD40" s="130">
        <f>('INSTRUCTION-2YR'!D40+'RESEARCH 2yr'!D40+'PUBLIC SERVICE 2yr'!D40+'ASptISptSSv 2yr'!D40+'PLANT OPER MAIN 2yr'!D40+'SCHOLAR FELLOW 2yr'!D40+'All Other 2yr'!D40)-D40</f>
        <v>0</v>
      </c>
      <c r="AE40" s="130">
        <f>('INSTRUCTION-2YR'!E40+'RESEARCH 2yr'!E40+'PUBLIC SERVICE 2yr'!E40+'ASptISptSSv 2yr'!E40+'PLANT OPER MAIN 2yr'!E40+'SCHOLAR FELLOW 2yr'!E40+'All Other 2yr'!E40)-E40</f>
        <v>0</v>
      </c>
      <c r="AF40" s="130">
        <f>('INSTRUCTION-2YR'!F40+'RESEARCH 2yr'!F40+'PUBLIC SERVICE 2yr'!F40+'ASptISptSSv 2yr'!F40+'PLANT OPER MAIN 2yr'!F40+'SCHOLAR FELLOW 2yr'!F40+'All Other 2yr'!F40)-F40</f>
        <v>0</v>
      </c>
      <c r="AG40" s="130">
        <f>('INSTRUCTION-2YR'!G40+'RESEARCH 2yr'!G40+'PUBLIC SERVICE 2yr'!G40+'ASptISptSSv 2yr'!G40+'PLANT OPER MAIN 2yr'!G40+'SCHOLAR FELLOW 2yr'!G40+'All Other 2yr'!G40)-G40</f>
        <v>0</v>
      </c>
      <c r="AH40" s="130">
        <f>('INSTRUCTION-2YR'!H40+'RESEARCH 2yr'!H40+'PUBLIC SERVICE 2yr'!H40+'ASptISptSSv 2yr'!H40+'PLANT OPER MAIN 2yr'!H40+'SCHOLAR FELLOW 2yr'!H40+'All Other 2yr'!H40)-H40</f>
        <v>0</v>
      </c>
      <c r="AI40" s="130">
        <f>('INSTRUCTION-2YR'!I40+'RESEARCH 2yr'!I40+'PUBLIC SERVICE 2yr'!I40+'ASptISptSSv 2yr'!I40+'PLANT OPER MAIN 2yr'!I40+'SCHOLAR FELLOW 2yr'!I40+'All Other 2yr'!I40)-I40</f>
        <v>0</v>
      </c>
      <c r="AJ40" s="130">
        <f>('INSTRUCTION-2YR'!J40+'RESEARCH 2yr'!J40+'PUBLIC SERVICE 2yr'!J40+'ASptISptSSv 2yr'!J40+'PLANT OPER MAIN 2yr'!J40+'SCHOLAR FELLOW 2yr'!J40+'All Other 2yr'!J40)-J40</f>
        <v>0</v>
      </c>
      <c r="AK40" s="130">
        <f>('INSTRUCTION-2YR'!K40+'RESEARCH 2yr'!K40+'PUBLIC SERVICE 2yr'!K40+'ASptISptSSv 2yr'!K40+'PLANT OPER MAIN 2yr'!K40+'SCHOLAR FELLOW 2yr'!K40+'All Other 2yr'!K40)-K40</f>
        <v>0</v>
      </c>
      <c r="AL40" s="130">
        <f>('INSTRUCTION-2YR'!L40+'RESEARCH 2yr'!L40+'PUBLIC SERVICE 2yr'!L40+'ASptISptSSv 2yr'!L40+'PLANT OPER MAIN 2yr'!L40+'SCHOLAR FELLOW 2yr'!L40+'All Other 2yr'!L40)-L40</f>
        <v>0</v>
      </c>
      <c r="AM40" s="130">
        <f>('INSTRUCTION-2YR'!M40+'RESEARCH 2yr'!M40+'PUBLIC SERVICE 2yr'!M40+'ASptISptSSv 2yr'!M40+'PLANT OPER MAIN 2yr'!M40+'SCHOLAR FELLOW 2yr'!M40+'All Other 2yr'!M40)-M40</f>
        <v>0</v>
      </c>
      <c r="AN40" s="130">
        <f>('INSTRUCTION-2YR'!N40+'RESEARCH 2yr'!N40+'PUBLIC SERVICE 2yr'!N40+'ASptISptSSv 2yr'!N40+'PLANT OPER MAIN 2yr'!N40+'SCHOLAR FELLOW 2yr'!N40+'All Other 2yr'!N40)-N40</f>
        <v>0</v>
      </c>
      <c r="AO40" s="130">
        <f>('INSTRUCTION-2YR'!O40+'RESEARCH 2yr'!O40+'PUBLIC SERVICE 2yr'!O40+'ASptISptSSv 2yr'!O40+'PLANT OPER MAIN 2yr'!O40+'SCHOLAR FELLOW 2yr'!O40+'All Other 2yr'!O40)-O40</f>
        <v>0</v>
      </c>
      <c r="AP40" s="130">
        <f>('INSTRUCTION-2YR'!P40+'RESEARCH 2yr'!P40+'PUBLIC SERVICE 2yr'!P40+'ASptISptSSv 2yr'!P40+'PLANT OPER MAIN 2yr'!P40+'SCHOLAR FELLOW 2yr'!P40+'All Other 2yr'!P40)-P40</f>
        <v>0</v>
      </c>
      <c r="AQ40" s="130">
        <f>('INSTRUCTION-2YR'!Q40+'RESEARCH 2yr'!Q40+'PUBLIC SERVICE 2yr'!Q40+'ASptISptSSv 2yr'!Q40+'PLANT OPER MAIN 2yr'!Q40+'SCHOLAR FELLOW 2yr'!Q40+'All Other 2yr'!Q40)-Q40</f>
        <v>0</v>
      </c>
      <c r="AR40" s="130">
        <f>('INSTRUCTION-2YR'!R40+'RESEARCH 2yr'!R40+'PUBLIC SERVICE 2yr'!R40+'ASptISptSSv 2yr'!R40+'PLANT OPER MAIN 2yr'!R40+'SCHOLAR FELLOW 2yr'!R40+'All Other 2yr'!R40)-R40</f>
        <v>0</v>
      </c>
      <c r="AS40" s="130">
        <f>('INSTRUCTION-2YR'!S40+'RESEARCH 2yr'!S40+'PUBLIC SERVICE 2yr'!S40+'ASptISptSSv 2yr'!S40+'PLANT OPER MAIN 2yr'!S40+'SCHOLAR FELLOW 2yr'!S40+'All Other 2yr'!S40)-S40</f>
        <v>0</v>
      </c>
      <c r="AT40" s="130">
        <f>('INSTRUCTION-2YR'!T40+'RESEARCH 2yr'!T40+'PUBLIC SERVICE 2yr'!T40+'ASptISptSSv 2yr'!T40+'PLANT OPER MAIN 2yr'!T40+'SCHOLAR FELLOW 2yr'!T40+'All Other 2yr'!T40)-T40</f>
        <v>0</v>
      </c>
      <c r="AU40" s="130">
        <f>('INSTRUCTION-2YR'!U40+'RESEARCH 2yr'!U40+'PUBLIC SERVICE 2yr'!U40+'ASptISptSSv 2yr'!U40+'PLANT OPER MAIN 2yr'!U40+'SCHOLAR FELLOW 2yr'!U40+'All Other 2yr'!U40)-U40</f>
        <v>0</v>
      </c>
      <c r="AV40" s="130">
        <f>('INSTRUCTION-2YR'!V40+'RESEARCH 2yr'!V40+'PUBLIC SERVICE 2yr'!V40+'ASptISptSSv 2yr'!V40+'PLANT OPER MAIN 2yr'!V40+'SCHOLAR FELLOW 2yr'!V40+'All Other 2yr'!V40)-V40</f>
        <v>0</v>
      </c>
      <c r="AW40" s="130">
        <f>('INSTRUCTION-2YR'!W40+'RESEARCH 2yr'!W40+'PUBLIC SERVICE 2yr'!W40+'ASptISptSSv 2yr'!W40+'PLANT OPER MAIN 2yr'!W40+'SCHOLAR FELLOW 2yr'!W40+'All Other 2yr'!W40)-W40</f>
        <v>0</v>
      </c>
      <c r="AX40" s="130">
        <f>('INSTRUCTION-2YR'!X40+'RESEARCH 2yr'!X40+'PUBLIC SERVICE 2yr'!X40+'ASptISptSSv 2yr'!X40+'PLANT OPER MAIN 2yr'!X40+'SCHOLAR FELLOW 2yr'!X40+'All Other 2yr'!X40)-X40</f>
        <v>0</v>
      </c>
      <c r="AY40" s="130">
        <f>('INSTRUCTION-2YR'!Y40+'RESEARCH 2yr'!Y40+'PUBLIC SERVICE 2yr'!Y40+'ASptISptSSv 2yr'!Y40+'PLANT OPER MAIN 2yr'!Y40+'SCHOLAR FELLOW 2yr'!Y40+'All Other 2yr'!Y40)-Y40</f>
        <v>0</v>
      </c>
      <c r="AZ40" s="130">
        <f>('INSTRUCTION-2YR'!Z40+'RESEARCH 2yr'!Z40+'PUBLIC SERVICE 2yr'!Z40+'ASptISptSSv 2yr'!Z40+'PLANT OPER MAIN 2yr'!Z40+'SCHOLAR FELLOW 2yr'!Z40+'All Other 2yr'!Z40)-Z40</f>
        <v>0</v>
      </c>
      <c r="BA40" s="130">
        <f>('INSTRUCTION-2YR'!AA40+'RESEARCH 2yr'!AA40+'PUBLIC SERVICE 2yr'!AA40+'ASptISptSSv 2yr'!AA40+'PLANT OPER MAIN 2yr'!AA40+'SCHOLAR FELLOW 2yr'!AA40+'All Other 2yr'!AA40)-AA40</f>
        <v>0</v>
      </c>
    </row>
    <row r="41" spans="1:53">
      <c r="A41" s="79" t="s">
        <v>119</v>
      </c>
      <c r="B41" s="37"/>
      <c r="C41" s="37"/>
      <c r="D41" s="37"/>
      <c r="E41" s="37"/>
      <c r="F41" s="37"/>
      <c r="G41" s="37"/>
      <c r="H41" s="37"/>
      <c r="I41" s="37"/>
      <c r="J41" s="37"/>
      <c r="K41" s="37"/>
      <c r="L41" s="37"/>
      <c r="M41" s="37"/>
      <c r="N41" s="37"/>
      <c r="O41" s="37"/>
      <c r="P41" s="37"/>
      <c r="Q41" s="37"/>
      <c r="R41" s="37"/>
      <c r="S41" s="37"/>
      <c r="T41" s="23"/>
      <c r="U41" s="23"/>
      <c r="V41" s="23"/>
      <c r="W41" s="23"/>
      <c r="X41" s="23">
        <v>0</v>
      </c>
      <c r="Y41" s="2">
        <v>0</v>
      </c>
      <c r="Z41" s="2"/>
      <c r="AA41" s="2"/>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row>
    <row r="42" spans="1:53">
      <c r="A42" s="23" t="s">
        <v>93</v>
      </c>
      <c r="B42" s="36"/>
      <c r="C42" s="36"/>
      <c r="D42" s="36"/>
      <c r="E42" s="36"/>
      <c r="F42" s="77">
        <v>990080.58100000001</v>
      </c>
      <c r="G42" s="36"/>
      <c r="H42" s="36"/>
      <c r="I42" s="37">
        <v>1148342.0589999999</v>
      </c>
      <c r="J42" s="37"/>
      <c r="K42" s="37">
        <v>1266604.2897300001</v>
      </c>
      <c r="L42" s="37">
        <v>1545503.135</v>
      </c>
      <c r="M42" s="37">
        <v>1640731.716</v>
      </c>
      <c r="N42" s="37">
        <v>1817909.9469999999</v>
      </c>
      <c r="O42" s="37">
        <v>1757205.956</v>
      </c>
      <c r="P42" s="37">
        <v>2122198.8480000002</v>
      </c>
      <c r="Q42" s="37">
        <v>1983877.6329999999</v>
      </c>
      <c r="R42" s="37">
        <v>2051190.6540000001</v>
      </c>
      <c r="S42" s="37">
        <v>2126987.1069999998</v>
      </c>
      <c r="T42" s="23">
        <v>2259275.0090000001</v>
      </c>
      <c r="U42" s="23">
        <v>2402254.1120000002</v>
      </c>
      <c r="V42" s="23">
        <v>2721305.608</v>
      </c>
      <c r="W42" s="23">
        <v>2951338.16</v>
      </c>
      <c r="X42" s="23">
        <v>3002478.1860000002</v>
      </c>
      <c r="Y42" s="2">
        <v>1798311.6440000001</v>
      </c>
      <c r="Z42" s="2">
        <v>1835171.6629999999</v>
      </c>
      <c r="AA42" s="2">
        <v>1882181.7239999999</v>
      </c>
      <c r="AB42" s="130">
        <f>('INSTRUCTION-2YR'!B42+'RESEARCH 2yr'!B42+'PUBLIC SERVICE 2yr'!B42+'ASptISptSSv 2yr'!B42+'PLANT OPER MAIN 2yr'!B42+'SCHOLAR FELLOW 2yr'!B42+'All Other 2yr'!B42)-B42</f>
        <v>0</v>
      </c>
      <c r="AC42" s="130">
        <f>('INSTRUCTION-2YR'!C42+'RESEARCH 2yr'!C42+'PUBLIC SERVICE 2yr'!C42+'ASptISptSSv 2yr'!C42+'PLANT OPER MAIN 2yr'!C42+'SCHOLAR FELLOW 2yr'!C42+'All Other 2yr'!C42)-C42</f>
        <v>0</v>
      </c>
      <c r="AD42" s="130">
        <f>('INSTRUCTION-2YR'!D42+'RESEARCH 2yr'!D42+'PUBLIC SERVICE 2yr'!D42+'ASptISptSSv 2yr'!D42+'PLANT OPER MAIN 2yr'!D42+'SCHOLAR FELLOW 2yr'!D42+'All Other 2yr'!D42)-D42</f>
        <v>0</v>
      </c>
      <c r="AE42" s="130">
        <f>('INSTRUCTION-2YR'!E42+'RESEARCH 2yr'!E42+'PUBLIC SERVICE 2yr'!E42+'ASptISptSSv 2yr'!E42+'PLANT OPER MAIN 2yr'!E42+'SCHOLAR FELLOW 2yr'!E42+'All Other 2yr'!E42)-E42</f>
        <v>0</v>
      </c>
      <c r="AF42" s="130">
        <f>('INSTRUCTION-2YR'!F42+'RESEARCH 2yr'!F42+'PUBLIC SERVICE 2yr'!F42+'ASptISptSSv 2yr'!F42+'PLANT OPER MAIN 2yr'!F42+'SCHOLAR FELLOW 2yr'!F42+'All Other 2yr'!F42)-F42</f>
        <v>0</v>
      </c>
      <c r="AG42" s="130">
        <f>('INSTRUCTION-2YR'!G42+'RESEARCH 2yr'!G42+'PUBLIC SERVICE 2yr'!G42+'ASptISptSSv 2yr'!G42+'PLANT OPER MAIN 2yr'!G42+'SCHOLAR FELLOW 2yr'!G42+'All Other 2yr'!G42)-G42</f>
        <v>0</v>
      </c>
      <c r="AH42" s="130">
        <f>('INSTRUCTION-2YR'!H42+'RESEARCH 2yr'!H42+'PUBLIC SERVICE 2yr'!H42+'ASptISptSSv 2yr'!H42+'PLANT OPER MAIN 2yr'!H42+'SCHOLAR FELLOW 2yr'!H42+'All Other 2yr'!H42)-H42</f>
        <v>0</v>
      </c>
      <c r="AI42" s="130">
        <f>('INSTRUCTION-2YR'!I42+'RESEARCH 2yr'!I42+'PUBLIC SERVICE 2yr'!I42+'ASptISptSSv 2yr'!I42+'PLANT OPER MAIN 2yr'!I42+'SCHOLAR FELLOW 2yr'!I42+'All Other 2yr'!I42)-I42</f>
        <v>0</v>
      </c>
      <c r="AJ42" s="130">
        <f>('INSTRUCTION-2YR'!J42+'RESEARCH 2yr'!J42+'PUBLIC SERVICE 2yr'!J42+'ASptISptSSv 2yr'!J42+'PLANT OPER MAIN 2yr'!J42+'SCHOLAR FELLOW 2yr'!J42+'All Other 2yr'!J42)-J42</f>
        <v>0</v>
      </c>
      <c r="AK42" s="130">
        <f>('INSTRUCTION-2YR'!K42+'RESEARCH 2yr'!K42+'PUBLIC SERVICE 2yr'!K42+'ASptISptSSv 2yr'!K42+'PLANT OPER MAIN 2yr'!K42+'SCHOLAR FELLOW 2yr'!K42+'All Other 2yr'!K42)-K42</f>
        <v>0</v>
      </c>
      <c r="AL42" s="130">
        <f>('INSTRUCTION-2YR'!L42+'RESEARCH 2yr'!L42+'PUBLIC SERVICE 2yr'!L42+'ASptISptSSv 2yr'!L42+'PLANT OPER MAIN 2yr'!L42+'SCHOLAR FELLOW 2yr'!L42+'All Other 2yr'!L42)-L42</f>
        <v>0</v>
      </c>
      <c r="AM42" s="130">
        <f>('INSTRUCTION-2YR'!M42+'RESEARCH 2yr'!M42+'PUBLIC SERVICE 2yr'!M42+'ASptISptSSv 2yr'!M42+'PLANT OPER MAIN 2yr'!M42+'SCHOLAR FELLOW 2yr'!M42+'All Other 2yr'!M42)-M42</f>
        <v>0</v>
      </c>
      <c r="AN42" s="130">
        <f>('INSTRUCTION-2YR'!N42+'RESEARCH 2yr'!N42+'PUBLIC SERVICE 2yr'!N42+'ASptISptSSv 2yr'!N42+'PLANT OPER MAIN 2yr'!N42+'SCHOLAR FELLOW 2yr'!N42+'All Other 2yr'!N42)-N42</f>
        <v>0</v>
      </c>
      <c r="AO42" s="130">
        <f>('INSTRUCTION-2YR'!O42+'RESEARCH 2yr'!O42+'PUBLIC SERVICE 2yr'!O42+'ASptISptSSv 2yr'!O42+'PLANT OPER MAIN 2yr'!O42+'SCHOLAR FELLOW 2yr'!O42+'All Other 2yr'!O42)-O42</f>
        <v>0</v>
      </c>
      <c r="AP42" s="130">
        <f>('INSTRUCTION-2YR'!P42+'RESEARCH 2yr'!P42+'PUBLIC SERVICE 2yr'!P42+'ASptISptSSv 2yr'!P42+'PLANT OPER MAIN 2yr'!P42+'SCHOLAR FELLOW 2yr'!P42+'All Other 2yr'!P42)-P42</f>
        <v>0</v>
      </c>
      <c r="AQ42" s="130">
        <f>('INSTRUCTION-2YR'!Q42+'RESEARCH 2yr'!Q42+'PUBLIC SERVICE 2yr'!Q42+'ASptISptSSv 2yr'!Q42+'PLANT OPER MAIN 2yr'!Q42+'SCHOLAR FELLOW 2yr'!Q42+'All Other 2yr'!Q42)-Q42</f>
        <v>0</v>
      </c>
      <c r="AR42" s="130">
        <f>('INSTRUCTION-2YR'!R42+'RESEARCH 2yr'!R42+'PUBLIC SERVICE 2yr'!R42+'ASptISptSSv 2yr'!R42+'PLANT OPER MAIN 2yr'!R42+'SCHOLAR FELLOW 2yr'!R42+'All Other 2yr'!R42)-R42</f>
        <v>0</v>
      </c>
      <c r="AS42" s="130">
        <f>('INSTRUCTION-2YR'!S42+'RESEARCH 2yr'!S42+'PUBLIC SERVICE 2yr'!S42+'ASptISptSSv 2yr'!S42+'PLANT OPER MAIN 2yr'!S42+'SCHOLAR FELLOW 2yr'!S42+'All Other 2yr'!S42)-S42</f>
        <v>0</v>
      </c>
      <c r="AT42" s="130">
        <f>('INSTRUCTION-2YR'!T42+'RESEARCH 2yr'!T42+'PUBLIC SERVICE 2yr'!T42+'ASptISptSSv 2yr'!T42+'PLANT OPER MAIN 2yr'!T42+'SCHOLAR FELLOW 2yr'!T42+'All Other 2yr'!T42)-T42</f>
        <v>0</v>
      </c>
      <c r="AU42" s="130">
        <f>('INSTRUCTION-2YR'!U42+'RESEARCH 2yr'!U42+'PUBLIC SERVICE 2yr'!U42+'ASptISptSSv 2yr'!U42+'PLANT OPER MAIN 2yr'!U42+'SCHOLAR FELLOW 2yr'!U42+'All Other 2yr'!U42)-U42</f>
        <v>0</v>
      </c>
      <c r="AV42" s="130">
        <f>('INSTRUCTION-2YR'!V42+'RESEARCH 2yr'!V42+'PUBLIC SERVICE 2yr'!V42+'ASptISptSSv 2yr'!V42+'PLANT OPER MAIN 2yr'!V42+'SCHOLAR FELLOW 2yr'!V42+'All Other 2yr'!V42)-V42</f>
        <v>0</v>
      </c>
      <c r="AW42" s="130">
        <f>('INSTRUCTION-2YR'!W42+'RESEARCH 2yr'!W42+'PUBLIC SERVICE 2yr'!W42+'ASptISptSSv 2yr'!W42+'PLANT OPER MAIN 2yr'!W42+'SCHOLAR FELLOW 2yr'!W42+'All Other 2yr'!W42)-W42</f>
        <v>0</v>
      </c>
      <c r="AX42" s="130">
        <f>('INSTRUCTION-2YR'!X42+'RESEARCH 2yr'!X42+'PUBLIC SERVICE 2yr'!X42+'ASptISptSSv 2yr'!X42+'PLANT OPER MAIN 2yr'!X42+'SCHOLAR FELLOW 2yr'!X42+'All Other 2yr'!X42)-X42</f>
        <v>0</v>
      </c>
      <c r="AY42" s="130">
        <f>('INSTRUCTION-2YR'!Y42+'RESEARCH 2yr'!Y42+'PUBLIC SERVICE 2yr'!Y42+'ASptISptSSv 2yr'!Y42+'PLANT OPER MAIN 2yr'!Y42+'SCHOLAR FELLOW 2yr'!Y42+'All Other 2yr'!Y42)-Y42</f>
        <v>0</v>
      </c>
      <c r="AZ42" s="130">
        <f>('INSTRUCTION-2YR'!Z42+'RESEARCH 2yr'!Z42+'PUBLIC SERVICE 2yr'!Z42+'ASptISptSSv 2yr'!Z42+'PLANT OPER MAIN 2yr'!Z42+'SCHOLAR FELLOW 2yr'!Z42+'All Other 2yr'!Z42)-Z42</f>
        <v>0</v>
      </c>
      <c r="BA42" s="130">
        <f>('INSTRUCTION-2YR'!AA42+'RESEARCH 2yr'!AA42+'PUBLIC SERVICE 2yr'!AA42+'ASptISptSSv 2yr'!AA42+'PLANT OPER MAIN 2yr'!AA42+'SCHOLAR FELLOW 2yr'!AA42+'All Other 2yr'!AA42)-AA42</f>
        <v>0</v>
      </c>
    </row>
    <row r="43" spans="1:53">
      <c r="A43" s="23" t="s">
        <v>58</v>
      </c>
      <c r="B43" s="36"/>
      <c r="C43" s="36"/>
      <c r="D43" s="36"/>
      <c r="E43" s="36"/>
      <c r="F43" s="77">
        <v>173731.198</v>
      </c>
      <c r="G43" s="36"/>
      <c r="H43" s="36"/>
      <c r="I43" s="37">
        <v>185083.34899999999</v>
      </c>
      <c r="J43" s="37"/>
      <c r="K43" s="37">
        <v>241431.31</v>
      </c>
      <c r="L43" s="37">
        <v>255886.59700000001</v>
      </c>
      <c r="M43" s="37">
        <v>273397.88400000002</v>
      </c>
      <c r="N43" s="37">
        <v>325599.61499999999</v>
      </c>
      <c r="O43" s="37">
        <v>349803.30800000002</v>
      </c>
      <c r="P43" s="37">
        <v>294631.87099999998</v>
      </c>
      <c r="Q43" s="37">
        <v>327848.09999999998</v>
      </c>
      <c r="R43" s="37">
        <v>342187.68400000001</v>
      </c>
      <c r="S43" s="37">
        <v>363977.97</v>
      </c>
      <c r="T43" s="23">
        <v>364552.72100000002</v>
      </c>
      <c r="U43" s="23">
        <v>461340.34499999997</v>
      </c>
      <c r="V43" s="23">
        <v>618063.91</v>
      </c>
      <c r="W43" s="23">
        <v>690296.14099999995</v>
      </c>
      <c r="X43" s="23">
        <v>773367.54599999997</v>
      </c>
      <c r="Y43" s="2">
        <v>858619.08200000005</v>
      </c>
      <c r="Z43" s="2">
        <v>837089.93700000003</v>
      </c>
      <c r="AA43" s="2">
        <v>792633.21499999997</v>
      </c>
      <c r="AB43" s="130">
        <f>('INSTRUCTION-2YR'!B43+'RESEARCH 2yr'!B43+'PUBLIC SERVICE 2yr'!B43+'ASptISptSSv 2yr'!B43+'PLANT OPER MAIN 2yr'!B43+'SCHOLAR FELLOW 2yr'!B43+'All Other 2yr'!B43)-B43</f>
        <v>0</v>
      </c>
      <c r="AC43" s="130">
        <f>('INSTRUCTION-2YR'!C43+'RESEARCH 2yr'!C43+'PUBLIC SERVICE 2yr'!C43+'ASptISptSSv 2yr'!C43+'PLANT OPER MAIN 2yr'!C43+'SCHOLAR FELLOW 2yr'!C43+'All Other 2yr'!C43)-C43</f>
        <v>0</v>
      </c>
      <c r="AD43" s="130">
        <f>('INSTRUCTION-2YR'!D43+'RESEARCH 2yr'!D43+'PUBLIC SERVICE 2yr'!D43+'ASptISptSSv 2yr'!D43+'PLANT OPER MAIN 2yr'!D43+'SCHOLAR FELLOW 2yr'!D43+'All Other 2yr'!D43)-D43</f>
        <v>0</v>
      </c>
      <c r="AE43" s="130">
        <f>('INSTRUCTION-2YR'!E43+'RESEARCH 2yr'!E43+'PUBLIC SERVICE 2yr'!E43+'ASptISptSSv 2yr'!E43+'PLANT OPER MAIN 2yr'!E43+'SCHOLAR FELLOW 2yr'!E43+'All Other 2yr'!E43)-E43</f>
        <v>0</v>
      </c>
      <c r="AF43" s="130">
        <f>('INSTRUCTION-2YR'!F43+'RESEARCH 2yr'!F43+'PUBLIC SERVICE 2yr'!F43+'ASptISptSSv 2yr'!F43+'PLANT OPER MAIN 2yr'!F43+'SCHOLAR FELLOW 2yr'!F43+'All Other 2yr'!F43)-F43</f>
        <v>0</v>
      </c>
      <c r="AG43" s="130">
        <f>('INSTRUCTION-2YR'!G43+'RESEARCH 2yr'!G43+'PUBLIC SERVICE 2yr'!G43+'ASptISptSSv 2yr'!G43+'PLANT OPER MAIN 2yr'!G43+'SCHOLAR FELLOW 2yr'!G43+'All Other 2yr'!G43)-G43</f>
        <v>0</v>
      </c>
      <c r="AH43" s="130">
        <f>('INSTRUCTION-2YR'!H43+'RESEARCH 2yr'!H43+'PUBLIC SERVICE 2yr'!H43+'ASptISptSSv 2yr'!H43+'PLANT OPER MAIN 2yr'!H43+'SCHOLAR FELLOW 2yr'!H43+'All Other 2yr'!H43)-H43</f>
        <v>0</v>
      </c>
      <c r="AI43" s="130">
        <f>('INSTRUCTION-2YR'!I43+'RESEARCH 2yr'!I43+'PUBLIC SERVICE 2yr'!I43+'ASptISptSSv 2yr'!I43+'PLANT OPER MAIN 2yr'!I43+'SCHOLAR FELLOW 2yr'!I43+'All Other 2yr'!I43)-I43</f>
        <v>0</v>
      </c>
      <c r="AJ43" s="130">
        <f>('INSTRUCTION-2YR'!J43+'RESEARCH 2yr'!J43+'PUBLIC SERVICE 2yr'!J43+'ASptISptSSv 2yr'!J43+'PLANT OPER MAIN 2yr'!J43+'SCHOLAR FELLOW 2yr'!J43+'All Other 2yr'!J43)-J43</f>
        <v>0</v>
      </c>
      <c r="AK43" s="130">
        <f>('INSTRUCTION-2YR'!K43+'RESEARCH 2yr'!K43+'PUBLIC SERVICE 2yr'!K43+'ASptISptSSv 2yr'!K43+'PLANT OPER MAIN 2yr'!K43+'SCHOLAR FELLOW 2yr'!K43+'All Other 2yr'!K43)-K43</f>
        <v>0</v>
      </c>
      <c r="AL43" s="130">
        <f>('INSTRUCTION-2YR'!L43+'RESEARCH 2yr'!L43+'PUBLIC SERVICE 2yr'!L43+'ASptISptSSv 2yr'!L43+'PLANT OPER MAIN 2yr'!L43+'SCHOLAR FELLOW 2yr'!L43+'All Other 2yr'!L43)-L43</f>
        <v>0</v>
      </c>
      <c r="AM43" s="130">
        <f>('INSTRUCTION-2YR'!M43+'RESEARCH 2yr'!M43+'PUBLIC SERVICE 2yr'!M43+'ASptISptSSv 2yr'!M43+'PLANT OPER MAIN 2yr'!M43+'SCHOLAR FELLOW 2yr'!M43+'All Other 2yr'!M43)-M43</f>
        <v>0</v>
      </c>
      <c r="AN43" s="130">
        <f>('INSTRUCTION-2YR'!N43+'RESEARCH 2yr'!N43+'PUBLIC SERVICE 2yr'!N43+'ASptISptSSv 2yr'!N43+'PLANT OPER MAIN 2yr'!N43+'SCHOLAR FELLOW 2yr'!N43+'All Other 2yr'!N43)-N43</f>
        <v>0</v>
      </c>
      <c r="AO43" s="130">
        <f>('INSTRUCTION-2YR'!O43+'RESEARCH 2yr'!O43+'PUBLIC SERVICE 2yr'!O43+'ASptISptSSv 2yr'!O43+'PLANT OPER MAIN 2yr'!O43+'SCHOLAR FELLOW 2yr'!O43+'All Other 2yr'!O43)-O43</f>
        <v>0</v>
      </c>
      <c r="AP43" s="130">
        <f>('INSTRUCTION-2YR'!P43+'RESEARCH 2yr'!P43+'PUBLIC SERVICE 2yr'!P43+'ASptISptSSv 2yr'!P43+'PLANT OPER MAIN 2yr'!P43+'SCHOLAR FELLOW 2yr'!P43+'All Other 2yr'!P43)-P43</f>
        <v>0</v>
      </c>
      <c r="AQ43" s="130">
        <f>('INSTRUCTION-2YR'!Q43+'RESEARCH 2yr'!Q43+'PUBLIC SERVICE 2yr'!Q43+'ASptISptSSv 2yr'!Q43+'PLANT OPER MAIN 2yr'!Q43+'SCHOLAR FELLOW 2yr'!Q43+'All Other 2yr'!Q43)-Q43</f>
        <v>0</v>
      </c>
      <c r="AR43" s="130">
        <f>('INSTRUCTION-2YR'!R43+'RESEARCH 2yr'!R43+'PUBLIC SERVICE 2yr'!R43+'ASptISptSSv 2yr'!R43+'PLANT OPER MAIN 2yr'!R43+'SCHOLAR FELLOW 2yr'!R43+'All Other 2yr'!R43)-R43</f>
        <v>0</v>
      </c>
      <c r="AS43" s="130">
        <f>('INSTRUCTION-2YR'!S43+'RESEARCH 2yr'!S43+'PUBLIC SERVICE 2yr'!S43+'ASptISptSSv 2yr'!S43+'PLANT OPER MAIN 2yr'!S43+'SCHOLAR FELLOW 2yr'!S43+'All Other 2yr'!S43)-S43</f>
        <v>0</v>
      </c>
      <c r="AT43" s="130">
        <f>('INSTRUCTION-2YR'!T43+'RESEARCH 2yr'!T43+'PUBLIC SERVICE 2yr'!T43+'ASptISptSSv 2yr'!T43+'PLANT OPER MAIN 2yr'!T43+'SCHOLAR FELLOW 2yr'!T43+'All Other 2yr'!T43)-T43</f>
        <v>0</v>
      </c>
      <c r="AU43" s="130">
        <f>('INSTRUCTION-2YR'!U43+'RESEARCH 2yr'!U43+'PUBLIC SERVICE 2yr'!U43+'ASptISptSSv 2yr'!U43+'PLANT OPER MAIN 2yr'!U43+'SCHOLAR FELLOW 2yr'!U43+'All Other 2yr'!U43)-U43</f>
        <v>0</v>
      </c>
      <c r="AV43" s="130">
        <f>('INSTRUCTION-2YR'!V43+'RESEARCH 2yr'!V43+'PUBLIC SERVICE 2yr'!V43+'ASptISptSSv 2yr'!V43+'PLANT OPER MAIN 2yr'!V43+'SCHOLAR FELLOW 2yr'!V43+'All Other 2yr'!V43)-V43</f>
        <v>0</v>
      </c>
      <c r="AW43" s="130">
        <f>('INSTRUCTION-2YR'!W43+'RESEARCH 2yr'!W43+'PUBLIC SERVICE 2yr'!W43+'ASptISptSSv 2yr'!W43+'PLANT OPER MAIN 2yr'!W43+'SCHOLAR FELLOW 2yr'!W43+'All Other 2yr'!W43)-W43</f>
        <v>0</v>
      </c>
      <c r="AX43" s="130">
        <f>('INSTRUCTION-2YR'!X43+'RESEARCH 2yr'!X43+'PUBLIC SERVICE 2yr'!X43+'ASptISptSSv 2yr'!X43+'PLANT OPER MAIN 2yr'!X43+'SCHOLAR FELLOW 2yr'!X43+'All Other 2yr'!X43)-X43</f>
        <v>0</v>
      </c>
      <c r="AY43" s="130">
        <f>('INSTRUCTION-2YR'!Y43+'RESEARCH 2yr'!Y43+'PUBLIC SERVICE 2yr'!Y43+'ASptISptSSv 2yr'!Y43+'PLANT OPER MAIN 2yr'!Y43+'SCHOLAR FELLOW 2yr'!Y43+'All Other 2yr'!Y43)-Y43</f>
        <v>0</v>
      </c>
      <c r="AZ43" s="130">
        <f>('INSTRUCTION-2YR'!Z43+'RESEARCH 2yr'!Z43+'PUBLIC SERVICE 2yr'!Z43+'ASptISptSSv 2yr'!Z43+'PLANT OPER MAIN 2yr'!Z43+'SCHOLAR FELLOW 2yr'!Z43+'All Other 2yr'!Z43)-Z43</f>
        <v>0</v>
      </c>
      <c r="BA43" s="130">
        <f>('INSTRUCTION-2YR'!AA43+'RESEARCH 2yr'!AA43+'PUBLIC SERVICE 2yr'!AA43+'ASptISptSSv 2yr'!AA43+'PLANT OPER MAIN 2yr'!AA43+'SCHOLAR FELLOW 2yr'!AA43+'All Other 2yr'!AA43)-AA43</f>
        <v>0</v>
      </c>
    </row>
    <row r="44" spans="1:53">
      <c r="A44" s="23" t="s">
        <v>94</v>
      </c>
      <c r="B44" s="36"/>
      <c r="C44" s="36"/>
      <c r="D44" s="36"/>
      <c r="E44" s="36"/>
      <c r="F44" s="77">
        <v>312740.55900000001</v>
      </c>
      <c r="G44" s="36"/>
      <c r="H44" s="36"/>
      <c r="I44" s="37">
        <v>332278.57799999998</v>
      </c>
      <c r="J44" s="37"/>
      <c r="K44" s="37">
        <v>357379.53</v>
      </c>
      <c r="L44" s="37">
        <v>439750.12599999999</v>
      </c>
      <c r="M44" s="37">
        <v>476966.364</v>
      </c>
      <c r="N44" s="37">
        <v>501223.587</v>
      </c>
      <c r="O44" s="37">
        <v>538308.35699999996</v>
      </c>
      <c r="P44" s="37">
        <v>586095.23699999996</v>
      </c>
      <c r="Q44" s="37">
        <v>606756.78799999994</v>
      </c>
      <c r="R44" s="37">
        <v>645842.96499999997</v>
      </c>
      <c r="S44" s="37">
        <v>672132.53</v>
      </c>
      <c r="T44" s="23">
        <v>728485.93799999997</v>
      </c>
      <c r="U44" s="23">
        <v>813793.35600000003</v>
      </c>
      <c r="V44" s="23">
        <v>867324.9</v>
      </c>
      <c r="W44" s="23">
        <v>949090.47900000005</v>
      </c>
      <c r="X44" s="23">
        <v>928210.63800000004</v>
      </c>
      <c r="Y44" s="2">
        <v>874941.201</v>
      </c>
      <c r="Z44" s="2">
        <v>866060.59400000004</v>
      </c>
      <c r="AA44" s="2">
        <v>892605.48699999996</v>
      </c>
      <c r="AB44" s="130">
        <f>('INSTRUCTION-2YR'!B44+'RESEARCH 2yr'!B44+'PUBLIC SERVICE 2yr'!B44+'ASptISptSSv 2yr'!B44+'PLANT OPER MAIN 2yr'!B44+'SCHOLAR FELLOW 2yr'!B44+'All Other 2yr'!B44)-B44</f>
        <v>0</v>
      </c>
      <c r="AC44" s="130">
        <f>('INSTRUCTION-2YR'!C44+'RESEARCH 2yr'!C44+'PUBLIC SERVICE 2yr'!C44+'ASptISptSSv 2yr'!C44+'PLANT OPER MAIN 2yr'!C44+'SCHOLAR FELLOW 2yr'!C44+'All Other 2yr'!C44)-C44</f>
        <v>0</v>
      </c>
      <c r="AD44" s="130">
        <f>('INSTRUCTION-2YR'!D44+'RESEARCH 2yr'!D44+'PUBLIC SERVICE 2yr'!D44+'ASptISptSSv 2yr'!D44+'PLANT OPER MAIN 2yr'!D44+'SCHOLAR FELLOW 2yr'!D44+'All Other 2yr'!D44)-D44</f>
        <v>0</v>
      </c>
      <c r="AE44" s="130">
        <f>('INSTRUCTION-2YR'!E44+'RESEARCH 2yr'!E44+'PUBLIC SERVICE 2yr'!E44+'ASptISptSSv 2yr'!E44+'PLANT OPER MAIN 2yr'!E44+'SCHOLAR FELLOW 2yr'!E44+'All Other 2yr'!E44)-E44</f>
        <v>0</v>
      </c>
      <c r="AF44" s="130">
        <f>('INSTRUCTION-2YR'!F44+'RESEARCH 2yr'!F44+'PUBLIC SERVICE 2yr'!F44+'ASptISptSSv 2yr'!F44+'PLANT OPER MAIN 2yr'!F44+'SCHOLAR FELLOW 2yr'!F44+'All Other 2yr'!F44)-F44</f>
        <v>0</v>
      </c>
      <c r="AG44" s="130">
        <f>('INSTRUCTION-2YR'!G44+'RESEARCH 2yr'!G44+'PUBLIC SERVICE 2yr'!G44+'ASptISptSSv 2yr'!G44+'PLANT OPER MAIN 2yr'!G44+'SCHOLAR FELLOW 2yr'!G44+'All Other 2yr'!G44)-G44</f>
        <v>0</v>
      </c>
      <c r="AH44" s="130">
        <f>('INSTRUCTION-2YR'!H44+'RESEARCH 2yr'!H44+'PUBLIC SERVICE 2yr'!H44+'ASptISptSSv 2yr'!H44+'PLANT OPER MAIN 2yr'!H44+'SCHOLAR FELLOW 2yr'!H44+'All Other 2yr'!H44)-H44</f>
        <v>0</v>
      </c>
      <c r="AI44" s="130">
        <f>('INSTRUCTION-2YR'!I44+'RESEARCH 2yr'!I44+'PUBLIC SERVICE 2yr'!I44+'ASptISptSSv 2yr'!I44+'PLANT OPER MAIN 2yr'!I44+'SCHOLAR FELLOW 2yr'!I44+'All Other 2yr'!I44)-I44</f>
        <v>0</v>
      </c>
      <c r="AJ44" s="130">
        <f>('INSTRUCTION-2YR'!J44+'RESEARCH 2yr'!J44+'PUBLIC SERVICE 2yr'!J44+'ASptISptSSv 2yr'!J44+'PLANT OPER MAIN 2yr'!J44+'SCHOLAR FELLOW 2yr'!J44+'All Other 2yr'!J44)-J44</f>
        <v>0</v>
      </c>
      <c r="AK44" s="130">
        <f>('INSTRUCTION-2YR'!K44+'RESEARCH 2yr'!K44+'PUBLIC SERVICE 2yr'!K44+'ASptISptSSv 2yr'!K44+'PLANT OPER MAIN 2yr'!K44+'SCHOLAR FELLOW 2yr'!K44+'All Other 2yr'!K44)-K44</f>
        <v>0</v>
      </c>
      <c r="AL44" s="130">
        <f>('INSTRUCTION-2YR'!L44+'RESEARCH 2yr'!L44+'PUBLIC SERVICE 2yr'!L44+'ASptISptSSv 2yr'!L44+'PLANT OPER MAIN 2yr'!L44+'SCHOLAR FELLOW 2yr'!L44+'All Other 2yr'!L44)-L44</f>
        <v>0</v>
      </c>
      <c r="AM44" s="130">
        <f>('INSTRUCTION-2YR'!M44+'RESEARCH 2yr'!M44+'PUBLIC SERVICE 2yr'!M44+'ASptISptSSv 2yr'!M44+'PLANT OPER MAIN 2yr'!M44+'SCHOLAR FELLOW 2yr'!M44+'All Other 2yr'!M44)-M44</f>
        <v>0</v>
      </c>
      <c r="AN44" s="130">
        <f>('INSTRUCTION-2YR'!N44+'RESEARCH 2yr'!N44+'PUBLIC SERVICE 2yr'!N44+'ASptISptSSv 2yr'!N44+'PLANT OPER MAIN 2yr'!N44+'SCHOLAR FELLOW 2yr'!N44+'All Other 2yr'!N44)-N44</f>
        <v>0</v>
      </c>
      <c r="AO44" s="130">
        <f>('INSTRUCTION-2YR'!O44+'RESEARCH 2yr'!O44+'PUBLIC SERVICE 2yr'!O44+'ASptISptSSv 2yr'!O44+'PLANT OPER MAIN 2yr'!O44+'SCHOLAR FELLOW 2yr'!O44+'All Other 2yr'!O44)-O44</f>
        <v>0</v>
      </c>
      <c r="AP44" s="130">
        <f>('INSTRUCTION-2YR'!P44+'RESEARCH 2yr'!P44+'PUBLIC SERVICE 2yr'!P44+'ASptISptSSv 2yr'!P44+'PLANT OPER MAIN 2yr'!P44+'SCHOLAR FELLOW 2yr'!P44+'All Other 2yr'!P44)-P44</f>
        <v>0</v>
      </c>
      <c r="AQ44" s="130">
        <f>('INSTRUCTION-2YR'!Q44+'RESEARCH 2yr'!Q44+'PUBLIC SERVICE 2yr'!Q44+'ASptISptSSv 2yr'!Q44+'PLANT OPER MAIN 2yr'!Q44+'SCHOLAR FELLOW 2yr'!Q44+'All Other 2yr'!Q44)-Q44</f>
        <v>0</v>
      </c>
      <c r="AR44" s="130">
        <f>('INSTRUCTION-2YR'!R44+'RESEARCH 2yr'!R44+'PUBLIC SERVICE 2yr'!R44+'ASptISptSSv 2yr'!R44+'PLANT OPER MAIN 2yr'!R44+'SCHOLAR FELLOW 2yr'!R44+'All Other 2yr'!R44)-R44</f>
        <v>0</v>
      </c>
      <c r="AS44" s="130">
        <f>('INSTRUCTION-2YR'!S44+'RESEARCH 2yr'!S44+'PUBLIC SERVICE 2yr'!S44+'ASptISptSSv 2yr'!S44+'PLANT OPER MAIN 2yr'!S44+'SCHOLAR FELLOW 2yr'!S44+'All Other 2yr'!S44)-S44</f>
        <v>0</v>
      </c>
      <c r="AT44" s="130">
        <f>('INSTRUCTION-2YR'!T44+'RESEARCH 2yr'!T44+'PUBLIC SERVICE 2yr'!T44+'ASptISptSSv 2yr'!T44+'PLANT OPER MAIN 2yr'!T44+'SCHOLAR FELLOW 2yr'!T44+'All Other 2yr'!T44)-T44</f>
        <v>0</v>
      </c>
      <c r="AU44" s="130">
        <f>('INSTRUCTION-2YR'!U44+'RESEARCH 2yr'!U44+'PUBLIC SERVICE 2yr'!U44+'ASptISptSSv 2yr'!U44+'PLANT OPER MAIN 2yr'!U44+'SCHOLAR FELLOW 2yr'!U44+'All Other 2yr'!U44)-U44</f>
        <v>0</v>
      </c>
      <c r="AV44" s="130">
        <f>('INSTRUCTION-2YR'!V44+'RESEARCH 2yr'!V44+'PUBLIC SERVICE 2yr'!V44+'ASptISptSSv 2yr'!V44+'PLANT OPER MAIN 2yr'!V44+'SCHOLAR FELLOW 2yr'!V44+'All Other 2yr'!V44)-V44</f>
        <v>0</v>
      </c>
      <c r="AW44" s="130">
        <f>('INSTRUCTION-2YR'!W44+'RESEARCH 2yr'!W44+'PUBLIC SERVICE 2yr'!W44+'ASptISptSSv 2yr'!W44+'PLANT OPER MAIN 2yr'!W44+'SCHOLAR FELLOW 2yr'!W44+'All Other 2yr'!W44)-W44</f>
        <v>0</v>
      </c>
      <c r="AX44" s="130">
        <f>('INSTRUCTION-2YR'!X44+'RESEARCH 2yr'!X44+'PUBLIC SERVICE 2yr'!X44+'ASptISptSSv 2yr'!X44+'PLANT OPER MAIN 2yr'!X44+'SCHOLAR FELLOW 2yr'!X44+'All Other 2yr'!X44)-X44</f>
        <v>0</v>
      </c>
      <c r="AY44" s="130">
        <f>('INSTRUCTION-2YR'!Y44+'RESEARCH 2yr'!Y44+'PUBLIC SERVICE 2yr'!Y44+'ASptISptSSv 2yr'!Y44+'PLANT OPER MAIN 2yr'!Y44+'SCHOLAR FELLOW 2yr'!Y44+'All Other 2yr'!Y44)-Y44</f>
        <v>0</v>
      </c>
      <c r="AZ44" s="130">
        <f>('INSTRUCTION-2YR'!Z44+'RESEARCH 2yr'!Z44+'PUBLIC SERVICE 2yr'!Z44+'ASptISptSSv 2yr'!Z44+'PLANT OPER MAIN 2yr'!Z44+'SCHOLAR FELLOW 2yr'!Z44+'All Other 2yr'!Z44)-Z44</f>
        <v>0</v>
      </c>
      <c r="BA44" s="130">
        <f>('INSTRUCTION-2YR'!AA44+'RESEARCH 2yr'!AA44+'PUBLIC SERVICE 2yr'!AA44+'ASptISptSSv 2yr'!AA44+'PLANT OPER MAIN 2yr'!AA44+'SCHOLAR FELLOW 2yr'!AA44+'All Other 2yr'!AA44)-AA44</f>
        <v>0</v>
      </c>
    </row>
    <row r="45" spans="1:53">
      <c r="A45" s="23" t="s">
        <v>95</v>
      </c>
      <c r="B45" s="36"/>
      <c r="C45" s="36"/>
      <c r="D45" s="36"/>
      <c r="E45" s="36"/>
      <c r="F45" s="77">
        <v>217582.35200000001</v>
      </c>
      <c r="G45" s="36"/>
      <c r="H45" s="36"/>
      <c r="I45" s="37">
        <v>267566.75400000002</v>
      </c>
      <c r="J45" s="37"/>
      <c r="K45" s="37">
        <v>298627.16092999995</v>
      </c>
      <c r="L45" s="37">
        <v>349425.99800000002</v>
      </c>
      <c r="M45" s="37">
        <v>377416.83600000001</v>
      </c>
      <c r="N45" s="37">
        <v>415971.48800000001</v>
      </c>
      <c r="O45" s="37">
        <v>429891.45500000002</v>
      </c>
      <c r="P45" s="37">
        <v>433829.37099999998</v>
      </c>
      <c r="Q45" s="37">
        <v>471593.20699999999</v>
      </c>
      <c r="R45" s="37">
        <v>508490.28</v>
      </c>
      <c r="S45" s="37">
        <v>529238.005</v>
      </c>
      <c r="T45" s="23">
        <v>564983.625</v>
      </c>
      <c r="U45" s="23">
        <v>621624.15399999998</v>
      </c>
      <c r="V45" s="23">
        <v>671250.28500000003</v>
      </c>
      <c r="W45" s="23">
        <v>707935.755</v>
      </c>
      <c r="X45" s="23">
        <v>716323.52</v>
      </c>
      <c r="Y45" s="2">
        <v>585903.05700000003</v>
      </c>
      <c r="Z45" s="2">
        <v>582092.28300000005</v>
      </c>
      <c r="AA45" s="2">
        <v>584483.17700000003</v>
      </c>
      <c r="AB45" s="130">
        <f>('INSTRUCTION-2YR'!B45+'RESEARCH 2yr'!B45+'PUBLIC SERVICE 2yr'!B45+'ASptISptSSv 2yr'!B45+'PLANT OPER MAIN 2yr'!B45+'SCHOLAR FELLOW 2yr'!B45+'All Other 2yr'!B45)-B45</f>
        <v>0</v>
      </c>
      <c r="AC45" s="130">
        <f>('INSTRUCTION-2YR'!C45+'RESEARCH 2yr'!C45+'PUBLIC SERVICE 2yr'!C45+'ASptISptSSv 2yr'!C45+'PLANT OPER MAIN 2yr'!C45+'SCHOLAR FELLOW 2yr'!C45+'All Other 2yr'!C45)-C45</f>
        <v>0</v>
      </c>
      <c r="AD45" s="130">
        <f>('INSTRUCTION-2YR'!D45+'RESEARCH 2yr'!D45+'PUBLIC SERVICE 2yr'!D45+'ASptISptSSv 2yr'!D45+'PLANT OPER MAIN 2yr'!D45+'SCHOLAR FELLOW 2yr'!D45+'All Other 2yr'!D45)-D45</f>
        <v>0</v>
      </c>
      <c r="AE45" s="130">
        <f>('INSTRUCTION-2YR'!E45+'RESEARCH 2yr'!E45+'PUBLIC SERVICE 2yr'!E45+'ASptISptSSv 2yr'!E45+'PLANT OPER MAIN 2yr'!E45+'SCHOLAR FELLOW 2yr'!E45+'All Other 2yr'!E45)-E45</f>
        <v>0</v>
      </c>
      <c r="AF45" s="130">
        <f>('INSTRUCTION-2YR'!F45+'RESEARCH 2yr'!F45+'PUBLIC SERVICE 2yr'!F45+'ASptISptSSv 2yr'!F45+'PLANT OPER MAIN 2yr'!F45+'SCHOLAR FELLOW 2yr'!F45+'All Other 2yr'!F45)-F45</f>
        <v>0</v>
      </c>
      <c r="AG45" s="130">
        <f>('INSTRUCTION-2YR'!G45+'RESEARCH 2yr'!G45+'PUBLIC SERVICE 2yr'!G45+'ASptISptSSv 2yr'!G45+'PLANT OPER MAIN 2yr'!G45+'SCHOLAR FELLOW 2yr'!G45+'All Other 2yr'!G45)-G45</f>
        <v>0</v>
      </c>
      <c r="AH45" s="130">
        <f>('INSTRUCTION-2YR'!H45+'RESEARCH 2yr'!H45+'PUBLIC SERVICE 2yr'!H45+'ASptISptSSv 2yr'!H45+'PLANT OPER MAIN 2yr'!H45+'SCHOLAR FELLOW 2yr'!H45+'All Other 2yr'!H45)-H45</f>
        <v>0</v>
      </c>
      <c r="AI45" s="130">
        <f>('INSTRUCTION-2YR'!I45+'RESEARCH 2yr'!I45+'PUBLIC SERVICE 2yr'!I45+'ASptISptSSv 2yr'!I45+'PLANT OPER MAIN 2yr'!I45+'SCHOLAR FELLOW 2yr'!I45+'All Other 2yr'!I45)-I45</f>
        <v>0</v>
      </c>
      <c r="AJ45" s="130">
        <f>('INSTRUCTION-2YR'!J45+'RESEARCH 2yr'!J45+'PUBLIC SERVICE 2yr'!J45+'ASptISptSSv 2yr'!J45+'PLANT OPER MAIN 2yr'!J45+'SCHOLAR FELLOW 2yr'!J45+'All Other 2yr'!J45)-J45</f>
        <v>0</v>
      </c>
      <c r="AK45" s="130">
        <f>('INSTRUCTION-2YR'!K45+'RESEARCH 2yr'!K45+'PUBLIC SERVICE 2yr'!K45+'ASptISptSSv 2yr'!K45+'PLANT OPER MAIN 2yr'!K45+'SCHOLAR FELLOW 2yr'!K45+'All Other 2yr'!K45)-K45</f>
        <v>0</v>
      </c>
      <c r="AL45" s="130">
        <f>('INSTRUCTION-2YR'!L45+'RESEARCH 2yr'!L45+'PUBLIC SERVICE 2yr'!L45+'ASptISptSSv 2yr'!L45+'PLANT OPER MAIN 2yr'!L45+'SCHOLAR FELLOW 2yr'!L45+'All Other 2yr'!L45)-L45</f>
        <v>0</v>
      </c>
      <c r="AM45" s="130">
        <f>('INSTRUCTION-2YR'!M45+'RESEARCH 2yr'!M45+'PUBLIC SERVICE 2yr'!M45+'ASptISptSSv 2yr'!M45+'PLANT OPER MAIN 2yr'!M45+'SCHOLAR FELLOW 2yr'!M45+'All Other 2yr'!M45)-M45</f>
        <v>0</v>
      </c>
      <c r="AN45" s="130">
        <f>('INSTRUCTION-2YR'!N45+'RESEARCH 2yr'!N45+'PUBLIC SERVICE 2yr'!N45+'ASptISptSSv 2yr'!N45+'PLANT OPER MAIN 2yr'!N45+'SCHOLAR FELLOW 2yr'!N45+'All Other 2yr'!N45)-N45</f>
        <v>0</v>
      </c>
      <c r="AO45" s="130">
        <f>('INSTRUCTION-2YR'!O45+'RESEARCH 2yr'!O45+'PUBLIC SERVICE 2yr'!O45+'ASptISptSSv 2yr'!O45+'PLANT OPER MAIN 2yr'!O45+'SCHOLAR FELLOW 2yr'!O45+'All Other 2yr'!O45)-O45</f>
        <v>0</v>
      </c>
      <c r="AP45" s="130">
        <f>('INSTRUCTION-2YR'!P45+'RESEARCH 2yr'!P45+'PUBLIC SERVICE 2yr'!P45+'ASptISptSSv 2yr'!P45+'PLANT OPER MAIN 2yr'!P45+'SCHOLAR FELLOW 2yr'!P45+'All Other 2yr'!P45)-P45</f>
        <v>0</v>
      </c>
      <c r="AQ45" s="130">
        <f>('INSTRUCTION-2YR'!Q45+'RESEARCH 2yr'!Q45+'PUBLIC SERVICE 2yr'!Q45+'ASptISptSSv 2yr'!Q45+'PLANT OPER MAIN 2yr'!Q45+'SCHOLAR FELLOW 2yr'!Q45+'All Other 2yr'!Q45)-Q45</f>
        <v>0</v>
      </c>
      <c r="AR45" s="130">
        <f>('INSTRUCTION-2YR'!R45+'RESEARCH 2yr'!R45+'PUBLIC SERVICE 2yr'!R45+'ASptISptSSv 2yr'!R45+'PLANT OPER MAIN 2yr'!R45+'SCHOLAR FELLOW 2yr'!R45+'All Other 2yr'!R45)-R45</f>
        <v>0</v>
      </c>
      <c r="AS45" s="130">
        <f>('INSTRUCTION-2YR'!S45+'RESEARCH 2yr'!S45+'PUBLIC SERVICE 2yr'!S45+'ASptISptSSv 2yr'!S45+'PLANT OPER MAIN 2yr'!S45+'SCHOLAR FELLOW 2yr'!S45+'All Other 2yr'!S45)-S45</f>
        <v>0</v>
      </c>
      <c r="AT45" s="130">
        <f>('INSTRUCTION-2YR'!T45+'RESEARCH 2yr'!T45+'PUBLIC SERVICE 2yr'!T45+'ASptISptSSv 2yr'!T45+'PLANT OPER MAIN 2yr'!T45+'SCHOLAR FELLOW 2yr'!T45+'All Other 2yr'!T45)-T45</f>
        <v>0</v>
      </c>
      <c r="AU45" s="130">
        <f>('INSTRUCTION-2YR'!U45+'RESEARCH 2yr'!U45+'PUBLIC SERVICE 2yr'!U45+'ASptISptSSv 2yr'!U45+'PLANT OPER MAIN 2yr'!U45+'SCHOLAR FELLOW 2yr'!U45+'All Other 2yr'!U45)-U45</f>
        <v>0</v>
      </c>
      <c r="AV45" s="130">
        <f>('INSTRUCTION-2YR'!V45+'RESEARCH 2yr'!V45+'PUBLIC SERVICE 2yr'!V45+'ASptISptSSv 2yr'!V45+'PLANT OPER MAIN 2yr'!V45+'SCHOLAR FELLOW 2yr'!V45+'All Other 2yr'!V45)-V45</f>
        <v>0</v>
      </c>
      <c r="AW45" s="130">
        <f>('INSTRUCTION-2YR'!W45+'RESEARCH 2yr'!W45+'PUBLIC SERVICE 2yr'!W45+'ASptISptSSv 2yr'!W45+'PLANT OPER MAIN 2yr'!W45+'SCHOLAR FELLOW 2yr'!W45+'All Other 2yr'!W45)-W45</f>
        <v>0</v>
      </c>
      <c r="AX45" s="130">
        <f>('INSTRUCTION-2YR'!X45+'RESEARCH 2yr'!X45+'PUBLIC SERVICE 2yr'!X45+'ASptISptSSv 2yr'!X45+'PLANT OPER MAIN 2yr'!X45+'SCHOLAR FELLOW 2yr'!X45+'All Other 2yr'!X45)-X45</f>
        <v>0</v>
      </c>
      <c r="AY45" s="130">
        <f>('INSTRUCTION-2YR'!Y45+'RESEARCH 2yr'!Y45+'PUBLIC SERVICE 2yr'!Y45+'ASptISptSSv 2yr'!Y45+'PLANT OPER MAIN 2yr'!Y45+'SCHOLAR FELLOW 2yr'!Y45+'All Other 2yr'!Y45)-Y45</f>
        <v>0</v>
      </c>
      <c r="AZ45" s="130">
        <f>('INSTRUCTION-2YR'!Z45+'RESEARCH 2yr'!Z45+'PUBLIC SERVICE 2yr'!Z45+'ASptISptSSv 2yr'!Z45+'PLANT OPER MAIN 2yr'!Z45+'SCHOLAR FELLOW 2yr'!Z45+'All Other 2yr'!Z45)-Z45</f>
        <v>0</v>
      </c>
      <c r="BA45" s="130">
        <f>('INSTRUCTION-2YR'!AA45+'RESEARCH 2yr'!AA45+'PUBLIC SERVICE 2yr'!AA45+'ASptISptSSv 2yr'!AA45+'PLANT OPER MAIN 2yr'!AA45+'SCHOLAR FELLOW 2yr'!AA45+'All Other 2yr'!AA45)-AA45</f>
        <v>0</v>
      </c>
    </row>
    <row r="46" spans="1:53">
      <c r="A46" s="23" t="s">
        <v>98</v>
      </c>
      <c r="B46" s="36"/>
      <c r="C46" s="36"/>
      <c r="D46" s="36"/>
      <c r="E46" s="37"/>
      <c r="F46" s="77">
        <v>784496.67099999997</v>
      </c>
      <c r="G46" s="36"/>
      <c r="H46" s="36"/>
      <c r="I46" s="37">
        <v>854918.56499999994</v>
      </c>
      <c r="J46" s="37"/>
      <c r="K46" s="37">
        <v>930034.7375200002</v>
      </c>
      <c r="L46" s="37">
        <v>1085659.6780000001</v>
      </c>
      <c r="M46" s="37">
        <v>1141180.1340000001</v>
      </c>
      <c r="N46" s="37">
        <v>1231723.622</v>
      </c>
      <c r="O46" s="37">
        <v>1391366.0730000001</v>
      </c>
      <c r="P46" s="37">
        <v>1424007.459</v>
      </c>
      <c r="Q46" s="37">
        <v>1477885.047</v>
      </c>
      <c r="R46" s="37">
        <v>1551337.7509999999</v>
      </c>
      <c r="S46" s="37">
        <v>1622756.74</v>
      </c>
      <c r="T46" s="23">
        <v>1708047.0490000001</v>
      </c>
      <c r="U46" s="23">
        <v>1856810.628</v>
      </c>
      <c r="V46" s="23">
        <v>2095875.1459999999</v>
      </c>
      <c r="W46" s="23">
        <v>2172617.4539999999</v>
      </c>
      <c r="X46" s="23">
        <v>2153765.5789999999</v>
      </c>
      <c r="Y46" s="2">
        <v>1946784.9739999999</v>
      </c>
      <c r="Z46" s="2">
        <v>1902645.696</v>
      </c>
      <c r="AA46" s="2">
        <v>1894975.9350000001</v>
      </c>
      <c r="AB46" s="130">
        <f>('INSTRUCTION-2YR'!B46+'RESEARCH 2yr'!B46+'PUBLIC SERVICE 2yr'!B46+'ASptISptSSv 2yr'!B46+'PLANT OPER MAIN 2yr'!B46+'SCHOLAR FELLOW 2yr'!B46+'All Other 2yr'!B46)-B46</f>
        <v>0</v>
      </c>
      <c r="AC46" s="130">
        <f>('INSTRUCTION-2YR'!C46+'RESEARCH 2yr'!C46+'PUBLIC SERVICE 2yr'!C46+'ASptISptSSv 2yr'!C46+'PLANT OPER MAIN 2yr'!C46+'SCHOLAR FELLOW 2yr'!C46+'All Other 2yr'!C46)-C46</f>
        <v>0</v>
      </c>
      <c r="AD46" s="130">
        <f>('INSTRUCTION-2YR'!D46+'RESEARCH 2yr'!D46+'PUBLIC SERVICE 2yr'!D46+'ASptISptSSv 2yr'!D46+'PLANT OPER MAIN 2yr'!D46+'SCHOLAR FELLOW 2yr'!D46+'All Other 2yr'!D46)-D46</f>
        <v>0</v>
      </c>
      <c r="AE46" s="130">
        <f>('INSTRUCTION-2YR'!E46+'RESEARCH 2yr'!E46+'PUBLIC SERVICE 2yr'!E46+'ASptISptSSv 2yr'!E46+'PLANT OPER MAIN 2yr'!E46+'SCHOLAR FELLOW 2yr'!E46+'All Other 2yr'!E46)-E46</f>
        <v>0</v>
      </c>
      <c r="AF46" s="130">
        <f>('INSTRUCTION-2YR'!F46+'RESEARCH 2yr'!F46+'PUBLIC SERVICE 2yr'!F46+'ASptISptSSv 2yr'!F46+'PLANT OPER MAIN 2yr'!F46+'SCHOLAR FELLOW 2yr'!F46+'All Other 2yr'!F46)-F46</f>
        <v>0</v>
      </c>
      <c r="AG46" s="130">
        <f>('INSTRUCTION-2YR'!G46+'RESEARCH 2yr'!G46+'PUBLIC SERVICE 2yr'!G46+'ASptISptSSv 2yr'!G46+'PLANT OPER MAIN 2yr'!G46+'SCHOLAR FELLOW 2yr'!G46+'All Other 2yr'!G46)-G46</f>
        <v>0</v>
      </c>
      <c r="AH46" s="130">
        <f>('INSTRUCTION-2YR'!H46+'RESEARCH 2yr'!H46+'PUBLIC SERVICE 2yr'!H46+'ASptISptSSv 2yr'!H46+'PLANT OPER MAIN 2yr'!H46+'SCHOLAR FELLOW 2yr'!H46+'All Other 2yr'!H46)-H46</f>
        <v>0</v>
      </c>
      <c r="AI46" s="130">
        <f>('INSTRUCTION-2YR'!I46+'RESEARCH 2yr'!I46+'PUBLIC SERVICE 2yr'!I46+'ASptISptSSv 2yr'!I46+'PLANT OPER MAIN 2yr'!I46+'SCHOLAR FELLOW 2yr'!I46+'All Other 2yr'!I46)-I46</f>
        <v>0</v>
      </c>
      <c r="AJ46" s="130">
        <f>('INSTRUCTION-2YR'!J46+'RESEARCH 2yr'!J46+'PUBLIC SERVICE 2yr'!J46+'ASptISptSSv 2yr'!J46+'PLANT OPER MAIN 2yr'!J46+'SCHOLAR FELLOW 2yr'!J46+'All Other 2yr'!J46)-J46</f>
        <v>0</v>
      </c>
      <c r="AK46" s="130">
        <f>('INSTRUCTION-2YR'!K46+'RESEARCH 2yr'!K46+'PUBLIC SERVICE 2yr'!K46+'ASptISptSSv 2yr'!K46+'PLANT OPER MAIN 2yr'!K46+'SCHOLAR FELLOW 2yr'!K46+'All Other 2yr'!K46)-K46</f>
        <v>0</v>
      </c>
      <c r="AL46" s="130">
        <f>('INSTRUCTION-2YR'!L46+'RESEARCH 2yr'!L46+'PUBLIC SERVICE 2yr'!L46+'ASptISptSSv 2yr'!L46+'PLANT OPER MAIN 2yr'!L46+'SCHOLAR FELLOW 2yr'!L46+'All Other 2yr'!L46)-L46</f>
        <v>0</v>
      </c>
      <c r="AM46" s="130">
        <f>('INSTRUCTION-2YR'!M46+'RESEARCH 2yr'!M46+'PUBLIC SERVICE 2yr'!M46+'ASptISptSSv 2yr'!M46+'PLANT OPER MAIN 2yr'!M46+'SCHOLAR FELLOW 2yr'!M46+'All Other 2yr'!M46)-M46</f>
        <v>0</v>
      </c>
      <c r="AN46" s="130">
        <f>('INSTRUCTION-2YR'!N46+'RESEARCH 2yr'!N46+'PUBLIC SERVICE 2yr'!N46+'ASptISptSSv 2yr'!N46+'PLANT OPER MAIN 2yr'!N46+'SCHOLAR FELLOW 2yr'!N46+'All Other 2yr'!N46)-N46</f>
        <v>0</v>
      </c>
      <c r="AO46" s="130">
        <f>('INSTRUCTION-2YR'!O46+'RESEARCH 2yr'!O46+'PUBLIC SERVICE 2yr'!O46+'ASptISptSSv 2yr'!O46+'PLANT OPER MAIN 2yr'!O46+'SCHOLAR FELLOW 2yr'!O46+'All Other 2yr'!O46)-O46</f>
        <v>0</v>
      </c>
      <c r="AP46" s="130">
        <f>('INSTRUCTION-2YR'!P46+'RESEARCH 2yr'!P46+'PUBLIC SERVICE 2yr'!P46+'ASptISptSSv 2yr'!P46+'PLANT OPER MAIN 2yr'!P46+'SCHOLAR FELLOW 2yr'!P46+'All Other 2yr'!P46)-P46</f>
        <v>0</v>
      </c>
      <c r="AQ46" s="130">
        <f>('INSTRUCTION-2YR'!Q46+'RESEARCH 2yr'!Q46+'PUBLIC SERVICE 2yr'!Q46+'ASptISptSSv 2yr'!Q46+'PLANT OPER MAIN 2yr'!Q46+'SCHOLAR FELLOW 2yr'!Q46+'All Other 2yr'!Q46)-Q46</f>
        <v>0</v>
      </c>
      <c r="AR46" s="130">
        <f>('INSTRUCTION-2YR'!R46+'RESEARCH 2yr'!R46+'PUBLIC SERVICE 2yr'!R46+'ASptISptSSv 2yr'!R46+'PLANT OPER MAIN 2yr'!R46+'SCHOLAR FELLOW 2yr'!R46+'All Other 2yr'!R46)-R46</f>
        <v>0</v>
      </c>
      <c r="AS46" s="130">
        <f>('INSTRUCTION-2YR'!S46+'RESEARCH 2yr'!S46+'PUBLIC SERVICE 2yr'!S46+'ASptISptSSv 2yr'!S46+'PLANT OPER MAIN 2yr'!S46+'SCHOLAR FELLOW 2yr'!S46+'All Other 2yr'!S46)-S46</f>
        <v>0</v>
      </c>
      <c r="AT46" s="130">
        <f>('INSTRUCTION-2YR'!T46+'RESEARCH 2yr'!T46+'PUBLIC SERVICE 2yr'!T46+'ASptISptSSv 2yr'!T46+'PLANT OPER MAIN 2yr'!T46+'SCHOLAR FELLOW 2yr'!T46+'All Other 2yr'!T46)-T46</f>
        <v>0</v>
      </c>
      <c r="AU46" s="130">
        <f>('INSTRUCTION-2YR'!U46+'RESEARCH 2yr'!U46+'PUBLIC SERVICE 2yr'!U46+'ASptISptSSv 2yr'!U46+'PLANT OPER MAIN 2yr'!U46+'SCHOLAR FELLOW 2yr'!U46+'All Other 2yr'!U46)-U46</f>
        <v>0</v>
      </c>
      <c r="AV46" s="130">
        <f>('INSTRUCTION-2YR'!V46+'RESEARCH 2yr'!V46+'PUBLIC SERVICE 2yr'!V46+'ASptISptSSv 2yr'!V46+'PLANT OPER MAIN 2yr'!V46+'SCHOLAR FELLOW 2yr'!V46+'All Other 2yr'!V46)-V46</f>
        <v>0</v>
      </c>
      <c r="AW46" s="130">
        <f>('INSTRUCTION-2YR'!W46+'RESEARCH 2yr'!W46+'PUBLIC SERVICE 2yr'!W46+'ASptISptSSv 2yr'!W46+'PLANT OPER MAIN 2yr'!W46+'SCHOLAR FELLOW 2yr'!W46+'All Other 2yr'!W46)-W46</f>
        <v>0</v>
      </c>
      <c r="AX46" s="130">
        <f>('INSTRUCTION-2YR'!X46+'RESEARCH 2yr'!X46+'PUBLIC SERVICE 2yr'!X46+'ASptISptSSv 2yr'!X46+'PLANT OPER MAIN 2yr'!X46+'SCHOLAR FELLOW 2yr'!X46+'All Other 2yr'!X46)-X46</f>
        <v>0</v>
      </c>
      <c r="AY46" s="130">
        <f>('INSTRUCTION-2YR'!Y46+'RESEARCH 2yr'!Y46+'PUBLIC SERVICE 2yr'!Y46+'ASptISptSSv 2yr'!Y46+'PLANT OPER MAIN 2yr'!Y46+'SCHOLAR FELLOW 2yr'!Y46+'All Other 2yr'!Y46)-Y46</f>
        <v>0</v>
      </c>
      <c r="AZ46" s="130">
        <f>('INSTRUCTION-2YR'!Z46+'RESEARCH 2yr'!Z46+'PUBLIC SERVICE 2yr'!Z46+'ASptISptSSv 2yr'!Z46+'PLANT OPER MAIN 2yr'!Z46+'SCHOLAR FELLOW 2yr'!Z46+'All Other 2yr'!Z46)-Z46</f>
        <v>0</v>
      </c>
      <c r="BA46" s="130">
        <f>('INSTRUCTION-2YR'!AA46+'RESEARCH 2yr'!AA46+'PUBLIC SERVICE 2yr'!AA46+'ASptISptSSv 2yr'!AA46+'PLANT OPER MAIN 2yr'!AA46+'SCHOLAR FELLOW 2yr'!AA46+'All Other 2yr'!AA46)-AA46</f>
        <v>0</v>
      </c>
    </row>
    <row r="47" spans="1:53">
      <c r="A47" s="23" t="s">
        <v>99</v>
      </c>
      <c r="B47" s="37"/>
      <c r="C47" s="37"/>
      <c r="D47" s="37"/>
      <c r="E47" s="37"/>
      <c r="F47" s="77">
        <v>373520.995</v>
      </c>
      <c r="G47" s="37"/>
      <c r="H47" s="37"/>
      <c r="I47" s="37">
        <v>520699.42599999998</v>
      </c>
      <c r="J47" s="37"/>
      <c r="K47" s="37">
        <v>585028.45890000009</v>
      </c>
      <c r="L47" s="37">
        <v>621936.79799999995</v>
      </c>
      <c r="M47" s="37">
        <v>696988.071</v>
      </c>
      <c r="N47" s="37">
        <v>712501.86600000004</v>
      </c>
      <c r="O47" s="37">
        <v>761804.17099999997</v>
      </c>
      <c r="P47" s="37">
        <v>803183.26599999995</v>
      </c>
      <c r="Q47" s="37">
        <v>830515.03200000001</v>
      </c>
      <c r="R47" s="37">
        <v>877158.17099999997</v>
      </c>
      <c r="S47" s="37">
        <v>929569.88</v>
      </c>
      <c r="T47" s="23">
        <v>1016395.545</v>
      </c>
      <c r="U47" s="23">
        <v>1057378.585</v>
      </c>
      <c r="V47" s="23">
        <v>1154697.254</v>
      </c>
      <c r="W47" s="23">
        <v>1199554</v>
      </c>
      <c r="X47" s="23">
        <v>1169197.2990000001</v>
      </c>
      <c r="Y47" s="2">
        <v>920269.96499999997</v>
      </c>
      <c r="Z47" s="2">
        <v>919036.89599999995</v>
      </c>
      <c r="AA47" s="2">
        <v>904449.00300000003</v>
      </c>
      <c r="AB47" s="130">
        <f>('INSTRUCTION-2YR'!B47+'RESEARCH 2yr'!B47+'PUBLIC SERVICE 2yr'!B47+'ASptISptSSv 2yr'!B47+'PLANT OPER MAIN 2yr'!B47+'SCHOLAR FELLOW 2yr'!B47+'All Other 2yr'!B47)-B47</f>
        <v>0</v>
      </c>
      <c r="AC47" s="130">
        <f>('INSTRUCTION-2YR'!C47+'RESEARCH 2yr'!C47+'PUBLIC SERVICE 2yr'!C47+'ASptISptSSv 2yr'!C47+'PLANT OPER MAIN 2yr'!C47+'SCHOLAR FELLOW 2yr'!C47+'All Other 2yr'!C47)-C47</f>
        <v>0</v>
      </c>
      <c r="AD47" s="130">
        <f>('INSTRUCTION-2YR'!D47+'RESEARCH 2yr'!D47+'PUBLIC SERVICE 2yr'!D47+'ASptISptSSv 2yr'!D47+'PLANT OPER MAIN 2yr'!D47+'SCHOLAR FELLOW 2yr'!D47+'All Other 2yr'!D47)-D47</f>
        <v>0</v>
      </c>
      <c r="AE47" s="130">
        <f>('INSTRUCTION-2YR'!E47+'RESEARCH 2yr'!E47+'PUBLIC SERVICE 2yr'!E47+'ASptISptSSv 2yr'!E47+'PLANT OPER MAIN 2yr'!E47+'SCHOLAR FELLOW 2yr'!E47+'All Other 2yr'!E47)-E47</f>
        <v>0</v>
      </c>
      <c r="AF47" s="130">
        <f>('INSTRUCTION-2YR'!F47+'RESEARCH 2yr'!F47+'PUBLIC SERVICE 2yr'!F47+'ASptISptSSv 2yr'!F47+'PLANT OPER MAIN 2yr'!F47+'SCHOLAR FELLOW 2yr'!F47+'All Other 2yr'!F47)-F47</f>
        <v>0</v>
      </c>
      <c r="AG47" s="130">
        <f>('INSTRUCTION-2YR'!G47+'RESEARCH 2yr'!G47+'PUBLIC SERVICE 2yr'!G47+'ASptISptSSv 2yr'!G47+'PLANT OPER MAIN 2yr'!G47+'SCHOLAR FELLOW 2yr'!G47+'All Other 2yr'!G47)-G47</f>
        <v>0</v>
      </c>
      <c r="AH47" s="130">
        <f>('INSTRUCTION-2YR'!H47+'RESEARCH 2yr'!H47+'PUBLIC SERVICE 2yr'!H47+'ASptISptSSv 2yr'!H47+'PLANT OPER MAIN 2yr'!H47+'SCHOLAR FELLOW 2yr'!H47+'All Other 2yr'!H47)-H47</f>
        <v>0</v>
      </c>
      <c r="AI47" s="130">
        <f>('INSTRUCTION-2YR'!I47+'RESEARCH 2yr'!I47+'PUBLIC SERVICE 2yr'!I47+'ASptISptSSv 2yr'!I47+'PLANT OPER MAIN 2yr'!I47+'SCHOLAR FELLOW 2yr'!I47+'All Other 2yr'!I47)-I47</f>
        <v>0</v>
      </c>
      <c r="AJ47" s="130">
        <f>('INSTRUCTION-2YR'!J47+'RESEARCH 2yr'!J47+'PUBLIC SERVICE 2yr'!J47+'ASptISptSSv 2yr'!J47+'PLANT OPER MAIN 2yr'!J47+'SCHOLAR FELLOW 2yr'!J47+'All Other 2yr'!J47)-J47</f>
        <v>0</v>
      </c>
      <c r="AK47" s="130">
        <f>('INSTRUCTION-2YR'!K47+'RESEARCH 2yr'!K47+'PUBLIC SERVICE 2yr'!K47+'ASptISptSSv 2yr'!K47+'PLANT OPER MAIN 2yr'!K47+'SCHOLAR FELLOW 2yr'!K47+'All Other 2yr'!K47)-K47</f>
        <v>0</v>
      </c>
      <c r="AL47" s="130">
        <f>('INSTRUCTION-2YR'!L47+'RESEARCH 2yr'!L47+'PUBLIC SERVICE 2yr'!L47+'ASptISptSSv 2yr'!L47+'PLANT OPER MAIN 2yr'!L47+'SCHOLAR FELLOW 2yr'!L47+'All Other 2yr'!L47)-L47</f>
        <v>0</v>
      </c>
      <c r="AM47" s="130">
        <f>('INSTRUCTION-2YR'!M47+'RESEARCH 2yr'!M47+'PUBLIC SERVICE 2yr'!M47+'ASptISptSSv 2yr'!M47+'PLANT OPER MAIN 2yr'!M47+'SCHOLAR FELLOW 2yr'!M47+'All Other 2yr'!M47)-M47</f>
        <v>0</v>
      </c>
      <c r="AN47" s="130">
        <f>('INSTRUCTION-2YR'!N47+'RESEARCH 2yr'!N47+'PUBLIC SERVICE 2yr'!N47+'ASptISptSSv 2yr'!N47+'PLANT OPER MAIN 2yr'!N47+'SCHOLAR FELLOW 2yr'!N47+'All Other 2yr'!N47)-N47</f>
        <v>0</v>
      </c>
      <c r="AO47" s="130">
        <f>('INSTRUCTION-2YR'!O47+'RESEARCH 2yr'!O47+'PUBLIC SERVICE 2yr'!O47+'ASptISptSSv 2yr'!O47+'PLANT OPER MAIN 2yr'!O47+'SCHOLAR FELLOW 2yr'!O47+'All Other 2yr'!O47)-O47</f>
        <v>0</v>
      </c>
      <c r="AP47" s="130">
        <f>('INSTRUCTION-2YR'!P47+'RESEARCH 2yr'!P47+'PUBLIC SERVICE 2yr'!P47+'ASptISptSSv 2yr'!P47+'PLANT OPER MAIN 2yr'!P47+'SCHOLAR FELLOW 2yr'!P47+'All Other 2yr'!P47)-P47</f>
        <v>0</v>
      </c>
      <c r="AQ47" s="130">
        <f>('INSTRUCTION-2YR'!Q47+'RESEARCH 2yr'!Q47+'PUBLIC SERVICE 2yr'!Q47+'ASptISptSSv 2yr'!Q47+'PLANT OPER MAIN 2yr'!Q47+'SCHOLAR FELLOW 2yr'!Q47+'All Other 2yr'!Q47)-Q47</f>
        <v>0</v>
      </c>
      <c r="AR47" s="130">
        <f>('INSTRUCTION-2YR'!R47+'RESEARCH 2yr'!R47+'PUBLIC SERVICE 2yr'!R47+'ASptISptSSv 2yr'!R47+'PLANT OPER MAIN 2yr'!R47+'SCHOLAR FELLOW 2yr'!R47+'All Other 2yr'!R47)-R47</f>
        <v>0</v>
      </c>
      <c r="AS47" s="130">
        <f>('INSTRUCTION-2YR'!S47+'RESEARCH 2yr'!S47+'PUBLIC SERVICE 2yr'!S47+'ASptISptSSv 2yr'!S47+'PLANT OPER MAIN 2yr'!S47+'SCHOLAR FELLOW 2yr'!S47+'All Other 2yr'!S47)-S47</f>
        <v>0</v>
      </c>
      <c r="AT47" s="130">
        <f>('INSTRUCTION-2YR'!T47+'RESEARCH 2yr'!T47+'PUBLIC SERVICE 2yr'!T47+'ASptISptSSv 2yr'!T47+'PLANT OPER MAIN 2yr'!T47+'SCHOLAR FELLOW 2yr'!T47+'All Other 2yr'!T47)-T47</f>
        <v>0</v>
      </c>
      <c r="AU47" s="130">
        <f>('INSTRUCTION-2YR'!U47+'RESEARCH 2yr'!U47+'PUBLIC SERVICE 2yr'!U47+'ASptISptSSv 2yr'!U47+'PLANT OPER MAIN 2yr'!U47+'SCHOLAR FELLOW 2yr'!U47+'All Other 2yr'!U47)-U47</f>
        <v>0</v>
      </c>
      <c r="AV47" s="130">
        <f>('INSTRUCTION-2YR'!V47+'RESEARCH 2yr'!V47+'PUBLIC SERVICE 2yr'!V47+'ASptISptSSv 2yr'!V47+'PLANT OPER MAIN 2yr'!V47+'SCHOLAR FELLOW 2yr'!V47+'All Other 2yr'!V47)-V47</f>
        <v>0</v>
      </c>
      <c r="AW47" s="130">
        <f>('INSTRUCTION-2YR'!W47+'RESEARCH 2yr'!W47+'PUBLIC SERVICE 2yr'!W47+'ASptISptSSv 2yr'!W47+'PLANT OPER MAIN 2yr'!W47+'SCHOLAR FELLOW 2yr'!W47+'All Other 2yr'!W47)-W47</f>
        <v>0</v>
      </c>
      <c r="AX47" s="130">
        <f>('INSTRUCTION-2YR'!X47+'RESEARCH 2yr'!X47+'PUBLIC SERVICE 2yr'!X47+'ASptISptSSv 2yr'!X47+'PLANT OPER MAIN 2yr'!X47+'SCHOLAR FELLOW 2yr'!X47+'All Other 2yr'!X47)-X47</f>
        <v>0</v>
      </c>
      <c r="AY47" s="130">
        <f>('INSTRUCTION-2YR'!Y47+'RESEARCH 2yr'!Y47+'PUBLIC SERVICE 2yr'!Y47+'ASptISptSSv 2yr'!Y47+'PLANT OPER MAIN 2yr'!Y47+'SCHOLAR FELLOW 2yr'!Y47+'All Other 2yr'!Y47)-Y47</f>
        <v>0</v>
      </c>
      <c r="AZ47" s="130">
        <f>('INSTRUCTION-2YR'!Z47+'RESEARCH 2yr'!Z47+'PUBLIC SERVICE 2yr'!Z47+'ASptISptSSv 2yr'!Z47+'PLANT OPER MAIN 2yr'!Z47+'SCHOLAR FELLOW 2yr'!Z47+'All Other 2yr'!Z47)-Z47</f>
        <v>0</v>
      </c>
      <c r="BA47" s="130">
        <f>('INSTRUCTION-2YR'!AA47+'RESEARCH 2yr'!AA47+'PUBLIC SERVICE 2yr'!AA47+'ASptISptSSv 2yr'!AA47+'PLANT OPER MAIN 2yr'!AA47+'SCHOLAR FELLOW 2yr'!AA47+'All Other 2yr'!AA47)-AA47</f>
        <v>0</v>
      </c>
    </row>
    <row r="48" spans="1:53">
      <c r="A48" s="23" t="s">
        <v>59</v>
      </c>
      <c r="B48" s="37"/>
      <c r="C48" s="37"/>
      <c r="D48" s="37"/>
      <c r="E48" s="37"/>
      <c r="F48" s="77">
        <v>217768.98499999999</v>
      </c>
      <c r="G48" s="37"/>
      <c r="H48" s="37"/>
      <c r="I48" s="37">
        <v>105803.815</v>
      </c>
      <c r="J48" s="37"/>
      <c r="K48" s="37">
        <v>341820.50599999999</v>
      </c>
      <c r="L48" s="37">
        <v>185012.33199999999</v>
      </c>
      <c r="M48" s="37">
        <v>253030.28700000001</v>
      </c>
      <c r="N48" s="37">
        <v>209689.06700000001</v>
      </c>
      <c r="O48" s="37">
        <v>233803.66200000001</v>
      </c>
      <c r="P48" s="37">
        <v>247604.644</v>
      </c>
      <c r="Q48" s="37">
        <v>266767.99400000001</v>
      </c>
      <c r="R48" s="37">
        <v>280971.21999999997</v>
      </c>
      <c r="S48" s="37">
        <v>300388.72700000001</v>
      </c>
      <c r="T48" s="23">
        <v>331162.076</v>
      </c>
      <c r="U48" s="23">
        <v>361007.50300000003</v>
      </c>
      <c r="V48" s="23">
        <v>429916.08299999998</v>
      </c>
      <c r="W48" s="23">
        <v>687884.103</v>
      </c>
      <c r="X48" s="23">
        <v>699748.87600000005</v>
      </c>
      <c r="Y48" s="2">
        <v>702462.36600000004</v>
      </c>
      <c r="Z48" s="2">
        <v>852848.57799999998</v>
      </c>
      <c r="AA48" s="2">
        <v>805288.69</v>
      </c>
      <c r="AB48" s="130">
        <f>('INSTRUCTION-2YR'!B48+'RESEARCH 2yr'!B48+'PUBLIC SERVICE 2yr'!B48+'ASptISptSSv 2yr'!B48+'PLANT OPER MAIN 2yr'!B48+'SCHOLAR FELLOW 2yr'!B48+'All Other 2yr'!B48)-B48</f>
        <v>0</v>
      </c>
      <c r="AC48" s="130">
        <f>('INSTRUCTION-2YR'!C48+'RESEARCH 2yr'!C48+'PUBLIC SERVICE 2yr'!C48+'ASptISptSSv 2yr'!C48+'PLANT OPER MAIN 2yr'!C48+'SCHOLAR FELLOW 2yr'!C48+'All Other 2yr'!C48)-C48</f>
        <v>0</v>
      </c>
      <c r="AD48" s="130">
        <f>('INSTRUCTION-2YR'!D48+'RESEARCH 2yr'!D48+'PUBLIC SERVICE 2yr'!D48+'ASptISptSSv 2yr'!D48+'PLANT OPER MAIN 2yr'!D48+'SCHOLAR FELLOW 2yr'!D48+'All Other 2yr'!D48)-D48</f>
        <v>0</v>
      </c>
      <c r="AE48" s="130">
        <f>('INSTRUCTION-2YR'!E48+'RESEARCH 2yr'!E48+'PUBLIC SERVICE 2yr'!E48+'ASptISptSSv 2yr'!E48+'PLANT OPER MAIN 2yr'!E48+'SCHOLAR FELLOW 2yr'!E48+'All Other 2yr'!E48)-E48</f>
        <v>0</v>
      </c>
      <c r="AF48" s="130">
        <f>('INSTRUCTION-2YR'!F48+'RESEARCH 2yr'!F48+'PUBLIC SERVICE 2yr'!F48+'ASptISptSSv 2yr'!F48+'PLANT OPER MAIN 2yr'!F48+'SCHOLAR FELLOW 2yr'!F48+'All Other 2yr'!F48)-F48</f>
        <v>0</v>
      </c>
      <c r="AG48" s="130">
        <f>('INSTRUCTION-2YR'!G48+'RESEARCH 2yr'!G48+'PUBLIC SERVICE 2yr'!G48+'ASptISptSSv 2yr'!G48+'PLANT OPER MAIN 2yr'!G48+'SCHOLAR FELLOW 2yr'!G48+'All Other 2yr'!G48)-G48</f>
        <v>0</v>
      </c>
      <c r="AH48" s="130">
        <f>('INSTRUCTION-2YR'!H48+'RESEARCH 2yr'!H48+'PUBLIC SERVICE 2yr'!H48+'ASptISptSSv 2yr'!H48+'PLANT OPER MAIN 2yr'!H48+'SCHOLAR FELLOW 2yr'!H48+'All Other 2yr'!H48)-H48</f>
        <v>0</v>
      </c>
      <c r="AI48" s="130">
        <f>('INSTRUCTION-2YR'!I48+'RESEARCH 2yr'!I48+'PUBLIC SERVICE 2yr'!I48+'ASptISptSSv 2yr'!I48+'PLANT OPER MAIN 2yr'!I48+'SCHOLAR FELLOW 2yr'!I48+'All Other 2yr'!I48)-I48</f>
        <v>0</v>
      </c>
      <c r="AJ48" s="130">
        <f>('INSTRUCTION-2YR'!J48+'RESEARCH 2yr'!J48+'PUBLIC SERVICE 2yr'!J48+'ASptISptSSv 2yr'!J48+'PLANT OPER MAIN 2yr'!J48+'SCHOLAR FELLOW 2yr'!J48+'All Other 2yr'!J48)-J48</f>
        <v>0</v>
      </c>
      <c r="AK48" s="130">
        <f>('INSTRUCTION-2YR'!K48+'RESEARCH 2yr'!K48+'PUBLIC SERVICE 2yr'!K48+'ASptISptSSv 2yr'!K48+'PLANT OPER MAIN 2yr'!K48+'SCHOLAR FELLOW 2yr'!K48+'All Other 2yr'!K48)-K48</f>
        <v>0</v>
      </c>
      <c r="AL48" s="130">
        <f>('INSTRUCTION-2YR'!L48+'RESEARCH 2yr'!L48+'PUBLIC SERVICE 2yr'!L48+'ASptISptSSv 2yr'!L48+'PLANT OPER MAIN 2yr'!L48+'SCHOLAR FELLOW 2yr'!L48+'All Other 2yr'!L48)-L48</f>
        <v>0</v>
      </c>
      <c r="AM48" s="130">
        <f>('INSTRUCTION-2YR'!M48+'RESEARCH 2yr'!M48+'PUBLIC SERVICE 2yr'!M48+'ASptISptSSv 2yr'!M48+'PLANT OPER MAIN 2yr'!M48+'SCHOLAR FELLOW 2yr'!M48+'All Other 2yr'!M48)-M48</f>
        <v>0</v>
      </c>
      <c r="AN48" s="130">
        <f>('INSTRUCTION-2YR'!N48+'RESEARCH 2yr'!N48+'PUBLIC SERVICE 2yr'!N48+'ASptISptSSv 2yr'!N48+'PLANT OPER MAIN 2yr'!N48+'SCHOLAR FELLOW 2yr'!N48+'All Other 2yr'!N48)-N48</f>
        <v>0</v>
      </c>
      <c r="AO48" s="130">
        <f>('INSTRUCTION-2YR'!O48+'RESEARCH 2yr'!O48+'PUBLIC SERVICE 2yr'!O48+'ASptISptSSv 2yr'!O48+'PLANT OPER MAIN 2yr'!O48+'SCHOLAR FELLOW 2yr'!O48+'All Other 2yr'!O48)-O48</f>
        <v>0</v>
      </c>
      <c r="AP48" s="130">
        <f>('INSTRUCTION-2YR'!P48+'RESEARCH 2yr'!P48+'PUBLIC SERVICE 2yr'!P48+'ASptISptSSv 2yr'!P48+'PLANT OPER MAIN 2yr'!P48+'SCHOLAR FELLOW 2yr'!P48+'All Other 2yr'!P48)-P48</f>
        <v>0</v>
      </c>
      <c r="AQ48" s="130">
        <f>('INSTRUCTION-2YR'!Q48+'RESEARCH 2yr'!Q48+'PUBLIC SERVICE 2yr'!Q48+'ASptISptSSv 2yr'!Q48+'PLANT OPER MAIN 2yr'!Q48+'SCHOLAR FELLOW 2yr'!Q48+'All Other 2yr'!Q48)-Q48</f>
        <v>0</v>
      </c>
      <c r="AR48" s="130">
        <f>('INSTRUCTION-2YR'!R48+'RESEARCH 2yr'!R48+'PUBLIC SERVICE 2yr'!R48+'ASptISptSSv 2yr'!R48+'PLANT OPER MAIN 2yr'!R48+'SCHOLAR FELLOW 2yr'!R48+'All Other 2yr'!R48)-R48</f>
        <v>0</v>
      </c>
      <c r="AS48" s="130">
        <f>('INSTRUCTION-2YR'!S48+'RESEARCH 2yr'!S48+'PUBLIC SERVICE 2yr'!S48+'ASptISptSSv 2yr'!S48+'PLANT OPER MAIN 2yr'!S48+'SCHOLAR FELLOW 2yr'!S48+'All Other 2yr'!S48)-S48</f>
        <v>0</v>
      </c>
      <c r="AT48" s="130">
        <f>('INSTRUCTION-2YR'!T48+'RESEARCH 2yr'!T48+'PUBLIC SERVICE 2yr'!T48+'ASptISptSSv 2yr'!T48+'PLANT OPER MAIN 2yr'!T48+'SCHOLAR FELLOW 2yr'!T48+'All Other 2yr'!T48)-T48</f>
        <v>0</v>
      </c>
      <c r="AU48" s="130">
        <f>('INSTRUCTION-2YR'!U48+'RESEARCH 2yr'!U48+'PUBLIC SERVICE 2yr'!U48+'ASptISptSSv 2yr'!U48+'PLANT OPER MAIN 2yr'!U48+'SCHOLAR FELLOW 2yr'!U48+'All Other 2yr'!U48)-U48</f>
        <v>0</v>
      </c>
      <c r="AV48" s="130">
        <f>('INSTRUCTION-2YR'!V48+'RESEARCH 2yr'!V48+'PUBLIC SERVICE 2yr'!V48+'ASptISptSSv 2yr'!V48+'PLANT OPER MAIN 2yr'!V48+'SCHOLAR FELLOW 2yr'!V48+'All Other 2yr'!V48)-V48</f>
        <v>0</v>
      </c>
      <c r="AW48" s="130">
        <f>('INSTRUCTION-2YR'!W48+'RESEARCH 2yr'!W48+'PUBLIC SERVICE 2yr'!W48+'ASptISptSSv 2yr'!W48+'PLANT OPER MAIN 2yr'!W48+'SCHOLAR FELLOW 2yr'!W48+'All Other 2yr'!W48)-W48</f>
        <v>0</v>
      </c>
      <c r="AX48" s="130">
        <f>('INSTRUCTION-2YR'!X48+'RESEARCH 2yr'!X48+'PUBLIC SERVICE 2yr'!X48+'ASptISptSSv 2yr'!X48+'PLANT OPER MAIN 2yr'!X48+'SCHOLAR FELLOW 2yr'!X48+'All Other 2yr'!X48)-X48</f>
        <v>0</v>
      </c>
      <c r="AY48" s="130">
        <f>('INSTRUCTION-2YR'!Y48+'RESEARCH 2yr'!Y48+'PUBLIC SERVICE 2yr'!Y48+'ASptISptSSv 2yr'!Y48+'PLANT OPER MAIN 2yr'!Y48+'SCHOLAR FELLOW 2yr'!Y48+'All Other 2yr'!Y48)-Y48</f>
        <v>0</v>
      </c>
      <c r="AZ48" s="130">
        <f>('INSTRUCTION-2YR'!Z48+'RESEARCH 2yr'!Z48+'PUBLIC SERVICE 2yr'!Z48+'ASptISptSSv 2yr'!Z48+'PLANT OPER MAIN 2yr'!Z48+'SCHOLAR FELLOW 2yr'!Z48+'All Other 2yr'!Z48)-Z48</f>
        <v>0</v>
      </c>
      <c r="BA48" s="130">
        <f>('INSTRUCTION-2YR'!AA48+'RESEARCH 2yr'!AA48+'PUBLIC SERVICE 2yr'!AA48+'ASptISptSSv 2yr'!AA48+'PLANT OPER MAIN 2yr'!AA48+'SCHOLAR FELLOW 2yr'!AA48+'All Other 2yr'!AA48)-AA48</f>
        <v>0</v>
      </c>
    </row>
    <row r="49" spans="1:53">
      <c r="A49" s="23" t="s">
        <v>101</v>
      </c>
      <c r="B49" s="37"/>
      <c r="C49" s="37"/>
      <c r="D49" s="37"/>
      <c r="E49" s="37"/>
      <c r="F49" s="77">
        <v>84499.707999999999</v>
      </c>
      <c r="G49" s="37"/>
      <c r="H49" s="37"/>
      <c r="I49" s="37">
        <v>90127.212</v>
      </c>
      <c r="J49" s="37"/>
      <c r="K49" s="37">
        <v>145557.92600000001</v>
      </c>
      <c r="L49" s="37">
        <v>172604.73300000001</v>
      </c>
      <c r="M49" s="37">
        <v>182082.36199999999</v>
      </c>
      <c r="N49" s="37">
        <v>199283.041</v>
      </c>
      <c r="O49" s="37">
        <v>218573.15599999999</v>
      </c>
      <c r="P49" s="37">
        <v>232417.48199999999</v>
      </c>
      <c r="Q49" s="37">
        <v>237282.147</v>
      </c>
      <c r="R49" s="37">
        <v>248524.557</v>
      </c>
      <c r="S49" s="37">
        <v>259448.61199999999</v>
      </c>
      <c r="T49" s="23">
        <v>276772.32500000001</v>
      </c>
      <c r="U49" s="23">
        <v>300704.484</v>
      </c>
      <c r="V49" s="23">
        <v>342750.02299999999</v>
      </c>
      <c r="W49" s="23">
        <v>382302.96500000003</v>
      </c>
      <c r="X49" s="23">
        <v>398019.61</v>
      </c>
      <c r="Y49" s="2">
        <v>331798.61800000002</v>
      </c>
      <c r="Z49" s="2">
        <v>335954.14199999999</v>
      </c>
      <c r="AA49" s="2">
        <v>343376.16499999998</v>
      </c>
      <c r="AB49" s="130">
        <f>('INSTRUCTION-2YR'!B49+'RESEARCH 2yr'!B49+'PUBLIC SERVICE 2yr'!B49+'ASptISptSSv 2yr'!B49+'PLANT OPER MAIN 2yr'!B49+'SCHOLAR FELLOW 2yr'!B49+'All Other 2yr'!B49)-B49</f>
        <v>0</v>
      </c>
      <c r="AC49" s="130">
        <f>('INSTRUCTION-2YR'!C49+'RESEARCH 2yr'!C49+'PUBLIC SERVICE 2yr'!C49+'ASptISptSSv 2yr'!C49+'PLANT OPER MAIN 2yr'!C49+'SCHOLAR FELLOW 2yr'!C49+'All Other 2yr'!C49)-C49</f>
        <v>0</v>
      </c>
      <c r="AD49" s="130">
        <f>('INSTRUCTION-2YR'!D49+'RESEARCH 2yr'!D49+'PUBLIC SERVICE 2yr'!D49+'ASptISptSSv 2yr'!D49+'PLANT OPER MAIN 2yr'!D49+'SCHOLAR FELLOW 2yr'!D49+'All Other 2yr'!D49)-D49</f>
        <v>0</v>
      </c>
      <c r="AE49" s="130">
        <f>('INSTRUCTION-2YR'!E49+'RESEARCH 2yr'!E49+'PUBLIC SERVICE 2yr'!E49+'ASptISptSSv 2yr'!E49+'PLANT OPER MAIN 2yr'!E49+'SCHOLAR FELLOW 2yr'!E49+'All Other 2yr'!E49)-E49</f>
        <v>0</v>
      </c>
      <c r="AF49" s="130">
        <f>('INSTRUCTION-2YR'!F49+'RESEARCH 2yr'!F49+'PUBLIC SERVICE 2yr'!F49+'ASptISptSSv 2yr'!F49+'PLANT OPER MAIN 2yr'!F49+'SCHOLAR FELLOW 2yr'!F49+'All Other 2yr'!F49)-F49</f>
        <v>0</v>
      </c>
      <c r="AG49" s="130">
        <f>('INSTRUCTION-2YR'!G49+'RESEARCH 2yr'!G49+'PUBLIC SERVICE 2yr'!G49+'ASptISptSSv 2yr'!G49+'PLANT OPER MAIN 2yr'!G49+'SCHOLAR FELLOW 2yr'!G49+'All Other 2yr'!G49)-G49</f>
        <v>0</v>
      </c>
      <c r="AH49" s="130">
        <f>('INSTRUCTION-2YR'!H49+'RESEARCH 2yr'!H49+'PUBLIC SERVICE 2yr'!H49+'ASptISptSSv 2yr'!H49+'PLANT OPER MAIN 2yr'!H49+'SCHOLAR FELLOW 2yr'!H49+'All Other 2yr'!H49)-H49</f>
        <v>0</v>
      </c>
      <c r="AI49" s="130">
        <f>('INSTRUCTION-2YR'!I49+'RESEARCH 2yr'!I49+'PUBLIC SERVICE 2yr'!I49+'ASptISptSSv 2yr'!I49+'PLANT OPER MAIN 2yr'!I49+'SCHOLAR FELLOW 2yr'!I49+'All Other 2yr'!I49)-I49</f>
        <v>0</v>
      </c>
      <c r="AJ49" s="130">
        <f>('INSTRUCTION-2YR'!J49+'RESEARCH 2yr'!J49+'PUBLIC SERVICE 2yr'!J49+'ASptISptSSv 2yr'!J49+'PLANT OPER MAIN 2yr'!J49+'SCHOLAR FELLOW 2yr'!J49+'All Other 2yr'!J49)-J49</f>
        <v>0</v>
      </c>
      <c r="AK49" s="130">
        <f>('INSTRUCTION-2YR'!K49+'RESEARCH 2yr'!K49+'PUBLIC SERVICE 2yr'!K49+'ASptISptSSv 2yr'!K49+'PLANT OPER MAIN 2yr'!K49+'SCHOLAR FELLOW 2yr'!K49+'All Other 2yr'!K49)-K49</f>
        <v>0</v>
      </c>
      <c r="AL49" s="130">
        <f>('INSTRUCTION-2YR'!L49+'RESEARCH 2yr'!L49+'PUBLIC SERVICE 2yr'!L49+'ASptISptSSv 2yr'!L49+'PLANT OPER MAIN 2yr'!L49+'SCHOLAR FELLOW 2yr'!L49+'All Other 2yr'!L49)-L49</f>
        <v>0</v>
      </c>
      <c r="AM49" s="130">
        <f>('INSTRUCTION-2YR'!M49+'RESEARCH 2yr'!M49+'PUBLIC SERVICE 2yr'!M49+'ASptISptSSv 2yr'!M49+'PLANT OPER MAIN 2yr'!M49+'SCHOLAR FELLOW 2yr'!M49+'All Other 2yr'!M49)-M49</f>
        <v>0</v>
      </c>
      <c r="AN49" s="130">
        <f>('INSTRUCTION-2YR'!N49+'RESEARCH 2yr'!N49+'PUBLIC SERVICE 2yr'!N49+'ASptISptSSv 2yr'!N49+'PLANT OPER MAIN 2yr'!N49+'SCHOLAR FELLOW 2yr'!N49+'All Other 2yr'!N49)-N49</f>
        <v>0</v>
      </c>
      <c r="AO49" s="130">
        <f>('INSTRUCTION-2YR'!O49+'RESEARCH 2yr'!O49+'PUBLIC SERVICE 2yr'!O49+'ASptISptSSv 2yr'!O49+'PLANT OPER MAIN 2yr'!O49+'SCHOLAR FELLOW 2yr'!O49+'All Other 2yr'!O49)-O49</f>
        <v>0</v>
      </c>
      <c r="AP49" s="130">
        <f>('INSTRUCTION-2YR'!P49+'RESEARCH 2yr'!P49+'PUBLIC SERVICE 2yr'!P49+'ASptISptSSv 2yr'!P49+'PLANT OPER MAIN 2yr'!P49+'SCHOLAR FELLOW 2yr'!P49+'All Other 2yr'!P49)-P49</f>
        <v>0</v>
      </c>
      <c r="AQ49" s="130">
        <f>('INSTRUCTION-2YR'!Q49+'RESEARCH 2yr'!Q49+'PUBLIC SERVICE 2yr'!Q49+'ASptISptSSv 2yr'!Q49+'PLANT OPER MAIN 2yr'!Q49+'SCHOLAR FELLOW 2yr'!Q49+'All Other 2yr'!Q49)-Q49</f>
        <v>0</v>
      </c>
      <c r="AR49" s="130">
        <f>('INSTRUCTION-2YR'!R49+'RESEARCH 2yr'!R49+'PUBLIC SERVICE 2yr'!R49+'ASptISptSSv 2yr'!R49+'PLANT OPER MAIN 2yr'!R49+'SCHOLAR FELLOW 2yr'!R49+'All Other 2yr'!R49)-R49</f>
        <v>0</v>
      </c>
      <c r="AS49" s="130">
        <f>('INSTRUCTION-2YR'!S49+'RESEARCH 2yr'!S49+'PUBLIC SERVICE 2yr'!S49+'ASptISptSSv 2yr'!S49+'PLANT OPER MAIN 2yr'!S49+'SCHOLAR FELLOW 2yr'!S49+'All Other 2yr'!S49)-S49</f>
        <v>0</v>
      </c>
      <c r="AT49" s="130">
        <f>('INSTRUCTION-2YR'!T49+'RESEARCH 2yr'!T49+'PUBLIC SERVICE 2yr'!T49+'ASptISptSSv 2yr'!T49+'PLANT OPER MAIN 2yr'!T49+'SCHOLAR FELLOW 2yr'!T49+'All Other 2yr'!T49)-T49</f>
        <v>0</v>
      </c>
      <c r="AU49" s="130">
        <f>('INSTRUCTION-2YR'!U49+'RESEARCH 2yr'!U49+'PUBLIC SERVICE 2yr'!U49+'ASptISptSSv 2yr'!U49+'PLANT OPER MAIN 2yr'!U49+'SCHOLAR FELLOW 2yr'!U49+'All Other 2yr'!U49)-U49</f>
        <v>0</v>
      </c>
      <c r="AV49" s="130">
        <f>('INSTRUCTION-2YR'!V49+'RESEARCH 2yr'!V49+'PUBLIC SERVICE 2yr'!V49+'ASptISptSSv 2yr'!V49+'PLANT OPER MAIN 2yr'!V49+'SCHOLAR FELLOW 2yr'!V49+'All Other 2yr'!V49)-V49</f>
        <v>0</v>
      </c>
      <c r="AW49" s="130">
        <f>('INSTRUCTION-2YR'!W49+'RESEARCH 2yr'!W49+'PUBLIC SERVICE 2yr'!W49+'ASptISptSSv 2yr'!W49+'PLANT OPER MAIN 2yr'!W49+'SCHOLAR FELLOW 2yr'!W49+'All Other 2yr'!W49)-W49</f>
        <v>0</v>
      </c>
      <c r="AX49" s="130">
        <f>('INSTRUCTION-2YR'!X49+'RESEARCH 2yr'!X49+'PUBLIC SERVICE 2yr'!X49+'ASptISptSSv 2yr'!X49+'PLANT OPER MAIN 2yr'!X49+'SCHOLAR FELLOW 2yr'!X49+'All Other 2yr'!X49)-X49</f>
        <v>0</v>
      </c>
      <c r="AY49" s="130">
        <f>('INSTRUCTION-2YR'!Y49+'RESEARCH 2yr'!Y49+'PUBLIC SERVICE 2yr'!Y49+'ASptISptSSv 2yr'!Y49+'PLANT OPER MAIN 2yr'!Y49+'SCHOLAR FELLOW 2yr'!Y49+'All Other 2yr'!Y49)-Y49</f>
        <v>0</v>
      </c>
      <c r="AZ49" s="130">
        <f>('INSTRUCTION-2YR'!Z49+'RESEARCH 2yr'!Z49+'PUBLIC SERVICE 2yr'!Z49+'ASptISptSSv 2yr'!Z49+'PLANT OPER MAIN 2yr'!Z49+'SCHOLAR FELLOW 2yr'!Z49+'All Other 2yr'!Z49)-Z49</f>
        <v>0</v>
      </c>
      <c r="BA49" s="130">
        <f>('INSTRUCTION-2YR'!AA49+'RESEARCH 2yr'!AA49+'PUBLIC SERVICE 2yr'!AA49+'ASptISptSSv 2yr'!AA49+'PLANT OPER MAIN 2yr'!AA49+'SCHOLAR FELLOW 2yr'!AA49+'All Other 2yr'!AA49)-AA49</f>
        <v>0</v>
      </c>
    </row>
    <row r="50" spans="1:53">
      <c r="A50" s="23" t="s">
        <v>107</v>
      </c>
      <c r="B50" s="37"/>
      <c r="C50" s="37"/>
      <c r="D50" s="37"/>
      <c r="E50" s="37"/>
      <c r="F50" s="77">
        <v>46567.531000000003</v>
      </c>
      <c r="G50" s="37"/>
      <c r="H50" s="37"/>
      <c r="I50" s="37">
        <v>50587.714999999997</v>
      </c>
      <c r="J50" s="37"/>
      <c r="K50" s="37">
        <v>55961.191980000018</v>
      </c>
      <c r="L50" s="37">
        <v>70273.726999999999</v>
      </c>
      <c r="M50" s="37">
        <v>60918.65</v>
      </c>
      <c r="N50" s="37">
        <v>69505.225000000006</v>
      </c>
      <c r="O50" s="37">
        <v>71847.675000000003</v>
      </c>
      <c r="P50" s="37">
        <v>72955.294999999998</v>
      </c>
      <c r="Q50" s="37">
        <v>83774.494999999995</v>
      </c>
      <c r="R50" s="37">
        <v>86380.774000000005</v>
      </c>
      <c r="S50" s="37">
        <v>88371.596000000005</v>
      </c>
      <c r="T50" s="23">
        <v>67575.335000000006</v>
      </c>
      <c r="U50" s="23">
        <v>109825.973</v>
      </c>
      <c r="V50" s="23">
        <v>116433.61599999999</v>
      </c>
      <c r="W50" s="23">
        <v>131572.93700000001</v>
      </c>
      <c r="X50" s="23">
        <v>140018.64000000001</v>
      </c>
      <c r="Y50" s="2">
        <v>138505.66</v>
      </c>
      <c r="Z50" s="2">
        <v>156752.22899999999</v>
      </c>
      <c r="AA50" s="2">
        <v>161938.462</v>
      </c>
      <c r="AB50" s="130">
        <f>('INSTRUCTION-2YR'!B50+'RESEARCH 2yr'!B50+'PUBLIC SERVICE 2yr'!B50+'ASptISptSSv 2yr'!B50+'PLANT OPER MAIN 2yr'!B50+'SCHOLAR FELLOW 2yr'!B50+'All Other 2yr'!B50)-B50</f>
        <v>0</v>
      </c>
      <c r="AC50" s="130">
        <f>('INSTRUCTION-2YR'!C50+'RESEARCH 2yr'!C50+'PUBLIC SERVICE 2yr'!C50+'ASptISptSSv 2yr'!C50+'PLANT OPER MAIN 2yr'!C50+'SCHOLAR FELLOW 2yr'!C50+'All Other 2yr'!C50)-C50</f>
        <v>0</v>
      </c>
      <c r="AD50" s="130">
        <f>('INSTRUCTION-2YR'!D50+'RESEARCH 2yr'!D50+'PUBLIC SERVICE 2yr'!D50+'ASptISptSSv 2yr'!D50+'PLANT OPER MAIN 2yr'!D50+'SCHOLAR FELLOW 2yr'!D50+'All Other 2yr'!D50)-D50</f>
        <v>0</v>
      </c>
      <c r="AE50" s="130">
        <f>('INSTRUCTION-2YR'!E50+'RESEARCH 2yr'!E50+'PUBLIC SERVICE 2yr'!E50+'ASptISptSSv 2yr'!E50+'PLANT OPER MAIN 2yr'!E50+'SCHOLAR FELLOW 2yr'!E50+'All Other 2yr'!E50)-E50</f>
        <v>0</v>
      </c>
      <c r="AF50" s="130">
        <f>('INSTRUCTION-2YR'!F50+'RESEARCH 2yr'!F50+'PUBLIC SERVICE 2yr'!F50+'ASptISptSSv 2yr'!F50+'PLANT OPER MAIN 2yr'!F50+'SCHOLAR FELLOW 2yr'!F50+'All Other 2yr'!F50)-F50</f>
        <v>0</v>
      </c>
      <c r="AG50" s="130">
        <f>('INSTRUCTION-2YR'!G50+'RESEARCH 2yr'!G50+'PUBLIC SERVICE 2yr'!G50+'ASptISptSSv 2yr'!G50+'PLANT OPER MAIN 2yr'!G50+'SCHOLAR FELLOW 2yr'!G50+'All Other 2yr'!G50)-G50</f>
        <v>0</v>
      </c>
      <c r="AH50" s="130">
        <f>('INSTRUCTION-2YR'!H50+'RESEARCH 2yr'!H50+'PUBLIC SERVICE 2yr'!H50+'ASptISptSSv 2yr'!H50+'PLANT OPER MAIN 2yr'!H50+'SCHOLAR FELLOW 2yr'!H50+'All Other 2yr'!H50)-H50</f>
        <v>0</v>
      </c>
      <c r="AI50" s="130">
        <f>('INSTRUCTION-2YR'!I50+'RESEARCH 2yr'!I50+'PUBLIC SERVICE 2yr'!I50+'ASptISptSSv 2yr'!I50+'PLANT OPER MAIN 2yr'!I50+'SCHOLAR FELLOW 2yr'!I50+'All Other 2yr'!I50)-I50</f>
        <v>0</v>
      </c>
      <c r="AJ50" s="130">
        <f>('INSTRUCTION-2YR'!J50+'RESEARCH 2yr'!J50+'PUBLIC SERVICE 2yr'!J50+'ASptISptSSv 2yr'!J50+'PLANT OPER MAIN 2yr'!J50+'SCHOLAR FELLOW 2yr'!J50+'All Other 2yr'!J50)-J50</f>
        <v>0</v>
      </c>
      <c r="AK50" s="130">
        <f>('INSTRUCTION-2YR'!K50+'RESEARCH 2yr'!K50+'PUBLIC SERVICE 2yr'!K50+'ASptISptSSv 2yr'!K50+'PLANT OPER MAIN 2yr'!K50+'SCHOLAR FELLOW 2yr'!K50+'All Other 2yr'!K50)-K50</f>
        <v>0</v>
      </c>
      <c r="AL50" s="130">
        <f>('INSTRUCTION-2YR'!L50+'RESEARCH 2yr'!L50+'PUBLIC SERVICE 2yr'!L50+'ASptISptSSv 2yr'!L50+'PLANT OPER MAIN 2yr'!L50+'SCHOLAR FELLOW 2yr'!L50+'All Other 2yr'!L50)-L50</f>
        <v>0</v>
      </c>
      <c r="AM50" s="130">
        <f>('INSTRUCTION-2YR'!M50+'RESEARCH 2yr'!M50+'PUBLIC SERVICE 2yr'!M50+'ASptISptSSv 2yr'!M50+'PLANT OPER MAIN 2yr'!M50+'SCHOLAR FELLOW 2yr'!M50+'All Other 2yr'!M50)-M50</f>
        <v>0</v>
      </c>
      <c r="AN50" s="130">
        <f>('INSTRUCTION-2YR'!N50+'RESEARCH 2yr'!N50+'PUBLIC SERVICE 2yr'!N50+'ASptISptSSv 2yr'!N50+'PLANT OPER MAIN 2yr'!N50+'SCHOLAR FELLOW 2yr'!N50+'All Other 2yr'!N50)-N50</f>
        <v>0</v>
      </c>
      <c r="AO50" s="130">
        <f>('INSTRUCTION-2YR'!O50+'RESEARCH 2yr'!O50+'PUBLIC SERVICE 2yr'!O50+'ASptISptSSv 2yr'!O50+'PLANT OPER MAIN 2yr'!O50+'SCHOLAR FELLOW 2yr'!O50+'All Other 2yr'!O50)-O50</f>
        <v>0</v>
      </c>
      <c r="AP50" s="130">
        <f>('INSTRUCTION-2YR'!P50+'RESEARCH 2yr'!P50+'PUBLIC SERVICE 2yr'!P50+'ASptISptSSv 2yr'!P50+'PLANT OPER MAIN 2yr'!P50+'SCHOLAR FELLOW 2yr'!P50+'All Other 2yr'!P50)-P50</f>
        <v>0</v>
      </c>
      <c r="AQ50" s="130">
        <f>('INSTRUCTION-2YR'!Q50+'RESEARCH 2yr'!Q50+'PUBLIC SERVICE 2yr'!Q50+'ASptISptSSv 2yr'!Q50+'PLANT OPER MAIN 2yr'!Q50+'SCHOLAR FELLOW 2yr'!Q50+'All Other 2yr'!Q50)-Q50</f>
        <v>0</v>
      </c>
      <c r="AR50" s="130">
        <f>('INSTRUCTION-2YR'!R50+'RESEARCH 2yr'!R50+'PUBLIC SERVICE 2yr'!R50+'ASptISptSSv 2yr'!R50+'PLANT OPER MAIN 2yr'!R50+'SCHOLAR FELLOW 2yr'!R50+'All Other 2yr'!R50)-R50</f>
        <v>0</v>
      </c>
      <c r="AS50" s="130">
        <f>('INSTRUCTION-2YR'!S50+'RESEARCH 2yr'!S50+'PUBLIC SERVICE 2yr'!S50+'ASptISptSSv 2yr'!S50+'PLANT OPER MAIN 2yr'!S50+'SCHOLAR FELLOW 2yr'!S50+'All Other 2yr'!S50)-S50</f>
        <v>0</v>
      </c>
      <c r="AT50" s="130">
        <f>('INSTRUCTION-2YR'!T50+'RESEARCH 2yr'!T50+'PUBLIC SERVICE 2yr'!T50+'ASptISptSSv 2yr'!T50+'PLANT OPER MAIN 2yr'!T50+'SCHOLAR FELLOW 2yr'!T50+'All Other 2yr'!T50)-T50</f>
        <v>0</v>
      </c>
      <c r="AU50" s="130">
        <f>('INSTRUCTION-2YR'!U50+'RESEARCH 2yr'!U50+'PUBLIC SERVICE 2yr'!U50+'ASptISptSSv 2yr'!U50+'PLANT OPER MAIN 2yr'!U50+'SCHOLAR FELLOW 2yr'!U50+'All Other 2yr'!U50)-U50</f>
        <v>0</v>
      </c>
      <c r="AV50" s="130">
        <f>('INSTRUCTION-2YR'!V50+'RESEARCH 2yr'!V50+'PUBLIC SERVICE 2yr'!V50+'ASptISptSSv 2yr'!V50+'PLANT OPER MAIN 2yr'!V50+'SCHOLAR FELLOW 2yr'!V50+'All Other 2yr'!V50)-V50</f>
        <v>0</v>
      </c>
      <c r="AW50" s="130">
        <f>('INSTRUCTION-2YR'!W50+'RESEARCH 2yr'!W50+'PUBLIC SERVICE 2yr'!W50+'ASptISptSSv 2yr'!W50+'PLANT OPER MAIN 2yr'!W50+'SCHOLAR FELLOW 2yr'!W50+'All Other 2yr'!W50)-W50</f>
        <v>0</v>
      </c>
      <c r="AX50" s="130">
        <f>('INSTRUCTION-2YR'!X50+'RESEARCH 2yr'!X50+'PUBLIC SERVICE 2yr'!X50+'ASptISptSSv 2yr'!X50+'PLANT OPER MAIN 2yr'!X50+'SCHOLAR FELLOW 2yr'!X50+'All Other 2yr'!X50)-X50</f>
        <v>0</v>
      </c>
      <c r="AY50" s="130">
        <f>('INSTRUCTION-2YR'!Y50+'RESEARCH 2yr'!Y50+'PUBLIC SERVICE 2yr'!Y50+'ASptISptSSv 2yr'!Y50+'PLANT OPER MAIN 2yr'!Y50+'SCHOLAR FELLOW 2yr'!Y50+'All Other 2yr'!Y50)-Y50</f>
        <v>0</v>
      </c>
      <c r="AZ50" s="130">
        <f>('INSTRUCTION-2YR'!Z50+'RESEARCH 2yr'!Z50+'PUBLIC SERVICE 2yr'!Z50+'ASptISptSSv 2yr'!Z50+'PLANT OPER MAIN 2yr'!Z50+'SCHOLAR FELLOW 2yr'!Z50+'All Other 2yr'!Z50)-Z50</f>
        <v>0</v>
      </c>
      <c r="BA50" s="130">
        <f>('INSTRUCTION-2YR'!AA50+'RESEARCH 2yr'!AA50+'PUBLIC SERVICE 2yr'!AA50+'ASptISptSSv 2yr'!AA50+'PLANT OPER MAIN 2yr'!AA50+'SCHOLAR FELLOW 2yr'!AA50+'All Other 2yr'!AA50)-AA50</f>
        <v>0</v>
      </c>
    </row>
    <row r="51" spans="1:53">
      <c r="A51" s="23" t="s">
        <v>108</v>
      </c>
      <c r="B51" s="37"/>
      <c r="C51" s="37"/>
      <c r="D51" s="37"/>
      <c r="E51" s="37"/>
      <c r="F51" s="77">
        <v>546852.27099999995</v>
      </c>
      <c r="G51" s="37"/>
      <c r="H51" s="37"/>
      <c r="I51" s="37">
        <v>668059.946</v>
      </c>
      <c r="J51" s="37"/>
      <c r="K51" s="37">
        <v>716120.679</v>
      </c>
      <c r="L51" s="37">
        <v>890583.78200000001</v>
      </c>
      <c r="M51" s="37">
        <v>971383.05</v>
      </c>
      <c r="N51" s="37">
        <v>997393.18299999996</v>
      </c>
      <c r="O51" s="37">
        <v>1093816.929</v>
      </c>
      <c r="P51" s="37">
        <v>1129965.858</v>
      </c>
      <c r="Q51" s="37">
        <v>1176289.5330000001</v>
      </c>
      <c r="R51" s="37">
        <v>1246839.692</v>
      </c>
      <c r="S51" s="37">
        <v>1290832.23</v>
      </c>
      <c r="T51" s="23">
        <v>1365297.7990000001</v>
      </c>
      <c r="U51" s="23">
        <v>1753529.4650000001</v>
      </c>
      <c r="V51" s="23">
        <v>1895043.3659999999</v>
      </c>
      <c r="W51" s="23">
        <v>2077770.1669999999</v>
      </c>
      <c r="X51" s="23">
        <v>2025773.0430000001</v>
      </c>
      <c r="Y51" s="2">
        <v>1880464.6910000001</v>
      </c>
      <c r="Z51" s="2">
        <v>1837504.4580000001</v>
      </c>
      <c r="AA51" s="2">
        <v>1765623.08</v>
      </c>
      <c r="AB51" s="130">
        <f>('INSTRUCTION-2YR'!B51+'RESEARCH 2yr'!B51+'PUBLIC SERVICE 2yr'!B51+'ASptISptSSv 2yr'!B51+'PLANT OPER MAIN 2yr'!B51+'SCHOLAR FELLOW 2yr'!B51+'All Other 2yr'!B51)-B51</f>
        <v>0</v>
      </c>
      <c r="AC51" s="130">
        <f>('INSTRUCTION-2YR'!C51+'RESEARCH 2yr'!C51+'PUBLIC SERVICE 2yr'!C51+'ASptISptSSv 2yr'!C51+'PLANT OPER MAIN 2yr'!C51+'SCHOLAR FELLOW 2yr'!C51+'All Other 2yr'!C51)-C51</f>
        <v>0</v>
      </c>
      <c r="AD51" s="130">
        <f>('INSTRUCTION-2YR'!D51+'RESEARCH 2yr'!D51+'PUBLIC SERVICE 2yr'!D51+'ASptISptSSv 2yr'!D51+'PLANT OPER MAIN 2yr'!D51+'SCHOLAR FELLOW 2yr'!D51+'All Other 2yr'!D51)-D51</f>
        <v>0</v>
      </c>
      <c r="AE51" s="130">
        <f>('INSTRUCTION-2YR'!E51+'RESEARCH 2yr'!E51+'PUBLIC SERVICE 2yr'!E51+'ASptISptSSv 2yr'!E51+'PLANT OPER MAIN 2yr'!E51+'SCHOLAR FELLOW 2yr'!E51+'All Other 2yr'!E51)-E51</f>
        <v>0</v>
      </c>
      <c r="AF51" s="130">
        <f>('INSTRUCTION-2YR'!F51+'RESEARCH 2yr'!F51+'PUBLIC SERVICE 2yr'!F51+'ASptISptSSv 2yr'!F51+'PLANT OPER MAIN 2yr'!F51+'SCHOLAR FELLOW 2yr'!F51+'All Other 2yr'!F51)-F51</f>
        <v>0</v>
      </c>
      <c r="AG51" s="130">
        <f>('INSTRUCTION-2YR'!G51+'RESEARCH 2yr'!G51+'PUBLIC SERVICE 2yr'!G51+'ASptISptSSv 2yr'!G51+'PLANT OPER MAIN 2yr'!G51+'SCHOLAR FELLOW 2yr'!G51+'All Other 2yr'!G51)-G51</f>
        <v>0</v>
      </c>
      <c r="AH51" s="130">
        <f>('INSTRUCTION-2YR'!H51+'RESEARCH 2yr'!H51+'PUBLIC SERVICE 2yr'!H51+'ASptISptSSv 2yr'!H51+'PLANT OPER MAIN 2yr'!H51+'SCHOLAR FELLOW 2yr'!H51+'All Other 2yr'!H51)-H51</f>
        <v>0</v>
      </c>
      <c r="AI51" s="130">
        <f>('INSTRUCTION-2YR'!I51+'RESEARCH 2yr'!I51+'PUBLIC SERVICE 2yr'!I51+'ASptISptSSv 2yr'!I51+'PLANT OPER MAIN 2yr'!I51+'SCHOLAR FELLOW 2yr'!I51+'All Other 2yr'!I51)-I51</f>
        <v>0</v>
      </c>
      <c r="AJ51" s="130">
        <f>('INSTRUCTION-2YR'!J51+'RESEARCH 2yr'!J51+'PUBLIC SERVICE 2yr'!J51+'ASptISptSSv 2yr'!J51+'PLANT OPER MAIN 2yr'!J51+'SCHOLAR FELLOW 2yr'!J51+'All Other 2yr'!J51)-J51</f>
        <v>0</v>
      </c>
      <c r="AK51" s="130">
        <f>('INSTRUCTION-2YR'!K51+'RESEARCH 2yr'!K51+'PUBLIC SERVICE 2yr'!K51+'ASptISptSSv 2yr'!K51+'PLANT OPER MAIN 2yr'!K51+'SCHOLAR FELLOW 2yr'!K51+'All Other 2yr'!K51)-K51</f>
        <v>0</v>
      </c>
      <c r="AL51" s="130">
        <f>('INSTRUCTION-2YR'!L51+'RESEARCH 2yr'!L51+'PUBLIC SERVICE 2yr'!L51+'ASptISptSSv 2yr'!L51+'PLANT OPER MAIN 2yr'!L51+'SCHOLAR FELLOW 2yr'!L51+'All Other 2yr'!L51)-L51</f>
        <v>0</v>
      </c>
      <c r="AM51" s="130">
        <f>('INSTRUCTION-2YR'!M51+'RESEARCH 2yr'!M51+'PUBLIC SERVICE 2yr'!M51+'ASptISptSSv 2yr'!M51+'PLANT OPER MAIN 2yr'!M51+'SCHOLAR FELLOW 2yr'!M51+'All Other 2yr'!M51)-M51</f>
        <v>0</v>
      </c>
      <c r="AN51" s="130">
        <f>('INSTRUCTION-2YR'!N51+'RESEARCH 2yr'!N51+'PUBLIC SERVICE 2yr'!N51+'ASptISptSSv 2yr'!N51+'PLANT OPER MAIN 2yr'!N51+'SCHOLAR FELLOW 2yr'!N51+'All Other 2yr'!N51)-N51</f>
        <v>0</v>
      </c>
      <c r="AO51" s="130">
        <f>('INSTRUCTION-2YR'!O51+'RESEARCH 2yr'!O51+'PUBLIC SERVICE 2yr'!O51+'ASptISptSSv 2yr'!O51+'PLANT OPER MAIN 2yr'!O51+'SCHOLAR FELLOW 2yr'!O51+'All Other 2yr'!O51)-O51</f>
        <v>0</v>
      </c>
      <c r="AP51" s="130">
        <f>('INSTRUCTION-2YR'!P51+'RESEARCH 2yr'!P51+'PUBLIC SERVICE 2yr'!P51+'ASptISptSSv 2yr'!P51+'PLANT OPER MAIN 2yr'!P51+'SCHOLAR FELLOW 2yr'!P51+'All Other 2yr'!P51)-P51</f>
        <v>0</v>
      </c>
      <c r="AQ51" s="130">
        <f>('INSTRUCTION-2YR'!Q51+'RESEARCH 2yr'!Q51+'PUBLIC SERVICE 2yr'!Q51+'ASptISptSSv 2yr'!Q51+'PLANT OPER MAIN 2yr'!Q51+'SCHOLAR FELLOW 2yr'!Q51+'All Other 2yr'!Q51)-Q51</f>
        <v>0</v>
      </c>
      <c r="AR51" s="130">
        <f>('INSTRUCTION-2YR'!R51+'RESEARCH 2yr'!R51+'PUBLIC SERVICE 2yr'!R51+'ASptISptSSv 2yr'!R51+'PLANT OPER MAIN 2yr'!R51+'SCHOLAR FELLOW 2yr'!R51+'All Other 2yr'!R51)-R51</f>
        <v>0</v>
      </c>
      <c r="AS51" s="130">
        <f>('INSTRUCTION-2YR'!S51+'RESEARCH 2yr'!S51+'PUBLIC SERVICE 2yr'!S51+'ASptISptSSv 2yr'!S51+'PLANT OPER MAIN 2yr'!S51+'SCHOLAR FELLOW 2yr'!S51+'All Other 2yr'!S51)-S51</f>
        <v>0</v>
      </c>
      <c r="AT51" s="130">
        <f>('INSTRUCTION-2YR'!T51+'RESEARCH 2yr'!T51+'PUBLIC SERVICE 2yr'!T51+'ASptISptSSv 2yr'!T51+'PLANT OPER MAIN 2yr'!T51+'SCHOLAR FELLOW 2yr'!T51+'All Other 2yr'!T51)-T51</f>
        <v>0</v>
      </c>
      <c r="AU51" s="130">
        <f>('INSTRUCTION-2YR'!U51+'RESEARCH 2yr'!U51+'PUBLIC SERVICE 2yr'!U51+'ASptISptSSv 2yr'!U51+'PLANT OPER MAIN 2yr'!U51+'SCHOLAR FELLOW 2yr'!U51+'All Other 2yr'!U51)-U51</f>
        <v>0</v>
      </c>
      <c r="AV51" s="130">
        <f>('INSTRUCTION-2YR'!V51+'RESEARCH 2yr'!V51+'PUBLIC SERVICE 2yr'!V51+'ASptISptSSv 2yr'!V51+'PLANT OPER MAIN 2yr'!V51+'SCHOLAR FELLOW 2yr'!V51+'All Other 2yr'!V51)-V51</f>
        <v>0</v>
      </c>
      <c r="AW51" s="130">
        <f>('INSTRUCTION-2YR'!W51+'RESEARCH 2yr'!W51+'PUBLIC SERVICE 2yr'!W51+'ASptISptSSv 2yr'!W51+'PLANT OPER MAIN 2yr'!W51+'SCHOLAR FELLOW 2yr'!W51+'All Other 2yr'!W51)-W51</f>
        <v>0</v>
      </c>
      <c r="AX51" s="130">
        <f>('INSTRUCTION-2YR'!X51+'RESEARCH 2yr'!X51+'PUBLIC SERVICE 2yr'!X51+'ASptISptSSv 2yr'!X51+'PLANT OPER MAIN 2yr'!X51+'SCHOLAR FELLOW 2yr'!X51+'All Other 2yr'!X51)-X51</f>
        <v>0</v>
      </c>
      <c r="AY51" s="130">
        <f>('INSTRUCTION-2YR'!Y51+'RESEARCH 2yr'!Y51+'PUBLIC SERVICE 2yr'!Y51+'ASptISptSSv 2yr'!Y51+'PLANT OPER MAIN 2yr'!Y51+'SCHOLAR FELLOW 2yr'!Y51+'All Other 2yr'!Y51)-Y51</f>
        <v>0</v>
      </c>
      <c r="AZ51" s="130">
        <f>('INSTRUCTION-2YR'!Z51+'RESEARCH 2yr'!Z51+'PUBLIC SERVICE 2yr'!Z51+'ASptISptSSv 2yr'!Z51+'PLANT OPER MAIN 2yr'!Z51+'SCHOLAR FELLOW 2yr'!Z51+'All Other 2yr'!Z51)-Z51</f>
        <v>0</v>
      </c>
      <c r="BA51" s="130">
        <f>('INSTRUCTION-2YR'!AA51+'RESEARCH 2yr'!AA51+'PUBLIC SERVICE 2yr'!AA51+'ASptISptSSv 2yr'!AA51+'PLANT OPER MAIN 2yr'!AA51+'SCHOLAR FELLOW 2yr'!AA51+'All Other 2yr'!AA51)-AA51</f>
        <v>0</v>
      </c>
    </row>
    <row r="52" spans="1:53">
      <c r="A52" s="23" t="s">
        <v>112</v>
      </c>
      <c r="B52" s="37"/>
      <c r="C52" s="37"/>
      <c r="D52" s="37"/>
      <c r="E52" s="37"/>
      <c r="F52" s="77">
        <v>998.47299999999996</v>
      </c>
      <c r="G52" s="37"/>
      <c r="H52" s="37"/>
      <c r="I52" s="37">
        <v>1457.9169999999999</v>
      </c>
      <c r="J52" s="37"/>
      <c r="K52" s="37">
        <v>31949.657669999986</v>
      </c>
      <c r="L52" s="37">
        <v>36751.06</v>
      </c>
      <c r="M52" s="37">
        <v>38934.281999999999</v>
      </c>
      <c r="N52" s="37">
        <v>46771.163</v>
      </c>
      <c r="O52" s="37">
        <v>42866.758000000002</v>
      </c>
      <c r="P52" s="37">
        <v>44326.999000000003</v>
      </c>
      <c r="Q52" s="37">
        <v>49996.264000000003</v>
      </c>
      <c r="R52" s="37">
        <v>47442.141000000003</v>
      </c>
      <c r="S52" s="37">
        <v>54394.813000000002</v>
      </c>
      <c r="T52" s="23">
        <v>56785.718000000001</v>
      </c>
      <c r="U52" s="23">
        <v>95024.167000000001</v>
      </c>
      <c r="V52" s="23">
        <v>80790.697</v>
      </c>
      <c r="W52" s="23">
        <v>87374.866999999998</v>
      </c>
      <c r="X52" s="23">
        <v>84961.760999999999</v>
      </c>
      <c r="Y52" s="2">
        <v>113995.546</v>
      </c>
      <c r="Z52" s="2">
        <v>121823.768</v>
      </c>
      <c r="AA52" s="2">
        <v>125774.91499999999</v>
      </c>
      <c r="AB52" s="130">
        <f>('INSTRUCTION-2YR'!B52+'RESEARCH 2yr'!B52+'PUBLIC SERVICE 2yr'!B52+'ASptISptSSv 2yr'!B52+'PLANT OPER MAIN 2yr'!B52+'SCHOLAR FELLOW 2yr'!B52+'All Other 2yr'!B52)-B52</f>
        <v>0</v>
      </c>
      <c r="AC52" s="130">
        <f>('INSTRUCTION-2YR'!C52+'RESEARCH 2yr'!C52+'PUBLIC SERVICE 2yr'!C52+'ASptISptSSv 2yr'!C52+'PLANT OPER MAIN 2yr'!C52+'SCHOLAR FELLOW 2yr'!C52+'All Other 2yr'!C52)-C52</f>
        <v>0</v>
      </c>
      <c r="AD52" s="130">
        <f>('INSTRUCTION-2YR'!D52+'RESEARCH 2yr'!D52+'PUBLIC SERVICE 2yr'!D52+'ASptISptSSv 2yr'!D52+'PLANT OPER MAIN 2yr'!D52+'SCHOLAR FELLOW 2yr'!D52+'All Other 2yr'!D52)-D52</f>
        <v>0</v>
      </c>
      <c r="AE52" s="130">
        <f>('INSTRUCTION-2YR'!E52+'RESEARCH 2yr'!E52+'PUBLIC SERVICE 2yr'!E52+'ASptISptSSv 2yr'!E52+'PLANT OPER MAIN 2yr'!E52+'SCHOLAR FELLOW 2yr'!E52+'All Other 2yr'!E52)-E52</f>
        <v>0</v>
      </c>
      <c r="AF52" s="130">
        <f>('INSTRUCTION-2YR'!F52+'RESEARCH 2yr'!F52+'PUBLIC SERVICE 2yr'!F52+'ASptISptSSv 2yr'!F52+'PLANT OPER MAIN 2yr'!F52+'SCHOLAR FELLOW 2yr'!F52+'All Other 2yr'!F52)-F52</f>
        <v>0</v>
      </c>
      <c r="AG52" s="130">
        <f>('INSTRUCTION-2YR'!G52+'RESEARCH 2yr'!G52+'PUBLIC SERVICE 2yr'!G52+'ASptISptSSv 2yr'!G52+'PLANT OPER MAIN 2yr'!G52+'SCHOLAR FELLOW 2yr'!G52+'All Other 2yr'!G52)-G52</f>
        <v>0</v>
      </c>
      <c r="AH52" s="130">
        <f>('INSTRUCTION-2YR'!H52+'RESEARCH 2yr'!H52+'PUBLIC SERVICE 2yr'!H52+'ASptISptSSv 2yr'!H52+'PLANT OPER MAIN 2yr'!H52+'SCHOLAR FELLOW 2yr'!H52+'All Other 2yr'!H52)-H52</f>
        <v>0</v>
      </c>
      <c r="AI52" s="130">
        <f>('INSTRUCTION-2YR'!I52+'RESEARCH 2yr'!I52+'PUBLIC SERVICE 2yr'!I52+'ASptISptSSv 2yr'!I52+'PLANT OPER MAIN 2yr'!I52+'SCHOLAR FELLOW 2yr'!I52+'All Other 2yr'!I52)-I52</f>
        <v>0</v>
      </c>
      <c r="AJ52" s="130">
        <f>('INSTRUCTION-2YR'!J52+'RESEARCH 2yr'!J52+'PUBLIC SERVICE 2yr'!J52+'ASptISptSSv 2yr'!J52+'PLANT OPER MAIN 2yr'!J52+'SCHOLAR FELLOW 2yr'!J52+'All Other 2yr'!J52)-J52</f>
        <v>0</v>
      </c>
      <c r="AK52" s="130">
        <f>('INSTRUCTION-2YR'!K52+'RESEARCH 2yr'!K52+'PUBLIC SERVICE 2yr'!K52+'ASptISptSSv 2yr'!K52+'PLANT OPER MAIN 2yr'!K52+'SCHOLAR FELLOW 2yr'!K52+'All Other 2yr'!K52)-K52</f>
        <v>0</v>
      </c>
      <c r="AL52" s="130">
        <f>('INSTRUCTION-2YR'!L52+'RESEARCH 2yr'!L52+'PUBLIC SERVICE 2yr'!L52+'ASptISptSSv 2yr'!L52+'PLANT OPER MAIN 2yr'!L52+'SCHOLAR FELLOW 2yr'!L52+'All Other 2yr'!L52)-L52</f>
        <v>0</v>
      </c>
      <c r="AM52" s="130">
        <f>('INSTRUCTION-2YR'!M52+'RESEARCH 2yr'!M52+'PUBLIC SERVICE 2yr'!M52+'ASptISptSSv 2yr'!M52+'PLANT OPER MAIN 2yr'!M52+'SCHOLAR FELLOW 2yr'!M52+'All Other 2yr'!M52)-M52</f>
        <v>0</v>
      </c>
      <c r="AN52" s="130">
        <f>('INSTRUCTION-2YR'!N52+'RESEARCH 2yr'!N52+'PUBLIC SERVICE 2yr'!N52+'ASptISptSSv 2yr'!N52+'PLANT OPER MAIN 2yr'!N52+'SCHOLAR FELLOW 2yr'!N52+'All Other 2yr'!N52)-N52</f>
        <v>0</v>
      </c>
      <c r="AO52" s="130">
        <f>('INSTRUCTION-2YR'!O52+'RESEARCH 2yr'!O52+'PUBLIC SERVICE 2yr'!O52+'ASptISptSSv 2yr'!O52+'PLANT OPER MAIN 2yr'!O52+'SCHOLAR FELLOW 2yr'!O52+'All Other 2yr'!O52)-O52</f>
        <v>0</v>
      </c>
      <c r="AP52" s="130">
        <f>('INSTRUCTION-2YR'!P52+'RESEARCH 2yr'!P52+'PUBLIC SERVICE 2yr'!P52+'ASptISptSSv 2yr'!P52+'PLANT OPER MAIN 2yr'!P52+'SCHOLAR FELLOW 2yr'!P52+'All Other 2yr'!P52)-P52</f>
        <v>0</v>
      </c>
      <c r="AQ52" s="130">
        <f>('INSTRUCTION-2YR'!Q52+'RESEARCH 2yr'!Q52+'PUBLIC SERVICE 2yr'!Q52+'ASptISptSSv 2yr'!Q52+'PLANT OPER MAIN 2yr'!Q52+'SCHOLAR FELLOW 2yr'!Q52+'All Other 2yr'!Q52)-Q52</f>
        <v>0</v>
      </c>
      <c r="AR52" s="130">
        <f>('INSTRUCTION-2YR'!R52+'RESEARCH 2yr'!R52+'PUBLIC SERVICE 2yr'!R52+'ASptISptSSv 2yr'!R52+'PLANT OPER MAIN 2yr'!R52+'SCHOLAR FELLOW 2yr'!R52+'All Other 2yr'!R52)-R52</f>
        <v>0</v>
      </c>
      <c r="AS52" s="130">
        <f>('INSTRUCTION-2YR'!S52+'RESEARCH 2yr'!S52+'PUBLIC SERVICE 2yr'!S52+'ASptISptSSv 2yr'!S52+'PLANT OPER MAIN 2yr'!S52+'SCHOLAR FELLOW 2yr'!S52+'All Other 2yr'!S52)-S52</f>
        <v>0</v>
      </c>
      <c r="AT52" s="130">
        <f>('INSTRUCTION-2YR'!T52+'RESEARCH 2yr'!T52+'PUBLIC SERVICE 2yr'!T52+'ASptISptSSv 2yr'!T52+'PLANT OPER MAIN 2yr'!T52+'SCHOLAR FELLOW 2yr'!T52+'All Other 2yr'!T52)-T52</f>
        <v>0</v>
      </c>
      <c r="AU52" s="130">
        <f>('INSTRUCTION-2YR'!U52+'RESEARCH 2yr'!U52+'PUBLIC SERVICE 2yr'!U52+'ASptISptSSv 2yr'!U52+'PLANT OPER MAIN 2yr'!U52+'SCHOLAR FELLOW 2yr'!U52+'All Other 2yr'!U52)-U52</f>
        <v>0</v>
      </c>
      <c r="AV52" s="130">
        <f>('INSTRUCTION-2YR'!V52+'RESEARCH 2yr'!V52+'PUBLIC SERVICE 2yr'!V52+'ASptISptSSv 2yr'!V52+'PLANT OPER MAIN 2yr'!V52+'SCHOLAR FELLOW 2yr'!V52+'All Other 2yr'!V52)-V52</f>
        <v>0</v>
      </c>
      <c r="AW52" s="130">
        <f>('INSTRUCTION-2YR'!W52+'RESEARCH 2yr'!W52+'PUBLIC SERVICE 2yr'!W52+'ASptISptSSv 2yr'!W52+'PLANT OPER MAIN 2yr'!W52+'SCHOLAR FELLOW 2yr'!W52+'All Other 2yr'!W52)-W52</f>
        <v>0</v>
      </c>
      <c r="AX52" s="130">
        <f>('INSTRUCTION-2YR'!X52+'RESEARCH 2yr'!X52+'PUBLIC SERVICE 2yr'!X52+'ASptISptSSv 2yr'!X52+'PLANT OPER MAIN 2yr'!X52+'SCHOLAR FELLOW 2yr'!X52+'All Other 2yr'!X52)-X52</f>
        <v>0</v>
      </c>
      <c r="AY52" s="130">
        <f>('INSTRUCTION-2YR'!Y52+'RESEARCH 2yr'!Y52+'PUBLIC SERVICE 2yr'!Y52+'ASptISptSSv 2yr'!Y52+'PLANT OPER MAIN 2yr'!Y52+'SCHOLAR FELLOW 2yr'!Y52+'All Other 2yr'!Y52)-Y52</f>
        <v>0</v>
      </c>
      <c r="AZ52" s="130">
        <f>('INSTRUCTION-2YR'!Z52+'RESEARCH 2yr'!Z52+'PUBLIC SERVICE 2yr'!Z52+'ASptISptSSv 2yr'!Z52+'PLANT OPER MAIN 2yr'!Z52+'SCHOLAR FELLOW 2yr'!Z52+'All Other 2yr'!Z52)-Z52</f>
        <v>0</v>
      </c>
      <c r="BA52" s="130">
        <f>('INSTRUCTION-2YR'!AA52+'RESEARCH 2yr'!AA52+'PUBLIC SERVICE 2yr'!AA52+'ASptISptSSv 2yr'!AA52+'PLANT OPER MAIN 2yr'!AA52+'SCHOLAR FELLOW 2yr'!AA52+'All Other 2yr'!AA52)-AA52</f>
        <v>0</v>
      </c>
    </row>
    <row r="53" spans="1:53">
      <c r="A53" s="45" t="s">
        <v>116</v>
      </c>
      <c r="B53" s="63"/>
      <c r="C53" s="63"/>
      <c r="D53" s="63"/>
      <c r="E53" s="63"/>
      <c r="F53" s="82">
        <v>510787.39600000001</v>
      </c>
      <c r="G53" s="63"/>
      <c r="H53" s="63"/>
      <c r="I53" s="63">
        <v>595608.83700000006</v>
      </c>
      <c r="J53" s="63"/>
      <c r="K53" s="63">
        <v>639344.73899999994</v>
      </c>
      <c r="L53" s="63">
        <v>770750.43799999997</v>
      </c>
      <c r="M53" s="63">
        <v>826238.39800000004</v>
      </c>
      <c r="N53" s="63">
        <v>920948.29599999997</v>
      </c>
      <c r="O53" s="63">
        <v>1037651.4129999999</v>
      </c>
      <c r="P53" s="63">
        <v>1091959.1170000001</v>
      </c>
      <c r="Q53" s="63">
        <v>1134862.3529999999</v>
      </c>
      <c r="R53" s="63">
        <v>1180218.4939999999</v>
      </c>
      <c r="S53" s="63">
        <v>1100006.4129999999</v>
      </c>
      <c r="T53" s="45">
        <v>1155590.8019999999</v>
      </c>
      <c r="U53" s="45">
        <v>1220581.895</v>
      </c>
      <c r="V53" s="45">
        <v>1486430.22</v>
      </c>
      <c r="W53" s="45">
        <v>1596188.977</v>
      </c>
      <c r="X53" s="45">
        <v>1540802.4580000001</v>
      </c>
      <c r="Y53" s="45">
        <v>404870.79300000001</v>
      </c>
      <c r="Z53" s="45">
        <v>406056.88199999998</v>
      </c>
      <c r="AA53" s="45">
        <v>382058.82299999997</v>
      </c>
      <c r="AB53" s="130">
        <f>('INSTRUCTION-2YR'!B53+'RESEARCH 2yr'!B53+'PUBLIC SERVICE 2yr'!B53+'ASptISptSSv 2yr'!B53+'PLANT OPER MAIN 2yr'!B53+'SCHOLAR FELLOW 2yr'!B53+'All Other 2yr'!B53)-B53</f>
        <v>0</v>
      </c>
      <c r="AC53" s="130">
        <f>('INSTRUCTION-2YR'!C53+'RESEARCH 2yr'!C53+'PUBLIC SERVICE 2yr'!C53+'ASptISptSSv 2yr'!C53+'PLANT OPER MAIN 2yr'!C53+'SCHOLAR FELLOW 2yr'!C53+'All Other 2yr'!C53)-C53</f>
        <v>0</v>
      </c>
      <c r="AD53" s="130">
        <f>('INSTRUCTION-2YR'!D53+'RESEARCH 2yr'!D53+'PUBLIC SERVICE 2yr'!D53+'ASptISptSSv 2yr'!D53+'PLANT OPER MAIN 2yr'!D53+'SCHOLAR FELLOW 2yr'!D53+'All Other 2yr'!D53)-D53</f>
        <v>0</v>
      </c>
      <c r="AE53" s="130">
        <f>('INSTRUCTION-2YR'!E53+'RESEARCH 2yr'!E53+'PUBLIC SERVICE 2yr'!E53+'ASptISptSSv 2yr'!E53+'PLANT OPER MAIN 2yr'!E53+'SCHOLAR FELLOW 2yr'!E53+'All Other 2yr'!E53)-E53</f>
        <v>0</v>
      </c>
      <c r="AF53" s="130">
        <f>('INSTRUCTION-2YR'!F53+'RESEARCH 2yr'!F53+'PUBLIC SERVICE 2yr'!F53+'ASptISptSSv 2yr'!F53+'PLANT OPER MAIN 2yr'!F53+'SCHOLAR FELLOW 2yr'!F53+'All Other 2yr'!F53)-F53</f>
        <v>0</v>
      </c>
      <c r="AG53" s="130">
        <f>('INSTRUCTION-2YR'!G53+'RESEARCH 2yr'!G53+'PUBLIC SERVICE 2yr'!G53+'ASptISptSSv 2yr'!G53+'PLANT OPER MAIN 2yr'!G53+'SCHOLAR FELLOW 2yr'!G53+'All Other 2yr'!G53)-G53</f>
        <v>0</v>
      </c>
      <c r="AH53" s="130">
        <f>('INSTRUCTION-2YR'!H53+'RESEARCH 2yr'!H53+'PUBLIC SERVICE 2yr'!H53+'ASptISptSSv 2yr'!H53+'PLANT OPER MAIN 2yr'!H53+'SCHOLAR FELLOW 2yr'!H53+'All Other 2yr'!H53)-H53</f>
        <v>0</v>
      </c>
      <c r="AI53" s="130">
        <f>('INSTRUCTION-2YR'!I53+'RESEARCH 2yr'!I53+'PUBLIC SERVICE 2yr'!I53+'ASptISptSSv 2yr'!I53+'PLANT OPER MAIN 2yr'!I53+'SCHOLAR FELLOW 2yr'!I53+'All Other 2yr'!I53)-I53</f>
        <v>0</v>
      </c>
      <c r="AJ53" s="130">
        <f>('INSTRUCTION-2YR'!J53+'RESEARCH 2yr'!J53+'PUBLIC SERVICE 2yr'!J53+'ASptISptSSv 2yr'!J53+'PLANT OPER MAIN 2yr'!J53+'SCHOLAR FELLOW 2yr'!J53+'All Other 2yr'!J53)-J53</f>
        <v>0</v>
      </c>
      <c r="AK53" s="130">
        <f>('INSTRUCTION-2YR'!K53+'RESEARCH 2yr'!K53+'PUBLIC SERVICE 2yr'!K53+'ASptISptSSv 2yr'!K53+'PLANT OPER MAIN 2yr'!K53+'SCHOLAR FELLOW 2yr'!K53+'All Other 2yr'!K53)-K53</f>
        <v>0</v>
      </c>
      <c r="AL53" s="130">
        <f>('INSTRUCTION-2YR'!L53+'RESEARCH 2yr'!L53+'PUBLIC SERVICE 2yr'!L53+'ASptISptSSv 2yr'!L53+'PLANT OPER MAIN 2yr'!L53+'SCHOLAR FELLOW 2yr'!L53+'All Other 2yr'!L53)-L53</f>
        <v>0</v>
      </c>
      <c r="AM53" s="130">
        <f>('INSTRUCTION-2YR'!M53+'RESEARCH 2yr'!M53+'PUBLIC SERVICE 2yr'!M53+'ASptISptSSv 2yr'!M53+'PLANT OPER MAIN 2yr'!M53+'SCHOLAR FELLOW 2yr'!M53+'All Other 2yr'!M53)-M53</f>
        <v>0</v>
      </c>
      <c r="AN53" s="130">
        <f>('INSTRUCTION-2YR'!N53+'RESEARCH 2yr'!N53+'PUBLIC SERVICE 2yr'!N53+'ASptISptSSv 2yr'!N53+'PLANT OPER MAIN 2yr'!N53+'SCHOLAR FELLOW 2yr'!N53+'All Other 2yr'!N53)-N53</f>
        <v>0</v>
      </c>
      <c r="AO53" s="130">
        <f>('INSTRUCTION-2YR'!O53+'RESEARCH 2yr'!O53+'PUBLIC SERVICE 2yr'!O53+'ASptISptSSv 2yr'!O53+'PLANT OPER MAIN 2yr'!O53+'SCHOLAR FELLOW 2yr'!O53+'All Other 2yr'!O53)-O53</f>
        <v>0</v>
      </c>
      <c r="AP53" s="130">
        <f>('INSTRUCTION-2YR'!P53+'RESEARCH 2yr'!P53+'PUBLIC SERVICE 2yr'!P53+'ASptISptSSv 2yr'!P53+'PLANT OPER MAIN 2yr'!P53+'SCHOLAR FELLOW 2yr'!P53+'All Other 2yr'!P53)-P53</f>
        <v>0</v>
      </c>
      <c r="AQ53" s="130">
        <f>('INSTRUCTION-2YR'!Q53+'RESEARCH 2yr'!Q53+'PUBLIC SERVICE 2yr'!Q53+'ASptISptSSv 2yr'!Q53+'PLANT OPER MAIN 2yr'!Q53+'SCHOLAR FELLOW 2yr'!Q53+'All Other 2yr'!Q53)-Q53</f>
        <v>0</v>
      </c>
      <c r="AR53" s="130">
        <f>('INSTRUCTION-2YR'!R53+'RESEARCH 2yr'!R53+'PUBLIC SERVICE 2yr'!R53+'ASptISptSSv 2yr'!R53+'PLANT OPER MAIN 2yr'!R53+'SCHOLAR FELLOW 2yr'!R53+'All Other 2yr'!R53)-R53</f>
        <v>0</v>
      </c>
      <c r="AS53" s="130">
        <f>('INSTRUCTION-2YR'!S53+'RESEARCH 2yr'!S53+'PUBLIC SERVICE 2yr'!S53+'ASptISptSSv 2yr'!S53+'PLANT OPER MAIN 2yr'!S53+'SCHOLAR FELLOW 2yr'!S53+'All Other 2yr'!S53)-S53</f>
        <v>0</v>
      </c>
      <c r="AT53" s="130">
        <f>('INSTRUCTION-2YR'!T53+'RESEARCH 2yr'!T53+'PUBLIC SERVICE 2yr'!T53+'ASptISptSSv 2yr'!T53+'PLANT OPER MAIN 2yr'!T53+'SCHOLAR FELLOW 2yr'!T53+'All Other 2yr'!T53)-T53</f>
        <v>0</v>
      </c>
      <c r="AU53" s="130">
        <f>('INSTRUCTION-2YR'!U53+'RESEARCH 2yr'!U53+'PUBLIC SERVICE 2yr'!U53+'ASptISptSSv 2yr'!U53+'PLANT OPER MAIN 2yr'!U53+'SCHOLAR FELLOW 2yr'!U53+'All Other 2yr'!U53)-U53</f>
        <v>0</v>
      </c>
      <c r="AV53" s="130">
        <f>('INSTRUCTION-2YR'!V53+'RESEARCH 2yr'!V53+'PUBLIC SERVICE 2yr'!V53+'ASptISptSSv 2yr'!V53+'PLANT OPER MAIN 2yr'!V53+'SCHOLAR FELLOW 2yr'!V53+'All Other 2yr'!V53)-V53</f>
        <v>0</v>
      </c>
      <c r="AW53" s="130">
        <f>('INSTRUCTION-2YR'!W53+'RESEARCH 2yr'!W53+'PUBLIC SERVICE 2yr'!W53+'ASptISptSSv 2yr'!W53+'PLANT OPER MAIN 2yr'!W53+'SCHOLAR FELLOW 2yr'!W53+'All Other 2yr'!W53)-W53</f>
        <v>0</v>
      </c>
      <c r="AX53" s="130">
        <f>('INSTRUCTION-2YR'!X53+'RESEARCH 2yr'!X53+'PUBLIC SERVICE 2yr'!X53+'ASptISptSSv 2yr'!X53+'PLANT OPER MAIN 2yr'!X53+'SCHOLAR FELLOW 2yr'!X53+'All Other 2yr'!X53)-X53</f>
        <v>0</v>
      </c>
      <c r="AY53" s="130">
        <f>('INSTRUCTION-2YR'!Y53+'RESEARCH 2yr'!Y53+'PUBLIC SERVICE 2yr'!Y53+'ASptISptSSv 2yr'!Y53+'PLANT OPER MAIN 2yr'!Y53+'SCHOLAR FELLOW 2yr'!Y53+'All Other 2yr'!Y53)-Y53</f>
        <v>0</v>
      </c>
      <c r="AZ53" s="130">
        <f>('INSTRUCTION-2YR'!Z53+'RESEARCH 2yr'!Z53+'PUBLIC SERVICE 2yr'!Z53+'ASptISptSSv 2yr'!Z53+'PLANT OPER MAIN 2yr'!Z53+'SCHOLAR FELLOW 2yr'!Z53+'All Other 2yr'!Z53)-Z53</f>
        <v>0</v>
      </c>
      <c r="BA53" s="130">
        <f>('INSTRUCTION-2YR'!AA53+'RESEARCH 2yr'!AA53+'PUBLIC SERVICE 2yr'!AA53+'ASptISptSSv 2yr'!AA53+'PLANT OPER MAIN 2yr'!AA53+'SCHOLAR FELLOW 2yr'!AA53+'All Other 2yr'!AA53)-AA53</f>
        <v>0</v>
      </c>
    </row>
    <row r="54" spans="1:53" s="23" customFormat="1">
      <c r="A54" s="79" t="s">
        <v>122</v>
      </c>
      <c r="B54" s="90">
        <f>SUM(B56:B64)</f>
        <v>0</v>
      </c>
      <c r="C54" s="90">
        <f t="shared" ref="C54:V54" si="12">SUM(C56:C64)</f>
        <v>0</v>
      </c>
      <c r="D54" s="90">
        <f t="shared" si="12"/>
        <v>0</v>
      </c>
      <c r="E54" s="90">
        <f t="shared" si="12"/>
        <v>0</v>
      </c>
      <c r="F54" s="90">
        <f t="shared" si="12"/>
        <v>2533232.4800000004</v>
      </c>
      <c r="G54" s="90">
        <f t="shared" si="12"/>
        <v>0</v>
      </c>
      <c r="H54" s="90">
        <f t="shared" si="12"/>
        <v>0</v>
      </c>
      <c r="I54" s="90">
        <f t="shared" si="12"/>
        <v>3065473.6850000001</v>
      </c>
      <c r="J54" s="90">
        <f t="shared" si="12"/>
        <v>0</v>
      </c>
      <c r="K54" s="90">
        <f t="shared" si="12"/>
        <v>3365600.8136</v>
      </c>
      <c r="L54" s="90">
        <f t="shared" si="12"/>
        <v>3529665.105</v>
      </c>
      <c r="M54" s="90">
        <f t="shared" si="12"/>
        <v>3997311.909</v>
      </c>
      <c r="N54" s="90">
        <f t="shared" si="12"/>
        <v>4490608.0620000008</v>
      </c>
      <c r="O54" s="90">
        <f t="shared" si="12"/>
        <v>4791328.7770000007</v>
      </c>
      <c r="P54" s="90">
        <f t="shared" si="12"/>
        <v>5130386.1159999995</v>
      </c>
      <c r="Q54" s="90">
        <f t="shared" si="12"/>
        <v>5395933.4569999995</v>
      </c>
      <c r="R54" s="90">
        <f t="shared" si="12"/>
        <v>5613718.773</v>
      </c>
      <c r="S54" s="90">
        <f t="shared" si="12"/>
        <v>6188346.9439999983</v>
      </c>
      <c r="T54" s="90">
        <f>SUM(T56:T64)</f>
        <v>6374489.2599999998</v>
      </c>
      <c r="U54" s="90">
        <f t="shared" si="12"/>
        <v>6906321.8549999995</v>
      </c>
      <c r="V54" s="90">
        <f t="shared" si="12"/>
        <v>7724590.3159999996</v>
      </c>
      <c r="W54" s="90">
        <f>SUM(W56:W64)</f>
        <v>8186438.2180000003</v>
      </c>
      <c r="X54" s="90">
        <f t="shared" ref="X54:AA54" si="13">SUM(X56:X64)</f>
        <v>8411047.409</v>
      </c>
      <c r="Y54" s="90">
        <f t="shared" si="13"/>
        <v>8619884.5019999985</v>
      </c>
      <c r="Z54" s="90">
        <f t="shared" si="13"/>
        <v>8883948.6579999998</v>
      </c>
      <c r="AA54" s="90">
        <f t="shared" si="13"/>
        <v>8972196.1750000007</v>
      </c>
      <c r="AB54" s="130">
        <f>('INSTRUCTION-2YR'!B54+'RESEARCH 2yr'!B54+'PUBLIC SERVICE 2yr'!B54+'ASptISptSSv 2yr'!B54+'PLANT OPER MAIN 2yr'!B54+'SCHOLAR FELLOW 2yr'!B54+'All Other 2yr'!B54)-B54</f>
        <v>0</v>
      </c>
      <c r="AC54" s="130">
        <f>('INSTRUCTION-2YR'!C54+'RESEARCH 2yr'!C54+'PUBLIC SERVICE 2yr'!C54+'ASptISptSSv 2yr'!C54+'PLANT OPER MAIN 2yr'!C54+'SCHOLAR FELLOW 2yr'!C54+'All Other 2yr'!C54)-C54</f>
        <v>0</v>
      </c>
      <c r="AD54" s="130">
        <f>('INSTRUCTION-2YR'!D54+'RESEARCH 2yr'!D54+'PUBLIC SERVICE 2yr'!D54+'ASptISptSSv 2yr'!D54+'PLANT OPER MAIN 2yr'!D54+'SCHOLAR FELLOW 2yr'!D54+'All Other 2yr'!D54)-D54</f>
        <v>0</v>
      </c>
      <c r="AE54" s="130">
        <f>('INSTRUCTION-2YR'!E54+'RESEARCH 2yr'!E54+'PUBLIC SERVICE 2yr'!E54+'ASptISptSSv 2yr'!E54+'PLANT OPER MAIN 2yr'!E54+'SCHOLAR FELLOW 2yr'!E54+'All Other 2yr'!E54)-E54</f>
        <v>0</v>
      </c>
      <c r="AF54" s="130">
        <f>('INSTRUCTION-2YR'!F54+'RESEARCH 2yr'!F54+'PUBLIC SERVICE 2yr'!F54+'ASptISptSSv 2yr'!F54+'PLANT OPER MAIN 2yr'!F54+'SCHOLAR FELLOW 2yr'!F54+'All Other 2yr'!F54)</f>
        <v>2533232.48</v>
      </c>
      <c r="AG54" s="130">
        <f>('INSTRUCTION-2YR'!G54+'RESEARCH 2yr'!G54+'PUBLIC SERVICE 2yr'!G54+'ASptISptSSv 2yr'!G54+'PLANT OPER MAIN 2yr'!G54+'SCHOLAR FELLOW 2yr'!G54+'All Other 2yr'!G54)-G54</f>
        <v>0</v>
      </c>
      <c r="AH54" s="130">
        <f>('INSTRUCTION-2YR'!H54+'RESEARCH 2yr'!H54+'PUBLIC SERVICE 2yr'!H54+'ASptISptSSv 2yr'!H54+'PLANT OPER MAIN 2yr'!H54+'SCHOLAR FELLOW 2yr'!H54+'All Other 2yr'!H54)-H54</f>
        <v>0</v>
      </c>
      <c r="AI54" s="130">
        <f>('INSTRUCTION-2YR'!I54+'RESEARCH 2yr'!I54+'PUBLIC SERVICE 2yr'!I54+'ASptISptSSv 2yr'!I54+'PLANT OPER MAIN 2yr'!I54+'SCHOLAR FELLOW 2yr'!I54+'All Other 2yr'!I54)-I54</f>
        <v>0</v>
      </c>
      <c r="AJ54" s="130">
        <f>('INSTRUCTION-2YR'!J54+'RESEARCH 2yr'!J54+'PUBLIC SERVICE 2yr'!J54+'ASptISptSSv 2yr'!J54+'PLANT OPER MAIN 2yr'!J54+'SCHOLAR FELLOW 2yr'!J54+'All Other 2yr'!J54)-J54</f>
        <v>0</v>
      </c>
      <c r="AK54" s="130">
        <f>('INSTRUCTION-2YR'!K54+'RESEARCH 2yr'!K54+'PUBLIC SERVICE 2yr'!K54+'ASptISptSSv 2yr'!K54+'PLANT OPER MAIN 2yr'!K54+'SCHOLAR FELLOW 2yr'!K54+'All Other 2yr'!K54)-K54</f>
        <v>0</v>
      </c>
      <c r="AL54" s="130">
        <f>('INSTRUCTION-2YR'!L54+'RESEARCH 2yr'!L54+'PUBLIC SERVICE 2yr'!L54+'ASptISptSSv 2yr'!L54+'PLANT OPER MAIN 2yr'!L54+'SCHOLAR FELLOW 2yr'!L54+'All Other 2yr'!L54)-L54</f>
        <v>0</v>
      </c>
      <c r="AM54" s="130">
        <f>('INSTRUCTION-2YR'!M54+'RESEARCH 2yr'!M54+'PUBLIC SERVICE 2yr'!M54+'ASptISptSSv 2yr'!M54+'PLANT OPER MAIN 2yr'!M54+'SCHOLAR FELLOW 2yr'!M54+'All Other 2yr'!M54)-M54</f>
        <v>0</v>
      </c>
      <c r="AN54" s="130">
        <f>('INSTRUCTION-2YR'!N54+'RESEARCH 2yr'!N54+'PUBLIC SERVICE 2yr'!N54+'ASptISptSSv 2yr'!N54+'PLANT OPER MAIN 2yr'!N54+'SCHOLAR FELLOW 2yr'!N54+'All Other 2yr'!N54)-N54</f>
        <v>0</v>
      </c>
      <c r="AO54" s="130">
        <f>('INSTRUCTION-2YR'!O54+'RESEARCH 2yr'!O54+'PUBLIC SERVICE 2yr'!O54+'ASptISptSSv 2yr'!O54+'PLANT OPER MAIN 2yr'!O54+'SCHOLAR FELLOW 2yr'!O54+'All Other 2yr'!O54)-O54</f>
        <v>0</v>
      </c>
      <c r="AP54" s="130">
        <f>('INSTRUCTION-2YR'!P54+'RESEARCH 2yr'!P54+'PUBLIC SERVICE 2yr'!P54+'ASptISptSSv 2yr'!P54+'PLANT OPER MAIN 2yr'!P54+'SCHOLAR FELLOW 2yr'!P54+'All Other 2yr'!P54)-P54</f>
        <v>0</v>
      </c>
      <c r="AQ54" s="130">
        <f>('INSTRUCTION-2YR'!Q54+'RESEARCH 2yr'!Q54+'PUBLIC SERVICE 2yr'!Q54+'ASptISptSSv 2yr'!Q54+'PLANT OPER MAIN 2yr'!Q54+'SCHOLAR FELLOW 2yr'!Q54+'All Other 2yr'!Q54)-Q54</f>
        <v>0</v>
      </c>
      <c r="AR54" s="130">
        <f>('INSTRUCTION-2YR'!R54+'RESEARCH 2yr'!R54+'PUBLIC SERVICE 2yr'!R54+'ASptISptSSv 2yr'!R54+'PLANT OPER MAIN 2yr'!R54+'SCHOLAR FELLOW 2yr'!R54+'All Other 2yr'!R54)-R54</f>
        <v>0</v>
      </c>
      <c r="AS54" s="130">
        <f>('INSTRUCTION-2YR'!S54+'RESEARCH 2yr'!S54+'PUBLIC SERVICE 2yr'!S54+'ASptISptSSv 2yr'!S54+'PLANT OPER MAIN 2yr'!S54+'SCHOLAR FELLOW 2yr'!S54+'All Other 2yr'!S54)-S54</f>
        <v>0</v>
      </c>
      <c r="AT54" s="130">
        <f>('INSTRUCTION-2YR'!T54+'RESEARCH 2yr'!T54+'PUBLIC SERVICE 2yr'!T54+'ASptISptSSv 2yr'!T54+'PLANT OPER MAIN 2yr'!T54+'SCHOLAR FELLOW 2yr'!T54+'All Other 2yr'!T54)-T54</f>
        <v>0</v>
      </c>
      <c r="AU54" s="130">
        <f>('INSTRUCTION-2YR'!U54+'RESEARCH 2yr'!U54+'PUBLIC SERVICE 2yr'!U54+'ASptISptSSv 2yr'!U54+'PLANT OPER MAIN 2yr'!U54+'SCHOLAR FELLOW 2yr'!U54+'All Other 2yr'!U54)-U54</f>
        <v>0</v>
      </c>
      <c r="AV54" s="130">
        <f>('INSTRUCTION-2YR'!V54+'RESEARCH 2yr'!V54+'PUBLIC SERVICE 2yr'!V54+'ASptISptSSv 2yr'!V54+'PLANT OPER MAIN 2yr'!V54+'SCHOLAR FELLOW 2yr'!V54+'All Other 2yr'!V54)-V54</f>
        <v>0</v>
      </c>
      <c r="AW54" s="130">
        <f>('INSTRUCTION-2YR'!W54+'RESEARCH 2yr'!W54+'PUBLIC SERVICE 2yr'!W54+'ASptISptSSv 2yr'!W54+'PLANT OPER MAIN 2yr'!W54+'SCHOLAR FELLOW 2yr'!W54+'All Other 2yr'!W54)-W54</f>
        <v>0</v>
      </c>
      <c r="AX54" s="130">
        <f>('INSTRUCTION-2YR'!X54+'RESEARCH 2yr'!X54+'PUBLIC SERVICE 2yr'!X54+'ASptISptSSv 2yr'!X54+'PLANT OPER MAIN 2yr'!X54+'SCHOLAR FELLOW 2yr'!X54+'All Other 2yr'!X54)-X54</f>
        <v>0</v>
      </c>
      <c r="AY54" s="130">
        <f>('INSTRUCTION-2YR'!Y54+'RESEARCH 2yr'!Y54+'PUBLIC SERVICE 2yr'!Y54+'ASptISptSSv 2yr'!Y54+'PLANT OPER MAIN 2yr'!Y54+'SCHOLAR FELLOW 2yr'!Y54+'All Other 2yr'!Y54)-Y54</f>
        <v>0</v>
      </c>
      <c r="AZ54" s="130">
        <f>('INSTRUCTION-2YR'!Z54+'RESEARCH 2yr'!Z54+'PUBLIC SERVICE 2yr'!Z54+'ASptISptSSv 2yr'!Z54+'PLANT OPER MAIN 2yr'!Z54+'SCHOLAR FELLOW 2yr'!Z54+'All Other 2yr'!Z54)-Z54</f>
        <v>0</v>
      </c>
      <c r="BA54" s="130">
        <f>('INSTRUCTION-2YR'!AA54+'RESEARCH 2yr'!AA54+'PUBLIC SERVICE 2yr'!AA54+'ASptISptSSv 2yr'!AA54+'PLANT OPER MAIN 2yr'!AA54+'SCHOLAR FELLOW 2yr'!AA54+'All Other 2yr'!AA54)-AA54</f>
        <v>0</v>
      </c>
    </row>
    <row r="55" spans="1:53">
      <c r="A55" s="79" t="s">
        <v>119</v>
      </c>
      <c r="B55" s="37"/>
      <c r="C55" s="37"/>
      <c r="D55" s="37"/>
      <c r="E55" s="37"/>
      <c r="F55" s="37"/>
      <c r="G55" s="37"/>
      <c r="H55" s="37"/>
      <c r="I55" s="37"/>
      <c r="J55" s="37"/>
      <c r="K55" s="37"/>
      <c r="L55" s="37"/>
      <c r="M55" s="37"/>
      <c r="N55" s="37"/>
      <c r="O55" s="37"/>
      <c r="P55" s="37"/>
      <c r="Q55" s="37"/>
      <c r="R55" s="37"/>
      <c r="S55" s="37"/>
      <c r="T55" s="23"/>
      <c r="U55" s="23"/>
      <c r="V55" s="23"/>
      <c r="W55" s="23"/>
      <c r="X55" s="23">
        <v>0</v>
      </c>
      <c r="Y55" s="2">
        <v>0</v>
      </c>
      <c r="Z55" s="2"/>
      <c r="AA55" s="2"/>
      <c r="AB55" s="130"/>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130"/>
    </row>
    <row r="56" spans="1:53" s="23" customFormat="1">
      <c r="A56" s="23" t="s">
        <v>89</v>
      </c>
      <c r="B56" s="36"/>
      <c r="C56" s="36"/>
      <c r="D56" s="36"/>
      <c r="E56" s="36"/>
      <c r="F56" s="77">
        <v>126064.042</v>
      </c>
      <c r="G56" s="36"/>
      <c r="H56" s="36"/>
      <c r="I56" s="37">
        <v>151338.78</v>
      </c>
      <c r="J56" s="37"/>
      <c r="K56" s="37">
        <v>205825.50477999993</v>
      </c>
      <c r="L56" s="37">
        <v>234951.32</v>
      </c>
      <c r="M56" s="37">
        <v>251403.32</v>
      </c>
      <c r="N56" s="37">
        <v>282303.24</v>
      </c>
      <c r="O56" s="37">
        <v>300079.22499999998</v>
      </c>
      <c r="P56" s="37">
        <v>309184.696</v>
      </c>
      <c r="Q56" s="37">
        <v>338742.554</v>
      </c>
      <c r="R56" s="37">
        <v>356125</v>
      </c>
      <c r="S56" s="37">
        <v>377777.68</v>
      </c>
      <c r="T56" s="23">
        <v>426040.56800000003</v>
      </c>
      <c r="U56" s="23">
        <v>466818.51500000001</v>
      </c>
      <c r="V56" s="23">
        <v>490467.70199999999</v>
      </c>
      <c r="W56" s="23">
        <v>529135.53200000001</v>
      </c>
      <c r="X56" s="23">
        <v>528930.027</v>
      </c>
      <c r="Y56" s="2">
        <v>535393.223</v>
      </c>
      <c r="Z56" s="2">
        <v>569085.21100000001</v>
      </c>
      <c r="AA56" s="2">
        <v>582670.95400000003</v>
      </c>
      <c r="AB56" s="130">
        <f>('INSTRUCTION-2YR'!B56+'RESEARCH 2yr'!B56+'PUBLIC SERVICE 2yr'!B56+'ASptISptSSv 2yr'!B56+'PLANT OPER MAIN 2yr'!B56+'SCHOLAR FELLOW 2yr'!B56+'All Other 2yr'!B56)-B56</f>
        <v>0</v>
      </c>
      <c r="AC56" s="130">
        <f>('INSTRUCTION-2YR'!C56+'RESEARCH 2yr'!C56+'PUBLIC SERVICE 2yr'!C56+'ASptISptSSv 2yr'!C56+'PLANT OPER MAIN 2yr'!C56+'SCHOLAR FELLOW 2yr'!C56+'All Other 2yr'!C56)-C56</f>
        <v>0</v>
      </c>
      <c r="AD56" s="130">
        <f>('INSTRUCTION-2YR'!D56+'RESEARCH 2yr'!D56+'PUBLIC SERVICE 2yr'!D56+'ASptISptSSv 2yr'!D56+'PLANT OPER MAIN 2yr'!D56+'SCHOLAR FELLOW 2yr'!D56+'All Other 2yr'!D56)-D56</f>
        <v>0</v>
      </c>
      <c r="AE56" s="130">
        <f>('INSTRUCTION-2YR'!E56+'RESEARCH 2yr'!E56+'PUBLIC SERVICE 2yr'!E56+'ASptISptSSv 2yr'!E56+'PLANT OPER MAIN 2yr'!E56+'SCHOLAR FELLOW 2yr'!E56+'All Other 2yr'!E56)-E56</f>
        <v>0</v>
      </c>
      <c r="AF56" s="130">
        <f>('INSTRUCTION-2YR'!F56+'RESEARCH 2yr'!F56+'PUBLIC SERVICE 2yr'!F56+'ASptISptSSv 2yr'!F56+'PLANT OPER MAIN 2yr'!F56+'SCHOLAR FELLOW 2yr'!F56+'All Other 2yr'!F56)-F56</f>
        <v>0</v>
      </c>
      <c r="AG56" s="130">
        <f>('INSTRUCTION-2YR'!G56+'RESEARCH 2yr'!G56+'PUBLIC SERVICE 2yr'!G56+'ASptISptSSv 2yr'!G56+'PLANT OPER MAIN 2yr'!G56+'SCHOLAR FELLOW 2yr'!G56+'All Other 2yr'!G56)-G56</f>
        <v>0</v>
      </c>
      <c r="AH56" s="130">
        <f>('INSTRUCTION-2YR'!H56+'RESEARCH 2yr'!H56+'PUBLIC SERVICE 2yr'!H56+'ASptISptSSv 2yr'!H56+'PLANT OPER MAIN 2yr'!H56+'SCHOLAR FELLOW 2yr'!H56+'All Other 2yr'!H56)-H56</f>
        <v>0</v>
      </c>
      <c r="AI56" s="130">
        <f>('INSTRUCTION-2YR'!I56+'RESEARCH 2yr'!I56+'PUBLIC SERVICE 2yr'!I56+'ASptISptSSv 2yr'!I56+'PLANT OPER MAIN 2yr'!I56+'SCHOLAR FELLOW 2yr'!I56+'All Other 2yr'!I56)-I56</f>
        <v>0</v>
      </c>
      <c r="AJ56" s="130">
        <f>('INSTRUCTION-2YR'!J56+'RESEARCH 2yr'!J56+'PUBLIC SERVICE 2yr'!J56+'ASptISptSSv 2yr'!J56+'PLANT OPER MAIN 2yr'!J56+'SCHOLAR FELLOW 2yr'!J56+'All Other 2yr'!J56)-J56</f>
        <v>0</v>
      </c>
      <c r="AK56" s="130">
        <f>('INSTRUCTION-2YR'!K56+'RESEARCH 2yr'!K56+'PUBLIC SERVICE 2yr'!K56+'ASptISptSSv 2yr'!K56+'PLANT OPER MAIN 2yr'!K56+'SCHOLAR FELLOW 2yr'!K56+'All Other 2yr'!K56)-K56</f>
        <v>0</v>
      </c>
      <c r="AL56" s="130">
        <f>('INSTRUCTION-2YR'!L56+'RESEARCH 2yr'!L56+'PUBLIC SERVICE 2yr'!L56+'ASptISptSSv 2yr'!L56+'PLANT OPER MAIN 2yr'!L56+'SCHOLAR FELLOW 2yr'!L56+'All Other 2yr'!L56)-L56</f>
        <v>0</v>
      </c>
      <c r="AM56" s="130">
        <f>('INSTRUCTION-2YR'!M56+'RESEARCH 2yr'!M56+'PUBLIC SERVICE 2yr'!M56+'ASptISptSSv 2yr'!M56+'PLANT OPER MAIN 2yr'!M56+'SCHOLAR FELLOW 2yr'!M56+'All Other 2yr'!M56)-M56</f>
        <v>0</v>
      </c>
      <c r="AN56" s="130">
        <f>('INSTRUCTION-2YR'!N56+'RESEARCH 2yr'!N56+'PUBLIC SERVICE 2yr'!N56+'ASptISptSSv 2yr'!N56+'PLANT OPER MAIN 2yr'!N56+'SCHOLAR FELLOW 2yr'!N56+'All Other 2yr'!N56)-N56</f>
        <v>0</v>
      </c>
      <c r="AO56" s="130">
        <f>('INSTRUCTION-2YR'!O56+'RESEARCH 2yr'!O56+'PUBLIC SERVICE 2yr'!O56+'ASptISptSSv 2yr'!O56+'PLANT OPER MAIN 2yr'!O56+'SCHOLAR FELLOW 2yr'!O56+'All Other 2yr'!O56)-O56</f>
        <v>0</v>
      </c>
      <c r="AP56" s="130">
        <f>('INSTRUCTION-2YR'!P56+'RESEARCH 2yr'!P56+'PUBLIC SERVICE 2yr'!P56+'ASptISptSSv 2yr'!P56+'PLANT OPER MAIN 2yr'!P56+'SCHOLAR FELLOW 2yr'!P56+'All Other 2yr'!P56)-P56</f>
        <v>0</v>
      </c>
      <c r="AQ56" s="130">
        <f>('INSTRUCTION-2YR'!Q56+'RESEARCH 2yr'!Q56+'PUBLIC SERVICE 2yr'!Q56+'ASptISptSSv 2yr'!Q56+'PLANT OPER MAIN 2yr'!Q56+'SCHOLAR FELLOW 2yr'!Q56+'All Other 2yr'!Q56)-Q56</f>
        <v>0</v>
      </c>
      <c r="AR56" s="130">
        <f>('INSTRUCTION-2YR'!R56+'RESEARCH 2yr'!R56+'PUBLIC SERVICE 2yr'!R56+'ASptISptSSv 2yr'!R56+'PLANT OPER MAIN 2yr'!R56+'SCHOLAR FELLOW 2yr'!R56+'All Other 2yr'!R56)-R56</f>
        <v>0</v>
      </c>
      <c r="AS56" s="130">
        <f>('INSTRUCTION-2YR'!S56+'RESEARCH 2yr'!S56+'PUBLIC SERVICE 2yr'!S56+'ASptISptSSv 2yr'!S56+'PLANT OPER MAIN 2yr'!S56+'SCHOLAR FELLOW 2yr'!S56+'All Other 2yr'!S56)-S56</f>
        <v>0</v>
      </c>
      <c r="AT56" s="130">
        <f>('INSTRUCTION-2YR'!T56+'RESEARCH 2yr'!T56+'PUBLIC SERVICE 2yr'!T56+'ASptISptSSv 2yr'!T56+'PLANT OPER MAIN 2yr'!T56+'SCHOLAR FELLOW 2yr'!T56+'All Other 2yr'!T56)-T56</f>
        <v>0</v>
      </c>
      <c r="AU56" s="130">
        <f>('INSTRUCTION-2YR'!U56+'RESEARCH 2yr'!U56+'PUBLIC SERVICE 2yr'!U56+'ASptISptSSv 2yr'!U56+'PLANT OPER MAIN 2yr'!U56+'SCHOLAR FELLOW 2yr'!U56+'All Other 2yr'!U56)-U56</f>
        <v>0</v>
      </c>
      <c r="AV56" s="130">
        <f>('INSTRUCTION-2YR'!V56+'RESEARCH 2yr'!V56+'PUBLIC SERVICE 2yr'!V56+'ASptISptSSv 2yr'!V56+'PLANT OPER MAIN 2yr'!V56+'SCHOLAR FELLOW 2yr'!V56+'All Other 2yr'!V56)-V56</f>
        <v>0</v>
      </c>
      <c r="AW56" s="130">
        <f>('INSTRUCTION-2YR'!W56+'RESEARCH 2yr'!W56+'PUBLIC SERVICE 2yr'!W56+'ASptISptSSv 2yr'!W56+'PLANT OPER MAIN 2yr'!W56+'SCHOLAR FELLOW 2yr'!W56+'All Other 2yr'!W56)-W56</f>
        <v>0</v>
      </c>
      <c r="AX56" s="130">
        <f>('INSTRUCTION-2YR'!X56+'RESEARCH 2yr'!X56+'PUBLIC SERVICE 2yr'!X56+'ASptISptSSv 2yr'!X56+'PLANT OPER MAIN 2yr'!X56+'SCHOLAR FELLOW 2yr'!X56+'All Other 2yr'!X56)-X56</f>
        <v>0</v>
      </c>
      <c r="AY56" s="130">
        <f>('INSTRUCTION-2YR'!Y56+'RESEARCH 2yr'!Y56+'PUBLIC SERVICE 2yr'!Y56+'ASptISptSSv 2yr'!Y56+'PLANT OPER MAIN 2yr'!Y56+'SCHOLAR FELLOW 2yr'!Y56+'All Other 2yr'!Y56)-Y56</f>
        <v>0</v>
      </c>
      <c r="AZ56" s="130">
        <f>('INSTRUCTION-2YR'!Z56+'RESEARCH 2yr'!Z56+'PUBLIC SERVICE 2yr'!Z56+'ASptISptSSv 2yr'!Z56+'PLANT OPER MAIN 2yr'!Z56+'SCHOLAR FELLOW 2yr'!Z56+'All Other 2yr'!Z56)-Z56</f>
        <v>0</v>
      </c>
      <c r="BA56" s="130">
        <f>('INSTRUCTION-2YR'!AA56+'RESEARCH 2yr'!AA56+'PUBLIC SERVICE 2yr'!AA56+'ASptISptSSv 2yr'!AA56+'PLANT OPER MAIN 2yr'!AA56+'SCHOLAR FELLOW 2yr'!AA56+'All Other 2yr'!AA56)-AA56</f>
        <v>0</v>
      </c>
    </row>
    <row r="57" spans="1:53" s="23" customFormat="1">
      <c r="A57" s="23" t="s">
        <v>96</v>
      </c>
      <c r="B57" s="36"/>
      <c r="C57" s="36"/>
      <c r="D57" s="36"/>
      <c r="E57" s="36"/>
      <c r="F57" s="77">
        <v>38157.701999999997</v>
      </c>
      <c r="G57" s="36"/>
      <c r="H57" s="36"/>
      <c r="I57" s="37">
        <v>43768.046000000002</v>
      </c>
      <c r="J57" s="37"/>
      <c r="K57" s="37">
        <v>48832.017999999996</v>
      </c>
      <c r="L57" s="37">
        <v>61595.415000000001</v>
      </c>
      <c r="M57" s="37">
        <v>65539.206000000006</v>
      </c>
      <c r="N57" s="37">
        <v>73933.782000000007</v>
      </c>
      <c r="O57" s="37">
        <v>80369.766000000003</v>
      </c>
      <c r="P57" s="37">
        <v>88065.425000000003</v>
      </c>
      <c r="Q57" s="37">
        <v>94114.312000000005</v>
      </c>
      <c r="R57" s="37">
        <v>96927.578999999998</v>
      </c>
      <c r="S57" s="37">
        <v>101630.58500000001</v>
      </c>
      <c r="T57" s="23">
        <v>108772.24099999999</v>
      </c>
      <c r="U57" s="23">
        <v>116974.094</v>
      </c>
      <c r="V57" s="23">
        <v>129219</v>
      </c>
      <c r="W57" s="23">
        <v>143990.83300000001</v>
      </c>
      <c r="X57" s="23">
        <v>147118.83100000001</v>
      </c>
      <c r="Y57" s="2">
        <v>152298.12100000001</v>
      </c>
      <c r="Z57" s="2">
        <v>156488.58499999999</v>
      </c>
      <c r="AA57" s="2">
        <v>160268.55799999999</v>
      </c>
      <c r="AB57" s="130">
        <f>('INSTRUCTION-2YR'!B57+'RESEARCH 2yr'!B57+'PUBLIC SERVICE 2yr'!B57+'ASptISptSSv 2yr'!B57+'PLANT OPER MAIN 2yr'!B57+'SCHOLAR FELLOW 2yr'!B57+'All Other 2yr'!B57)-B57</f>
        <v>0</v>
      </c>
      <c r="AC57" s="130">
        <f>('INSTRUCTION-2YR'!C57+'RESEARCH 2yr'!C57+'PUBLIC SERVICE 2yr'!C57+'ASptISptSSv 2yr'!C57+'PLANT OPER MAIN 2yr'!C57+'SCHOLAR FELLOW 2yr'!C57+'All Other 2yr'!C57)-C57</f>
        <v>0</v>
      </c>
      <c r="AD57" s="130">
        <f>('INSTRUCTION-2YR'!D57+'RESEARCH 2yr'!D57+'PUBLIC SERVICE 2yr'!D57+'ASptISptSSv 2yr'!D57+'PLANT OPER MAIN 2yr'!D57+'SCHOLAR FELLOW 2yr'!D57+'All Other 2yr'!D57)-D57</f>
        <v>0</v>
      </c>
      <c r="AE57" s="130">
        <f>('INSTRUCTION-2YR'!E57+'RESEARCH 2yr'!E57+'PUBLIC SERVICE 2yr'!E57+'ASptISptSSv 2yr'!E57+'PLANT OPER MAIN 2yr'!E57+'SCHOLAR FELLOW 2yr'!E57+'All Other 2yr'!E57)-E57</f>
        <v>0</v>
      </c>
      <c r="AF57" s="130">
        <f>('INSTRUCTION-2YR'!F57+'RESEARCH 2yr'!F57+'PUBLIC SERVICE 2yr'!F57+'ASptISptSSv 2yr'!F57+'PLANT OPER MAIN 2yr'!F57+'SCHOLAR FELLOW 2yr'!F57+'All Other 2yr'!F57)-F57</f>
        <v>0</v>
      </c>
      <c r="AG57" s="130">
        <f>('INSTRUCTION-2YR'!G57+'RESEARCH 2yr'!G57+'PUBLIC SERVICE 2yr'!G57+'ASptISptSSv 2yr'!G57+'PLANT OPER MAIN 2yr'!G57+'SCHOLAR FELLOW 2yr'!G57+'All Other 2yr'!G57)-G57</f>
        <v>0</v>
      </c>
      <c r="AH57" s="130">
        <f>('INSTRUCTION-2YR'!H57+'RESEARCH 2yr'!H57+'PUBLIC SERVICE 2yr'!H57+'ASptISptSSv 2yr'!H57+'PLANT OPER MAIN 2yr'!H57+'SCHOLAR FELLOW 2yr'!H57+'All Other 2yr'!H57)-H57</f>
        <v>0</v>
      </c>
      <c r="AI57" s="130">
        <f>('INSTRUCTION-2YR'!I57+'RESEARCH 2yr'!I57+'PUBLIC SERVICE 2yr'!I57+'ASptISptSSv 2yr'!I57+'PLANT OPER MAIN 2yr'!I57+'SCHOLAR FELLOW 2yr'!I57+'All Other 2yr'!I57)-I57</f>
        <v>0</v>
      </c>
      <c r="AJ57" s="130">
        <f>('INSTRUCTION-2YR'!J57+'RESEARCH 2yr'!J57+'PUBLIC SERVICE 2yr'!J57+'ASptISptSSv 2yr'!J57+'PLANT OPER MAIN 2yr'!J57+'SCHOLAR FELLOW 2yr'!J57+'All Other 2yr'!J57)-J57</f>
        <v>0</v>
      </c>
      <c r="AK57" s="130">
        <f>('INSTRUCTION-2YR'!K57+'RESEARCH 2yr'!K57+'PUBLIC SERVICE 2yr'!K57+'ASptISptSSv 2yr'!K57+'PLANT OPER MAIN 2yr'!K57+'SCHOLAR FELLOW 2yr'!K57+'All Other 2yr'!K57)-K57</f>
        <v>0</v>
      </c>
      <c r="AL57" s="130">
        <f>('INSTRUCTION-2YR'!L57+'RESEARCH 2yr'!L57+'PUBLIC SERVICE 2yr'!L57+'ASptISptSSv 2yr'!L57+'PLANT OPER MAIN 2yr'!L57+'SCHOLAR FELLOW 2yr'!L57+'All Other 2yr'!L57)-L57</f>
        <v>0</v>
      </c>
      <c r="AM57" s="130">
        <f>('INSTRUCTION-2YR'!M57+'RESEARCH 2yr'!M57+'PUBLIC SERVICE 2yr'!M57+'ASptISptSSv 2yr'!M57+'PLANT OPER MAIN 2yr'!M57+'SCHOLAR FELLOW 2yr'!M57+'All Other 2yr'!M57)-M57</f>
        <v>0</v>
      </c>
      <c r="AN57" s="130">
        <f>('INSTRUCTION-2YR'!N57+'RESEARCH 2yr'!N57+'PUBLIC SERVICE 2yr'!N57+'ASptISptSSv 2yr'!N57+'PLANT OPER MAIN 2yr'!N57+'SCHOLAR FELLOW 2yr'!N57+'All Other 2yr'!N57)-N57</f>
        <v>0</v>
      </c>
      <c r="AO57" s="130">
        <f>('INSTRUCTION-2YR'!O57+'RESEARCH 2yr'!O57+'PUBLIC SERVICE 2yr'!O57+'ASptISptSSv 2yr'!O57+'PLANT OPER MAIN 2yr'!O57+'SCHOLAR FELLOW 2yr'!O57+'All Other 2yr'!O57)-O57</f>
        <v>0</v>
      </c>
      <c r="AP57" s="130">
        <f>('INSTRUCTION-2YR'!P57+'RESEARCH 2yr'!P57+'PUBLIC SERVICE 2yr'!P57+'ASptISptSSv 2yr'!P57+'PLANT OPER MAIN 2yr'!P57+'SCHOLAR FELLOW 2yr'!P57+'All Other 2yr'!P57)-P57</f>
        <v>0</v>
      </c>
      <c r="AQ57" s="130">
        <f>('INSTRUCTION-2YR'!Q57+'RESEARCH 2yr'!Q57+'PUBLIC SERVICE 2yr'!Q57+'ASptISptSSv 2yr'!Q57+'PLANT OPER MAIN 2yr'!Q57+'SCHOLAR FELLOW 2yr'!Q57+'All Other 2yr'!Q57)-Q57</f>
        <v>0</v>
      </c>
      <c r="AR57" s="130">
        <f>('INSTRUCTION-2YR'!R57+'RESEARCH 2yr'!R57+'PUBLIC SERVICE 2yr'!R57+'ASptISptSSv 2yr'!R57+'PLANT OPER MAIN 2yr'!R57+'SCHOLAR FELLOW 2yr'!R57+'All Other 2yr'!R57)-R57</f>
        <v>0</v>
      </c>
      <c r="AS57" s="130">
        <f>('INSTRUCTION-2YR'!S57+'RESEARCH 2yr'!S57+'PUBLIC SERVICE 2yr'!S57+'ASptISptSSv 2yr'!S57+'PLANT OPER MAIN 2yr'!S57+'SCHOLAR FELLOW 2yr'!S57+'All Other 2yr'!S57)-S57</f>
        <v>0</v>
      </c>
      <c r="AT57" s="130">
        <f>('INSTRUCTION-2YR'!T57+'RESEARCH 2yr'!T57+'PUBLIC SERVICE 2yr'!T57+'ASptISptSSv 2yr'!T57+'PLANT OPER MAIN 2yr'!T57+'SCHOLAR FELLOW 2yr'!T57+'All Other 2yr'!T57)-T57</f>
        <v>0</v>
      </c>
      <c r="AU57" s="130">
        <f>('INSTRUCTION-2YR'!U57+'RESEARCH 2yr'!U57+'PUBLIC SERVICE 2yr'!U57+'ASptISptSSv 2yr'!U57+'PLANT OPER MAIN 2yr'!U57+'SCHOLAR FELLOW 2yr'!U57+'All Other 2yr'!U57)-U57</f>
        <v>0</v>
      </c>
      <c r="AV57" s="130">
        <f>('INSTRUCTION-2YR'!V57+'RESEARCH 2yr'!V57+'PUBLIC SERVICE 2yr'!V57+'ASptISptSSv 2yr'!V57+'PLANT OPER MAIN 2yr'!V57+'SCHOLAR FELLOW 2yr'!V57+'All Other 2yr'!V57)-V57</f>
        <v>0</v>
      </c>
      <c r="AW57" s="130">
        <f>('INSTRUCTION-2YR'!W57+'RESEARCH 2yr'!W57+'PUBLIC SERVICE 2yr'!W57+'ASptISptSSv 2yr'!W57+'PLANT OPER MAIN 2yr'!W57+'SCHOLAR FELLOW 2yr'!W57+'All Other 2yr'!W57)-W57</f>
        <v>0</v>
      </c>
      <c r="AX57" s="130">
        <f>('INSTRUCTION-2YR'!X57+'RESEARCH 2yr'!X57+'PUBLIC SERVICE 2yr'!X57+'ASptISptSSv 2yr'!X57+'PLANT OPER MAIN 2yr'!X57+'SCHOLAR FELLOW 2yr'!X57+'All Other 2yr'!X57)-X57</f>
        <v>0</v>
      </c>
      <c r="AY57" s="130">
        <f>('INSTRUCTION-2YR'!Y57+'RESEARCH 2yr'!Y57+'PUBLIC SERVICE 2yr'!Y57+'ASptISptSSv 2yr'!Y57+'PLANT OPER MAIN 2yr'!Y57+'SCHOLAR FELLOW 2yr'!Y57+'All Other 2yr'!Y57)-Y57</f>
        <v>0</v>
      </c>
      <c r="AZ57" s="130">
        <f>('INSTRUCTION-2YR'!Z57+'RESEARCH 2yr'!Z57+'PUBLIC SERVICE 2yr'!Z57+'ASptISptSSv 2yr'!Z57+'PLANT OPER MAIN 2yr'!Z57+'SCHOLAR FELLOW 2yr'!Z57+'All Other 2yr'!Z57)-Z57</f>
        <v>0</v>
      </c>
      <c r="BA57" s="130">
        <f>('INSTRUCTION-2YR'!AA57+'RESEARCH 2yr'!AA57+'PUBLIC SERVICE 2yr'!AA57+'ASptISptSSv 2yr'!AA57+'PLANT OPER MAIN 2yr'!AA57+'SCHOLAR FELLOW 2yr'!AA57+'All Other 2yr'!AA57)-AA57</f>
        <v>0</v>
      </c>
    </row>
    <row r="58" spans="1:53" s="17" customFormat="1">
      <c r="A58" s="23" t="s">
        <v>97</v>
      </c>
      <c r="B58" s="36"/>
      <c r="C58" s="36"/>
      <c r="D58" s="36"/>
      <c r="E58" s="37"/>
      <c r="F58" s="77">
        <v>256842.609</v>
      </c>
      <c r="G58" s="36"/>
      <c r="H58" s="36"/>
      <c r="I58" s="37">
        <v>343286.67700000003</v>
      </c>
      <c r="J58" s="37"/>
      <c r="K58" s="37">
        <v>391928.935</v>
      </c>
      <c r="L58" s="37">
        <v>490900.91399999999</v>
      </c>
      <c r="M58" s="37">
        <v>553414.38899999997</v>
      </c>
      <c r="N58" s="37">
        <v>564789.43500000006</v>
      </c>
      <c r="O58" s="37">
        <v>555310.02300000004</v>
      </c>
      <c r="P58" s="37">
        <v>574247.46400000004</v>
      </c>
      <c r="Q58" s="37">
        <v>605185.84499999997</v>
      </c>
      <c r="R58" s="37">
        <v>649045.522</v>
      </c>
      <c r="S58" s="37">
        <v>678807.174</v>
      </c>
      <c r="T58" s="23">
        <v>740039.44099999999</v>
      </c>
      <c r="U58" s="23">
        <v>743464.71600000001</v>
      </c>
      <c r="V58" s="23">
        <v>820501.48800000001</v>
      </c>
      <c r="W58" s="23">
        <v>888241.82400000002</v>
      </c>
      <c r="X58" s="23">
        <v>930691.36800000002</v>
      </c>
      <c r="Y58" s="2">
        <v>949058.94</v>
      </c>
      <c r="Z58" s="2">
        <v>999778.71499999997</v>
      </c>
      <c r="AA58" s="2">
        <v>1012428.581</v>
      </c>
      <c r="AB58" s="130">
        <f>('INSTRUCTION-2YR'!B58+'RESEARCH 2yr'!B58+'PUBLIC SERVICE 2yr'!B58+'ASptISptSSv 2yr'!B58+'PLANT OPER MAIN 2yr'!B58+'SCHOLAR FELLOW 2yr'!B58+'All Other 2yr'!B58)-B58</f>
        <v>0</v>
      </c>
      <c r="AC58" s="130">
        <f>('INSTRUCTION-2YR'!C58+'RESEARCH 2yr'!C58+'PUBLIC SERVICE 2yr'!C58+'ASptISptSSv 2yr'!C58+'PLANT OPER MAIN 2yr'!C58+'SCHOLAR FELLOW 2yr'!C58+'All Other 2yr'!C58)-C58</f>
        <v>0</v>
      </c>
      <c r="AD58" s="130">
        <f>('INSTRUCTION-2YR'!D58+'RESEARCH 2yr'!D58+'PUBLIC SERVICE 2yr'!D58+'ASptISptSSv 2yr'!D58+'PLANT OPER MAIN 2yr'!D58+'SCHOLAR FELLOW 2yr'!D58+'All Other 2yr'!D58)-D58</f>
        <v>0</v>
      </c>
      <c r="AE58" s="130">
        <f>('INSTRUCTION-2YR'!E58+'RESEARCH 2yr'!E58+'PUBLIC SERVICE 2yr'!E58+'ASptISptSSv 2yr'!E58+'PLANT OPER MAIN 2yr'!E58+'SCHOLAR FELLOW 2yr'!E58+'All Other 2yr'!E58)-E58</f>
        <v>0</v>
      </c>
      <c r="AF58" s="130">
        <f>('INSTRUCTION-2YR'!F58+'RESEARCH 2yr'!F58+'PUBLIC SERVICE 2yr'!F58+'ASptISptSSv 2yr'!F58+'PLANT OPER MAIN 2yr'!F58+'SCHOLAR FELLOW 2yr'!F58+'All Other 2yr'!F58)-F58</f>
        <v>0</v>
      </c>
      <c r="AG58" s="130">
        <f>('INSTRUCTION-2YR'!G58+'RESEARCH 2yr'!G58+'PUBLIC SERVICE 2yr'!G58+'ASptISptSSv 2yr'!G58+'PLANT OPER MAIN 2yr'!G58+'SCHOLAR FELLOW 2yr'!G58+'All Other 2yr'!G58)-G58</f>
        <v>0</v>
      </c>
      <c r="AH58" s="130">
        <f>('INSTRUCTION-2YR'!H58+'RESEARCH 2yr'!H58+'PUBLIC SERVICE 2yr'!H58+'ASptISptSSv 2yr'!H58+'PLANT OPER MAIN 2yr'!H58+'SCHOLAR FELLOW 2yr'!H58+'All Other 2yr'!H58)-H58</f>
        <v>0</v>
      </c>
      <c r="AI58" s="130">
        <f>('INSTRUCTION-2YR'!I58+'RESEARCH 2yr'!I58+'PUBLIC SERVICE 2yr'!I58+'ASptISptSSv 2yr'!I58+'PLANT OPER MAIN 2yr'!I58+'SCHOLAR FELLOW 2yr'!I58+'All Other 2yr'!I58)-I58</f>
        <v>0</v>
      </c>
      <c r="AJ58" s="130">
        <f>('INSTRUCTION-2YR'!J58+'RESEARCH 2yr'!J58+'PUBLIC SERVICE 2yr'!J58+'ASptISptSSv 2yr'!J58+'PLANT OPER MAIN 2yr'!J58+'SCHOLAR FELLOW 2yr'!J58+'All Other 2yr'!J58)-J58</f>
        <v>0</v>
      </c>
      <c r="AK58" s="130">
        <f>('INSTRUCTION-2YR'!K58+'RESEARCH 2yr'!K58+'PUBLIC SERVICE 2yr'!K58+'ASptISptSSv 2yr'!K58+'PLANT OPER MAIN 2yr'!K58+'SCHOLAR FELLOW 2yr'!K58+'All Other 2yr'!K58)-K58</f>
        <v>0</v>
      </c>
      <c r="AL58" s="130">
        <f>('INSTRUCTION-2YR'!L58+'RESEARCH 2yr'!L58+'PUBLIC SERVICE 2yr'!L58+'ASptISptSSv 2yr'!L58+'PLANT OPER MAIN 2yr'!L58+'SCHOLAR FELLOW 2yr'!L58+'All Other 2yr'!L58)-L58</f>
        <v>0</v>
      </c>
      <c r="AM58" s="130">
        <f>('INSTRUCTION-2YR'!M58+'RESEARCH 2yr'!M58+'PUBLIC SERVICE 2yr'!M58+'ASptISptSSv 2yr'!M58+'PLANT OPER MAIN 2yr'!M58+'SCHOLAR FELLOW 2yr'!M58+'All Other 2yr'!M58)-M58</f>
        <v>0</v>
      </c>
      <c r="AN58" s="130">
        <f>('INSTRUCTION-2YR'!N58+'RESEARCH 2yr'!N58+'PUBLIC SERVICE 2yr'!N58+'ASptISptSSv 2yr'!N58+'PLANT OPER MAIN 2yr'!N58+'SCHOLAR FELLOW 2yr'!N58+'All Other 2yr'!N58)-N58</f>
        <v>0</v>
      </c>
      <c r="AO58" s="130">
        <f>('INSTRUCTION-2YR'!O58+'RESEARCH 2yr'!O58+'PUBLIC SERVICE 2yr'!O58+'ASptISptSSv 2yr'!O58+'PLANT OPER MAIN 2yr'!O58+'SCHOLAR FELLOW 2yr'!O58+'All Other 2yr'!O58)-O58</f>
        <v>0</v>
      </c>
      <c r="AP58" s="130">
        <f>('INSTRUCTION-2YR'!P58+'RESEARCH 2yr'!P58+'PUBLIC SERVICE 2yr'!P58+'ASptISptSSv 2yr'!P58+'PLANT OPER MAIN 2yr'!P58+'SCHOLAR FELLOW 2yr'!P58+'All Other 2yr'!P58)-P58</f>
        <v>0</v>
      </c>
      <c r="AQ58" s="130">
        <f>('INSTRUCTION-2YR'!Q58+'RESEARCH 2yr'!Q58+'PUBLIC SERVICE 2yr'!Q58+'ASptISptSSv 2yr'!Q58+'PLANT OPER MAIN 2yr'!Q58+'SCHOLAR FELLOW 2yr'!Q58+'All Other 2yr'!Q58)-Q58</f>
        <v>0</v>
      </c>
      <c r="AR58" s="130">
        <f>('INSTRUCTION-2YR'!R58+'RESEARCH 2yr'!R58+'PUBLIC SERVICE 2yr'!R58+'ASptISptSSv 2yr'!R58+'PLANT OPER MAIN 2yr'!R58+'SCHOLAR FELLOW 2yr'!R58+'All Other 2yr'!R58)-R58</f>
        <v>0</v>
      </c>
      <c r="AS58" s="130">
        <f>('INSTRUCTION-2YR'!S58+'RESEARCH 2yr'!S58+'PUBLIC SERVICE 2yr'!S58+'ASptISptSSv 2yr'!S58+'PLANT OPER MAIN 2yr'!S58+'SCHOLAR FELLOW 2yr'!S58+'All Other 2yr'!S58)-S58</f>
        <v>0</v>
      </c>
      <c r="AT58" s="130">
        <f>('INSTRUCTION-2YR'!T58+'RESEARCH 2yr'!T58+'PUBLIC SERVICE 2yr'!T58+'ASptISptSSv 2yr'!T58+'PLANT OPER MAIN 2yr'!T58+'SCHOLAR FELLOW 2yr'!T58+'All Other 2yr'!T58)-T58</f>
        <v>0</v>
      </c>
      <c r="AU58" s="130">
        <f>('INSTRUCTION-2YR'!U58+'RESEARCH 2yr'!U58+'PUBLIC SERVICE 2yr'!U58+'ASptISptSSv 2yr'!U58+'PLANT OPER MAIN 2yr'!U58+'SCHOLAR FELLOW 2yr'!U58+'All Other 2yr'!U58)-U58</f>
        <v>0</v>
      </c>
      <c r="AV58" s="130">
        <f>('INSTRUCTION-2YR'!V58+'RESEARCH 2yr'!V58+'PUBLIC SERVICE 2yr'!V58+'ASptISptSSv 2yr'!V58+'PLANT OPER MAIN 2yr'!V58+'SCHOLAR FELLOW 2yr'!V58+'All Other 2yr'!V58)-V58</f>
        <v>0</v>
      </c>
      <c r="AW58" s="130">
        <f>('INSTRUCTION-2YR'!W58+'RESEARCH 2yr'!W58+'PUBLIC SERVICE 2yr'!W58+'ASptISptSSv 2yr'!W58+'PLANT OPER MAIN 2yr'!W58+'SCHOLAR FELLOW 2yr'!W58+'All Other 2yr'!W58)-W58</f>
        <v>0</v>
      </c>
      <c r="AX58" s="130">
        <f>('INSTRUCTION-2YR'!X58+'RESEARCH 2yr'!X58+'PUBLIC SERVICE 2yr'!X58+'ASptISptSSv 2yr'!X58+'PLANT OPER MAIN 2yr'!X58+'SCHOLAR FELLOW 2yr'!X58+'All Other 2yr'!X58)-X58</f>
        <v>0</v>
      </c>
      <c r="AY58" s="130">
        <f>('INSTRUCTION-2YR'!Y58+'RESEARCH 2yr'!Y58+'PUBLIC SERVICE 2yr'!Y58+'ASptISptSSv 2yr'!Y58+'PLANT OPER MAIN 2yr'!Y58+'SCHOLAR FELLOW 2yr'!Y58+'All Other 2yr'!Y58)-Y58</f>
        <v>0</v>
      </c>
      <c r="AZ58" s="130">
        <f>('INSTRUCTION-2YR'!Z58+'RESEARCH 2yr'!Z58+'PUBLIC SERVICE 2yr'!Z58+'ASptISptSSv 2yr'!Z58+'PLANT OPER MAIN 2yr'!Z58+'SCHOLAR FELLOW 2yr'!Z58+'All Other 2yr'!Z58)-Z58</f>
        <v>0</v>
      </c>
      <c r="BA58" s="130">
        <f>('INSTRUCTION-2YR'!AA58+'RESEARCH 2yr'!AA58+'PUBLIC SERVICE 2yr'!AA58+'ASptISptSSv 2yr'!AA58+'PLANT OPER MAIN 2yr'!AA58+'SCHOLAR FELLOW 2yr'!AA58+'All Other 2yr'!AA58)-AA58</f>
        <v>0</v>
      </c>
    </row>
    <row r="59" spans="1:53">
      <c r="A59" s="23" t="s">
        <v>103</v>
      </c>
      <c r="B59" s="37"/>
      <c r="C59" s="37"/>
      <c r="D59" s="37"/>
      <c r="E59" s="37"/>
      <c r="F59" s="77">
        <v>32839.118000000002</v>
      </c>
      <c r="G59" s="37"/>
      <c r="H59" s="37"/>
      <c r="I59" s="37">
        <v>41426.326999999997</v>
      </c>
      <c r="J59" s="37"/>
      <c r="K59" s="37">
        <v>53576.696210000002</v>
      </c>
      <c r="L59" s="37">
        <v>47964.103000000003</v>
      </c>
      <c r="M59" s="37">
        <v>50200.197999999997</v>
      </c>
      <c r="N59" s="37">
        <v>54712.837</v>
      </c>
      <c r="O59" s="37">
        <v>60816.455000000002</v>
      </c>
      <c r="P59" s="37">
        <v>72119.180999999997</v>
      </c>
      <c r="Q59" s="37">
        <v>69680.152000000002</v>
      </c>
      <c r="R59" s="37">
        <v>62786.305</v>
      </c>
      <c r="S59" s="37">
        <v>81381.392999999996</v>
      </c>
      <c r="T59" s="23">
        <v>85361.659</v>
      </c>
      <c r="U59" s="23">
        <v>96982.284</v>
      </c>
      <c r="V59" s="23">
        <v>117613.192</v>
      </c>
      <c r="W59" s="23">
        <v>139143.57199999999</v>
      </c>
      <c r="X59" s="23">
        <v>125057.773</v>
      </c>
      <c r="Y59" s="2">
        <v>118179.626</v>
      </c>
      <c r="Z59" s="2">
        <v>120894.655</v>
      </c>
      <c r="AA59" s="2">
        <v>137384.70499999999</v>
      </c>
      <c r="AB59" s="130">
        <f>('INSTRUCTION-2YR'!B59+'RESEARCH 2yr'!B59+'PUBLIC SERVICE 2yr'!B59+'ASptISptSSv 2yr'!B59+'PLANT OPER MAIN 2yr'!B59+'SCHOLAR FELLOW 2yr'!B59+'All Other 2yr'!B59)-B59</f>
        <v>0</v>
      </c>
      <c r="AC59" s="130">
        <f>('INSTRUCTION-2YR'!C59+'RESEARCH 2yr'!C59+'PUBLIC SERVICE 2yr'!C59+'ASptISptSSv 2yr'!C59+'PLANT OPER MAIN 2yr'!C59+'SCHOLAR FELLOW 2yr'!C59+'All Other 2yr'!C59)-C59</f>
        <v>0</v>
      </c>
      <c r="AD59" s="130">
        <f>('INSTRUCTION-2YR'!D59+'RESEARCH 2yr'!D59+'PUBLIC SERVICE 2yr'!D59+'ASptISptSSv 2yr'!D59+'PLANT OPER MAIN 2yr'!D59+'SCHOLAR FELLOW 2yr'!D59+'All Other 2yr'!D59)-D59</f>
        <v>0</v>
      </c>
      <c r="AE59" s="130">
        <f>('INSTRUCTION-2YR'!E59+'RESEARCH 2yr'!E59+'PUBLIC SERVICE 2yr'!E59+'ASptISptSSv 2yr'!E59+'PLANT OPER MAIN 2yr'!E59+'SCHOLAR FELLOW 2yr'!E59+'All Other 2yr'!E59)-E59</f>
        <v>0</v>
      </c>
      <c r="AF59" s="130">
        <f>('INSTRUCTION-2YR'!F59+'RESEARCH 2yr'!F59+'PUBLIC SERVICE 2yr'!F59+'ASptISptSSv 2yr'!F59+'PLANT OPER MAIN 2yr'!F59+'SCHOLAR FELLOW 2yr'!F59+'All Other 2yr'!F59)-F59</f>
        <v>0</v>
      </c>
      <c r="AG59" s="130">
        <f>('INSTRUCTION-2YR'!G59+'RESEARCH 2yr'!G59+'PUBLIC SERVICE 2yr'!G59+'ASptISptSSv 2yr'!G59+'PLANT OPER MAIN 2yr'!G59+'SCHOLAR FELLOW 2yr'!G59+'All Other 2yr'!G59)-G59</f>
        <v>0</v>
      </c>
      <c r="AH59" s="130">
        <f>('INSTRUCTION-2YR'!H59+'RESEARCH 2yr'!H59+'PUBLIC SERVICE 2yr'!H59+'ASptISptSSv 2yr'!H59+'PLANT OPER MAIN 2yr'!H59+'SCHOLAR FELLOW 2yr'!H59+'All Other 2yr'!H59)-H59</f>
        <v>0</v>
      </c>
      <c r="AI59" s="130">
        <f>('INSTRUCTION-2YR'!I59+'RESEARCH 2yr'!I59+'PUBLIC SERVICE 2yr'!I59+'ASptISptSSv 2yr'!I59+'PLANT OPER MAIN 2yr'!I59+'SCHOLAR FELLOW 2yr'!I59+'All Other 2yr'!I59)-I59</f>
        <v>0</v>
      </c>
      <c r="AJ59" s="130">
        <f>('INSTRUCTION-2YR'!J59+'RESEARCH 2yr'!J59+'PUBLIC SERVICE 2yr'!J59+'ASptISptSSv 2yr'!J59+'PLANT OPER MAIN 2yr'!J59+'SCHOLAR FELLOW 2yr'!J59+'All Other 2yr'!J59)-J59</f>
        <v>0</v>
      </c>
      <c r="AK59" s="130">
        <f>('INSTRUCTION-2YR'!K59+'RESEARCH 2yr'!K59+'PUBLIC SERVICE 2yr'!K59+'ASptISptSSv 2yr'!K59+'PLANT OPER MAIN 2yr'!K59+'SCHOLAR FELLOW 2yr'!K59+'All Other 2yr'!K59)-K59</f>
        <v>0</v>
      </c>
      <c r="AL59" s="130">
        <f>('INSTRUCTION-2YR'!L59+'RESEARCH 2yr'!L59+'PUBLIC SERVICE 2yr'!L59+'ASptISptSSv 2yr'!L59+'PLANT OPER MAIN 2yr'!L59+'SCHOLAR FELLOW 2yr'!L59+'All Other 2yr'!L59)-L59</f>
        <v>0</v>
      </c>
      <c r="AM59" s="130">
        <f>('INSTRUCTION-2YR'!M59+'RESEARCH 2yr'!M59+'PUBLIC SERVICE 2yr'!M59+'ASptISptSSv 2yr'!M59+'PLANT OPER MAIN 2yr'!M59+'SCHOLAR FELLOW 2yr'!M59+'All Other 2yr'!M59)-M59</f>
        <v>0</v>
      </c>
      <c r="AN59" s="130">
        <f>('INSTRUCTION-2YR'!N59+'RESEARCH 2yr'!N59+'PUBLIC SERVICE 2yr'!N59+'ASptISptSSv 2yr'!N59+'PLANT OPER MAIN 2yr'!N59+'SCHOLAR FELLOW 2yr'!N59+'All Other 2yr'!N59)-N59</f>
        <v>0</v>
      </c>
      <c r="AO59" s="130">
        <f>('INSTRUCTION-2YR'!O59+'RESEARCH 2yr'!O59+'PUBLIC SERVICE 2yr'!O59+'ASptISptSSv 2yr'!O59+'PLANT OPER MAIN 2yr'!O59+'SCHOLAR FELLOW 2yr'!O59+'All Other 2yr'!O59)-O59</f>
        <v>0</v>
      </c>
      <c r="AP59" s="130">
        <f>('INSTRUCTION-2YR'!P59+'RESEARCH 2yr'!P59+'PUBLIC SERVICE 2yr'!P59+'ASptISptSSv 2yr'!P59+'PLANT OPER MAIN 2yr'!P59+'SCHOLAR FELLOW 2yr'!P59+'All Other 2yr'!P59)-P59</f>
        <v>0</v>
      </c>
      <c r="AQ59" s="130">
        <f>('INSTRUCTION-2YR'!Q59+'RESEARCH 2yr'!Q59+'PUBLIC SERVICE 2yr'!Q59+'ASptISptSSv 2yr'!Q59+'PLANT OPER MAIN 2yr'!Q59+'SCHOLAR FELLOW 2yr'!Q59+'All Other 2yr'!Q59)-Q59</f>
        <v>0</v>
      </c>
      <c r="AR59" s="130">
        <f>('INSTRUCTION-2YR'!R59+'RESEARCH 2yr'!R59+'PUBLIC SERVICE 2yr'!R59+'ASptISptSSv 2yr'!R59+'PLANT OPER MAIN 2yr'!R59+'SCHOLAR FELLOW 2yr'!R59+'All Other 2yr'!R59)-R59</f>
        <v>0</v>
      </c>
      <c r="AS59" s="130">
        <f>('INSTRUCTION-2YR'!S59+'RESEARCH 2yr'!S59+'PUBLIC SERVICE 2yr'!S59+'ASptISptSSv 2yr'!S59+'PLANT OPER MAIN 2yr'!S59+'SCHOLAR FELLOW 2yr'!S59+'All Other 2yr'!S59)-S59</f>
        <v>0</v>
      </c>
      <c r="AT59" s="130">
        <f>('INSTRUCTION-2YR'!T59+'RESEARCH 2yr'!T59+'PUBLIC SERVICE 2yr'!T59+'ASptISptSSv 2yr'!T59+'PLANT OPER MAIN 2yr'!T59+'SCHOLAR FELLOW 2yr'!T59+'All Other 2yr'!T59)-T59</f>
        <v>0</v>
      </c>
      <c r="AU59" s="130">
        <f>('INSTRUCTION-2YR'!U59+'RESEARCH 2yr'!U59+'PUBLIC SERVICE 2yr'!U59+'ASptISptSSv 2yr'!U59+'PLANT OPER MAIN 2yr'!U59+'SCHOLAR FELLOW 2yr'!U59+'All Other 2yr'!U59)-U59</f>
        <v>0</v>
      </c>
      <c r="AV59" s="130">
        <f>('INSTRUCTION-2YR'!V59+'RESEARCH 2yr'!V59+'PUBLIC SERVICE 2yr'!V59+'ASptISptSSv 2yr'!V59+'PLANT OPER MAIN 2yr'!V59+'SCHOLAR FELLOW 2yr'!V59+'All Other 2yr'!V59)-V59</f>
        <v>0</v>
      </c>
      <c r="AW59" s="130">
        <f>('INSTRUCTION-2YR'!W59+'RESEARCH 2yr'!W59+'PUBLIC SERVICE 2yr'!W59+'ASptISptSSv 2yr'!W59+'PLANT OPER MAIN 2yr'!W59+'SCHOLAR FELLOW 2yr'!W59+'All Other 2yr'!W59)-W59</f>
        <v>0</v>
      </c>
      <c r="AX59" s="130">
        <f>('INSTRUCTION-2YR'!X59+'RESEARCH 2yr'!X59+'PUBLIC SERVICE 2yr'!X59+'ASptISptSSv 2yr'!X59+'PLANT OPER MAIN 2yr'!X59+'SCHOLAR FELLOW 2yr'!X59+'All Other 2yr'!X59)-X59</f>
        <v>0</v>
      </c>
      <c r="AY59" s="130">
        <f>('INSTRUCTION-2YR'!Y59+'RESEARCH 2yr'!Y59+'PUBLIC SERVICE 2yr'!Y59+'ASptISptSSv 2yr'!Y59+'PLANT OPER MAIN 2yr'!Y59+'SCHOLAR FELLOW 2yr'!Y59+'All Other 2yr'!Y59)-Y59</f>
        <v>0</v>
      </c>
      <c r="AZ59" s="130">
        <f>('INSTRUCTION-2YR'!Z59+'RESEARCH 2yr'!Z59+'PUBLIC SERVICE 2yr'!Z59+'ASptISptSSv 2yr'!Z59+'PLANT OPER MAIN 2yr'!Z59+'SCHOLAR FELLOW 2yr'!Z59+'All Other 2yr'!Z59)-Z59</f>
        <v>0</v>
      </c>
      <c r="BA59" s="130">
        <f>('INSTRUCTION-2YR'!AA59+'RESEARCH 2yr'!AA59+'PUBLIC SERVICE 2yr'!AA59+'ASptISptSSv 2yr'!AA59+'PLANT OPER MAIN 2yr'!AA59+'SCHOLAR FELLOW 2yr'!AA59+'All Other 2yr'!AA59)-AA59</f>
        <v>0</v>
      </c>
    </row>
    <row r="60" spans="1:53">
      <c r="A60" s="23" t="s">
        <v>104</v>
      </c>
      <c r="B60" s="37"/>
      <c r="C60" s="37"/>
      <c r="D60" s="37"/>
      <c r="E60" s="37"/>
      <c r="F60" s="77">
        <v>481253.58799999999</v>
      </c>
      <c r="G60" s="37"/>
      <c r="H60" s="37"/>
      <c r="I60" s="37">
        <v>566233.07900000003</v>
      </c>
      <c r="J60" s="37"/>
      <c r="K60" s="37">
        <v>604289.58400000003</v>
      </c>
      <c r="L60" s="37">
        <v>654023.53200000001</v>
      </c>
      <c r="M60" s="37">
        <v>704596.86499999999</v>
      </c>
      <c r="N60" s="37">
        <v>809926.62</v>
      </c>
      <c r="O60" s="37">
        <v>871973.70600000001</v>
      </c>
      <c r="P60" s="37">
        <v>950687.06499999994</v>
      </c>
      <c r="Q60" s="37">
        <v>985119.255</v>
      </c>
      <c r="R60" s="37">
        <v>1026873.561</v>
      </c>
      <c r="S60" s="37">
        <v>1060504.0859999999</v>
      </c>
      <c r="T60" s="23">
        <v>1126550.419</v>
      </c>
      <c r="U60" s="23">
        <v>1221719.8799999999</v>
      </c>
      <c r="V60" s="23">
        <v>1442932.247</v>
      </c>
      <c r="W60" s="23">
        <v>1498714.199</v>
      </c>
      <c r="X60" s="23">
        <v>1517302.2150000001</v>
      </c>
      <c r="Y60" s="2">
        <v>1516502.334</v>
      </c>
      <c r="Z60" s="2">
        <v>1513487.433</v>
      </c>
      <c r="AA60" s="2">
        <v>1502730.399</v>
      </c>
      <c r="AB60" s="130">
        <f>('INSTRUCTION-2YR'!B60+'RESEARCH 2yr'!B60+'PUBLIC SERVICE 2yr'!B60+'ASptISptSSv 2yr'!B60+'PLANT OPER MAIN 2yr'!B60+'SCHOLAR FELLOW 2yr'!B60+'All Other 2yr'!B60)-B60</f>
        <v>0</v>
      </c>
      <c r="AC60" s="130">
        <f>('INSTRUCTION-2YR'!C60+'RESEARCH 2yr'!C60+'PUBLIC SERVICE 2yr'!C60+'ASptISptSSv 2yr'!C60+'PLANT OPER MAIN 2yr'!C60+'SCHOLAR FELLOW 2yr'!C60+'All Other 2yr'!C60)-C60</f>
        <v>0</v>
      </c>
      <c r="AD60" s="130">
        <f>('INSTRUCTION-2YR'!D60+'RESEARCH 2yr'!D60+'PUBLIC SERVICE 2yr'!D60+'ASptISptSSv 2yr'!D60+'PLANT OPER MAIN 2yr'!D60+'SCHOLAR FELLOW 2yr'!D60+'All Other 2yr'!D60)-D60</f>
        <v>0</v>
      </c>
      <c r="AE60" s="130">
        <f>('INSTRUCTION-2YR'!E60+'RESEARCH 2yr'!E60+'PUBLIC SERVICE 2yr'!E60+'ASptISptSSv 2yr'!E60+'PLANT OPER MAIN 2yr'!E60+'SCHOLAR FELLOW 2yr'!E60+'All Other 2yr'!E60)-E60</f>
        <v>0</v>
      </c>
      <c r="AF60" s="130">
        <f>('INSTRUCTION-2YR'!F60+'RESEARCH 2yr'!F60+'PUBLIC SERVICE 2yr'!F60+'ASptISptSSv 2yr'!F60+'PLANT OPER MAIN 2yr'!F60+'SCHOLAR FELLOW 2yr'!F60+'All Other 2yr'!F60)-F60</f>
        <v>0</v>
      </c>
      <c r="AG60" s="130">
        <f>('INSTRUCTION-2YR'!G60+'RESEARCH 2yr'!G60+'PUBLIC SERVICE 2yr'!G60+'ASptISptSSv 2yr'!G60+'PLANT OPER MAIN 2yr'!G60+'SCHOLAR FELLOW 2yr'!G60+'All Other 2yr'!G60)-G60</f>
        <v>0</v>
      </c>
      <c r="AH60" s="130">
        <f>('INSTRUCTION-2YR'!H60+'RESEARCH 2yr'!H60+'PUBLIC SERVICE 2yr'!H60+'ASptISptSSv 2yr'!H60+'PLANT OPER MAIN 2yr'!H60+'SCHOLAR FELLOW 2yr'!H60+'All Other 2yr'!H60)-H60</f>
        <v>0</v>
      </c>
      <c r="AI60" s="130">
        <f>('INSTRUCTION-2YR'!I60+'RESEARCH 2yr'!I60+'PUBLIC SERVICE 2yr'!I60+'ASptISptSSv 2yr'!I60+'PLANT OPER MAIN 2yr'!I60+'SCHOLAR FELLOW 2yr'!I60+'All Other 2yr'!I60)-I60</f>
        <v>0</v>
      </c>
      <c r="AJ60" s="130">
        <f>('INSTRUCTION-2YR'!J60+'RESEARCH 2yr'!J60+'PUBLIC SERVICE 2yr'!J60+'ASptISptSSv 2yr'!J60+'PLANT OPER MAIN 2yr'!J60+'SCHOLAR FELLOW 2yr'!J60+'All Other 2yr'!J60)-J60</f>
        <v>0</v>
      </c>
      <c r="AK60" s="130">
        <f>('INSTRUCTION-2YR'!K60+'RESEARCH 2yr'!K60+'PUBLIC SERVICE 2yr'!K60+'ASptISptSSv 2yr'!K60+'PLANT OPER MAIN 2yr'!K60+'SCHOLAR FELLOW 2yr'!K60+'All Other 2yr'!K60)-K60</f>
        <v>0</v>
      </c>
      <c r="AL60" s="130">
        <f>('INSTRUCTION-2YR'!L60+'RESEARCH 2yr'!L60+'PUBLIC SERVICE 2yr'!L60+'ASptISptSSv 2yr'!L60+'PLANT OPER MAIN 2yr'!L60+'SCHOLAR FELLOW 2yr'!L60+'All Other 2yr'!L60)-L60</f>
        <v>0</v>
      </c>
      <c r="AM60" s="130">
        <f>('INSTRUCTION-2YR'!M60+'RESEARCH 2yr'!M60+'PUBLIC SERVICE 2yr'!M60+'ASptISptSSv 2yr'!M60+'PLANT OPER MAIN 2yr'!M60+'SCHOLAR FELLOW 2yr'!M60+'All Other 2yr'!M60)-M60</f>
        <v>0</v>
      </c>
      <c r="AN60" s="130">
        <f>('INSTRUCTION-2YR'!N60+'RESEARCH 2yr'!N60+'PUBLIC SERVICE 2yr'!N60+'ASptISptSSv 2yr'!N60+'PLANT OPER MAIN 2yr'!N60+'SCHOLAR FELLOW 2yr'!N60+'All Other 2yr'!N60)-N60</f>
        <v>0</v>
      </c>
      <c r="AO60" s="130">
        <f>('INSTRUCTION-2YR'!O60+'RESEARCH 2yr'!O60+'PUBLIC SERVICE 2yr'!O60+'ASptISptSSv 2yr'!O60+'PLANT OPER MAIN 2yr'!O60+'SCHOLAR FELLOW 2yr'!O60+'All Other 2yr'!O60)-O60</f>
        <v>0</v>
      </c>
      <c r="AP60" s="130">
        <f>('INSTRUCTION-2YR'!P60+'RESEARCH 2yr'!P60+'PUBLIC SERVICE 2yr'!P60+'ASptISptSSv 2yr'!P60+'PLANT OPER MAIN 2yr'!P60+'SCHOLAR FELLOW 2yr'!P60+'All Other 2yr'!P60)-P60</f>
        <v>0</v>
      </c>
      <c r="AQ60" s="130">
        <f>('INSTRUCTION-2YR'!Q60+'RESEARCH 2yr'!Q60+'PUBLIC SERVICE 2yr'!Q60+'ASptISptSSv 2yr'!Q60+'PLANT OPER MAIN 2yr'!Q60+'SCHOLAR FELLOW 2yr'!Q60+'All Other 2yr'!Q60)-Q60</f>
        <v>0</v>
      </c>
      <c r="AR60" s="130">
        <f>('INSTRUCTION-2YR'!R60+'RESEARCH 2yr'!R60+'PUBLIC SERVICE 2yr'!R60+'ASptISptSSv 2yr'!R60+'PLANT OPER MAIN 2yr'!R60+'SCHOLAR FELLOW 2yr'!R60+'All Other 2yr'!R60)-R60</f>
        <v>0</v>
      </c>
      <c r="AS60" s="130">
        <f>('INSTRUCTION-2YR'!S60+'RESEARCH 2yr'!S60+'PUBLIC SERVICE 2yr'!S60+'ASptISptSSv 2yr'!S60+'PLANT OPER MAIN 2yr'!S60+'SCHOLAR FELLOW 2yr'!S60+'All Other 2yr'!S60)-S60</f>
        <v>0</v>
      </c>
      <c r="AT60" s="130">
        <f>('INSTRUCTION-2YR'!T60+'RESEARCH 2yr'!T60+'PUBLIC SERVICE 2yr'!T60+'ASptISptSSv 2yr'!T60+'PLANT OPER MAIN 2yr'!T60+'SCHOLAR FELLOW 2yr'!T60+'All Other 2yr'!T60)-T60</f>
        <v>0</v>
      </c>
      <c r="AU60" s="130">
        <f>('INSTRUCTION-2YR'!U60+'RESEARCH 2yr'!U60+'PUBLIC SERVICE 2yr'!U60+'ASptISptSSv 2yr'!U60+'PLANT OPER MAIN 2yr'!U60+'SCHOLAR FELLOW 2yr'!U60+'All Other 2yr'!U60)-U60</f>
        <v>0</v>
      </c>
      <c r="AV60" s="130">
        <f>('INSTRUCTION-2YR'!V60+'RESEARCH 2yr'!V60+'PUBLIC SERVICE 2yr'!V60+'ASptISptSSv 2yr'!V60+'PLANT OPER MAIN 2yr'!V60+'SCHOLAR FELLOW 2yr'!V60+'All Other 2yr'!V60)-V60</f>
        <v>0</v>
      </c>
      <c r="AW60" s="130">
        <f>('INSTRUCTION-2YR'!W60+'RESEARCH 2yr'!W60+'PUBLIC SERVICE 2yr'!W60+'ASptISptSSv 2yr'!W60+'PLANT OPER MAIN 2yr'!W60+'SCHOLAR FELLOW 2yr'!W60+'All Other 2yr'!W60)-W60</f>
        <v>0</v>
      </c>
      <c r="AX60" s="130">
        <f>('INSTRUCTION-2YR'!X60+'RESEARCH 2yr'!X60+'PUBLIC SERVICE 2yr'!X60+'ASptISptSSv 2yr'!X60+'PLANT OPER MAIN 2yr'!X60+'SCHOLAR FELLOW 2yr'!X60+'All Other 2yr'!X60)-X60</f>
        <v>0</v>
      </c>
      <c r="AY60" s="130">
        <f>('INSTRUCTION-2YR'!Y60+'RESEARCH 2yr'!Y60+'PUBLIC SERVICE 2yr'!Y60+'ASptISptSSv 2yr'!Y60+'PLANT OPER MAIN 2yr'!Y60+'SCHOLAR FELLOW 2yr'!Y60+'All Other 2yr'!Y60)-Y60</f>
        <v>0</v>
      </c>
      <c r="AZ60" s="130">
        <f>('INSTRUCTION-2YR'!Z60+'RESEARCH 2yr'!Z60+'PUBLIC SERVICE 2yr'!Z60+'ASptISptSSv 2yr'!Z60+'PLANT OPER MAIN 2yr'!Z60+'SCHOLAR FELLOW 2yr'!Z60+'All Other 2yr'!Z60)-Z60</f>
        <v>0</v>
      </c>
      <c r="BA60" s="130">
        <f>('INSTRUCTION-2YR'!AA60+'RESEARCH 2yr'!AA60+'PUBLIC SERVICE 2yr'!AA60+'ASptISptSSv 2yr'!AA60+'PLANT OPER MAIN 2yr'!AA60+'SCHOLAR FELLOW 2yr'!AA60+'All Other 2yr'!AA60)-AA60</f>
        <v>0</v>
      </c>
    </row>
    <row r="61" spans="1:53">
      <c r="A61" s="23" t="s">
        <v>106</v>
      </c>
      <c r="B61" s="37"/>
      <c r="C61" s="37"/>
      <c r="D61" s="37"/>
      <c r="E61" s="37"/>
      <c r="F61" s="77">
        <v>1128284.598</v>
      </c>
      <c r="G61" s="37"/>
      <c r="H61" s="37"/>
      <c r="I61" s="37">
        <v>1392945.8230000001</v>
      </c>
      <c r="J61" s="37"/>
      <c r="K61" s="37">
        <v>1505508.537</v>
      </c>
      <c r="L61" s="37">
        <v>1429595.6310000001</v>
      </c>
      <c r="M61" s="37">
        <v>1718283.1869999999</v>
      </c>
      <c r="N61" s="37">
        <v>1935308.058</v>
      </c>
      <c r="O61" s="37">
        <v>2077683.537</v>
      </c>
      <c r="P61" s="37">
        <v>2222238.86</v>
      </c>
      <c r="Q61" s="37">
        <v>2342920.4350000001</v>
      </c>
      <c r="R61" s="37">
        <v>2418481.6460000002</v>
      </c>
      <c r="S61" s="37">
        <v>2849189.781</v>
      </c>
      <c r="T61" s="23">
        <v>2764970.787</v>
      </c>
      <c r="U61" s="23">
        <v>3023039.5729999999</v>
      </c>
      <c r="V61" s="23">
        <v>3374192.824</v>
      </c>
      <c r="W61" s="23">
        <v>3557534.2340000002</v>
      </c>
      <c r="X61" s="23">
        <v>3678119.55</v>
      </c>
      <c r="Y61" s="2">
        <v>3815971.639</v>
      </c>
      <c r="Z61" s="2">
        <v>3973049.43</v>
      </c>
      <c r="AA61" s="2">
        <v>4040249.9720000001</v>
      </c>
      <c r="AB61" s="130">
        <f>('INSTRUCTION-2YR'!B61+'RESEARCH 2yr'!B61+'PUBLIC SERVICE 2yr'!B61+'ASptISptSSv 2yr'!B61+'PLANT OPER MAIN 2yr'!B61+'SCHOLAR FELLOW 2yr'!B61+'All Other 2yr'!B61)-B61</f>
        <v>0</v>
      </c>
      <c r="AC61" s="130">
        <f>('INSTRUCTION-2YR'!C61+'RESEARCH 2yr'!C61+'PUBLIC SERVICE 2yr'!C61+'ASptISptSSv 2yr'!C61+'PLANT OPER MAIN 2yr'!C61+'SCHOLAR FELLOW 2yr'!C61+'All Other 2yr'!C61)-C61</f>
        <v>0</v>
      </c>
      <c r="AD61" s="130">
        <f>('INSTRUCTION-2YR'!D61+'RESEARCH 2yr'!D61+'PUBLIC SERVICE 2yr'!D61+'ASptISptSSv 2yr'!D61+'PLANT OPER MAIN 2yr'!D61+'SCHOLAR FELLOW 2yr'!D61+'All Other 2yr'!D61)-D61</f>
        <v>0</v>
      </c>
      <c r="AE61" s="130">
        <f>('INSTRUCTION-2YR'!E61+'RESEARCH 2yr'!E61+'PUBLIC SERVICE 2yr'!E61+'ASptISptSSv 2yr'!E61+'PLANT OPER MAIN 2yr'!E61+'SCHOLAR FELLOW 2yr'!E61+'All Other 2yr'!E61)-E61</f>
        <v>0</v>
      </c>
      <c r="AF61" s="130">
        <f>('INSTRUCTION-2YR'!F61+'RESEARCH 2yr'!F61+'PUBLIC SERVICE 2yr'!F61+'ASptISptSSv 2yr'!F61+'PLANT OPER MAIN 2yr'!F61+'SCHOLAR FELLOW 2yr'!F61+'All Other 2yr'!F61)-F61</f>
        <v>0</v>
      </c>
      <c r="AG61" s="130">
        <f>('INSTRUCTION-2YR'!G61+'RESEARCH 2yr'!G61+'PUBLIC SERVICE 2yr'!G61+'ASptISptSSv 2yr'!G61+'PLANT OPER MAIN 2yr'!G61+'SCHOLAR FELLOW 2yr'!G61+'All Other 2yr'!G61)-G61</f>
        <v>0</v>
      </c>
      <c r="AH61" s="130">
        <f>('INSTRUCTION-2YR'!H61+'RESEARCH 2yr'!H61+'PUBLIC SERVICE 2yr'!H61+'ASptISptSSv 2yr'!H61+'PLANT OPER MAIN 2yr'!H61+'SCHOLAR FELLOW 2yr'!H61+'All Other 2yr'!H61)-H61</f>
        <v>0</v>
      </c>
      <c r="AI61" s="130">
        <f>('INSTRUCTION-2YR'!I61+'RESEARCH 2yr'!I61+'PUBLIC SERVICE 2yr'!I61+'ASptISptSSv 2yr'!I61+'PLANT OPER MAIN 2yr'!I61+'SCHOLAR FELLOW 2yr'!I61+'All Other 2yr'!I61)-I61</f>
        <v>0</v>
      </c>
      <c r="AJ61" s="130">
        <f>('INSTRUCTION-2YR'!J61+'RESEARCH 2yr'!J61+'PUBLIC SERVICE 2yr'!J61+'ASptISptSSv 2yr'!J61+'PLANT OPER MAIN 2yr'!J61+'SCHOLAR FELLOW 2yr'!J61+'All Other 2yr'!J61)-J61</f>
        <v>0</v>
      </c>
      <c r="AK61" s="130">
        <f>('INSTRUCTION-2YR'!K61+'RESEARCH 2yr'!K61+'PUBLIC SERVICE 2yr'!K61+'ASptISptSSv 2yr'!K61+'PLANT OPER MAIN 2yr'!K61+'SCHOLAR FELLOW 2yr'!K61+'All Other 2yr'!K61)-K61</f>
        <v>0</v>
      </c>
      <c r="AL61" s="130">
        <f>('INSTRUCTION-2YR'!L61+'RESEARCH 2yr'!L61+'PUBLIC SERVICE 2yr'!L61+'ASptISptSSv 2yr'!L61+'PLANT OPER MAIN 2yr'!L61+'SCHOLAR FELLOW 2yr'!L61+'All Other 2yr'!L61)-L61</f>
        <v>0</v>
      </c>
      <c r="AM61" s="130">
        <f>('INSTRUCTION-2YR'!M61+'RESEARCH 2yr'!M61+'PUBLIC SERVICE 2yr'!M61+'ASptISptSSv 2yr'!M61+'PLANT OPER MAIN 2yr'!M61+'SCHOLAR FELLOW 2yr'!M61+'All Other 2yr'!M61)-M61</f>
        <v>0</v>
      </c>
      <c r="AN61" s="130">
        <f>('INSTRUCTION-2YR'!N61+'RESEARCH 2yr'!N61+'PUBLIC SERVICE 2yr'!N61+'ASptISptSSv 2yr'!N61+'PLANT OPER MAIN 2yr'!N61+'SCHOLAR FELLOW 2yr'!N61+'All Other 2yr'!N61)-N61</f>
        <v>0</v>
      </c>
      <c r="AO61" s="130">
        <f>('INSTRUCTION-2YR'!O61+'RESEARCH 2yr'!O61+'PUBLIC SERVICE 2yr'!O61+'ASptISptSSv 2yr'!O61+'PLANT OPER MAIN 2yr'!O61+'SCHOLAR FELLOW 2yr'!O61+'All Other 2yr'!O61)-O61</f>
        <v>0</v>
      </c>
      <c r="AP61" s="130">
        <f>('INSTRUCTION-2YR'!P61+'RESEARCH 2yr'!P61+'PUBLIC SERVICE 2yr'!P61+'ASptISptSSv 2yr'!P61+'PLANT OPER MAIN 2yr'!P61+'SCHOLAR FELLOW 2yr'!P61+'All Other 2yr'!P61)-P61</f>
        <v>0</v>
      </c>
      <c r="AQ61" s="130">
        <f>('INSTRUCTION-2YR'!Q61+'RESEARCH 2yr'!Q61+'PUBLIC SERVICE 2yr'!Q61+'ASptISptSSv 2yr'!Q61+'PLANT OPER MAIN 2yr'!Q61+'SCHOLAR FELLOW 2yr'!Q61+'All Other 2yr'!Q61)-Q61</f>
        <v>0</v>
      </c>
      <c r="AR61" s="130">
        <f>('INSTRUCTION-2YR'!R61+'RESEARCH 2yr'!R61+'PUBLIC SERVICE 2yr'!R61+'ASptISptSSv 2yr'!R61+'PLANT OPER MAIN 2yr'!R61+'SCHOLAR FELLOW 2yr'!R61+'All Other 2yr'!R61)-R61</f>
        <v>0</v>
      </c>
      <c r="AS61" s="130">
        <f>('INSTRUCTION-2YR'!S61+'RESEARCH 2yr'!S61+'PUBLIC SERVICE 2yr'!S61+'ASptISptSSv 2yr'!S61+'PLANT OPER MAIN 2yr'!S61+'SCHOLAR FELLOW 2yr'!S61+'All Other 2yr'!S61)-S61</f>
        <v>0</v>
      </c>
      <c r="AT61" s="130">
        <f>('INSTRUCTION-2YR'!T61+'RESEARCH 2yr'!T61+'PUBLIC SERVICE 2yr'!T61+'ASptISptSSv 2yr'!T61+'PLANT OPER MAIN 2yr'!T61+'SCHOLAR FELLOW 2yr'!T61+'All Other 2yr'!T61)-T61</f>
        <v>0</v>
      </c>
      <c r="AU61" s="130">
        <f>('INSTRUCTION-2YR'!U61+'RESEARCH 2yr'!U61+'PUBLIC SERVICE 2yr'!U61+'ASptISptSSv 2yr'!U61+'PLANT OPER MAIN 2yr'!U61+'SCHOLAR FELLOW 2yr'!U61+'All Other 2yr'!U61)-U61</f>
        <v>0</v>
      </c>
      <c r="AV61" s="130">
        <f>('INSTRUCTION-2YR'!V61+'RESEARCH 2yr'!V61+'PUBLIC SERVICE 2yr'!V61+'ASptISptSSv 2yr'!V61+'PLANT OPER MAIN 2yr'!V61+'SCHOLAR FELLOW 2yr'!V61+'All Other 2yr'!V61)-V61</f>
        <v>0</v>
      </c>
      <c r="AW61" s="130">
        <f>('INSTRUCTION-2YR'!W61+'RESEARCH 2yr'!W61+'PUBLIC SERVICE 2yr'!W61+'ASptISptSSv 2yr'!W61+'PLANT OPER MAIN 2yr'!W61+'SCHOLAR FELLOW 2yr'!W61+'All Other 2yr'!W61)-W61</f>
        <v>0</v>
      </c>
      <c r="AX61" s="130">
        <f>('INSTRUCTION-2YR'!X61+'RESEARCH 2yr'!X61+'PUBLIC SERVICE 2yr'!X61+'ASptISptSSv 2yr'!X61+'PLANT OPER MAIN 2yr'!X61+'SCHOLAR FELLOW 2yr'!X61+'All Other 2yr'!X61)-X61</f>
        <v>0</v>
      </c>
      <c r="AY61" s="130">
        <f>('INSTRUCTION-2YR'!Y61+'RESEARCH 2yr'!Y61+'PUBLIC SERVICE 2yr'!Y61+'ASptISptSSv 2yr'!Y61+'PLANT OPER MAIN 2yr'!Y61+'SCHOLAR FELLOW 2yr'!Y61+'All Other 2yr'!Y61)-Y61</f>
        <v>0</v>
      </c>
      <c r="AZ61" s="130">
        <f>('INSTRUCTION-2YR'!Z61+'RESEARCH 2yr'!Z61+'PUBLIC SERVICE 2yr'!Z61+'ASptISptSSv 2yr'!Z61+'PLANT OPER MAIN 2yr'!Z61+'SCHOLAR FELLOW 2yr'!Z61+'All Other 2yr'!Z61)-Z61</f>
        <v>0</v>
      </c>
      <c r="BA61" s="130">
        <f>('INSTRUCTION-2YR'!AA61+'RESEARCH 2yr'!AA61+'PUBLIC SERVICE 2yr'!AA61+'ASptISptSSv 2yr'!AA61+'PLANT OPER MAIN 2yr'!AA61+'SCHOLAR FELLOW 2yr'!AA61+'All Other 2yr'!AA61)-AA61</f>
        <v>0</v>
      </c>
    </row>
    <row r="62" spans="1:53">
      <c r="A62" s="23" t="s">
        <v>110</v>
      </c>
      <c r="B62" s="37"/>
      <c r="C62" s="37"/>
      <c r="D62" s="37"/>
      <c r="E62" s="37"/>
      <c r="F62" s="77">
        <v>398956.05099999998</v>
      </c>
      <c r="G62" s="37"/>
      <c r="H62" s="37"/>
      <c r="I62" s="37">
        <v>457212.84100000001</v>
      </c>
      <c r="J62" s="37"/>
      <c r="K62" s="37">
        <v>483963.94761000009</v>
      </c>
      <c r="L62" s="37">
        <v>530373.071</v>
      </c>
      <c r="M62" s="37">
        <v>567294.96600000001</v>
      </c>
      <c r="N62" s="37">
        <v>672485.10900000005</v>
      </c>
      <c r="O62" s="37">
        <v>740671.255</v>
      </c>
      <c r="P62" s="37">
        <v>801658.44700000004</v>
      </c>
      <c r="Q62" s="37">
        <v>842626.35800000001</v>
      </c>
      <c r="R62" s="37">
        <v>881923.37600000005</v>
      </c>
      <c r="S62" s="37">
        <v>913486.88500000001</v>
      </c>
      <c r="T62" s="23">
        <v>987877.07700000005</v>
      </c>
      <c r="U62" s="23">
        <v>1062965.909</v>
      </c>
      <c r="V62" s="23">
        <v>1196559.9410000001</v>
      </c>
      <c r="W62" s="23">
        <v>1263282.875</v>
      </c>
      <c r="X62" s="23">
        <v>1309489.8700000001</v>
      </c>
      <c r="Y62" s="2">
        <v>1307192.2590000001</v>
      </c>
      <c r="Z62" s="2">
        <v>1321512.236</v>
      </c>
      <c r="AA62" s="2">
        <v>1311641.561</v>
      </c>
      <c r="AB62" s="130">
        <f>('INSTRUCTION-2YR'!B62+'RESEARCH 2yr'!B62+'PUBLIC SERVICE 2yr'!B62+'ASptISptSSv 2yr'!B62+'PLANT OPER MAIN 2yr'!B62+'SCHOLAR FELLOW 2yr'!B62+'All Other 2yr'!B62)-B62</f>
        <v>0</v>
      </c>
      <c r="AC62" s="130">
        <f>('INSTRUCTION-2YR'!C62+'RESEARCH 2yr'!C62+'PUBLIC SERVICE 2yr'!C62+'ASptISptSSv 2yr'!C62+'PLANT OPER MAIN 2yr'!C62+'SCHOLAR FELLOW 2yr'!C62+'All Other 2yr'!C62)-C62</f>
        <v>0</v>
      </c>
      <c r="AD62" s="130">
        <f>('INSTRUCTION-2YR'!D62+'RESEARCH 2yr'!D62+'PUBLIC SERVICE 2yr'!D62+'ASptISptSSv 2yr'!D62+'PLANT OPER MAIN 2yr'!D62+'SCHOLAR FELLOW 2yr'!D62+'All Other 2yr'!D62)-D62</f>
        <v>0</v>
      </c>
      <c r="AE62" s="130">
        <f>('INSTRUCTION-2YR'!E62+'RESEARCH 2yr'!E62+'PUBLIC SERVICE 2yr'!E62+'ASptISptSSv 2yr'!E62+'PLANT OPER MAIN 2yr'!E62+'SCHOLAR FELLOW 2yr'!E62+'All Other 2yr'!E62)-E62</f>
        <v>0</v>
      </c>
      <c r="AF62" s="130">
        <f>('INSTRUCTION-2YR'!F62+'RESEARCH 2yr'!F62+'PUBLIC SERVICE 2yr'!F62+'ASptISptSSv 2yr'!F62+'PLANT OPER MAIN 2yr'!F62+'SCHOLAR FELLOW 2yr'!F62+'All Other 2yr'!F62)-F62</f>
        <v>0</v>
      </c>
      <c r="AG62" s="130">
        <f>('INSTRUCTION-2YR'!G62+'RESEARCH 2yr'!G62+'PUBLIC SERVICE 2yr'!G62+'ASptISptSSv 2yr'!G62+'PLANT OPER MAIN 2yr'!G62+'SCHOLAR FELLOW 2yr'!G62+'All Other 2yr'!G62)-G62</f>
        <v>0</v>
      </c>
      <c r="AH62" s="130">
        <f>('INSTRUCTION-2YR'!H62+'RESEARCH 2yr'!H62+'PUBLIC SERVICE 2yr'!H62+'ASptISptSSv 2yr'!H62+'PLANT OPER MAIN 2yr'!H62+'SCHOLAR FELLOW 2yr'!H62+'All Other 2yr'!H62)-H62</f>
        <v>0</v>
      </c>
      <c r="AI62" s="130">
        <f>('INSTRUCTION-2YR'!I62+'RESEARCH 2yr'!I62+'PUBLIC SERVICE 2yr'!I62+'ASptISptSSv 2yr'!I62+'PLANT OPER MAIN 2yr'!I62+'SCHOLAR FELLOW 2yr'!I62+'All Other 2yr'!I62)-I62</f>
        <v>0</v>
      </c>
      <c r="AJ62" s="130">
        <f>('INSTRUCTION-2YR'!J62+'RESEARCH 2yr'!J62+'PUBLIC SERVICE 2yr'!J62+'ASptISptSSv 2yr'!J62+'PLANT OPER MAIN 2yr'!J62+'SCHOLAR FELLOW 2yr'!J62+'All Other 2yr'!J62)-J62</f>
        <v>0</v>
      </c>
      <c r="AK62" s="130">
        <f>('INSTRUCTION-2YR'!K62+'RESEARCH 2yr'!K62+'PUBLIC SERVICE 2yr'!K62+'ASptISptSSv 2yr'!K62+'PLANT OPER MAIN 2yr'!K62+'SCHOLAR FELLOW 2yr'!K62+'All Other 2yr'!K62)-K62</f>
        <v>0</v>
      </c>
      <c r="AL62" s="130">
        <f>('INSTRUCTION-2YR'!L62+'RESEARCH 2yr'!L62+'PUBLIC SERVICE 2yr'!L62+'ASptISptSSv 2yr'!L62+'PLANT OPER MAIN 2yr'!L62+'SCHOLAR FELLOW 2yr'!L62+'All Other 2yr'!L62)-L62</f>
        <v>0</v>
      </c>
      <c r="AM62" s="130">
        <f>('INSTRUCTION-2YR'!M62+'RESEARCH 2yr'!M62+'PUBLIC SERVICE 2yr'!M62+'ASptISptSSv 2yr'!M62+'PLANT OPER MAIN 2yr'!M62+'SCHOLAR FELLOW 2yr'!M62+'All Other 2yr'!M62)-M62</f>
        <v>0</v>
      </c>
      <c r="AN62" s="130">
        <f>('INSTRUCTION-2YR'!N62+'RESEARCH 2yr'!N62+'PUBLIC SERVICE 2yr'!N62+'ASptISptSSv 2yr'!N62+'PLANT OPER MAIN 2yr'!N62+'SCHOLAR FELLOW 2yr'!N62+'All Other 2yr'!N62)-N62</f>
        <v>0</v>
      </c>
      <c r="AO62" s="130">
        <f>('INSTRUCTION-2YR'!O62+'RESEARCH 2yr'!O62+'PUBLIC SERVICE 2yr'!O62+'ASptISptSSv 2yr'!O62+'PLANT OPER MAIN 2yr'!O62+'SCHOLAR FELLOW 2yr'!O62+'All Other 2yr'!O62)-O62</f>
        <v>0</v>
      </c>
      <c r="AP62" s="130">
        <f>('INSTRUCTION-2YR'!P62+'RESEARCH 2yr'!P62+'PUBLIC SERVICE 2yr'!P62+'ASptISptSSv 2yr'!P62+'PLANT OPER MAIN 2yr'!P62+'SCHOLAR FELLOW 2yr'!P62+'All Other 2yr'!P62)-P62</f>
        <v>0</v>
      </c>
      <c r="AQ62" s="130">
        <f>('INSTRUCTION-2YR'!Q62+'RESEARCH 2yr'!Q62+'PUBLIC SERVICE 2yr'!Q62+'ASptISptSSv 2yr'!Q62+'PLANT OPER MAIN 2yr'!Q62+'SCHOLAR FELLOW 2yr'!Q62+'All Other 2yr'!Q62)-Q62</f>
        <v>0</v>
      </c>
      <c r="AR62" s="130">
        <f>('INSTRUCTION-2YR'!R62+'RESEARCH 2yr'!R62+'PUBLIC SERVICE 2yr'!R62+'ASptISptSSv 2yr'!R62+'PLANT OPER MAIN 2yr'!R62+'SCHOLAR FELLOW 2yr'!R62+'All Other 2yr'!R62)-R62</f>
        <v>0</v>
      </c>
      <c r="AS62" s="130">
        <f>('INSTRUCTION-2YR'!S62+'RESEARCH 2yr'!S62+'PUBLIC SERVICE 2yr'!S62+'ASptISptSSv 2yr'!S62+'PLANT OPER MAIN 2yr'!S62+'SCHOLAR FELLOW 2yr'!S62+'All Other 2yr'!S62)-S62</f>
        <v>0</v>
      </c>
      <c r="AT62" s="130">
        <f>('INSTRUCTION-2YR'!T62+'RESEARCH 2yr'!T62+'PUBLIC SERVICE 2yr'!T62+'ASptISptSSv 2yr'!T62+'PLANT OPER MAIN 2yr'!T62+'SCHOLAR FELLOW 2yr'!T62+'All Other 2yr'!T62)-T62</f>
        <v>0</v>
      </c>
      <c r="AU62" s="130">
        <f>('INSTRUCTION-2YR'!U62+'RESEARCH 2yr'!U62+'PUBLIC SERVICE 2yr'!U62+'ASptISptSSv 2yr'!U62+'PLANT OPER MAIN 2yr'!U62+'SCHOLAR FELLOW 2yr'!U62+'All Other 2yr'!U62)-U62</f>
        <v>0</v>
      </c>
      <c r="AV62" s="130">
        <f>('INSTRUCTION-2YR'!V62+'RESEARCH 2yr'!V62+'PUBLIC SERVICE 2yr'!V62+'ASptISptSSv 2yr'!V62+'PLANT OPER MAIN 2yr'!V62+'SCHOLAR FELLOW 2yr'!V62+'All Other 2yr'!V62)-V62</f>
        <v>0</v>
      </c>
      <c r="AW62" s="130">
        <f>('INSTRUCTION-2YR'!W62+'RESEARCH 2yr'!W62+'PUBLIC SERVICE 2yr'!W62+'ASptISptSSv 2yr'!W62+'PLANT OPER MAIN 2yr'!W62+'SCHOLAR FELLOW 2yr'!W62+'All Other 2yr'!W62)-W62</f>
        <v>0</v>
      </c>
      <c r="AX62" s="130">
        <f>('INSTRUCTION-2YR'!X62+'RESEARCH 2yr'!X62+'PUBLIC SERVICE 2yr'!X62+'ASptISptSSv 2yr'!X62+'PLANT OPER MAIN 2yr'!X62+'SCHOLAR FELLOW 2yr'!X62+'All Other 2yr'!X62)-X62</f>
        <v>0</v>
      </c>
      <c r="AY62" s="130">
        <f>('INSTRUCTION-2YR'!Y62+'RESEARCH 2yr'!Y62+'PUBLIC SERVICE 2yr'!Y62+'ASptISptSSv 2yr'!Y62+'PLANT OPER MAIN 2yr'!Y62+'SCHOLAR FELLOW 2yr'!Y62+'All Other 2yr'!Y62)-Y62</f>
        <v>0</v>
      </c>
      <c r="AZ62" s="130">
        <f>('INSTRUCTION-2YR'!Z62+'RESEARCH 2yr'!Z62+'PUBLIC SERVICE 2yr'!Z62+'ASptISptSSv 2yr'!Z62+'PLANT OPER MAIN 2yr'!Z62+'SCHOLAR FELLOW 2yr'!Z62+'All Other 2yr'!Z62)-Z62</f>
        <v>0</v>
      </c>
      <c r="BA62" s="130">
        <f>('INSTRUCTION-2YR'!AA62+'RESEARCH 2yr'!AA62+'PUBLIC SERVICE 2yr'!AA62+'ASptISptSSv 2yr'!AA62+'PLANT OPER MAIN 2yr'!AA62+'SCHOLAR FELLOW 2yr'!AA62+'All Other 2yr'!AA62)-AA62</f>
        <v>0</v>
      </c>
    </row>
    <row r="63" spans="1:53">
      <c r="A63" s="23" t="s">
        <v>111</v>
      </c>
      <c r="B63" s="37"/>
      <c r="C63" s="37"/>
      <c r="D63" s="37"/>
      <c r="E63" s="37"/>
      <c r="F63" s="77">
        <v>52537.47</v>
      </c>
      <c r="G63" s="37"/>
      <c r="H63" s="37"/>
      <c r="I63" s="37">
        <v>57731.472000000002</v>
      </c>
      <c r="J63" s="37"/>
      <c r="K63" s="37">
        <v>58558.724000000002</v>
      </c>
      <c r="L63" s="37">
        <v>65159.12</v>
      </c>
      <c r="M63" s="37">
        <v>69797.865999999995</v>
      </c>
      <c r="N63" s="37">
        <v>77482.024000000005</v>
      </c>
      <c r="O63" s="37">
        <v>81372.631999999998</v>
      </c>
      <c r="P63" s="37">
        <v>87186.244999999995</v>
      </c>
      <c r="Q63" s="37">
        <v>92151.221000000005</v>
      </c>
      <c r="R63" s="37">
        <v>94513.044999999998</v>
      </c>
      <c r="S63" s="37">
        <v>98372.561000000002</v>
      </c>
      <c r="T63" s="23">
        <v>104712.232</v>
      </c>
      <c r="U63" s="23">
        <v>111134.34</v>
      </c>
      <c r="V63" s="23">
        <v>114938.622</v>
      </c>
      <c r="W63" s="23">
        <v>122896.664</v>
      </c>
      <c r="X63" s="23">
        <v>130550.09600000001</v>
      </c>
      <c r="Y63" s="2">
        <v>132385.61300000001</v>
      </c>
      <c r="Z63" s="2">
        <v>136595.182</v>
      </c>
      <c r="AA63" s="2">
        <v>136100.23699999999</v>
      </c>
      <c r="AB63" s="130">
        <f>('INSTRUCTION-2YR'!B63+'RESEARCH 2yr'!B63+'PUBLIC SERVICE 2yr'!B63+'ASptISptSSv 2yr'!B63+'PLANT OPER MAIN 2yr'!B63+'SCHOLAR FELLOW 2yr'!B63+'All Other 2yr'!B63)-B63</f>
        <v>0</v>
      </c>
      <c r="AC63" s="130">
        <f>('INSTRUCTION-2YR'!C63+'RESEARCH 2yr'!C63+'PUBLIC SERVICE 2yr'!C63+'ASptISptSSv 2yr'!C63+'PLANT OPER MAIN 2yr'!C63+'SCHOLAR FELLOW 2yr'!C63+'All Other 2yr'!C63)-C63</f>
        <v>0</v>
      </c>
      <c r="AD63" s="130">
        <f>('INSTRUCTION-2YR'!D63+'RESEARCH 2yr'!D63+'PUBLIC SERVICE 2yr'!D63+'ASptISptSSv 2yr'!D63+'PLANT OPER MAIN 2yr'!D63+'SCHOLAR FELLOW 2yr'!D63+'All Other 2yr'!D63)-D63</f>
        <v>0</v>
      </c>
      <c r="AE63" s="130">
        <f>('INSTRUCTION-2YR'!E63+'RESEARCH 2yr'!E63+'PUBLIC SERVICE 2yr'!E63+'ASptISptSSv 2yr'!E63+'PLANT OPER MAIN 2yr'!E63+'SCHOLAR FELLOW 2yr'!E63+'All Other 2yr'!E63)-E63</f>
        <v>0</v>
      </c>
      <c r="AF63" s="130">
        <f>('INSTRUCTION-2YR'!F63+'RESEARCH 2yr'!F63+'PUBLIC SERVICE 2yr'!F63+'ASptISptSSv 2yr'!F63+'PLANT OPER MAIN 2yr'!F63+'SCHOLAR FELLOW 2yr'!F63+'All Other 2yr'!F63)-F63</f>
        <v>0</v>
      </c>
      <c r="AG63" s="130">
        <f>('INSTRUCTION-2YR'!G63+'RESEARCH 2yr'!G63+'PUBLIC SERVICE 2yr'!G63+'ASptISptSSv 2yr'!G63+'PLANT OPER MAIN 2yr'!G63+'SCHOLAR FELLOW 2yr'!G63+'All Other 2yr'!G63)-G63</f>
        <v>0</v>
      </c>
      <c r="AH63" s="130">
        <f>('INSTRUCTION-2YR'!H63+'RESEARCH 2yr'!H63+'PUBLIC SERVICE 2yr'!H63+'ASptISptSSv 2yr'!H63+'PLANT OPER MAIN 2yr'!H63+'SCHOLAR FELLOW 2yr'!H63+'All Other 2yr'!H63)-H63</f>
        <v>0</v>
      </c>
      <c r="AI63" s="130">
        <f>('INSTRUCTION-2YR'!I63+'RESEARCH 2yr'!I63+'PUBLIC SERVICE 2yr'!I63+'ASptISptSSv 2yr'!I63+'PLANT OPER MAIN 2yr'!I63+'SCHOLAR FELLOW 2yr'!I63+'All Other 2yr'!I63)-I63</f>
        <v>0</v>
      </c>
      <c r="AJ63" s="130">
        <f>('INSTRUCTION-2YR'!J63+'RESEARCH 2yr'!J63+'PUBLIC SERVICE 2yr'!J63+'ASptISptSSv 2yr'!J63+'PLANT OPER MAIN 2yr'!J63+'SCHOLAR FELLOW 2yr'!J63+'All Other 2yr'!J63)-J63</f>
        <v>0</v>
      </c>
      <c r="AK63" s="130">
        <f>('INSTRUCTION-2YR'!K63+'RESEARCH 2yr'!K63+'PUBLIC SERVICE 2yr'!K63+'ASptISptSSv 2yr'!K63+'PLANT OPER MAIN 2yr'!K63+'SCHOLAR FELLOW 2yr'!K63+'All Other 2yr'!K63)-K63</f>
        <v>0</v>
      </c>
      <c r="AL63" s="130">
        <f>('INSTRUCTION-2YR'!L63+'RESEARCH 2yr'!L63+'PUBLIC SERVICE 2yr'!L63+'ASptISptSSv 2yr'!L63+'PLANT OPER MAIN 2yr'!L63+'SCHOLAR FELLOW 2yr'!L63+'All Other 2yr'!L63)-L63</f>
        <v>0</v>
      </c>
      <c r="AM63" s="130">
        <f>('INSTRUCTION-2YR'!M63+'RESEARCH 2yr'!M63+'PUBLIC SERVICE 2yr'!M63+'ASptISptSSv 2yr'!M63+'PLANT OPER MAIN 2yr'!M63+'SCHOLAR FELLOW 2yr'!M63+'All Other 2yr'!M63)-M63</f>
        <v>0</v>
      </c>
      <c r="AN63" s="130">
        <f>('INSTRUCTION-2YR'!N63+'RESEARCH 2yr'!N63+'PUBLIC SERVICE 2yr'!N63+'ASptISptSSv 2yr'!N63+'PLANT OPER MAIN 2yr'!N63+'SCHOLAR FELLOW 2yr'!N63+'All Other 2yr'!N63)-N63</f>
        <v>0</v>
      </c>
      <c r="AO63" s="130">
        <f>('INSTRUCTION-2YR'!O63+'RESEARCH 2yr'!O63+'PUBLIC SERVICE 2yr'!O63+'ASptISptSSv 2yr'!O63+'PLANT OPER MAIN 2yr'!O63+'SCHOLAR FELLOW 2yr'!O63+'All Other 2yr'!O63)-O63</f>
        <v>0</v>
      </c>
      <c r="AP63" s="130">
        <f>('INSTRUCTION-2YR'!P63+'RESEARCH 2yr'!P63+'PUBLIC SERVICE 2yr'!P63+'ASptISptSSv 2yr'!P63+'PLANT OPER MAIN 2yr'!P63+'SCHOLAR FELLOW 2yr'!P63+'All Other 2yr'!P63)-P63</f>
        <v>0</v>
      </c>
      <c r="AQ63" s="130">
        <f>('INSTRUCTION-2YR'!Q63+'RESEARCH 2yr'!Q63+'PUBLIC SERVICE 2yr'!Q63+'ASptISptSSv 2yr'!Q63+'PLANT OPER MAIN 2yr'!Q63+'SCHOLAR FELLOW 2yr'!Q63+'All Other 2yr'!Q63)-Q63</f>
        <v>0</v>
      </c>
      <c r="AR63" s="130">
        <f>('INSTRUCTION-2YR'!R63+'RESEARCH 2yr'!R63+'PUBLIC SERVICE 2yr'!R63+'ASptISptSSv 2yr'!R63+'PLANT OPER MAIN 2yr'!R63+'SCHOLAR FELLOW 2yr'!R63+'All Other 2yr'!R63)-R63</f>
        <v>0</v>
      </c>
      <c r="AS63" s="130">
        <f>('INSTRUCTION-2YR'!S63+'RESEARCH 2yr'!S63+'PUBLIC SERVICE 2yr'!S63+'ASptISptSSv 2yr'!S63+'PLANT OPER MAIN 2yr'!S63+'SCHOLAR FELLOW 2yr'!S63+'All Other 2yr'!S63)-S63</f>
        <v>0</v>
      </c>
      <c r="AT63" s="130">
        <f>('INSTRUCTION-2YR'!T63+'RESEARCH 2yr'!T63+'PUBLIC SERVICE 2yr'!T63+'ASptISptSSv 2yr'!T63+'PLANT OPER MAIN 2yr'!T63+'SCHOLAR FELLOW 2yr'!T63+'All Other 2yr'!T63)-T63</f>
        <v>0</v>
      </c>
      <c r="AU63" s="130">
        <f>('INSTRUCTION-2YR'!U63+'RESEARCH 2yr'!U63+'PUBLIC SERVICE 2yr'!U63+'ASptISptSSv 2yr'!U63+'PLANT OPER MAIN 2yr'!U63+'SCHOLAR FELLOW 2yr'!U63+'All Other 2yr'!U63)-U63</f>
        <v>0</v>
      </c>
      <c r="AV63" s="130">
        <f>('INSTRUCTION-2YR'!V63+'RESEARCH 2yr'!V63+'PUBLIC SERVICE 2yr'!V63+'ASptISptSSv 2yr'!V63+'PLANT OPER MAIN 2yr'!V63+'SCHOLAR FELLOW 2yr'!V63+'All Other 2yr'!V63)-V63</f>
        <v>0</v>
      </c>
      <c r="AW63" s="130">
        <f>('INSTRUCTION-2YR'!W63+'RESEARCH 2yr'!W63+'PUBLIC SERVICE 2yr'!W63+'ASptISptSSv 2yr'!W63+'PLANT OPER MAIN 2yr'!W63+'SCHOLAR FELLOW 2yr'!W63+'All Other 2yr'!W63)-W63</f>
        <v>0</v>
      </c>
      <c r="AX63" s="130">
        <f>('INSTRUCTION-2YR'!X63+'RESEARCH 2yr'!X63+'PUBLIC SERVICE 2yr'!X63+'ASptISptSSv 2yr'!X63+'PLANT OPER MAIN 2yr'!X63+'SCHOLAR FELLOW 2yr'!X63+'All Other 2yr'!X63)-X63</f>
        <v>0</v>
      </c>
      <c r="AY63" s="130">
        <f>('INSTRUCTION-2YR'!Y63+'RESEARCH 2yr'!Y63+'PUBLIC SERVICE 2yr'!Y63+'ASptISptSSv 2yr'!Y63+'PLANT OPER MAIN 2yr'!Y63+'SCHOLAR FELLOW 2yr'!Y63+'All Other 2yr'!Y63)-Y63</f>
        <v>0</v>
      </c>
      <c r="AZ63" s="130">
        <f>('INSTRUCTION-2YR'!Z63+'RESEARCH 2yr'!Z63+'PUBLIC SERVICE 2yr'!Z63+'ASptISptSSv 2yr'!Z63+'PLANT OPER MAIN 2yr'!Z63+'SCHOLAR FELLOW 2yr'!Z63+'All Other 2yr'!Z63)-Z63</f>
        <v>0</v>
      </c>
      <c r="BA63" s="130">
        <f>('INSTRUCTION-2YR'!AA63+'RESEARCH 2yr'!AA63+'PUBLIC SERVICE 2yr'!AA63+'ASptISptSSv 2yr'!AA63+'PLANT OPER MAIN 2yr'!AA63+'SCHOLAR FELLOW 2yr'!AA63+'All Other 2yr'!AA63)-AA63</f>
        <v>0</v>
      </c>
    </row>
    <row r="64" spans="1:53">
      <c r="A64" s="45" t="s">
        <v>114</v>
      </c>
      <c r="B64" s="63"/>
      <c r="C64" s="63"/>
      <c r="D64" s="63"/>
      <c r="E64" s="63"/>
      <c r="F64" s="82">
        <v>18297.302</v>
      </c>
      <c r="G64" s="63"/>
      <c r="H64" s="63"/>
      <c r="I64" s="63">
        <v>11530.64</v>
      </c>
      <c r="J64" s="63"/>
      <c r="K64" s="63">
        <v>13116.867</v>
      </c>
      <c r="L64" s="63">
        <v>15101.999</v>
      </c>
      <c r="M64" s="63">
        <v>16781.912</v>
      </c>
      <c r="N64" s="63">
        <v>19666.956999999999</v>
      </c>
      <c r="O64" s="63">
        <v>23052.178</v>
      </c>
      <c r="P64" s="63">
        <v>24998.733</v>
      </c>
      <c r="Q64" s="63">
        <v>25393.325000000001</v>
      </c>
      <c r="R64" s="63">
        <v>27042.739000000001</v>
      </c>
      <c r="S64" s="63">
        <v>27196.798999999999</v>
      </c>
      <c r="T64" s="45">
        <v>30164.835999999999</v>
      </c>
      <c r="U64" s="45">
        <v>63222.544000000002</v>
      </c>
      <c r="V64" s="45">
        <v>38165.300000000003</v>
      </c>
      <c r="W64" s="45">
        <v>43498.485000000001</v>
      </c>
      <c r="X64" s="45">
        <v>43787.678999999996</v>
      </c>
      <c r="Y64" s="45">
        <v>92902.747000000003</v>
      </c>
      <c r="Z64" s="45">
        <v>93057.210999999996</v>
      </c>
      <c r="AA64" s="45">
        <v>88721.207999999999</v>
      </c>
      <c r="AB64" s="130">
        <f>('INSTRUCTION-2YR'!B64+'RESEARCH 2yr'!B64+'PUBLIC SERVICE 2yr'!B64+'ASptISptSSv 2yr'!B64+'PLANT OPER MAIN 2yr'!B64+'SCHOLAR FELLOW 2yr'!B64+'All Other 2yr'!B64)-B64</f>
        <v>0</v>
      </c>
      <c r="AC64" s="130">
        <f>('INSTRUCTION-2YR'!C64+'RESEARCH 2yr'!C64+'PUBLIC SERVICE 2yr'!C64+'ASptISptSSv 2yr'!C64+'PLANT OPER MAIN 2yr'!C64+'SCHOLAR FELLOW 2yr'!C64+'All Other 2yr'!C64)-C64</f>
        <v>0</v>
      </c>
      <c r="AD64" s="130">
        <f>('INSTRUCTION-2YR'!D64+'RESEARCH 2yr'!D64+'PUBLIC SERVICE 2yr'!D64+'ASptISptSSv 2yr'!D64+'PLANT OPER MAIN 2yr'!D64+'SCHOLAR FELLOW 2yr'!D64+'All Other 2yr'!D64)-D64</f>
        <v>0</v>
      </c>
      <c r="AE64" s="130">
        <f>('INSTRUCTION-2YR'!E64+'RESEARCH 2yr'!E64+'PUBLIC SERVICE 2yr'!E64+'ASptISptSSv 2yr'!E64+'PLANT OPER MAIN 2yr'!E64+'SCHOLAR FELLOW 2yr'!E64+'All Other 2yr'!E64)-E64</f>
        <v>0</v>
      </c>
      <c r="AF64" s="130">
        <f>('INSTRUCTION-2YR'!F64+'RESEARCH 2yr'!F64+'PUBLIC SERVICE 2yr'!F64+'ASptISptSSv 2yr'!F64+'PLANT OPER MAIN 2yr'!F64+'SCHOLAR FELLOW 2yr'!F64+'All Other 2yr'!F64)-F64</f>
        <v>0</v>
      </c>
      <c r="AG64" s="130">
        <f>('INSTRUCTION-2YR'!G64+'RESEARCH 2yr'!G64+'PUBLIC SERVICE 2yr'!G64+'ASptISptSSv 2yr'!G64+'PLANT OPER MAIN 2yr'!G64+'SCHOLAR FELLOW 2yr'!G64+'All Other 2yr'!G64)-G64</f>
        <v>0</v>
      </c>
      <c r="AH64" s="130">
        <f>('INSTRUCTION-2YR'!H64+'RESEARCH 2yr'!H64+'PUBLIC SERVICE 2yr'!H64+'ASptISptSSv 2yr'!H64+'PLANT OPER MAIN 2yr'!H64+'SCHOLAR FELLOW 2yr'!H64+'All Other 2yr'!H64)-H64</f>
        <v>0</v>
      </c>
      <c r="AI64" s="130">
        <f>('INSTRUCTION-2YR'!I64+'RESEARCH 2yr'!I64+'PUBLIC SERVICE 2yr'!I64+'ASptISptSSv 2yr'!I64+'PLANT OPER MAIN 2yr'!I64+'SCHOLAR FELLOW 2yr'!I64+'All Other 2yr'!I64)-I64</f>
        <v>0</v>
      </c>
      <c r="AJ64" s="130">
        <f>('INSTRUCTION-2YR'!J64+'RESEARCH 2yr'!J64+'PUBLIC SERVICE 2yr'!J64+'ASptISptSSv 2yr'!J64+'PLANT OPER MAIN 2yr'!J64+'SCHOLAR FELLOW 2yr'!J64+'All Other 2yr'!J64)-J64</f>
        <v>0</v>
      </c>
      <c r="AK64" s="130">
        <f>('INSTRUCTION-2YR'!K64+'RESEARCH 2yr'!K64+'PUBLIC SERVICE 2yr'!K64+'ASptISptSSv 2yr'!K64+'PLANT OPER MAIN 2yr'!K64+'SCHOLAR FELLOW 2yr'!K64+'All Other 2yr'!K64)-K64</f>
        <v>0</v>
      </c>
      <c r="AL64" s="130">
        <f>('INSTRUCTION-2YR'!L64+'RESEARCH 2yr'!L64+'PUBLIC SERVICE 2yr'!L64+'ASptISptSSv 2yr'!L64+'PLANT OPER MAIN 2yr'!L64+'SCHOLAR FELLOW 2yr'!L64+'All Other 2yr'!L64)-L64</f>
        <v>0</v>
      </c>
      <c r="AM64" s="130">
        <f>('INSTRUCTION-2YR'!M64+'RESEARCH 2yr'!M64+'PUBLIC SERVICE 2yr'!M64+'ASptISptSSv 2yr'!M64+'PLANT OPER MAIN 2yr'!M64+'SCHOLAR FELLOW 2yr'!M64+'All Other 2yr'!M64)-M64</f>
        <v>0</v>
      </c>
      <c r="AN64" s="130">
        <f>('INSTRUCTION-2YR'!N64+'RESEARCH 2yr'!N64+'PUBLIC SERVICE 2yr'!N64+'ASptISptSSv 2yr'!N64+'PLANT OPER MAIN 2yr'!N64+'SCHOLAR FELLOW 2yr'!N64+'All Other 2yr'!N64)-N64</f>
        <v>0</v>
      </c>
      <c r="AO64" s="130">
        <f>('INSTRUCTION-2YR'!O64+'RESEARCH 2yr'!O64+'PUBLIC SERVICE 2yr'!O64+'ASptISptSSv 2yr'!O64+'PLANT OPER MAIN 2yr'!O64+'SCHOLAR FELLOW 2yr'!O64+'All Other 2yr'!O64)-O64</f>
        <v>0</v>
      </c>
      <c r="AP64" s="130">
        <f>('INSTRUCTION-2YR'!P64+'RESEARCH 2yr'!P64+'PUBLIC SERVICE 2yr'!P64+'ASptISptSSv 2yr'!P64+'PLANT OPER MAIN 2yr'!P64+'SCHOLAR FELLOW 2yr'!P64+'All Other 2yr'!P64)-P64</f>
        <v>0</v>
      </c>
      <c r="AQ64" s="130">
        <f>('INSTRUCTION-2YR'!Q64+'RESEARCH 2yr'!Q64+'PUBLIC SERVICE 2yr'!Q64+'ASptISptSSv 2yr'!Q64+'PLANT OPER MAIN 2yr'!Q64+'SCHOLAR FELLOW 2yr'!Q64+'All Other 2yr'!Q64)-Q64</f>
        <v>0</v>
      </c>
      <c r="AR64" s="130">
        <f>('INSTRUCTION-2YR'!R64+'RESEARCH 2yr'!R64+'PUBLIC SERVICE 2yr'!R64+'ASptISptSSv 2yr'!R64+'PLANT OPER MAIN 2yr'!R64+'SCHOLAR FELLOW 2yr'!R64+'All Other 2yr'!R64)-R64</f>
        <v>0</v>
      </c>
      <c r="AS64" s="130">
        <f>('INSTRUCTION-2YR'!S64+'RESEARCH 2yr'!S64+'PUBLIC SERVICE 2yr'!S64+'ASptISptSSv 2yr'!S64+'PLANT OPER MAIN 2yr'!S64+'SCHOLAR FELLOW 2yr'!S64+'All Other 2yr'!S64)-S64</f>
        <v>0</v>
      </c>
      <c r="AT64" s="130">
        <f>('INSTRUCTION-2YR'!T64+'RESEARCH 2yr'!T64+'PUBLIC SERVICE 2yr'!T64+'ASptISptSSv 2yr'!T64+'PLANT OPER MAIN 2yr'!T64+'SCHOLAR FELLOW 2yr'!T64+'All Other 2yr'!T64)-T64</f>
        <v>0</v>
      </c>
      <c r="AU64" s="130">
        <f>('INSTRUCTION-2YR'!U64+'RESEARCH 2yr'!U64+'PUBLIC SERVICE 2yr'!U64+'ASptISptSSv 2yr'!U64+'PLANT OPER MAIN 2yr'!U64+'SCHOLAR FELLOW 2yr'!U64+'All Other 2yr'!U64)-U64</f>
        <v>0</v>
      </c>
      <c r="AV64" s="130">
        <f>('INSTRUCTION-2YR'!V64+'RESEARCH 2yr'!V64+'PUBLIC SERVICE 2yr'!V64+'ASptISptSSv 2yr'!V64+'PLANT OPER MAIN 2yr'!V64+'SCHOLAR FELLOW 2yr'!V64+'All Other 2yr'!V64)-V64</f>
        <v>0</v>
      </c>
      <c r="AW64" s="130">
        <f>('INSTRUCTION-2YR'!W64+'RESEARCH 2yr'!W64+'PUBLIC SERVICE 2yr'!W64+'ASptISptSSv 2yr'!W64+'PLANT OPER MAIN 2yr'!W64+'SCHOLAR FELLOW 2yr'!W64+'All Other 2yr'!W64)-W64</f>
        <v>0</v>
      </c>
      <c r="AX64" s="130">
        <f>('INSTRUCTION-2YR'!X64+'RESEARCH 2yr'!X64+'PUBLIC SERVICE 2yr'!X64+'ASptISptSSv 2yr'!X64+'PLANT OPER MAIN 2yr'!X64+'SCHOLAR FELLOW 2yr'!X64+'All Other 2yr'!X64)-X64</f>
        <v>0</v>
      </c>
      <c r="AY64" s="130">
        <f>('INSTRUCTION-2YR'!Y64+'RESEARCH 2yr'!Y64+'PUBLIC SERVICE 2yr'!Y64+'ASptISptSSv 2yr'!Y64+'PLANT OPER MAIN 2yr'!Y64+'SCHOLAR FELLOW 2yr'!Y64+'All Other 2yr'!Y64)-Y64</f>
        <v>0</v>
      </c>
      <c r="AZ64" s="130">
        <f>('INSTRUCTION-2YR'!Z64+'RESEARCH 2yr'!Z64+'PUBLIC SERVICE 2yr'!Z64+'ASptISptSSv 2yr'!Z64+'PLANT OPER MAIN 2yr'!Z64+'SCHOLAR FELLOW 2yr'!Z64+'All Other 2yr'!Z64)-Z64</f>
        <v>0</v>
      </c>
      <c r="BA64" s="130">
        <f>('INSTRUCTION-2YR'!AA64+'RESEARCH 2yr'!AA64+'PUBLIC SERVICE 2yr'!AA64+'ASptISptSSv 2yr'!AA64+'PLANT OPER MAIN 2yr'!AA64+'SCHOLAR FELLOW 2yr'!AA64+'All Other 2yr'!AA64)-AA64</f>
        <v>0</v>
      </c>
    </row>
    <row r="65" spans="1:53">
      <c r="A65" s="88" t="s">
        <v>90</v>
      </c>
      <c r="B65" s="84"/>
      <c r="C65" s="84"/>
      <c r="D65" s="84"/>
      <c r="E65" s="84"/>
      <c r="F65" s="85">
        <v>0</v>
      </c>
      <c r="G65" s="84"/>
      <c r="H65" s="84"/>
      <c r="I65" s="86">
        <v>0</v>
      </c>
      <c r="J65" s="86"/>
      <c r="K65" s="86">
        <v>0</v>
      </c>
      <c r="L65" s="86">
        <v>0</v>
      </c>
      <c r="M65" s="86">
        <v>0</v>
      </c>
      <c r="N65" s="86">
        <v>0</v>
      </c>
      <c r="O65" s="86">
        <v>0</v>
      </c>
      <c r="P65" s="86">
        <v>0</v>
      </c>
      <c r="Q65" s="86">
        <v>0</v>
      </c>
      <c r="R65" s="86">
        <v>0</v>
      </c>
      <c r="S65" s="86">
        <v>0</v>
      </c>
      <c r="T65" s="87">
        <v>0</v>
      </c>
      <c r="U65" s="87">
        <v>0</v>
      </c>
      <c r="V65" s="87">
        <v>0</v>
      </c>
      <c r="W65" s="87">
        <v>0</v>
      </c>
      <c r="X65" s="45"/>
      <c r="Y65" s="45"/>
      <c r="Z65" s="45"/>
      <c r="AA65" s="45"/>
      <c r="AB65" s="130">
        <f>('INSTRUCTION-2YR'!B65+'RESEARCH 2yr'!B65+'PUBLIC SERVICE 2yr'!B65+'ASptISptSSv 2yr'!B65+'PLANT OPER MAIN 2yr'!B65+'SCHOLAR FELLOW 2yr'!B65+'All Other 2yr'!B65)-B65</f>
        <v>0</v>
      </c>
      <c r="AC65" s="130">
        <f>('INSTRUCTION-2YR'!C65+'RESEARCH 2yr'!C65+'PUBLIC SERVICE 2yr'!C65+'ASptISptSSv 2yr'!C65+'PLANT OPER MAIN 2yr'!C65+'SCHOLAR FELLOW 2yr'!C65+'All Other 2yr'!C65)-C65</f>
        <v>0</v>
      </c>
      <c r="AD65" s="130">
        <f>('INSTRUCTION-2YR'!D65+'RESEARCH 2yr'!D65+'PUBLIC SERVICE 2yr'!D65+'ASptISptSSv 2yr'!D65+'PLANT OPER MAIN 2yr'!D65+'SCHOLAR FELLOW 2yr'!D65+'All Other 2yr'!D65)-D65</f>
        <v>0</v>
      </c>
      <c r="AE65" s="130">
        <f>('INSTRUCTION-2YR'!E65+'RESEARCH 2yr'!E65+'PUBLIC SERVICE 2yr'!E65+'ASptISptSSv 2yr'!E65+'PLANT OPER MAIN 2yr'!E65+'SCHOLAR FELLOW 2yr'!E65+'All Other 2yr'!E65)-E65</f>
        <v>0</v>
      </c>
      <c r="AF65" s="130">
        <f>('INSTRUCTION-2YR'!F65+'RESEARCH 2yr'!F65+'PUBLIC SERVICE 2yr'!F65+'ASptISptSSv 2yr'!F65+'PLANT OPER MAIN 2yr'!F65+'SCHOLAR FELLOW 2yr'!F65+'All Other 2yr'!F65)-F65</f>
        <v>0</v>
      </c>
      <c r="AG65" s="130">
        <f>('INSTRUCTION-2YR'!G65+'RESEARCH 2yr'!G65+'PUBLIC SERVICE 2yr'!G65+'ASptISptSSv 2yr'!G65+'PLANT OPER MAIN 2yr'!G65+'SCHOLAR FELLOW 2yr'!G65+'All Other 2yr'!G65)-G65</f>
        <v>0</v>
      </c>
      <c r="AH65" s="130">
        <f>('INSTRUCTION-2YR'!H65+'RESEARCH 2yr'!H65+'PUBLIC SERVICE 2yr'!H65+'ASptISptSSv 2yr'!H65+'PLANT OPER MAIN 2yr'!H65+'SCHOLAR FELLOW 2yr'!H65+'All Other 2yr'!H65)-H65</f>
        <v>0</v>
      </c>
      <c r="AI65" s="130">
        <f>('INSTRUCTION-2YR'!I65+'RESEARCH 2yr'!I65+'PUBLIC SERVICE 2yr'!I65+'ASptISptSSv 2yr'!I65+'PLANT OPER MAIN 2yr'!I65+'SCHOLAR FELLOW 2yr'!I65+'All Other 2yr'!I65)-I65</f>
        <v>0</v>
      </c>
      <c r="AJ65" s="130">
        <f>('INSTRUCTION-2YR'!J65+'RESEARCH 2yr'!J65+'PUBLIC SERVICE 2yr'!J65+'ASptISptSSv 2yr'!J65+'PLANT OPER MAIN 2yr'!J65+'SCHOLAR FELLOW 2yr'!J65+'All Other 2yr'!J65)-J65</f>
        <v>0</v>
      </c>
      <c r="AK65" s="130">
        <f>('INSTRUCTION-2YR'!K65+'RESEARCH 2yr'!K65+'PUBLIC SERVICE 2yr'!K65+'ASptISptSSv 2yr'!K65+'PLANT OPER MAIN 2yr'!K65+'SCHOLAR FELLOW 2yr'!K65+'All Other 2yr'!K65)-K65</f>
        <v>0</v>
      </c>
      <c r="AL65" s="130">
        <f>('INSTRUCTION-2YR'!L65+'RESEARCH 2yr'!L65+'PUBLIC SERVICE 2yr'!L65+'ASptISptSSv 2yr'!L65+'PLANT OPER MAIN 2yr'!L65+'SCHOLAR FELLOW 2yr'!L65+'All Other 2yr'!L65)-L65</f>
        <v>0</v>
      </c>
      <c r="AM65" s="130">
        <f>('INSTRUCTION-2YR'!M65+'RESEARCH 2yr'!M65+'PUBLIC SERVICE 2yr'!M65+'ASptISptSSv 2yr'!M65+'PLANT OPER MAIN 2yr'!M65+'SCHOLAR FELLOW 2yr'!M65+'All Other 2yr'!M65)-M65</f>
        <v>0</v>
      </c>
      <c r="AN65" s="130">
        <f>('INSTRUCTION-2YR'!N65+'RESEARCH 2yr'!N65+'PUBLIC SERVICE 2yr'!N65+'ASptISptSSv 2yr'!N65+'PLANT OPER MAIN 2yr'!N65+'SCHOLAR FELLOW 2yr'!N65+'All Other 2yr'!N65)-N65</f>
        <v>0</v>
      </c>
      <c r="AO65" s="130">
        <f>('INSTRUCTION-2YR'!O65+'RESEARCH 2yr'!O65+'PUBLIC SERVICE 2yr'!O65+'ASptISptSSv 2yr'!O65+'PLANT OPER MAIN 2yr'!O65+'SCHOLAR FELLOW 2yr'!O65+'All Other 2yr'!O65)-O65</f>
        <v>0</v>
      </c>
      <c r="AP65" s="130">
        <f>('INSTRUCTION-2YR'!P65+'RESEARCH 2yr'!P65+'PUBLIC SERVICE 2yr'!P65+'ASptISptSSv 2yr'!P65+'PLANT OPER MAIN 2yr'!P65+'SCHOLAR FELLOW 2yr'!P65+'All Other 2yr'!P65)-P65</f>
        <v>0</v>
      </c>
      <c r="AQ65" s="130">
        <f>('INSTRUCTION-2YR'!Q65+'RESEARCH 2yr'!Q65+'PUBLIC SERVICE 2yr'!Q65+'ASptISptSSv 2yr'!Q65+'PLANT OPER MAIN 2yr'!Q65+'SCHOLAR FELLOW 2yr'!Q65+'All Other 2yr'!Q65)-Q65</f>
        <v>0</v>
      </c>
      <c r="AR65" s="130">
        <f>('INSTRUCTION-2YR'!R65+'RESEARCH 2yr'!R65+'PUBLIC SERVICE 2yr'!R65+'ASptISptSSv 2yr'!R65+'PLANT OPER MAIN 2yr'!R65+'SCHOLAR FELLOW 2yr'!R65+'All Other 2yr'!R65)-R65</f>
        <v>0</v>
      </c>
      <c r="AS65" s="130">
        <f>('INSTRUCTION-2YR'!S65+'RESEARCH 2yr'!S65+'PUBLIC SERVICE 2yr'!S65+'ASptISptSSv 2yr'!S65+'PLANT OPER MAIN 2yr'!S65+'SCHOLAR FELLOW 2yr'!S65+'All Other 2yr'!S65)-S65</f>
        <v>0</v>
      </c>
      <c r="AT65" s="130">
        <f>('INSTRUCTION-2YR'!T65+'RESEARCH 2yr'!T65+'PUBLIC SERVICE 2yr'!T65+'ASptISptSSv 2yr'!T65+'PLANT OPER MAIN 2yr'!T65+'SCHOLAR FELLOW 2yr'!T65+'All Other 2yr'!T65)-T65</f>
        <v>0</v>
      </c>
      <c r="AU65" s="130">
        <f>('INSTRUCTION-2YR'!U65+'RESEARCH 2yr'!U65+'PUBLIC SERVICE 2yr'!U65+'ASptISptSSv 2yr'!U65+'PLANT OPER MAIN 2yr'!U65+'SCHOLAR FELLOW 2yr'!U65+'All Other 2yr'!U65)-U65</f>
        <v>0</v>
      </c>
      <c r="AV65" s="130">
        <f>('INSTRUCTION-2YR'!V65+'RESEARCH 2yr'!V65+'PUBLIC SERVICE 2yr'!V65+'ASptISptSSv 2yr'!V65+'PLANT OPER MAIN 2yr'!V65+'SCHOLAR FELLOW 2yr'!V65+'All Other 2yr'!V65)-V65</f>
        <v>0</v>
      </c>
      <c r="AW65" s="130">
        <f>('INSTRUCTION-2YR'!W65+'RESEARCH 2yr'!W65+'PUBLIC SERVICE 2yr'!W65+'ASptISptSSv 2yr'!W65+'PLANT OPER MAIN 2yr'!W65+'SCHOLAR FELLOW 2yr'!W65+'All Other 2yr'!W65)-W65</f>
        <v>0</v>
      </c>
      <c r="AX65" s="130">
        <f>('INSTRUCTION-2YR'!X65+'RESEARCH 2yr'!X65+'PUBLIC SERVICE 2yr'!X65+'ASptISptSSv 2yr'!X65+'PLANT OPER MAIN 2yr'!X65+'SCHOLAR FELLOW 2yr'!X65+'All Other 2yr'!X65)-X65</f>
        <v>0</v>
      </c>
      <c r="AY65" s="130">
        <f>('INSTRUCTION-2YR'!Y65+'RESEARCH 2yr'!Y65+'PUBLIC SERVICE 2yr'!Y65+'ASptISptSSv 2yr'!Y65+'PLANT OPER MAIN 2yr'!Y65+'SCHOLAR FELLOW 2yr'!Y65+'All Other 2yr'!Y65)-Y65</f>
        <v>0</v>
      </c>
      <c r="AZ65" s="130">
        <f>('INSTRUCTION-2YR'!Z65+'RESEARCH 2yr'!Z65+'PUBLIC SERVICE 2yr'!Z65+'ASptISptSSv 2yr'!Z65+'PLANT OPER MAIN 2yr'!Z65+'SCHOLAR FELLOW 2yr'!Z65+'All Other 2yr'!Z65)-Z65</f>
        <v>0</v>
      </c>
      <c r="BA65" s="130">
        <f>('INSTRUCTION-2YR'!AA65+'RESEARCH 2yr'!AA65+'PUBLIC SERVICE 2yr'!AA65+'ASptISptSSv 2yr'!AA65+'PLANT OPER MAIN 2yr'!AA65+'SCHOLAR FELLOW 2yr'!AA65+'All Other 2yr'!AA65)-AA65</f>
        <v>0</v>
      </c>
    </row>
    <row r="67" spans="1:53">
      <c r="E67" s="13" t="s">
        <v>41</v>
      </c>
      <c r="I67" s="34" t="s">
        <v>78</v>
      </c>
      <c r="J67" s="34" t="s">
        <v>76</v>
      </c>
      <c r="K67" s="34"/>
      <c r="L67" s="34" t="s">
        <v>69</v>
      </c>
      <c r="M67" s="34"/>
      <c r="N67" s="34"/>
      <c r="O67" s="34" t="s">
        <v>78</v>
      </c>
      <c r="P67" s="34" t="s">
        <v>78</v>
      </c>
      <c r="Q67" s="34" t="s">
        <v>78</v>
      </c>
      <c r="R67" s="34" t="s">
        <v>78</v>
      </c>
      <c r="S67" s="34"/>
      <c r="T67" s="34"/>
      <c r="U67" s="34"/>
      <c r="V67" s="34"/>
      <c r="W67" s="34"/>
      <c r="X67" s="34"/>
      <c r="Y67" s="34"/>
      <c r="Z67" s="34"/>
      <c r="AA67" s="34"/>
    </row>
    <row r="68" spans="1:53">
      <c r="I68" s="14" t="s">
        <v>79</v>
      </c>
      <c r="J68" s="14" t="s">
        <v>72</v>
      </c>
      <c r="L68" s="14" t="s">
        <v>70</v>
      </c>
      <c r="O68" s="14" t="s">
        <v>79</v>
      </c>
      <c r="P68" s="14" t="s">
        <v>79</v>
      </c>
      <c r="Q68" s="14" t="s">
        <v>79</v>
      </c>
      <c r="R68" s="14" t="s">
        <v>79</v>
      </c>
    </row>
    <row r="69" spans="1:53">
      <c r="I69" s="14" t="s">
        <v>80</v>
      </c>
      <c r="J69" s="14" t="s">
        <v>73</v>
      </c>
      <c r="O69" s="14" t="s">
        <v>80</v>
      </c>
      <c r="P69" s="14" t="s">
        <v>80</v>
      </c>
      <c r="Q69" s="14" t="s">
        <v>80</v>
      </c>
      <c r="R69" s="14" t="s">
        <v>80</v>
      </c>
    </row>
    <row r="70" spans="1:53">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8"/>
  </sheetPr>
  <dimension ref="A1:AA70"/>
  <sheetViews>
    <sheetView zoomScale="80" zoomScaleNormal="80" workbookViewId="0">
      <pane xSplit="1" ySplit="5" topLeftCell="D6" activePane="bottomRight" state="frozen"/>
      <selection activeCell="B52" sqref="B52"/>
      <selection pane="topRight" activeCell="B52" sqref="B52"/>
      <selection pane="bottomLeft" activeCell="B52" sqref="B52"/>
      <selection pane="bottomRight" activeCell="AA27" sqref="AA27"/>
    </sheetView>
  </sheetViews>
  <sheetFormatPr defaultColWidth="9.7109375" defaultRowHeight="12.75"/>
  <cols>
    <col min="1" max="1" width="23.42578125" style="80" customWidth="1"/>
    <col min="2" max="19" width="12.42578125" style="14" customWidth="1"/>
    <col min="20" max="23" width="12.42578125" style="2" customWidth="1"/>
    <col min="24" max="24" width="11.5703125" style="2" bestFit="1" customWidth="1"/>
    <col min="25" max="25" width="14.42578125" style="2" bestFit="1" customWidth="1"/>
    <col min="26" max="27" width="14.42578125" style="2" customWidth="1"/>
    <col min="28" max="16384" width="9.7109375" style="2"/>
  </cols>
  <sheetData>
    <row r="1" spans="1:27">
      <c r="A1" s="8" t="s">
        <v>81</v>
      </c>
      <c r="B1" s="13"/>
      <c r="C1" s="13"/>
      <c r="D1" s="12"/>
      <c r="E1" s="12"/>
      <c r="F1" s="13"/>
      <c r="G1" s="13"/>
      <c r="H1" s="13"/>
    </row>
    <row r="2" spans="1:27">
      <c r="A2" s="1"/>
      <c r="B2" s="13"/>
      <c r="C2" s="13"/>
      <c r="D2" s="13"/>
      <c r="E2" s="13"/>
      <c r="F2" s="13"/>
      <c r="G2" s="13"/>
      <c r="H2" s="13"/>
    </row>
    <row r="3" spans="1:27">
      <c r="A3" s="1" t="s">
        <v>45</v>
      </c>
      <c r="B3" s="13"/>
      <c r="C3" s="13"/>
      <c r="D3" s="12"/>
      <c r="E3" s="12"/>
      <c r="F3" s="12"/>
      <c r="G3" s="13"/>
      <c r="H3" s="13"/>
    </row>
    <row r="4" spans="1:27" s="61"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74">
        <v>2005</v>
      </c>
      <c r="R4" s="74">
        <v>2006</v>
      </c>
      <c r="S4" s="74">
        <v>2007</v>
      </c>
      <c r="T4" s="74">
        <v>2008</v>
      </c>
      <c r="U4" s="74">
        <v>2009</v>
      </c>
      <c r="V4" s="74">
        <v>2010</v>
      </c>
      <c r="W4" s="74">
        <v>2011</v>
      </c>
      <c r="X4" s="173" t="s">
        <v>142</v>
      </c>
      <c r="Y4" s="173" t="s">
        <v>144</v>
      </c>
      <c r="Z4" s="173" t="s">
        <v>145</v>
      </c>
      <c r="AA4" s="173" t="s">
        <v>146</v>
      </c>
    </row>
    <row r="5" spans="1:27">
      <c r="B5" s="15" t="s">
        <v>82</v>
      </c>
      <c r="C5" s="15" t="s">
        <v>82</v>
      </c>
      <c r="D5" s="15" t="s">
        <v>82</v>
      </c>
      <c r="E5" s="15" t="s">
        <v>82</v>
      </c>
      <c r="F5" s="15" t="s">
        <v>82</v>
      </c>
      <c r="G5" s="15" t="s">
        <v>82</v>
      </c>
      <c r="H5" s="15" t="s">
        <v>82</v>
      </c>
      <c r="I5" s="15" t="s">
        <v>82</v>
      </c>
      <c r="J5" s="15" t="s">
        <v>82</v>
      </c>
      <c r="K5" s="15" t="s">
        <v>82</v>
      </c>
      <c r="L5" s="15" t="s">
        <v>82</v>
      </c>
      <c r="M5" s="15" t="s">
        <v>82</v>
      </c>
      <c r="N5" s="15" t="s">
        <v>82</v>
      </c>
      <c r="O5" s="15" t="s">
        <v>82</v>
      </c>
      <c r="P5" s="15" t="s">
        <v>82</v>
      </c>
      <c r="Q5" s="15" t="s">
        <v>82</v>
      </c>
      <c r="R5" s="15" t="s">
        <v>82</v>
      </c>
      <c r="S5" s="15" t="s">
        <v>82</v>
      </c>
      <c r="T5" s="15" t="s">
        <v>82</v>
      </c>
      <c r="U5" s="15" t="s">
        <v>82</v>
      </c>
      <c r="V5" s="15" t="s">
        <v>82</v>
      </c>
      <c r="W5" s="15" t="s">
        <v>82</v>
      </c>
      <c r="X5" s="2" t="s">
        <v>143</v>
      </c>
      <c r="Y5" s="15" t="s">
        <v>82</v>
      </c>
      <c r="Z5" s="15" t="s">
        <v>82</v>
      </c>
      <c r="AA5" s="15" t="s">
        <v>82</v>
      </c>
    </row>
    <row r="6" spans="1:27" s="23" customFormat="1">
      <c r="A6" s="63" t="s">
        <v>118</v>
      </c>
      <c r="B6" s="66">
        <f>5592407+8518129</f>
        <v>14110536</v>
      </c>
      <c r="C6" s="66">
        <f>6092470+9376319</f>
        <v>15468789</v>
      </c>
      <c r="D6" s="66">
        <f>6583758+10176035</f>
        <v>16759793</v>
      </c>
      <c r="E6" s="66">
        <v>23504947.074000001</v>
      </c>
      <c r="F6" s="91">
        <f>+F7+F25+F40+F54+F65</f>
        <v>23973574.332999997</v>
      </c>
      <c r="G6" s="66">
        <v>25283425.030999999</v>
      </c>
      <c r="H6" s="66">
        <v>26269274.958999999</v>
      </c>
      <c r="I6" s="91">
        <f>+I7+I25+I40+I54+I65</f>
        <v>27374055.660000004</v>
      </c>
      <c r="J6" s="63">
        <v>28531591.208999999</v>
      </c>
      <c r="K6" s="91">
        <f t="shared" ref="K6:U6" si="0">+K7+K25+K40+K54+K65</f>
        <v>29983873.957090002</v>
      </c>
      <c r="L6" s="91">
        <f t="shared" si="0"/>
        <v>34396391.364</v>
      </c>
      <c r="M6" s="91">
        <f t="shared" si="0"/>
        <v>36521752.212000005</v>
      </c>
      <c r="N6" s="91">
        <f t="shared" si="0"/>
        <v>37665779.549999997</v>
      </c>
      <c r="O6" s="91">
        <f t="shared" si="0"/>
        <v>38818059.660000004</v>
      </c>
      <c r="P6" s="91">
        <f t="shared" si="0"/>
        <v>39992241.469999999</v>
      </c>
      <c r="Q6" s="91">
        <f t="shared" si="0"/>
        <v>43172202.924000002</v>
      </c>
      <c r="R6" s="91">
        <f t="shared" si="0"/>
        <v>45226828.245999999</v>
      </c>
      <c r="S6" s="91">
        <f t="shared" si="0"/>
        <v>48395749.437000006</v>
      </c>
      <c r="T6" s="91">
        <f t="shared" si="0"/>
        <v>53220816.711000003</v>
      </c>
      <c r="U6" s="91">
        <f t="shared" si="0"/>
        <v>51623999.414000005</v>
      </c>
      <c r="V6" s="91">
        <f t="shared" ref="V6:W6" si="1">+V7+V25+V40+V54+V65</f>
        <v>62119095.990000002</v>
      </c>
      <c r="W6" s="91">
        <f t="shared" si="1"/>
        <v>64807541.956999995</v>
      </c>
      <c r="X6" s="91">
        <f t="shared" ref="X6:Y6" si="2">+X7+X25+X40+X54+X65</f>
        <v>66721318.760999992</v>
      </c>
      <c r="Y6" s="91">
        <f t="shared" si="2"/>
        <v>66233427.222999997</v>
      </c>
      <c r="Z6" s="91">
        <f t="shared" ref="Z6:AA6" si="3">+Z7+Z25+Z40+Z54+Z65</f>
        <v>69883075.885000005</v>
      </c>
      <c r="AA6" s="91">
        <f t="shared" si="3"/>
        <v>72845695.813999996</v>
      </c>
    </row>
    <row r="7" spans="1:27" s="23" customFormat="1">
      <c r="A7" s="22" t="s">
        <v>56</v>
      </c>
      <c r="B7" s="89">
        <f>SUM(B8:B24)</f>
        <v>4695176</v>
      </c>
      <c r="C7" s="89">
        <f t="shared" ref="C7:U7" si="4">SUM(C8:C24)</f>
        <v>5128435</v>
      </c>
      <c r="D7" s="89">
        <f t="shared" si="4"/>
        <v>5599541</v>
      </c>
      <c r="E7" s="89">
        <f t="shared" si="4"/>
        <v>7898921.7359999996</v>
      </c>
      <c r="F7" s="89">
        <f t="shared" si="4"/>
        <v>8187436.358</v>
      </c>
      <c r="G7" s="89">
        <f t="shared" si="4"/>
        <v>8611500.2270000018</v>
      </c>
      <c r="H7" s="89">
        <f t="shared" si="4"/>
        <v>9115637.4600000009</v>
      </c>
      <c r="I7" s="89">
        <f t="shared" si="4"/>
        <v>9847287.8120000008</v>
      </c>
      <c r="J7" s="89">
        <f t="shared" si="4"/>
        <v>10252258.5</v>
      </c>
      <c r="K7" s="89">
        <f t="shared" si="4"/>
        <v>10795681.562000001</v>
      </c>
      <c r="L7" s="89">
        <f t="shared" si="4"/>
        <v>12651169.493999999</v>
      </c>
      <c r="M7" s="89">
        <f t="shared" si="4"/>
        <v>13583506.869000001</v>
      </c>
      <c r="N7" s="89">
        <f t="shared" si="4"/>
        <v>14144502.220000001</v>
      </c>
      <c r="O7" s="89">
        <f t="shared" si="4"/>
        <v>15019959.209999999</v>
      </c>
      <c r="P7" s="89">
        <f t="shared" si="4"/>
        <v>15441010.987</v>
      </c>
      <c r="Q7" s="89">
        <f t="shared" si="4"/>
        <v>16569644.872000001</v>
      </c>
      <c r="R7" s="89">
        <f t="shared" si="4"/>
        <v>17327303.039000001</v>
      </c>
      <c r="S7" s="89">
        <f t="shared" si="4"/>
        <v>18426431.784000006</v>
      </c>
      <c r="T7" s="89">
        <f t="shared" si="4"/>
        <v>20097381.867000002</v>
      </c>
      <c r="U7" s="89">
        <f t="shared" si="4"/>
        <v>17802704.088000003</v>
      </c>
      <c r="V7" s="89">
        <f t="shared" ref="V7:W7" si="5">SUM(V8:V24)</f>
        <v>23590918.865000002</v>
      </c>
      <c r="W7" s="89">
        <f t="shared" si="5"/>
        <v>24542660.433999997</v>
      </c>
      <c r="X7" s="89">
        <f t="shared" ref="X7:Y7" si="6">SUM(X8:X24)</f>
        <v>25069225.629999999</v>
      </c>
      <c r="Y7" s="89">
        <f t="shared" si="6"/>
        <v>23414959.628000002</v>
      </c>
      <c r="Z7" s="89">
        <f t="shared" ref="Z7:AA7" si="7">SUM(Z8:Z24)</f>
        <v>24800882.789000001</v>
      </c>
      <c r="AA7" s="89">
        <f t="shared" si="7"/>
        <v>25572404.433999997</v>
      </c>
    </row>
    <row r="8" spans="1:27">
      <c r="A8" s="79" t="s">
        <v>119</v>
      </c>
    </row>
    <row r="9" spans="1:27">
      <c r="A9" s="22" t="s">
        <v>3</v>
      </c>
      <c r="B9" s="13">
        <f>94019+181676</f>
        <v>275695</v>
      </c>
      <c r="C9" s="13">
        <f>101026+200625</f>
        <v>301651</v>
      </c>
      <c r="D9" s="13">
        <f>112026+214231</f>
        <v>326257</v>
      </c>
      <c r="E9" s="13">
        <v>434625.43400000001</v>
      </c>
      <c r="F9" s="76">
        <v>440548.342</v>
      </c>
      <c r="G9" s="13">
        <v>481656.12599999999</v>
      </c>
      <c r="H9" s="13">
        <v>531548.06000000006</v>
      </c>
      <c r="I9" s="13">
        <v>562658.82700000005</v>
      </c>
      <c r="J9" s="13">
        <v>539398.96400000004</v>
      </c>
      <c r="K9" s="13">
        <v>555973.09100000001</v>
      </c>
      <c r="L9" s="14">
        <v>639776.272</v>
      </c>
      <c r="M9" s="14">
        <v>680321.02</v>
      </c>
      <c r="N9" s="14">
        <v>726244.45</v>
      </c>
      <c r="O9" s="14">
        <v>778571.87600000005</v>
      </c>
      <c r="P9" s="14">
        <v>802169.59400000004</v>
      </c>
      <c r="Q9" s="14">
        <v>861712.58200000005</v>
      </c>
      <c r="R9" s="14">
        <v>916041.37699999998</v>
      </c>
      <c r="S9" s="14">
        <v>993273.82299999997</v>
      </c>
      <c r="T9" s="2">
        <v>1108995.311</v>
      </c>
      <c r="U9" s="2">
        <v>1204935.72</v>
      </c>
      <c r="V9" s="2">
        <v>1278542.7350000001</v>
      </c>
      <c r="W9" s="2">
        <v>1359971.3430000001</v>
      </c>
      <c r="X9" s="2">
        <v>1381589.128</v>
      </c>
      <c r="Y9" s="2">
        <v>1410271.142</v>
      </c>
      <c r="Z9" s="2">
        <v>1469219.835</v>
      </c>
      <c r="AA9" s="2">
        <v>1482376.068</v>
      </c>
    </row>
    <row r="10" spans="1:27">
      <c r="A10" s="22" t="s">
        <v>4</v>
      </c>
      <c r="B10" s="13">
        <f>28387+99048</f>
        <v>127435</v>
      </c>
      <c r="C10" s="13">
        <f>34458+117866</f>
        <v>152324</v>
      </c>
      <c r="D10" s="13">
        <f>39476+129991</f>
        <v>169467</v>
      </c>
      <c r="E10" s="13">
        <v>276554.80599999998</v>
      </c>
      <c r="F10" s="76">
        <v>214344.30100000001</v>
      </c>
      <c r="G10" s="13">
        <v>241077.64799999999</v>
      </c>
      <c r="H10" s="13">
        <v>242579.83799999999</v>
      </c>
      <c r="I10" s="14">
        <v>256483.54500000001</v>
      </c>
      <c r="J10" s="14">
        <v>283135.603</v>
      </c>
      <c r="K10" s="14">
        <v>306489.527</v>
      </c>
      <c r="L10" s="14">
        <v>361416.09600000002</v>
      </c>
      <c r="M10" s="14">
        <v>375470.85</v>
      </c>
      <c r="N10" s="14">
        <v>401797.11099999998</v>
      </c>
      <c r="O10" s="14">
        <v>415530.84600000002</v>
      </c>
      <c r="P10" s="14">
        <v>439732.29399999999</v>
      </c>
      <c r="Q10" s="14">
        <v>464642.06699999998</v>
      </c>
      <c r="R10" s="14">
        <v>484181.24</v>
      </c>
      <c r="S10" s="14">
        <v>486193.25699999998</v>
      </c>
      <c r="T10" s="2">
        <v>489891.435</v>
      </c>
      <c r="U10" s="2">
        <v>407534.71799999999</v>
      </c>
      <c r="V10" s="2">
        <v>639122.58200000005</v>
      </c>
      <c r="W10" s="2">
        <v>677624.69</v>
      </c>
      <c r="X10" s="2">
        <v>673596.52899999998</v>
      </c>
      <c r="Y10" s="2">
        <v>696334.88399999996</v>
      </c>
      <c r="Z10" s="2">
        <v>733689.69299999997</v>
      </c>
      <c r="AA10" s="2">
        <v>754151.84900000005</v>
      </c>
    </row>
    <row r="11" spans="1:27">
      <c r="A11" s="22" t="s">
        <v>52</v>
      </c>
      <c r="B11" s="13"/>
      <c r="C11" s="13"/>
      <c r="D11" s="13">
        <f>79469+7206</f>
        <v>86675</v>
      </c>
      <c r="E11" s="13">
        <v>126704.974</v>
      </c>
      <c r="F11" s="76">
        <v>134021.47</v>
      </c>
      <c r="G11" s="13"/>
      <c r="H11" s="13"/>
      <c r="I11" s="14">
        <v>164907.08900000001</v>
      </c>
      <c r="J11" s="14">
        <v>173778.32800000001</v>
      </c>
      <c r="K11" s="14">
        <v>179916.226</v>
      </c>
      <c r="L11" s="14">
        <v>201291.041</v>
      </c>
      <c r="M11" s="14">
        <v>239970.103</v>
      </c>
      <c r="N11" s="14">
        <v>245982.397</v>
      </c>
      <c r="O11" s="14">
        <v>258701.38699999999</v>
      </c>
      <c r="P11" s="14">
        <v>269186.50199999998</v>
      </c>
      <c r="Q11" s="14">
        <f>25561.864+260781.124</f>
        <v>286342.98800000001</v>
      </c>
      <c r="R11" s="14">
        <v>293293.77100000001</v>
      </c>
      <c r="S11" s="14">
        <v>310379.25599999999</v>
      </c>
      <c r="T11" s="2">
        <v>332462.96000000002</v>
      </c>
      <c r="U11" s="2">
        <v>344618.32799999998</v>
      </c>
      <c r="V11" s="2">
        <v>354089.83799999999</v>
      </c>
      <c r="W11" s="2">
        <v>380239.261</v>
      </c>
      <c r="X11" s="2">
        <v>387927.973</v>
      </c>
      <c r="Y11" s="2">
        <v>44357.862999999998</v>
      </c>
      <c r="Z11" s="2">
        <v>418932.78100000002</v>
      </c>
      <c r="AA11" s="2">
        <v>437801.54</v>
      </c>
    </row>
    <row r="12" spans="1:27">
      <c r="A12" s="22" t="s">
        <v>5</v>
      </c>
      <c r="B12" s="13">
        <f>211655+177408</f>
        <v>389063</v>
      </c>
      <c r="C12" s="13">
        <f>235479+194750</f>
        <v>430229</v>
      </c>
      <c r="D12" s="13">
        <f>248051+213873</f>
        <v>461924</v>
      </c>
      <c r="E12" s="13">
        <v>684128.41</v>
      </c>
      <c r="F12" s="76">
        <v>685266.81599999999</v>
      </c>
      <c r="G12" s="13">
        <v>756288.40300000005</v>
      </c>
      <c r="H12" s="13">
        <v>798269.08</v>
      </c>
      <c r="I12" s="14">
        <v>835995.22600000002</v>
      </c>
      <c r="J12" s="14">
        <v>883056.09100000001</v>
      </c>
      <c r="K12" s="14">
        <v>924878.64</v>
      </c>
      <c r="L12" s="14">
        <v>1178818.6189999999</v>
      </c>
      <c r="M12" s="14">
        <v>1288004.0919999999</v>
      </c>
      <c r="N12" s="14">
        <v>1328741.4180000001</v>
      </c>
      <c r="O12" s="14">
        <v>1556668.3149999999</v>
      </c>
      <c r="P12" s="14">
        <v>1650187.872</v>
      </c>
      <c r="Q12" s="14">
        <v>1725209.922</v>
      </c>
      <c r="R12" s="14">
        <v>1852573.7080000001</v>
      </c>
      <c r="S12" s="14">
        <v>1839546.4069999999</v>
      </c>
      <c r="T12" s="2">
        <v>1926616.05</v>
      </c>
      <c r="U12" s="2">
        <v>1912022.9890000001</v>
      </c>
      <c r="V12" s="2">
        <v>2216475.625</v>
      </c>
      <c r="W12" s="2">
        <v>2358911.9010000001</v>
      </c>
      <c r="X12" s="2">
        <v>2390264.5830000001</v>
      </c>
      <c r="Y12" s="2">
        <v>2419423.8640000001</v>
      </c>
      <c r="Z12" s="2">
        <v>2574640.247</v>
      </c>
      <c r="AA12" s="2">
        <v>2719292.17</v>
      </c>
    </row>
    <row r="13" spans="1:27">
      <c r="A13" s="22" t="s">
        <v>6</v>
      </c>
      <c r="B13" s="13">
        <f>91149+211423</f>
        <v>302572</v>
      </c>
      <c r="C13" s="13">
        <f>95150+228653</f>
        <v>323803</v>
      </c>
      <c r="D13" s="13">
        <f>104925+279309</f>
        <v>384234</v>
      </c>
      <c r="E13" s="13">
        <v>506464.46299999999</v>
      </c>
      <c r="F13" s="76">
        <v>522503.42</v>
      </c>
      <c r="G13" s="13">
        <v>575406.18900000001</v>
      </c>
      <c r="H13" s="13">
        <v>626129.20900000003</v>
      </c>
      <c r="I13" s="14">
        <v>681920.31299999997</v>
      </c>
      <c r="J13" s="14">
        <v>729059.68799999997</v>
      </c>
      <c r="K13" s="14">
        <v>780182.82499999995</v>
      </c>
      <c r="L13" s="14">
        <v>905878.20799999998</v>
      </c>
      <c r="M13" s="14">
        <v>1009669.452</v>
      </c>
      <c r="N13" s="14">
        <v>925118.69099999999</v>
      </c>
      <c r="O13" s="14">
        <v>1002826.333</v>
      </c>
      <c r="P13" s="14">
        <v>1005111.236</v>
      </c>
      <c r="Q13" s="14">
        <v>1029020.974</v>
      </c>
      <c r="R13" s="14">
        <v>1079459.2050000001</v>
      </c>
      <c r="S13" s="14">
        <v>1187273.99</v>
      </c>
      <c r="T13" s="2">
        <v>1313415.3459999999</v>
      </c>
      <c r="U13" s="2">
        <v>1159186.8589999999</v>
      </c>
      <c r="V13" s="2">
        <v>1487777.943</v>
      </c>
      <c r="W13" s="2">
        <v>1616219.541</v>
      </c>
      <c r="X13" s="2">
        <v>1668458</v>
      </c>
      <c r="Y13" s="2">
        <v>1791640.544</v>
      </c>
      <c r="Z13" s="2">
        <v>1824209.6159999999</v>
      </c>
      <c r="AA13" s="2">
        <v>1899994.459</v>
      </c>
    </row>
    <row r="14" spans="1:27">
      <c r="A14" s="22" t="s">
        <v>7</v>
      </c>
      <c r="B14" s="13">
        <f>143933+94507</f>
        <v>238440</v>
      </c>
      <c r="C14" s="13">
        <f>146632+97280</f>
        <v>243912</v>
      </c>
      <c r="D14" s="13">
        <f>158172+100253</f>
        <v>258425</v>
      </c>
      <c r="E14" s="13">
        <v>383390.82199999999</v>
      </c>
      <c r="F14" s="76">
        <v>420042.55900000001</v>
      </c>
      <c r="G14" s="13">
        <v>410112.304</v>
      </c>
      <c r="H14" s="13">
        <v>419941.74699999997</v>
      </c>
      <c r="I14" s="14">
        <v>427776.28899999999</v>
      </c>
      <c r="J14" s="14">
        <v>469473.45400000003</v>
      </c>
      <c r="K14" s="14">
        <v>507342.00400000002</v>
      </c>
      <c r="L14" s="14">
        <v>547759.20700000005</v>
      </c>
      <c r="M14" s="14">
        <v>579677.84</v>
      </c>
      <c r="N14" s="14">
        <v>648042.34100000001</v>
      </c>
      <c r="O14" s="14">
        <v>663990.96900000004</v>
      </c>
      <c r="P14" s="14">
        <v>690542.28300000005</v>
      </c>
      <c r="Q14" s="14">
        <v>713558.86800000002</v>
      </c>
      <c r="R14" s="14">
        <v>747472.33100000001</v>
      </c>
      <c r="S14" s="14">
        <v>802941.64300000004</v>
      </c>
      <c r="T14" s="2">
        <v>834768.53899999999</v>
      </c>
      <c r="U14" s="2">
        <v>828368.96100000001</v>
      </c>
      <c r="V14" s="2">
        <v>954839.25100000005</v>
      </c>
      <c r="W14" s="2">
        <v>993558.98899999994</v>
      </c>
      <c r="X14" s="2">
        <v>1037158.095</v>
      </c>
      <c r="Y14" s="2">
        <v>1040995.189</v>
      </c>
      <c r="Z14" s="2">
        <v>1068656.0060000001</v>
      </c>
      <c r="AA14" s="2">
        <v>1083815.8259999999</v>
      </c>
    </row>
    <row r="15" spans="1:27">
      <c r="A15" s="22" t="s">
        <v>8</v>
      </c>
      <c r="B15" s="36">
        <f>61745+210375</f>
        <v>272120</v>
      </c>
      <c r="C15" s="36">
        <f>67632+231114</f>
        <v>298746</v>
      </c>
      <c r="D15" s="36">
        <f>69790+245806</f>
        <v>315596</v>
      </c>
      <c r="E15" s="36">
        <v>414626.02</v>
      </c>
      <c r="F15" s="77">
        <v>455369.92499999999</v>
      </c>
      <c r="G15" s="36">
        <v>477082.11900000001</v>
      </c>
      <c r="H15" s="36">
        <v>499053.48700000002</v>
      </c>
      <c r="I15" s="37">
        <v>538815.79299999995</v>
      </c>
      <c r="J15" s="37">
        <v>549446.66399999999</v>
      </c>
      <c r="K15" s="37">
        <v>592386.41399999999</v>
      </c>
      <c r="L15" s="37">
        <v>670714.61699999997</v>
      </c>
      <c r="M15" s="37">
        <v>678802.80599999998</v>
      </c>
      <c r="N15" s="37">
        <v>657477.62899999996</v>
      </c>
      <c r="O15" s="37">
        <v>695520.34299999999</v>
      </c>
      <c r="P15" s="37">
        <v>794331.9</v>
      </c>
      <c r="Q15" s="37">
        <v>834727.42799999996</v>
      </c>
      <c r="R15" s="37">
        <v>802614.777</v>
      </c>
      <c r="S15" s="37">
        <v>834466.40500000003</v>
      </c>
      <c r="T15" s="23">
        <v>1089484.2379999999</v>
      </c>
      <c r="U15" s="23">
        <v>884045.28599999996</v>
      </c>
      <c r="V15" s="23">
        <v>1086250.6040000001</v>
      </c>
      <c r="W15" s="23">
        <v>1076247.2209999999</v>
      </c>
      <c r="X15" s="2">
        <v>1058289.7660000001</v>
      </c>
      <c r="Y15" s="2">
        <v>1046500.028</v>
      </c>
      <c r="Z15" s="2">
        <v>1092716.9550000001</v>
      </c>
      <c r="AA15" s="2">
        <v>1070917.871</v>
      </c>
    </row>
    <row r="16" spans="1:27">
      <c r="A16" s="22" t="s">
        <v>9</v>
      </c>
      <c r="B16" s="36">
        <v>244857</v>
      </c>
      <c r="C16" s="36">
        <f>0+284751</f>
        <v>284751</v>
      </c>
      <c r="D16" s="36">
        <f>0+275634</f>
        <v>275634</v>
      </c>
      <c r="E16" s="36">
        <v>440842.18599999999</v>
      </c>
      <c r="F16" s="77">
        <v>442290.55200000003</v>
      </c>
      <c r="G16" s="36">
        <v>459627.87199999997</v>
      </c>
      <c r="H16" s="36">
        <v>482263.12400000001</v>
      </c>
      <c r="I16" s="37">
        <v>505380.85499999998</v>
      </c>
      <c r="J16" s="37">
        <v>531162.71299999999</v>
      </c>
      <c r="K16" s="37">
        <v>578854.76699999999</v>
      </c>
      <c r="L16" s="37">
        <v>661042.94999999995</v>
      </c>
      <c r="M16" s="37">
        <v>740132.79</v>
      </c>
      <c r="N16" s="37">
        <v>833854.47900000005</v>
      </c>
      <c r="O16" s="37">
        <v>861303.571</v>
      </c>
      <c r="P16" s="37">
        <v>860057.36199999996</v>
      </c>
      <c r="Q16" s="37">
        <v>1041305.115</v>
      </c>
      <c r="R16" s="37">
        <v>916498.38300000003</v>
      </c>
      <c r="S16" s="37">
        <v>950677.04399999999</v>
      </c>
      <c r="T16" s="23">
        <v>1053865.8700000001</v>
      </c>
      <c r="U16" s="23">
        <v>943190.02099999995</v>
      </c>
      <c r="V16" s="23">
        <v>1192245.5989999999</v>
      </c>
      <c r="W16" s="23">
        <v>1207964.8430000001</v>
      </c>
      <c r="X16" s="2">
        <v>1280394.3840000001</v>
      </c>
      <c r="Y16" s="2">
        <v>1321748.1340000001</v>
      </c>
      <c r="Z16" s="2">
        <v>1363047.1569999999</v>
      </c>
      <c r="AA16" s="2">
        <v>1421363.051</v>
      </c>
    </row>
    <row r="17" spans="1:27">
      <c r="A17" s="22" t="s">
        <v>10</v>
      </c>
      <c r="B17" s="36">
        <f>23186+125715</f>
        <v>148901</v>
      </c>
      <c r="C17" s="36">
        <f>24245+130154</f>
        <v>154399</v>
      </c>
      <c r="D17" s="36">
        <f>25957+137567</f>
        <v>163524</v>
      </c>
      <c r="E17" s="36">
        <v>216328.76699999999</v>
      </c>
      <c r="F17" s="77">
        <v>221277.071</v>
      </c>
      <c r="G17" s="36">
        <v>239816.595</v>
      </c>
      <c r="H17" s="36">
        <v>260707.31599999999</v>
      </c>
      <c r="I17" s="37">
        <v>291331.32400000002</v>
      </c>
      <c r="J17" s="37">
        <v>305921.65700000001</v>
      </c>
      <c r="K17" s="37">
        <v>312609.01699999999</v>
      </c>
      <c r="L17" s="37">
        <v>390955.489</v>
      </c>
      <c r="M17" s="37">
        <v>384615.38</v>
      </c>
      <c r="N17" s="37">
        <v>406057.81599999999</v>
      </c>
      <c r="O17" s="37">
        <v>417704.85600000003</v>
      </c>
      <c r="P17" s="37">
        <v>440975.94500000001</v>
      </c>
      <c r="Q17" s="37">
        <v>440657.93199999997</v>
      </c>
      <c r="R17" s="37">
        <v>444826.51699999999</v>
      </c>
      <c r="S17" s="37">
        <v>482600.565</v>
      </c>
      <c r="T17" s="23">
        <v>546512</v>
      </c>
      <c r="U17" s="23">
        <v>447519.19</v>
      </c>
      <c r="V17" s="23">
        <v>642847.21</v>
      </c>
      <c r="W17" s="23">
        <v>645291.24899999995</v>
      </c>
      <c r="X17" s="2">
        <v>667502.84699999995</v>
      </c>
      <c r="Y17" s="2">
        <v>700603.51199999999</v>
      </c>
      <c r="Z17" s="2">
        <v>711132.40800000005</v>
      </c>
      <c r="AA17" s="2">
        <v>732214.15700000001</v>
      </c>
    </row>
    <row r="18" spans="1:27">
      <c r="A18" s="22" t="s">
        <v>11</v>
      </c>
      <c r="B18" s="36">
        <f>138644+280407</f>
        <v>419051</v>
      </c>
      <c r="C18" s="36">
        <f>159975+322734</f>
        <v>482709</v>
      </c>
      <c r="D18" s="36">
        <f>172888+359009</f>
        <v>531897</v>
      </c>
      <c r="E18" s="36">
        <v>745670.52599999995</v>
      </c>
      <c r="F18" s="77">
        <v>762547.13100000005</v>
      </c>
      <c r="G18" s="36">
        <v>805082.826</v>
      </c>
      <c r="H18" s="36">
        <v>850548.12300000002</v>
      </c>
      <c r="I18" s="37">
        <v>907747.67299999995</v>
      </c>
      <c r="J18" s="37">
        <v>944175.28</v>
      </c>
      <c r="K18" s="37">
        <v>1010016.328</v>
      </c>
      <c r="L18" s="37">
        <v>1204614.094</v>
      </c>
      <c r="M18" s="37">
        <v>1318604.9950000001</v>
      </c>
      <c r="N18" s="37">
        <v>1332692.446</v>
      </c>
      <c r="O18" s="37">
        <v>1419829.9210000001</v>
      </c>
      <c r="P18" s="37">
        <v>1493525.17</v>
      </c>
      <c r="Q18" s="37">
        <v>1613881.882</v>
      </c>
      <c r="R18" s="37">
        <v>1723216.041</v>
      </c>
      <c r="S18" s="37">
        <v>1882754.1980000001</v>
      </c>
      <c r="T18" s="23">
        <v>2054299.709</v>
      </c>
      <c r="U18" s="23">
        <v>2090104.5379999999</v>
      </c>
      <c r="V18" s="23">
        <v>2312673.6290000002</v>
      </c>
      <c r="W18" s="23">
        <v>2409516.0430000001</v>
      </c>
      <c r="X18" s="2">
        <v>2366952.2579999999</v>
      </c>
      <c r="Y18" s="2">
        <v>2499788.0189999999</v>
      </c>
      <c r="Z18" s="2">
        <v>2495617.5970000001</v>
      </c>
      <c r="AA18" s="2">
        <v>2523211.8390000002</v>
      </c>
    </row>
    <row r="19" spans="1:27">
      <c r="A19" s="22" t="s">
        <v>12</v>
      </c>
      <c r="B19" s="36">
        <v>208580</v>
      </c>
      <c r="C19" s="36">
        <f>0+215489</f>
        <v>215489</v>
      </c>
      <c r="D19" s="37">
        <f>0+236933</f>
        <v>236933</v>
      </c>
      <c r="E19" s="36">
        <v>297009.658</v>
      </c>
      <c r="F19" s="77">
        <v>320688.84700000001</v>
      </c>
      <c r="G19" s="36">
        <v>307371.12699999998</v>
      </c>
      <c r="H19" s="36">
        <v>316846.11499999999</v>
      </c>
      <c r="I19" s="37">
        <v>352253.37800000003</v>
      </c>
      <c r="J19" s="37">
        <v>364963.32199999999</v>
      </c>
      <c r="K19" s="37">
        <v>391746.58243000001</v>
      </c>
      <c r="L19" s="37">
        <v>479000.32699999999</v>
      </c>
      <c r="M19" s="37">
        <v>518077.723</v>
      </c>
      <c r="N19" s="37">
        <v>537432.14899999998</v>
      </c>
      <c r="O19" s="37">
        <v>555079.95900000003</v>
      </c>
      <c r="P19" s="37">
        <v>589911.95200000005</v>
      </c>
      <c r="Q19" s="37">
        <v>631397.72400000005</v>
      </c>
      <c r="R19" s="37">
        <v>688996.66700000002</v>
      </c>
      <c r="S19" s="37">
        <v>762182.549</v>
      </c>
      <c r="T19" s="23">
        <v>822472.24</v>
      </c>
      <c r="U19" s="23">
        <v>608843.05599999998</v>
      </c>
      <c r="V19" s="23">
        <v>930819.83200000005</v>
      </c>
      <c r="W19" s="23">
        <v>987532.68200000003</v>
      </c>
      <c r="X19" s="2">
        <v>1022634.503</v>
      </c>
      <c r="Y19" s="2">
        <v>1037650.659</v>
      </c>
      <c r="Z19" s="2">
        <v>1084515.1059999999</v>
      </c>
      <c r="AA19" s="2">
        <v>1108369.1680000001</v>
      </c>
    </row>
    <row r="20" spans="1:27">
      <c r="A20" s="22" t="s">
        <v>13</v>
      </c>
      <c r="B20" s="36">
        <f>104571+92465</f>
        <v>197036</v>
      </c>
      <c r="C20" s="36">
        <f>125558+98873</f>
        <v>224431</v>
      </c>
      <c r="D20" s="36">
        <f>137426+116489</f>
        <v>253915</v>
      </c>
      <c r="E20" s="36">
        <v>359896.06699999998</v>
      </c>
      <c r="F20" s="77">
        <v>373611.78200000001</v>
      </c>
      <c r="G20" s="36">
        <v>403892.451</v>
      </c>
      <c r="H20" s="36">
        <v>417446.489</v>
      </c>
      <c r="I20" s="37">
        <v>433574.37099999998</v>
      </c>
      <c r="J20" s="37">
        <v>454106.11</v>
      </c>
      <c r="K20" s="37">
        <v>477337.58500000002</v>
      </c>
      <c r="L20" s="37">
        <v>584509.49899999995</v>
      </c>
      <c r="M20" s="37">
        <v>567715.31099999999</v>
      </c>
      <c r="N20" s="37">
        <v>576670.54599999997</v>
      </c>
      <c r="O20" s="37">
        <v>615944.55799999996</v>
      </c>
      <c r="P20" s="37">
        <v>618501.95900000003</v>
      </c>
      <c r="Q20" s="37">
        <v>669816.65300000005</v>
      </c>
      <c r="R20" s="37">
        <v>727519.89199999999</v>
      </c>
      <c r="S20" s="37">
        <v>787284.53899999999</v>
      </c>
      <c r="T20" s="23">
        <v>880984.33799999999</v>
      </c>
      <c r="U20" s="23">
        <v>705491.72900000005</v>
      </c>
      <c r="V20" s="23">
        <v>1034623.196</v>
      </c>
      <c r="W20" s="23">
        <v>1069631.6359999999</v>
      </c>
      <c r="X20" s="2">
        <v>1097344.3160000001</v>
      </c>
      <c r="Y20" s="2">
        <v>1165962.014</v>
      </c>
      <c r="Z20" s="2">
        <v>1210631.0959999999</v>
      </c>
      <c r="AA20" s="2">
        <v>1274034.4439999999</v>
      </c>
    </row>
    <row r="21" spans="1:27" s="17" customFormat="1">
      <c r="A21" s="22" t="s">
        <v>14</v>
      </c>
      <c r="B21" s="36">
        <f>73430+195176</f>
        <v>268606</v>
      </c>
      <c r="C21" s="36">
        <f>82944+224908</f>
        <v>307852</v>
      </c>
      <c r="D21" s="36">
        <f>87939+243267</f>
        <v>331206</v>
      </c>
      <c r="E21" s="36">
        <v>459280.83100000001</v>
      </c>
      <c r="F21" s="77">
        <v>456549.81400000001</v>
      </c>
      <c r="G21" s="36">
        <v>505430.04499999998</v>
      </c>
      <c r="H21" s="36">
        <v>551129.29399999999</v>
      </c>
      <c r="I21" s="37">
        <v>590076.18200000003</v>
      </c>
      <c r="J21" s="37">
        <v>604526.90700000001</v>
      </c>
      <c r="K21" s="37">
        <v>614608.42952999996</v>
      </c>
      <c r="L21" s="37">
        <v>699080.94299999997</v>
      </c>
      <c r="M21" s="37">
        <v>764631.35100000002</v>
      </c>
      <c r="N21" s="37">
        <v>788778.348</v>
      </c>
      <c r="O21" s="37">
        <v>817215.2</v>
      </c>
      <c r="P21" s="37">
        <v>820822.52</v>
      </c>
      <c r="Q21" s="37">
        <v>875520.58499999996</v>
      </c>
      <c r="R21" s="37">
        <v>918503.06200000003</v>
      </c>
      <c r="S21" s="37">
        <v>972665.75</v>
      </c>
      <c r="T21" s="23">
        <v>1052028.7819999999</v>
      </c>
      <c r="U21" s="23">
        <v>1055892.6969999999</v>
      </c>
      <c r="V21" s="23">
        <v>1215858.426</v>
      </c>
      <c r="W21" s="23">
        <v>1269914.0830000001</v>
      </c>
      <c r="X21" s="17">
        <v>1331534.33</v>
      </c>
      <c r="Y21" s="2">
        <v>1398581.932</v>
      </c>
      <c r="Z21" s="2">
        <v>1498353.446</v>
      </c>
      <c r="AA21" s="2">
        <v>1458024.4080000001</v>
      </c>
    </row>
    <row r="22" spans="1:27">
      <c r="A22" s="22" t="s">
        <v>15</v>
      </c>
      <c r="B22" s="36">
        <f>339806+792705</f>
        <v>1132511</v>
      </c>
      <c r="C22" s="36">
        <f>356193+831408</f>
        <v>1187601</v>
      </c>
      <c r="D22" s="36">
        <f>370913+859631</f>
        <v>1230544</v>
      </c>
      <c r="E22" s="36">
        <v>1688812.3540000001</v>
      </c>
      <c r="F22" s="77">
        <v>1850658.047</v>
      </c>
      <c r="G22" s="36">
        <v>2043702.882</v>
      </c>
      <c r="H22" s="36">
        <v>2178137.7429999998</v>
      </c>
      <c r="I22" s="37">
        <v>2299559.5070000002</v>
      </c>
      <c r="J22" s="37">
        <v>2393274.3530000001</v>
      </c>
      <c r="K22" s="37">
        <v>2473031.2859999998</v>
      </c>
      <c r="L22" s="37">
        <v>2821597.2030000002</v>
      </c>
      <c r="M22" s="37">
        <v>3045054.4309999999</v>
      </c>
      <c r="N22" s="37">
        <v>3351881.5389999999</v>
      </c>
      <c r="O22" s="37">
        <v>3544654.8930000002</v>
      </c>
      <c r="P22" s="37">
        <v>3529602.605</v>
      </c>
      <c r="Q22" s="37">
        <v>3831435.84</v>
      </c>
      <c r="R22" s="37">
        <v>4061544.4330000002</v>
      </c>
      <c r="S22" s="37">
        <v>4308798.8789999997</v>
      </c>
      <c r="T22" s="23">
        <v>4591504.8640000001</v>
      </c>
      <c r="U22" s="23">
        <v>3166587.8560000001</v>
      </c>
      <c r="V22" s="23">
        <v>5868844.9840000002</v>
      </c>
      <c r="W22" s="23">
        <v>5990580.5580000002</v>
      </c>
      <c r="X22" s="2">
        <v>6108909.9050000003</v>
      </c>
      <c r="Y22" s="2">
        <v>4132918.4530000002</v>
      </c>
      <c r="Z22" s="2">
        <v>4453045.3540000003</v>
      </c>
      <c r="AA22" s="2">
        <v>4680426.9740000004</v>
      </c>
    </row>
    <row r="23" spans="1:27">
      <c r="A23" s="22" t="s">
        <v>16</v>
      </c>
      <c r="B23" s="36">
        <f>148439+213740</f>
        <v>362179</v>
      </c>
      <c r="C23" s="36">
        <f>163077+242239</f>
        <v>405316</v>
      </c>
      <c r="D23" s="36">
        <f>181819+268476</f>
        <v>450295</v>
      </c>
      <c r="E23" s="36">
        <v>675779.40099999995</v>
      </c>
      <c r="F23" s="77">
        <v>682258.43799999997</v>
      </c>
      <c r="G23" s="36">
        <v>699044.36399999994</v>
      </c>
      <c r="H23" s="36">
        <v>728326.18400000001</v>
      </c>
      <c r="I23" s="37">
        <v>778101.24899999995</v>
      </c>
      <c r="J23" s="37">
        <v>793135.07700000005</v>
      </c>
      <c r="K23" s="37">
        <v>848327.07400000002</v>
      </c>
      <c r="L23" s="37">
        <v>1036362.204</v>
      </c>
      <c r="M23" s="37">
        <v>1117741.486</v>
      </c>
      <c r="N23" s="37">
        <v>1106047.0630000001</v>
      </c>
      <c r="O23" s="37">
        <v>1122458.5060000001</v>
      </c>
      <c r="P23" s="37">
        <v>1131896.2409999999</v>
      </c>
      <c r="Q23" s="37">
        <v>1243674.7239999999</v>
      </c>
      <c r="R23" s="37">
        <v>1327407.699</v>
      </c>
      <c r="S23" s="37">
        <v>1473496.4380000001</v>
      </c>
      <c r="T23" s="23">
        <v>1617890.6969999999</v>
      </c>
      <c r="U23" s="23">
        <v>1647828.077</v>
      </c>
      <c r="V23" s="23">
        <v>1862630.638</v>
      </c>
      <c r="W23" s="23">
        <v>1957372.3359999999</v>
      </c>
      <c r="X23" s="2">
        <v>2027745.054</v>
      </c>
      <c r="Y23" s="2">
        <v>2136847.7379999999</v>
      </c>
      <c r="Z23" s="2">
        <v>2220525.804</v>
      </c>
      <c r="AA23" s="2">
        <v>2327182.5789999999</v>
      </c>
    </row>
    <row r="24" spans="1:27">
      <c r="A24" s="83" t="s">
        <v>17</v>
      </c>
      <c r="B24" s="66">
        <f>57214+50916</f>
        <v>108130</v>
      </c>
      <c r="C24" s="66">
        <f>60691+54531</f>
        <v>115222</v>
      </c>
      <c r="D24" s="66">
        <f>62905+60110</f>
        <v>123015</v>
      </c>
      <c r="E24" s="66">
        <v>188807.01699999999</v>
      </c>
      <c r="F24" s="82">
        <v>205457.84299999999</v>
      </c>
      <c r="G24" s="66">
        <v>205909.27600000001</v>
      </c>
      <c r="H24" s="66">
        <v>212711.65100000001</v>
      </c>
      <c r="I24" s="63">
        <v>220706.19099999999</v>
      </c>
      <c r="J24" s="63">
        <v>233644.28899999999</v>
      </c>
      <c r="K24" s="63">
        <v>241981.76603999999</v>
      </c>
      <c r="L24" s="63">
        <v>268352.72499999998</v>
      </c>
      <c r="M24" s="63">
        <v>275017.239</v>
      </c>
      <c r="N24" s="63">
        <v>277683.79700000002</v>
      </c>
      <c r="O24" s="63">
        <v>293957.67700000003</v>
      </c>
      <c r="P24" s="63">
        <v>304455.55200000003</v>
      </c>
      <c r="Q24" s="63">
        <v>306739.58799999999</v>
      </c>
      <c r="R24" s="63">
        <v>343153.93599999999</v>
      </c>
      <c r="S24" s="63">
        <v>351897.04100000003</v>
      </c>
      <c r="T24" s="45">
        <v>382189.48800000001</v>
      </c>
      <c r="U24" s="45">
        <v>396534.06300000002</v>
      </c>
      <c r="V24" s="45">
        <v>513276.77299999999</v>
      </c>
      <c r="W24" s="45">
        <v>542084.05799999996</v>
      </c>
      <c r="X24" s="45">
        <v>568923.95900000003</v>
      </c>
      <c r="Y24" s="45">
        <v>571335.65300000005</v>
      </c>
      <c r="Z24" s="45">
        <v>581949.68799999997</v>
      </c>
      <c r="AA24" s="45">
        <v>599228.03099999996</v>
      </c>
    </row>
    <row r="25" spans="1:27" s="23" customFormat="1">
      <c r="A25" s="79" t="s">
        <v>120</v>
      </c>
      <c r="B25" s="90">
        <f>SUM(B27:B39)</f>
        <v>0</v>
      </c>
      <c r="C25" s="90">
        <f t="shared" ref="C25:AA25" si="8">SUM(C27:C39)</f>
        <v>0</v>
      </c>
      <c r="D25" s="90">
        <f t="shared" si="8"/>
        <v>0</v>
      </c>
      <c r="E25" s="90">
        <f t="shared" si="8"/>
        <v>0</v>
      </c>
      <c r="F25" s="90">
        <f t="shared" si="8"/>
        <v>5549021.6229999997</v>
      </c>
      <c r="G25" s="90">
        <f t="shared" si="8"/>
        <v>0</v>
      </c>
      <c r="H25" s="90">
        <f t="shared" si="8"/>
        <v>0</v>
      </c>
      <c r="I25" s="90">
        <f t="shared" si="8"/>
        <v>5910127.7009999994</v>
      </c>
      <c r="J25" s="90">
        <f t="shared" si="8"/>
        <v>0</v>
      </c>
      <c r="K25" s="90">
        <f t="shared" si="8"/>
        <v>6618955.5883300006</v>
      </c>
      <c r="L25" s="90">
        <f t="shared" si="8"/>
        <v>7800878.2069999995</v>
      </c>
      <c r="M25" s="90">
        <f t="shared" si="8"/>
        <v>8387943.4039999992</v>
      </c>
      <c r="N25" s="90">
        <f t="shared" si="8"/>
        <v>8804171.0239999983</v>
      </c>
      <c r="O25" s="90">
        <f t="shared" si="8"/>
        <v>9014962.3080000002</v>
      </c>
      <c r="P25" s="90">
        <f t="shared" si="8"/>
        <v>9274923.245000001</v>
      </c>
      <c r="Q25" s="90">
        <f t="shared" si="8"/>
        <v>9948358.6250000019</v>
      </c>
      <c r="R25" s="90">
        <f t="shared" si="8"/>
        <v>10499288.318</v>
      </c>
      <c r="S25" s="90">
        <f t="shared" si="8"/>
        <v>11376556.875999998</v>
      </c>
      <c r="T25" s="90">
        <f t="shared" si="8"/>
        <v>12829788.544</v>
      </c>
      <c r="U25" s="90">
        <f t="shared" si="8"/>
        <v>12810112.645000001</v>
      </c>
      <c r="V25" s="90">
        <f t="shared" si="8"/>
        <v>13971424.905000001</v>
      </c>
      <c r="W25" s="90">
        <f t="shared" si="8"/>
        <v>14840930.293</v>
      </c>
      <c r="X25" s="90">
        <f t="shared" si="8"/>
        <v>15644300.670999998</v>
      </c>
      <c r="Y25" s="90">
        <f t="shared" si="8"/>
        <v>16361368.247000001</v>
      </c>
      <c r="Z25" s="90">
        <f t="shared" si="8"/>
        <v>17411200.204</v>
      </c>
      <c r="AA25" s="90">
        <f t="shared" si="8"/>
        <v>18625008.910999998</v>
      </c>
    </row>
    <row r="26" spans="1:27">
      <c r="A26" s="79" t="s">
        <v>119</v>
      </c>
      <c r="B26" s="37"/>
      <c r="C26" s="37"/>
      <c r="D26" s="37"/>
      <c r="E26" s="37"/>
      <c r="F26" s="37"/>
      <c r="G26" s="37"/>
      <c r="H26" s="37"/>
      <c r="I26" s="37"/>
      <c r="J26" s="37"/>
      <c r="K26" s="37"/>
      <c r="L26" s="37"/>
      <c r="M26" s="37"/>
      <c r="N26" s="37"/>
      <c r="O26" s="37"/>
      <c r="P26" s="37"/>
      <c r="Q26" s="37"/>
      <c r="R26" s="37"/>
      <c r="S26" s="37"/>
      <c r="T26" s="23"/>
      <c r="U26" s="23"/>
      <c r="V26" s="23"/>
      <c r="W26" s="23"/>
    </row>
    <row r="27" spans="1:27">
      <c r="A27" s="23" t="s">
        <v>85</v>
      </c>
      <c r="B27" s="36"/>
      <c r="C27" s="36"/>
      <c r="D27" s="37"/>
      <c r="E27" s="36"/>
      <c r="F27" s="77">
        <v>92823.509000000005</v>
      </c>
      <c r="G27" s="36"/>
      <c r="H27" s="36"/>
      <c r="I27" s="37">
        <v>93597.259000000005</v>
      </c>
      <c r="J27" s="37"/>
      <c r="K27" s="37">
        <v>97854.687999999995</v>
      </c>
      <c r="L27" s="37">
        <v>99722.792000000001</v>
      </c>
      <c r="M27" s="37">
        <v>112653.33</v>
      </c>
      <c r="N27" s="37">
        <v>124806.69100000001</v>
      </c>
      <c r="O27" s="37">
        <v>131207.91200000001</v>
      </c>
      <c r="P27" s="37">
        <v>140477.41399999999</v>
      </c>
      <c r="Q27" s="37">
        <v>146348.04300000001</v>
      </c>
      <c r="R27" s="37">
        <v>158788.696</v>
      </c>
      <c r="S27" s="37">
        <v>174597.13800000001</v>
      </c>
      <c r="T27" s="23">
        <v>176479.98800000001</v>
      </c>
      <c r="U27" s="23">
        <v>226581.9</v>
      </c>
      <c r="V27" s="23">
        <v>236615.6</v>
      </c>
      <c r="W27" s="23">
        <v>243308.53099999999</v>
      </c>
      <c r="X27" s="2">
        <v>247149.41699999999</v>
      </c>
      <c r="Y27" s="2">
        <v>250288.05799999999</v>
      </c>
      <c r="Z27" s="2">
        <v>260310.022</v>
      </c>
      <c r="AA27" s="2">
        <v>264556.27399999998</v>
      </c>
    </row>
    <row r="28" spans="1:27">
      <c r="A28" s="23" t="s">
        <v>86</v>
      </c>
      <c r="B28" s="36"/>
      <c r="C28" s="36"/>
      <c r="D28" s="36"/>
      <c r="E28" s="36"/>
      <c r="F28" s="77">
        <v>377333.08</v>
      </c>
      <c r="G28" s="36"/>
      <c r="H28" s="36"/>
      <c r="I28" s="37">
        <v>432401.761</v>
      </c>
      <c r="J28" s="37"/>
      <c r="K28" s="37">
        <v>484415.63900000002</v>
      </c>
      <c r="L28" s="37">
        <v>588041.12899999996</v>
      </c>
      <c r="M28" s="37">
        <v>623075.51800000004</v>
      </c>
      <c r="N28" s="37">
        <v>629789.30500000005</v>
      </c>
      <c r="O28" s="37">
        <v>660088.59199999995</v>
      </c>
      <c r="P28" s="37">
        <v>704719.33400000003</v>
      </c>
      <c r="Q28" s="37">
        <v>734234.81700000004</v>
      </c>
      <c r="R28" s="37">
        <v>795783.57400000002</v>
      </c>
      <c r="S28" s="37">
        <v>867044.826</v>
      </c>
      <c r="T28" s="23">
        <v>933396.80599999998</v>
      </c>
      <c r="U28" s="23">
        <v>940161.08799999999</v>
      </c>
      <c r="V28" s="23">
        <v>1129157.5060000001</v>
      </c>
      <c r="W28" s="23">
        <v>1181700.304</v>
      </c>
      <c r="X28" s="2">
        <v>1230289.2490000001</v>
      </c>
      <c r="Y28" s="2">
        <v>1236468.2180000001</v>
      </c>
      <c r="Z28" s="2">
        <v>1360048.335</v>
      </c>
      <c r="AA28" s="2">
        <v>1433823.7080000001</v>
      </c>
    </row>
    <row r="29" spans="1:27">
      <c r="A29" s="23" t="s">
        <v>87</v>
      </c>
      <c r="B29" s="36"/>
      <c r="C29" s="36"/>
      <c r="D29" s="36"/>
      <c r="E29" s="36"/>
      <c r="F29" s="77">
        <v>2870733.4</v>
      </c>
      <c r="G29" s="36"/>
      <c r="H29" s="36"/>
      <c r="I29" s="37">
        <v>2873908.24</v>
      </c>
      <c r="J29" s="37"/>
      <c r="K29" s="37">
        <v>3246793.4419999998</v>
      </c>
      <c r="L29" s="37">
        <v>3868744.6869999999</v>
      </c>
      <c r="M29" s="37">
        <v>4184380.7310000001</v>
      </c>
      <c r="N29" s="37">
        <v>4137131.2790000001</v>
      </c>
      <c r="O29" s="37">
        <v>4393845.1100000003</v>
      </c>
      <c r="P29" s="37">
        <v>4564143.93</v>
      </c>
      <c r="Q29" s="37">
        <v>4713348.926</v>
      </c>
      <c r="R29" s="37">
        <v>5009670.6239999998</v>
      </c>
      <c r="S29" s="37">
        <v>5397834.3729999997</v>
      </c>
      <c r="T29" s="23">
        <v>6313555.1370000001</v>
      </c>
      <c r="U29" s="23">
        <v>6261278.9759999998</v>
      </c>
      <c r="V29" s="23">
        <v>6452372.0109999999</v>
      </c>
      <c r="W29" s="23">
        <v>7019690.4730000002</v>
      </c>
      <c r="X29" s="2">
        <v>7449591.6859999998</v>
      </c>
      <c r="Y29" s="2">
        <v>7823432.034</v>
      </c>
      <c r="Z29" s="2">
        <v>8365644.0939999996</v>
      </c>
      <c r="AA29" s="2">
        <v>9076760.5219999999</v>
      </c>
    </row>
    <row r="30" spans="1:27">
      <c r="A30" s="23" t="s">
        <v>88</v>
      </c>
      <c r="B30" s="36"/>
      <c r="C30" s="36"/>
      <c r="D30" s="36"/>
      <c r="E30" s="36"/>
      <c r="F30" s="77">
        <v>489506.674</v>
      </c>
      <c r="G30" s="36"/>
      <c r="H30" s="36"/>
      <c r="I30" s="37">
        <v>538661.87600000005</v>
      </c>
      <c r="J30" s="37"/>
      <c r="K30" s="37">
        <v>582638.50869000005</v>
      </c>
      <c r="L30" s="37">
        <v>678630.53799999994</v>
      </c>
      <c r="M30" s="37">
        <v>723543.52099999995</v>
      </c>
      <c r="N30" s="37">
        <v>1061904.9240000001</v>
      </c>
      <c r="O30" s="37">
        <v>796440.87</v>
      </c>
      <c r="P30" s="37">
        <v>648984.69099999999</v>
      </c>
      <c r="Q30" s="37">
        <v>915267.47</v>
      </c>
      <c r="R30" s="37">
        <v>853793.72699999996</v>
      </c>
      <c r="S30" s="37">
        <v>914032.69400000002</v>
      </c>
      <c r="T30" s="23">
        <v>1012877.667</v>
      </c>
      <c r="U30" s="23">
        <v>1055564.389</v>
      </c>
      <c r="V30" s="23">
        <v>1265160.5560000001</v>
      </c>
      <c r="W30" s="23">
        <v>1326593.723</v>
      </c>
      <c r="X30" s="2">
        <v>1445680.4069999999</v>
      </c>
      <c r="Y30" s="2">
        <v>1541960.9069999999</v>
      </c>
      <c r="Z30" s="2">
        <v>1646143.9879999999</v>
      </c>
      <c r="AA30" s="2">
        <v>1750941.273</v>
      </c>
    </row>
    <row r="31" spans="1:27">
      <c r="A31" s="23" t="s">
        <v>91</v>
      </c>
      <c r="B31" s="36"/>
      <c r="C31" s="36"/>
      <c r="D31" s="36"/>
      <c r="E31" s="36"/>
      <c r="F31" s="77">
        <v>152271.53200000001</v>
      </c>
      <c r="G31" s="36"/>
      <c r="H31" s="36"/>
      <c r="I31" s="37">
        <v>173472.25099999999</v>
      </c>
      <c r="J31" s="37"/>
      <c r="K31" s="37">
        <v>176260.32</v>
      </c>
      <c r="L31" s="37">
        <v>180253.12299999999</v>
      </c>
      <c r="M31" s="37">
        <v>174312.179</v>
      </c>
      <c r="N31" s="37">
        <v>176543.79300000001</v>
      </c>
      <c r="O31" s="37">
        <v>205318.96900000001</v>
      </c>
      <c r="P31" s="37">
        <v>224862.46100000001</v>
      </c>
      <c r="Q31" s="37">
        <v>237071.302</v>
      </c>
      <c r="R31" s="37">
        <v>254779.74</v>
      </c>
      <c r="S31" s="37">
        <v>272347.07</v>
      </c>
      <c r="T31" s="23">
        <v>296727.42800000001</v>
      </c>
      <c r="U31" s="23">
        <v>303154.01299999998</v>
      </c>
      <c r="V31" s="23">
        <v>330279.60700000002</v>
      </c>
      <c r="W31" s="23">
        <v>317665.84899999999</v>
      </c>
      <c r="X31" s="2">
        <v>350664.66200000001</v>
      </c>
      <c r="Y31" s="2">
        <v>369994.66</v>
      </c>
      <c r="Z31" s="2">
        <v>405943.70600000001</v>
      </c>
      <c r="AA31" s="2">
        <v>509626.56599999999</v>
      </c>
    </row>
    <row r="32" spans="1:27">
      <c r="A32" s="23" t="s">
        <v>92</v>
      </c>
      <c r="B32" s="36"/>
      <c r="C32" s="36"/>
      <c r="D32" s="36"/>
      <c r="E32" s="36"/>
      <c r="F32" s="77">
        <v>134441.82199999999</v>
      </c>
      <c r="G32" s="36"/>
      <c r="H32" s="36"/>
      <c r="I32" s="37">
        <v>154010.26199999999</v>
      </c>
      <c r="J32" s="37"/>
      <c r="K32" s="37">
        <v>170213.886</v>
      </c>
      <c r="L32" s="37">
        <v>198670.76500000001</v>
      </c>
      <c r="M32" s="37">
        <v>215894.174</v>
      </c>
      <c r="N32" s="37">
        <v>233403.82800000001</v>
      </c>
      <c r="O32" s="37">
        <v>216737.97</v>
      </c>
      <c r="P32" s="37">
        <v>228262.26199999999</v>
      </c>
      <c r="Q32" s="37">
        <v>239636.11300000001</v>
      </c>
      <c r="R32" s="37">
        <v>262468.05</v>
      </c>
      <c r="S32" s="37">
        <v>270466.97200000001</v>
      </c>
      <c r="T32" s="23">
        <v>283309.81599999999</v>
      </c>
      <c r="U32" s="23">
        <v>293438.40000000002</v>
      </c>
      <c r="V32" s="23">
        <v>311798.26699999999</v>
      </c>
      <c r="W32" s="23">
        <v>315341.53200000001</v>
      </c>
      <c r="X32" s="2">
        <v>328342.38099999999</v>
      </c>
      <c r="Y32" s="2">
        <v>345261.85100000002</v>
      </c>
      <c r="Z32" s="2">
        <v>349952.55900000001</v>
      </c>
      <c r="AA32" s="2">
        <v>363648.20400000003</v>
      </c>
    </row>
    <row r="33" spans="1:27">
      <c r="A33" s="23" t="s">
        <v>100</v>
      </c>
      <c r="B33" s="37"/>
      <c r="C33" s="37"/>
      <c r="D33" s="37"/>
      <c r="E33" s="37"/>
      <c r="F33" s="77">
        <v>83981.087</v>
      </c>
      <c r="G33" s="37"/>
      <c r="H33" s="37"/>
      <c r="I33" s="37">
        <v>93356.089000000007</v>
      </c>
      <c r="J33" s="37"/>
      <c r="K33" s="37">
        <v>112632.905</v>
      </c>
      <c r="L33" s="37">
        <v>131730.79999999999</v>
      </c>
      <c r="M33" s="37">
        <v>134645.622</v>
      </c>
      <c r="N33" s="37">
        <v>141573.80499999999</v>
      </c>
      <c r="O33" s="37">
        <v>148885.03</v>
      </c>
      <c r="P33" s="37">
        <v>153792.18799999999</v>
      </c>
      <c r="Q33" s="37">
        <v>159464.19399999999</v>
      </c>
      <c r="R33" s="37">
        <v>169558.16099999999</v>
      </c>
      <c r="S33" s="37">
        <v>180020.18799999999</v>
      </c>
      <c r="T33" s="23">
        <v>191998.97099999999</v>
      </c>
      <c r="U33" s="23">
        <v>215807.234</v>
      </c>
      <c r="V33" s="23">
        <v>233537.22399999999</v>
      </c>
      <c r="W33" s="23">
        <v>241843.18400000001</v>
      </c>
      <c r="X33" s="2">
        <v>248787.16699999999</v>
      </c>
      <c r="Y33" s="2">
        <v>258457.726</v>
      </c>
      <c r="Z33" s="2">
        <v>268046.79599999997</v>
      </c>
      <c r="AA33" s="2">
        <v>270962.43300000002</v>
      </c>
    </row>
    <row r="34" spans="1:27">
      <c r="A34" s="23" t="s">
        <v>102</v>
      </c>
      <c r="B34" s="37"/>
      <c r="C34" s="37"/>
      <c r="D34" s="37"/>
      <c r="E34" s="37"/>
      <c r="F34" s="77">
        <v>105696.05100000001</v>
      </c>
      <c r="G34" s="37"/>
      <c r="H34" s="37"/>
      <c r="I34" s="37">
        <v>119552.681</v>
      </c>
      <c r="J34" s="37"/>
      <c r="K34" s="37">
        <v>148597.36499999999</v>
      </c>
      <c r="L34" s="37">
        <v>193063.66099999999</v>
      </c>
      <c r="M34" s="37">
        <v>205589.59599999999</v>
      </c>
      <c r="N34" s="37">
        <v>224679.288</v>
      </c>
      <c r="O34" s="37">
        <v>242045.25200000001</v>
      </c>
      <c r="P34" s="37">
        <v>327017.81099999999</v>
      </c>
      <c r="Q34" s="37">
        <v>362591.72200000001</v>
      </c>
      <c r="R34" s="37">
        <v>385212.674</v>
      </c>
      <c r="S34" s="37">
        <v>433373.14899999998</v>
      </c>
      <c r="T34" s="23">
        <v>469974.49599999998</v>
      </c>
      <c r="U34" s="23">
        <v>363471.77799999999</v>
      </c>
      <c r="V34" s="23">
        <v>447598.84</v>
      </c>
      <c r="W34" s="23">
        <v>450802.65700000001</v>
      </c>
      <c r="X34" s="2">
        <v>437034.609</v>
      </c>
      <c r="Y34" s="2">
        <v>450508.21</v>
      </c>
      <c r="Z34" s="2">
        <v>471674.35499999998</v>
      </c>
      <c r="AA34" s="2">
        <v>482623.27100000001</v>
      </c>
    </row>
    <row r="35" spans="1:27">
      <c r="A35" s="23" t="s">
        <v>105</v>
      </c>
      <c r="B35" s="37"/>
      <c r="C35" s="37"/>
      <c r="D35" s="37"/>
      <c r="E35" s="37"/>
      <c r="F35" s="77">
        <v>175459.91</v>
      </c>
      <c r="G35" s="37"/>
      <c r="H35" s="37"/>
      <c r="I35" s="37">
        <v>210358.51800000001</v>
      </c>
      <c r="J35" s="37"/>
      <c r="K35" s="37">
        <v>241371.41063999999</v>
      </c>
      <c r="L35" s="37">
        <v>254858.08</v>
      </c>
      <c r="M35" s="37">
        <v>264775.79399999999</v>
      </c>
      <c r="N35" s="37">
        <v>289169.522</v>
      </c>
      <c r="O35" s="37">
        <v>295262.43</v>
      </c>
      <c r="P35" s="37">
        <v>310306.27500000002</v>
      </c>
      <c r="Q35" s="37">
        <v>323383.50099999999</v>
      </c>
      <c r="R35" s="37">
        <v>334518.04200000002</v>
      </c>
      <c r="S35" s="37">
        <v>351978.158</v>
      </c>
      <c r="T35" s="23">
        <v>378304.53700000001</v>
      </c>
      <c r="U35" s="23">
        <v>407283.84600000002</v>
      </c>
      <c r="V35" s="23">
        <v>457260.78600000002</v>
      </c>
      <c r="W35" s="23">
        <v>452257.82900000003</v>
      </c>
      <c r="X35" s="2">
        <v>458007.83199999999</v>
      </c>
      <c r="Y35" s="2">
        <v>479525.89600000001</v>
      </c>
      <c r="Z35" s="2">
        <v>499829.886</v>
      </c>
      <c r="AA35" s="2">
        <v>525868.90700000001</v>
      </c>
    </row>
    <row r="36" spans="1:27">
      <c r="A36" s="23" t="s">
        <v>109</v>
      </c>
      <c r="B36" s="37"/>
      <c r="C36" s="37"/>
      <c r="D36" s="37"/>
      <c r="E36" s="37"/>
      <c r="F36" s="77">
        <v>278724.84000000003</v>
      </c>
      <c r="G36" s="37"/>
      <c r="H36" s="37"/>
      <c r="I36" s="37">
        <v>317199.54399999999</v>
      </c>
      <c r="J36" s="37"/>
      <c r="K36" s="37">
        <v>381679.10800000001</v>
      </c>
      <c r="L36" s="37">
        <v>481941.93</v>
      </c>
      <c r="M36" s="37">
        <v>525055.77</v>
      </c>
      <c r="N36" s="37">
        <v>475616.69099999999</v>
      </c>
      <c r="O36" s="37">
        <v>487003.83299999998</v>
      </c>
      <c r="P36" s="37">
        <v>502525.027</v>
      </c>
      <c r="Q36" s="37">
        <v>521327.40399999998</v>
      </c>
      <c r="R36" s="37">
        <v>571465.94200000004</v>
      </c>
      <c r="S36" s="37">
        <v>592806.61899999995</v>
      </c>
      <c r="T36" s="23">
        <v>653551.61199999996</v>
      </c>
      <c r="U36" s="23">
        <v>614114.43999999994</v>
      </c>
      <c r="V36" s="23">
        <v>780666.71100000001</v>
      </c>
      <c r="W36" s="23">
        <v>853099.3</v>
      </c>
      <c r="X36" s="2">
        <v>932474.31599999999</v>
      </c>
      <c r="Y36" s="2">
        <v>983554.19700000004</v>
      </c>
      <c r="Z36" s="2">
        <v>1034098.801</v>
      </c>
      <c r="AA36" s="2">
        <v>999801.14899999998</v>
      </c>
    </row>
    <row r="37" spans="1:27">
      <c r="A37" s="23" t="s">
        <v>113</v>
      </c>
      <c r="B37" s="37"/>
      <c r="C37" s="37"/>
      <c r="D37" s="37"/>
      <c r="E37" s="37"/>
      <c r="F37" s="77">
        <v>221503.791</v>
      </c>
      <c r="G37" s="37"/>
      <c r="H37" s="37"/>
      <c r="I37" s="37">
        <v>286122.26699999999</v>
      </c>
      <c r="J37" s="37"/>
      <c r="K37" s="37">
        <v>310847.19199999998</v>
      </c>
      <c r="L37" s="37">
        <v>367686.17800000001</v>
      </c>
      <c r="M37" s="37">
        <v>395455.462</v>
      </c>
      <c r="N37" s="37">
        <v>421158.74</v>
      </c>
      <c r="O37" s="37">
        <v>427418.08199999999</v>
      </c>
      <c r="P37" s="37">
        <v>453302.09100000001</v>
      </c>
      <c r="Q37" s="37">
        <v>479920.592</v>
      </c>
      <c r="R37" s="37">
        <v>510551.11599999998</v>
      </c>
      <c r="S37" s="37">
        <v>537343.52</v>
      </c>
      <c r="T37" s="23">
        <v>604306.01</v>
      </c>
      <c r="U37" s="23">
        <v>616480.96799999999</v>
      </c>
      <c r="V37" s="23">
        <v>615667.37699999998</v>
      </c>
      <c r="W37" s="23">
        <v>685058.68099999998</v>
      </c>
      <c r="X37" s="2">
        <v>756247.71400000004</v>
      </c>
      <c r="Y37" s="2">
        <v>785955.70900000003</v>
      </c>
      <c r="Z37" s="2">
        <v>802549.28700000001</v>
      </c>
      <c r="AA37" s="2">
        <v>857978.62</v>
      </c>
    </row>
    <row r="38" spans="1:27">
      <c r="A38" s="23" t="s">
        <v>115</v>
      </c>
      <c r="B38" s="37"/>
      <c r="C38" s="37"/>
      <c r="D38" s="37"/>
      <c r="E38" s="37"/>
      <c r="F38" s="77">
        <v>510010.32699999999</v>
      </c>
      <c r="G38" s="37"/>
      <c r="H38" s="37"/>
      <c r="I38" s="37">
        <v>551548.20900000003</v>
      </c>
      <c r="J38" s="37"/>
      <c r="K38" s="37">
        <v>601969.85100000002</v>
      </c>
      <c r="L38" s="37">
        <v>685863.93400000001</v>
      </c>
      <c r="M38" s="37">
        <v>752194.19700000004</v>
      </c>
      <c r="N38" s="37">
        <v>810088.51300000004</v>
      </c>
      <c r="O38" s="37">
        <v>922939.674</v>
      </c>
      <c r="P38" s="37">
        <v>927125.49399999995</v>
      </c>
      <c r="Q38" s="37">
        <v>1020575.2439999999</v>
      </c>
      <c r="R38" s="37">
        <v>1094625.4990000001</v>
      </c>
      <c r="S38" s="37">
        <v>1282235.344</v>
      </c>
      <c r="T38" s="23">
        <v>1399792.72</v>
      </c>
      <c r="U38" s="23">
        <v>1393192.689</v>
      </c>
      <c r="V38" s="23">
        <v>1564188.2849999999</v>
      </c>
      <c r="W38" s="23">
        <v>1599407.2949999999</v>
      </c>
      <c r="X38" s="2">
        <v>1594618.365</v>
      </c>
      <c r="Y38" s="2">
        <v>1678883.3729999999</v>
      </c>
      <c r="Z38" s="2">
        <v>1784394.2250000001</v>
      </c>
      <c r="AA38" s="2">
        <v>1923601.56</v>
      </c>
    </row>
    <row r="39" spans="1:27">
      <c r="A39" s="45" t="s">
        <v>117</v>
      </c>
      <c r="B39" s="63"/>
      <c r="C39" s="63"/>
      <c r="D39" s="63"/>
      <c r="E39" s="63"/>
      <c r="F39" s="82">
        <v>56535.6</v>
      </c>
      <c r="G39" s="63"/>
      <c r="H39" s="63"/>
      <c r="I39" s="63">
        <v>65938.744000000006</v>
      </c>
      <c r="J39" s="63"/>
      <c r="K39" s="63">
        <v>63681.273000000001</v>
      </c>
      <c r="L39" s="63">
        <v>71670.59</v>
      </c>
      <c r="M39" s="63">
        <v>76367.509999999995</v>
      </c>
      <c r="N39" s="63">
        <v>78304.645000000004</v>
      </c>
      <c r="O39" s="63">
        <v>87768.584000000003</v>
      </c>
      <c r="P39" s="63">
        <v>89404.267000000007</v>
      </c>
      <c r="Q39" s="63">
        <v>95189.297000000006</v>
      </c>
      <c r="R39" s="63">
        <v>98072.472999999998</v>
      </c>
      <c r="S39" s="63">
        <v>102476.825</v>
      </c>
      <c r="T39" s="45">
        <v>115513.356</v>
      </c>
      <c r="U39" s="45">
        <v>119582.924</v>
      </c>
      <c r="V39" s="45">
        <v>147122.13500000001</v>
      </c>
      <c r="W39" s="45">
        <v>154160.935</v>
      </c>
      <c r="X39" s="45">
        <v>165412.86600000001</v>
      </c>
      <c r="Y39" s="45">
        <v>157077.408</v>
      </c>
      <c r="Z39" s="45">
        <v>162564.15</v>
      </c>
      <c r="AA39" s="45">
        <v>164816.424</v>
      </c>
    </row>
    <row r="40" spans="1:27" s="23" customFormat="1">
      <c r="A40" s="79" t="s">
        <v>121</v>
      </c>
      <c r="B40" s="90">
        <f>SUM(B42:B53)</f>
        <v>0</v>
      </c>
      <c r="C40" s="90">
        <f t="shared" ref="C40:AA40" si="9">SUM(C42:C53)</f>
        <v>0</v>
      </c>
      <c r="D40" s="90">
        <f t="shared" si="9"/>
        <v>0</v>
      </c>
      <c r="E40" s="90">
        <f t="shared" si="9"/>
        <v>0</v>
      </c>
      <c r="F40" s="90">
        <f t="shared" si="9"/>
        <v>6441398.5189999994</v>
      </c>
      <c r="G40" s="90">
        <f t="shared" si="9"/>
        <v>0</v>
      </c>
      <c r="H40" s="90">
        <f t="shared" si="9"/>
        <v>0</v>
      </c>
      <c r="I40" s="90">
        <f t="shared" si="9"/>
        <v>7222060.5259999996</v>
      </c>
      <c r="J40" s="90">
        <f t="shared" si="9"/>
        <v>0</v>
      </c>
      <c r="K40" s="90">
        <f t="shared" si="9"/>
        <v>7724028.5987300007</v>
      </c>
      <c r="L40" s="90">
        <f t="shared" si="9"/>
        <v>8950184.148</v>
      </c>
      <c r="M40" s="90">
        <f t="shared" si="9"/>
        <v>9587647.7669999991</v>
      </c>
      <c r="N40" s="90">
        <f t="shared" si="9"/>
        <v>9895823.347000001</v>
      </c>
      <c r="O40" s="90">
        <f t="shared" si="9"/>
        <v>10204137.241</v>
      </c>
      <c r="P40" s="90">
        <f t="shared" si="9"/>
        <v>10584895.757000001</v>
      </c>
      <c r="Q40" s="90">
        <f t="shared" si="9"/>
        <v>11009560.619000001</v>
      </c>
      <c r="R40" s="90">
        <f t="shared" si="9"/>
        <v>11545208.129999999</v>
      </c>
      <c r="S40" s="90">
        <f t="shared" si="9"/>
        <v>12209259.68</v>
      </c>
      <c r="T40" s="90">
        <f t="shared" si="9"/>
        <v>13373068.393999999</v>
      </c>
      <c r="U40" s="90">
        <f t="shared" si="9"/>
        <v>14308693.953</v>
      </c>
      <c r="V40" s="90">
        <f t="shared" si="9"/>
        <v>15922149.796999998</v>
      </c>
      <c r="W40" s="90">
        <f t="shared" si="9"/>
        <v>16246513.231999999</v>
      </c>
      <c r="X40" s="90">
        <f t="shared" si="9"/>
        <v>16761596.388</v>
      </c>
      <c r="Y40" s="90">
        <f t="shared" si="9"/>
        <v>17392625.418000001</v>
      </c>
      <c r="Z40" s="90">
        <f t="shared" si="9"/>
        <v>17917399.903000001</v>
      </c>
      <c r="AA40" s="90">
        <f t="shared" si="9"/>
        <v>18192844.516000003</v>
      </c>
    </row>
    <row r="41" spans="1:27">
      <c r="A41" s="79" t="s">
        <v>119</v>
      </c>
      <c r="B41" s="37"/>
      <c r="C41" s="37"/>
      <c r="D41" s="37"/>
      <c r="E41" s="37"/>
      <c r="F41" s="37"/>
      <c r="G41" s="37"/>
      <c r="H41" s="37"/>
      <c r="I41" s="37"/>
      <c r="J41" s="37"/>
      <c r="K41" s="37"/>
      <c r="L41" s="37"/>
      <c r="M41" s="37"/>
      <c r="N41" s="37"/>
      <c r="O41" s="37"/>
      <c r="P41" s="37"/>
      <c r="Q41" s="37"/>
      <c r="R41" s="37"/>
      <c r="S41" s="37"/>
      <c r="T41" s="23"/>
      <c r="U41" s="23"/>
      <c r="V41" s="23"/>
      <c r="W41" s="23"/>
    </row>
    <row r="42" spans="1:27">
      <c r="A42" s="23" t="s">
        <v>93</v>
      </c>
      <c r="B42" s="36"/>
      <c r="C42" s="36"/>
      <c r="D42" s="36"/>
      <c r="E42" s="36"/>
      <c r="F42" s="77">
        <v>744333.85600000003</v>
      </c>
      <c r="G42" s="36"/>
      <c r="H42" s="36"/>
      <c r="I42" s="37">
        <v>872756.83</v>
      </c>
      <c r="J42" s="37"/>
      <c r="K42" s="37">
        <v>965658.04099999997</v>
      </c>
      <c r="L42" s="37">
        <v>1101904.3540000001</v>
      </c>
      <c r="M42" s="37">
        <v>1176054.4350000001</v>
      </c>
      <c r="N42" s="37">
        <v>1268643.0279999999</v>
      </c>
      <c r="O42" s="37">
        <v>1249084.993</v>
      </c>
      <c r="P42" s="37">
        <v>1372376.4990000001</v>
      </c>
      <c r="Q42" s="37">
        <v>1378408.5759999999</v>
      </c>
      <c r="R42" s="37">
        <v>1409028.9450000001</v>
      </c>
      <c r="S42" s="37">
        <v>1489319.6459999999</v>
      </c>
      <c r="T42" s="23">
        <v>1600499.71</v>
      </c>
      <c r="U42" s="23">
        <v>1868749.4879999999</v>
      </c>
      <c r="V42" s="23">
        <v>2283223.37</v>
      </c>
      <c r="W42" s="23">
        <v>2322196.781</v>
      </c>
      <c r="X42" s="2">
        <v>2499125.29</v>
      </c>
      <c r="Y42" s="2">
        <v>2739820.432</v>
      </c>
      <c r="Z42" s="2">
        <v>2757329.7760000001</v>
      </c>
      <c r="AA42" s="2">
        <v>2808733.4219999998</v>
      </c>
    </row>
    <row r="43" spans="1:27">
      <c r="A43" s="23" t="s">
        <v>58</v>
      </c>
      <c r="B43" s="36"/>
      <c r="C43" s="36"/>
      <c r="D43" s="36"/>
      <c r="E43" s="36"/>
      <c r="F43" s="77">
        <v>747811.09199999995</v>
      </c>
      <c r="G43" s="36"/>
      <c r="H43" s="36"/>
      <c r="I43" s="37">
        <v>846609.13300000003</v>
      </c>
      <c r="J43" s="37"/>
      <c r="K43" s="37">
        <v>939809.88</v>
      </c>
      <c r="L43" s="37">
        <v>1083659.831</v>
      </c>
      <c r="M43" s="37">
        <v>1125228.3740000001</v>
      </c>
      <c r="N43" s="37">
        <v>1155328.7779999999</v>
      </c>
      <c r="O43" s="37">
        <v>1228693</v>
      </c>
      <c r="P43" s="37">
        <v>1319351.7320000001</v>
      </c>
      <c r="Q43" s="37">
        <v>1402579.4639999999</v>
      </c>
      <c r="R43" s="37">
        <v>1457056.017</v>
      </c>
      <c r="S43" s="37">
        <v>1582351.2009999999</v>
      </c>
      <c r="T43" s="23">
        <v>1704651.105</v>
      </c>
      <c r="U43" s="23">
        <v>1941096.0589999999</v>
      </c>
      <c r="V43" s="23">
        <v>2094891.361</v>
      </c>
      <c r="W43" s="23">
        <v>2156080.031</v>
      </c>
      <c r="X43" s="2">
        <v>2192780.4279999998</v>
      </c>
      <c r="Y43" s="2">
        <v>2170054.7570000002</v>
      </c>
      <c r="Z43" s="2">
        <v>2268656.4019999998</v>
      </c>
      <c r="AA43" s="2">
        <v>2225636.3220000002</v>
      </c>
    </row>
    <row r="44" spans="1:27">
      <c r="A44" s="23" t="s">
        <v>94</v>
      </c>
      <c r="B44" s="36"/>
      <c r="C44" s="36"/>
      <c r="D44" s="36"/>
      <c r="E44" s="36"/>
      <c r="F44" s="77">
        <v>323288.70600000001</v>
      </c>
      <c r="G44" s="36"/>
      <c r="H44" s="36"/>
      <c r="I44" s="37">
        <v>365365.32</v>
      </c>
      <c r="J44" s="37"/>
      <c r="K44" s="37">
        <v>391116.30599999998</v>
      </c>
      <c r="L44" s="37">
        <v>447143.68599999999</v>
      </c>
      <c r="M44" s="37">
        <v>461793.47399999999</v>
      </c>
      <c r="N44" s="37">
        <v>488440.96399999998</v>
      </c>
      <c r="O44" s="37">
        <v>472928.783</v>
      </c>
      <c r="P44" s="37">
        <v>505803.52600000001</v>
      </c>
      <c r="Q44" s="37">
        <v>490883.81400000001</v>
      </c>
      <c r="R44" s="37">
        <v>580797.91599999997</v>
      </c>
      <c r="S44" s="37">
        <v>539818.61699999997</v>
      </c>
      <c r="T44" s="23">
        <v>600298.66500000004</v>
      </c>
      <c r="U44" s="23">
        <v>630919.81900000002</v>
      </c>
      <c r="V44" s="23">
        <v>721312.90099999995</v>
      </c>
      <c r="W44" s="23">
        <v>739061.99300000002</v>
      </c>
      <c r="X44" s="2">
        <v>744905.75699999998</v>
      </c>
      <c r="Y44" s="2">
        <v>761744.01399999997</v>
      </c>
      <c r="Z44" s="2">
        <v>800049.16</v>
      </c>
      <c r="AA44" s="2">
        <v>825624.86199999996</v>
      </c>
    </row>
    <row r="45" spans="1:27">
      <c r="A45" s="23" t="s">
        <v>95</v>
      </c>
      <c r="B45" s="36"/>
      <c r="C45" s="36"/>
      <c r="D45" s="36"/>
      <c r="E45" s="36"/>
      <c r="F45" s="77">
        <v>322747.90899999999</v>
      </c>
      <c r="G45" s="36"/>
      <c r="H45" s="36"/>
      <c r="I45" s="37">
        <v>376448.35800000001</v>
      </c>
      <c r="J45" s="37"/>
      <c r="K45" s="37">
        <v>391798.49798000004</v>
      </c>
      <c r="L45" s="37">
        <v>475220.853</v>
      </c>
      <c r="M45" s="37">
        <v>487562.16800000001</v>
      </c>
      <c r="N45" s="37">
        <v>510131.777</v>
      </c>
      <c r="O45" s="37">
        <v>523483.95600000001</v>
      </c>
      <c r="P45" s="37">
        <v>539157.61300000001</v>
      </c>
      <c r="Q45" s="37">
        <v>586553.78700000001</v>
      </c>
      <c r="R45" s="37">
        <v>612872.90899999999</v>
      </c>
      <c r="S45" s="37">
        <v>610158.76699999999</v>
      </c>
      <c r="T45" s="23">
        <v>651005.94700000004</v>
      </c>
      <c r="U45" s="23">
        <v>670607.29</v>
      </c>
      <c r="V45" s="23">
        <v>757548.87600000005</v>
      </c>
      <c r="W45" s="23">
        <v>769897.10499999998</v>
      </c>
      <c r="X45" s="2">
        <v>823648.39199999999</v>
      </c>
      <c r="Y45" s="2">
        <v>893612.72699999996</v>
      </c>
      <c r="Z45" s="2">
        <v>927927.91700000002</v>
      </c>
      <c r="AA45" s="2">
        <v>958157.15099999995</v>
      </c>
    </row>
    <row r="46" spans="1:27">
      <c r="A46" s="23" t="s">
        <v>98</v>
      </c>
      <c r="B46" s="36"/>
      <c r="C46" s="36"/>
      <c r="D46" s="36"/>
      <c r="E46" s="37"/>
      <c r="F46" s="77">
        <v>1103519.7779999999</v>
      </c>
      <c r="G46" s="36"/>
      <c r="H46" s="36"/>
      <c r="I46" s="37">
        <v>1221812.564</v>
      </c>
      <c r="J46" s="37"/>
      <c r="K46" s="37">
        <v>1347886.4920000001</v>
      </c>
      <c r="L46" s="37">
        <v>1618585.3970000001</v>
      </c>
      <c r="M46" s="37">
        <v>1742880.737</v>
      </c>
      <c r="N46" s="37">
        <v>1845303.05</v>
      </c>
      <c r="O46" s="37">
        <v>1935321.7649999999</v>
      </c>
      <c r="P46" s="37">
        <v>1962146.3119999999</v>
      </c>
      <c r="Q46" s="37">
        <v>2008262.8130000001</v>
      </c>
      <c r="R46" s="37">
        <v>2077785.203</v>
      </c>
      <c r="S46" s="37">
        <v>2214738.0610000002</v>
      </c>
      <c r="T46" s="23">
        <v>2593389.0279999999</v>
      </c>
      <c r="U46" s="23">
        <v>2800371.1320000002</v>
      </c>
      <c r="V46" s="23">
        <v>2971680.2919999999</v>
      </c>
      <c r="W46" s="23">
        <v>3011160.3829999999</v>
      </c>
      <c r="X46" s="2">
        <v>3137259.8360000001</v>
      </c>
      <c r="Y46" s="2">
        <v>3208779.86</v>
      </c>
      <c r="Z46" s="2">
        <v>3312578.7030000002</v>
      </c>
      <c r="AA46" s="2">
        <v>3407235.1170000001</v>
      </c>
    </row>
    <row r="47" spans="1:27">
      <c r="A47" s="23" t="s">
        <v>99</v>
      </c>
      <c r="B47" s="37"/>
      <c r="C47" s="37"/>
      <c r="D47" s="37"/>
      <c r="E47" s="37"/>
      <c r="F47" s="77">
        <v>511592.103</v>
      </c>
      <c r="G47" s="37"/>
      <c r="H47" s="37"/>
      <c r="I47" s="37">
        <v>558698.89899999998</v>
      </c>
      <c r="J47" s="37"/>
      <c r="K47" s="37">
        <v>576932.19499999995</v>
      </c>
      <c r="L47" s="37">
        <v>648038.32499999995</v>
      </c>
      <c r="M47" s="37">
        <v>761555.91799999995</v>
      </c>
      <c r="N47" s="37">
        <v>756479.67200000002</v>
      </c>
      <c r="O47" s="37">
        <v>791484.66</v>
      </c>
      <c r="P47" s="37">
        <v>780143.95499999996</v>
      </c>
      <c r="Q47" s="37">
        <v>813560.326</v>
      </c>
      <c r="R47" s="37">
        <v>868002.30799999996</v>
      </c>
      <c r="S47" s="37">
        <v>893250.76199999999</v>
      </c>
      <c r="T47" s="23">
        <v>936028.75699999998</v>
      </c>
      <c r="U47" s="23">
        <v>1034374.339</v>
      </c>
      <c r="V47" s="23">
        <v>1079489.5209999999</v>
      </c>
      <c r="W47" s="23">
        <v>1066859.328</v>
      </c>
      <c r="X47" s="2">
        <v>1070542.327</v>
      </c>
      <c r="Y47" s="2">
        <v>1131387.882</v>
      </c>
      <c r="Z47" s="2">
        <v>1182783.5819999999</v>
      </c>
      <c r="AA47" s="2">
        <v>1177494.071</v>
      </c>
    </row>
    <row r="48" spans="1:27">
      <c r="A48" s="23" t="s">
        <v>59</v>
      </c>
      <c r="B48" s="37"/>
      <c r="C48" s="37"/>
      <c r="D48" s="37"/>
      <c r="E48" s="37"/>
      <c r="F48" s="77">
        <v>439162.59</v>
      </c>
      <c r="G48" s="37"/>
      <c r="H48" s="37"/>
      <c r="I48" s="37">
        <v>516462.93199999997</v>
      </c>
      <c r="J48" s="37"/>
      <c r="K48" s="37">
        <v>584854.59100000001</v>
      </c>
      <c r="L48" s="37">
        <v>679771.69</v>
      </c>
      <c r="M48" s="37">
        <v>780368.35800000001</v>
      </c>
      <c r="N48" s="37">
        <v>702079.61899999995</v>
      </c>
      <c r="O48" s="37">
        <v>678196.25800000003</v>
      </c>
      <c r="P48" s="37">
        <v>684723.16099999996</v>
      </c>
      <c r="Q48" s="37">
        <v>719240.16700000002</v>
      </c>
      <c r="R48" s="37">
        <v>761083.97100000002</v>
      </c>
      <c r="S48" s="37">
        <v>783911.05700000003</v>
      </c>
      <c r="T48" s="23">
        <v>908515.64800000004</v>
      </c>
      <c r="U48" s="23">
        <v>959486.77599999995</v>
      </c>
      <c r="V48" s="23">
        <v>996664.32400000002</v>
      </c>
      <c r="W48" s="23">
        <v>1018300.388</v>
      </c>
      <c r="X48" s="2">
        <v>1085991.4569999999</v>
      </c>
      <c r="Y48" s="2">
        <v>1122046.392</v>
      </c>
      <c r="Z48" s="2">
        <v>1185726.0220000001</v>
      </c>
      <c r="AA48" s="2">
        <v>1208434.102</v>
      </c>
    </row>
    <row r="49" spans="1:27">
      <c r="A49" s="23" t="s">
        <v>101</v>
      </c>
      <c r="B49" s="37"/>
      <c r="C49" s="37"/>
      <c r="D49" s="37"/>
      <c r="E49" s="37"/>
      <c r="F49" s="77">
        <v>211082.96400000001</v>
      </c>
      <c r="G49" s="37"/>
      <c r="H49" s="37"/>
      <c r="I49" s="37">
        <v>238522.91099999999</v>
      </c>
      <c r="J49" s="37"/>
      <c r="K49" s="37">
        <v>248431.519</v>
      </c>
      <c r="L49" s="37">
        <v>298481.51299999998</v>
      </c>
      <c r="M49" s="37">
        <v>320335.136</v>
      </c>
      <c r="N49" s="37">
        <v>344967.18199999997</v>
      </c>
      <c r="O49" s="37">
        <v>351814.76199999999</v>
      </c>
      <c r="P49" s="37">
        <v>349378.95</v>
      </c>
      <c r="Q49" s="37">
        <v>373232.68800000002</v>
      </c>
      <c r="R49" s="37">
        <v>396572.11200000002</v>
      </c>
      <c r="S49" s="37">
        <v>410410.01199999999</v>
      </c>
      <c r="T49" s="23">
        <v>435240.261</v>
      </c>
      <c r="U49" s="23">
        <v>318934.41600000003</v>
      </c>
      <c r="V49" s="23">
        <v>530540.11100000003</v>
      </c>
      <c r="W49" s="23">
        <v>555005.72499999998</v>
      </c>
      <c r="X49" s="2">
        <v>556105.03899999999</v>
      </c>
      <c r="Y49" s="2">
        <v>583295.28399999999</v>
      </c>
      <c r="Z49" s="2">
        <v>610332.25300000003</v>
      </c>
      <c r="AA49" s="2">
        <v>598672.70200000005</v>
      </c>
    </row>
    <row r="50" spans="1:27">
      <c r="A50" s="23" t="s">
        <v>107</v>
      </c>
      <c r="B50" s="37"/>
      <c r="C50" s="37"/>
      <c r="D50" s="37"/>
      <c r="E50" s="37"/>
      <c r="F50" s="77">
        <v>116572.072</v>
      </c>
      <c r="G50" s="37"/>
      <c r="H50" s="37"/>
      <c r="I50" s="37">
        <v>127838.001</v>
      </c>
      <c r="J50" s="37"/>
      <c r="K50" s="37">
        <v>129711.126</v>
      </c>
      <c r="L50" s="37">
        <v>143480.88</v>
      </c>
      <c r="M50" s="37">
        <v>149688.54800000001</v>
      </c>
      <c r="N50" s="37">
        <v>158129.315</v>
      </c>
      <c r="O50" s="37">
        <v>169686.361</v>
      </c>
      <c r="P50" s="37">
        <v>182241.23800000001</v>
      </c>
      <c r="Q50" s="37">
        <v>198719.79300000001</v>
      </c>
      <c r="R50" s="37">
        <v>204633.36300000001</v>
      </c>
      <c r="S50" s="37">
        <v>212251.68900000001</v>
      </c>
      <c r="T50" s="23">
        <v>242383.98699999999</v>
      </c>
      <c r="U50" s="23">
        <v>261188.21400000001</v>
      </c>
      <c r="V50" s="23">
        <v>303992.28000000003</v>
      </c>
      <c r="W50" s="23">
        <v>316157.13299999997</v>
      </c>
      <c r="X50" s="2">
        <v>344732.815</v>
      </c>
      <c r="Y50" s="2">
        <v>371190.85700000002</v>
      </c>
      <c r="Z50" s="2">
        <v>377343.26400000002</v>
      </c>
      <c r="AA50" s="2">
        <v>397594.696</v>
      </c>
    </row>
    <row r="51" spans="1:27">
      <c r="A51" s="23" t="s">
        <v>108</v>
      </c>
      <c r="B51" s="37"/>
      <c r="C51" s="37"/>
      <c r="D51" s="37"/>
      <c r="E51" s="37"/>
      <c r="F51" s="77">
        <v>1290224.1259999999</v>
      </c>
      <c r="G51" s="37"/>
      <c r="H51" s="37"/>
      <c r="I51" s="37">
        <v>1388662.6669999999</v>
      </c>
      <c r="J51" s="37"/>
      <c r="K51" s="37">
        <v>1415690.6529999999</v>
      </c>
      <c r="L51" s="37">
        <v>1599762.9040000001</v>
      </c>
      <c r="M51" s="37">
        <v>1668443.737</v>
      </c>
      <c r="N51" s="37">
        <v>1740788.777</v>
      </c>
      <c r="O51" s="37">
        <v>1825735.2549999999</v>
      </c>
      <c r="P51" s="37">
        <v>1890200.0330000001</v>
      </c>
      <c r="Q51" s="37">
        <v>2002831.7660000001</v>
      </c>
      <c r="R51" s="37">
        <v>2096298.173</v>
      </c>
      <c r="S51" s="37">
        <v>2267976.7310000001</v>
      </c>
      <c r="T51" s="23">
        <v>2432968.7599999998</v>
      </c>
      <c r="U51" s="23">
        <v>2503832.503</v>
      </c>
      <c r="V51" s="23">
        <v>2768111.8029999998</v>
      </c>
      <c r="W51" s="23">
        <v>2822274.3110000002</v>
      </c>
      <c r="X51" s="2">
        <v>2852881.8930000002</v>
      </c>
      <c r="Y51" s="2">
        <v>2909950.753</v>
      </c>
      <c r="Z51" s="2">
        <v>2941365.5520000001</v>
      </c>
      <c r="AA51" s="2">
        <v>2988956.2990000001</v>
      </c>
    </row>
    <row r="52" spans="1:27">
      <c r="A52" s="23" t="s">
        <v>112</v>
      </c>
      <c r="B52" s="37"/>
      <c r="C52" s="37"/>
      <c r="D52" s="37"/>
      <c r="E52" s="37"/>
      <c r="F52" s="77">
        <v>79162.709000000003</v>
      </c>
      <c r="G52" s="37"/>
      <c r="H52" s="37"/>
      <c r="I52" s="37">
        <v>89893.077000000005</v>
      </c>
      <c r="J52" s="37"/>
      <c r="K52" s="37">
        <v>94677.997749999995</v>
      </c>
      <c r="L52" s="37">
        <v>114761.15700000001</v>
      </c>
      <c r="M52" s="37">
        <v>119461.147</v>
      </c>
      <c r="N52" s="37">
        <v>125980.52099999999</v>
      </c>
      <c r="O52" s="37">
        <v>131315.64000000001</v>
      </c>
      <c r="P52" s="37">
        <v>134935.96900000001</v>
      </c>
      <c r="Q52" s="37">
        <v>143208.67600000001</v>
      </c>
      <c r="R52" s="37">
        <v>145492.261</v>
      </c>
      <c r="S52" s="37">
        <v>163363.50599999999</v>
      </c>
      <c r="T52" s="23">
        <v>167372.86900000001</v>
      </c>
      <c r="U52" s="23">
        <v>172843.81299999999</v>
      </c>
      <c r="V52" s="23">
        <v>191821.253</v>
      </c>
      <c r="W52" s="23">
        <v>195777.62</v>
      </c>
      <c r="X52" s="2">
        <v>213419.31299999999</v>
      </c>
      <c r="Y52" s="2">
        <v>218500.52100000001</v>
      </c>
      <c r="Z52" s="2">
        <v>235074.592</v>
      </c>
      <c r="AA52" s="2">
        <v>241687.63</v>
      </c>
    </row>
    <row r="53" spans="1:27">
      <c r="A53" s="45" t="s">
        <v>116</v>
      </c>
      <c r="B53" s="63"/>
      <c r="C53" s="63"/>
      <c r="D53" s="63"/>
      <c r="E53" s="63"/>
      <c r="F53" s="82">
        <v>551900.61399999994</v>
      </c>
      <c r="G53" s="63"/>
      <c r="H53" s="63"/>
      <c r="I53" s="63">
        <v>618989.83400000003</v>
      </c>
      <c r="J53" s="63"/>
      <c r="K53" s="63">
        <v>637461.30000000005</v>
      </c>
      <c r="L53" s="63">
        <v>739373.55799999996</v>
      </c>
      <c r="M53" s="63">
        <v>794275.73499999999</v>
      </c>
      <c r="N53" s="63">
        <v>799550.66399999999</v>
      </c>
      <c r="O53" s="63">
        <v>846391.80799999996</v>
      </c>
      <c r="P53" s="63">
        <v>864436.76899999997</v>
      </c>
      <c r="Q53" s="63">
        <v>892078.74899999995</v>
      </c>
      <c r="R53" s="63">
        <v>935584.95200000005</v>
      </c>
      <c r="S53" s="63">
        <v>1041709.6310000001</v>
      </c>
      <c r="T53" s="45">
        <v>1100713.6569999999</v>
      </c>
      <c r="U53" s="45">
        <v>1146290.1040000001</v>
      </c>
      <c r="V53" s="45">
        <v>1222873.7050000001</v>
      </c>
      <c r="W53" s="45">
        <v>1273742.4339999999</v>
      </c>
      <c r="X53" s="45">
        <v>1240203.841</v>
      </c>
      <c r="Y53" s="45">
        <v>1282241.939</v>
      </c>
      <c r="Z53" s="45">
        <v>1318232.68</v>
      </c>
      <c r="AA53" s="45">
        <v>1354618.142</v>
      </c>
    </row>
    <row r="54" spans="1:27" s="23" customFormat="1">
      <c r="A54" s="79" t="s">
        <v>122</v>
      </c>
      <c r="B54" s="90">
        <f>SUM(B56:B64)</f>
        <v>0</v>
      </c>
      <c r="C54" s="90">
        <f t="shared" ref="C54:AA54" si="10">SUM(C56:C64)</f>
        <v>0</v>
      </c>
      <c r="D54" s="90">
        <f t="shared" si="10"/>
        <v>0</v>
      </c>
      <c r="E54" s="90">
        <f t="shared" si="10"/>
        <v>0</v>
      </c>
      <c r="F54" s="90">
        <f t="shared" si="10"/>
        <v>3745213.2179999999</v>
      </c>
      <c r="G54" s="90">
        <f t="shared" si="10"/>
        <v>0</v>
      </c>
      <c r="H54" s="90">
        <f t="shared" si="10"/>
        <v>0</v>
      </c>
      <c r="I54" s="90">
        <f t="shared" si="10"/>
        <v>4353659.4620000003</v>
      </c>
      <c r="J54" s="90">
        <f t="shared" si="10"/>
        <v>0</v>
      </c>
      <c r="K54" s="90">
        <f t="shared" si="10"/>
        <v>4803849.2779999999</v>
      </c>
      <c r="L54" s="90">
        <f t="shared" si="10"/>
        <v>4960235.7320000008</v>
      </c>
      <c r="M54" s="90">
        <f t="shared" si="10"/>
        <v>4925571.9460000005</v>
      </c>
      <c r="N54" s="90">
        <f t="shared" si="10"/>
        <v>4792703.7249999996</v>
      </c>
      <c r="O54" s="90">
        <f t="shared" si="10"/>
        <v>4546764.4130000006</v>
      </c>
      <c r="P54" s="90">
        <f t="shared" si="10"/>
        <v>4657558.6550000003</v>
      </c>
      <c r="Q54" s="90">
        <f t="shared" si="10"/>
        <v>5603161.2350000003</v>
      </c>
      <c r="R54" s="90">
        <f t="shared" si="10"/>
        <v>5812634.4289999995</v>
      </c>
      <c r="S54" s="90">
        <f t="shared" si="10"/>
        <v>6336016.875</v>
      </c>
      <c r="T54" s="90">
        <f t="shared" si="10"/>
        <v>6878896.2829999989</v>
      </c>
      <c r="U54" s="90">
        <f t="shared" si="10"/>
        <v>6660982.3089999994</v>
      </c>
      <c r="V54" s="90">
        <f t="shared" si="10"/>
        <v>8594948.4230000004</v>
      </c>
      <c r="W54" s="90">
        <f t="shared" si="10"/>
        <v>9116925.3519999981</v>
      </c>
      <c r="X54" s="90">
        <f t="shared" si="10"/>
        <v>9183131.7970000003</v>
      </c>
      <c r="Y54" s="90">
        <f t="shared" si="10"/>
        <v>9004353.3370000012</v>
      </c>
      <c r="Z54" s="90">
        <f t="shared" si="10"/>
        <v>9700276.0979999993</v>
      </c>
      <c r="AA54" s="90">
        <f t="shared" si="10"/>
        <v>10411627.664999999</v>
      </c>
    </row>
    <row r="55" spans="1:27">
      <c r="A55" s="79" t="s">
        <v>119</v>
      </c>
      <c r="B55" s="37"/>
      <c r="C55" s="37"/>
      <c r="D55" s="37"/>
      <c r="E55" s="37"/>
      <c r="F55" s="37"/>
      <c r="G55" s="37"/>
      <c r="H55" s="37"/>
      <c r="I55" s="37"/>
      <c r="J55" s="37"/>
      <c r="K55" s="37"/>
      <c r="L55" s="37"/>
      <c r="M55" s="37"/>
      <c r="N55" s="37"/>
      <c r="O55" s="37"/>
      <c r="P55" s="37"/>
      <c r="Q55" s="37"/>
      <c r="R55" s="37"/>
      <c r="S55" s="37"/>
      <c r="T55" s="23"/>
      <c r="U55" s="23"/>
      <c r="V55" s="23"/>
      <c r="W55" s="23"/>
    </row>
    <row r="56" spans="1:27" s="23" customFormat="1">
      <c r="A56" s="23" t="s">
        <v>89</v>
      </c>
      <c r="B56" s="36"/>
      <c r="C56" s="36"/>
      <c r="D56" s="36"/>
      <c r="E56" s="36"/>
      <c r="F56" s="77">
        <v>245810.15599999999</v>
      </c>
      <c r="G56" s="36"/>
      <c r="H56" s="36"/>
      <c r="I56" s="37">
        <v>298932.33500000002</v>
      </c>
      <c r="J56" s="37"/>
      <c r="K56" s="37">
        <v>294164.49800000002</v>
      </c>
      <c r="L56" s="37">
        <v>376559.38799999998</v>
      </c>
      <c r="M56" s="37">
        <v>379076.973</v>
      </c>
      <c r="N56" s="37">
        <v>412029.136</v>
      </c>
      <c r="O56" s="37">
        <v>456462.68199999997</v>
      </c>
      <c r="P56" s="37">
        <v>436124.26</v>
      </c>
      <c r="Q56" s="37">
        <v>511097.386</v>
      </c>
      <c r="R56" s="37">
        <v>515692.76299999998</v>
      </c>
      <c r="S56" s="37">
        <v>530744.58299999998</v>
      </c>
      <c r="T56" s="23">
        <v>618342.46100000001</v>
      </c>
      <c r="U56" s="23">
        <v>646923.60100000002</v>
      </c>
      <c r="V56" s="23">
        <v>698223.96900000004</v>
      </c>
      <c r="W56" s="23">
        <v>743185.46200000006</v>
      </c>
      <c r="X56" s="23">
        <v>737437.21400000004</v>
      </c>
      <c r="Y56" s="2">
        <v>787497.69400000002</v>
      </c>
      <c r="Z56" s="2">
        <v>866943.00399999996</v>
      </c>
      <c r="AA56" s="2">
        <v>948177.81599999999</v>
      </c>
    </row>
    <row r="57" spans="1:27" s="23" customFormat="1">
      <c r="A57" s="23" t="s">
        <v>96</v>
      </c>
      <c r="B57" s="36"/>
      <c r="C57" s="36"/>
      <c r="D57" s="36"/>
      <c r="E57" s="36"/>
      <c r="F57" s="77">
        <v>96081.008000000002</v>
      </c>
      <c r="G57" s="36"/>
      <c r="H57" s="36"/>
      <c r="I57" s="37">
        <v>105020.883</v>
      </c>
      <c r="J57" s="37"/>
      <c r="K57" s="37">
        <v>107976.48299999999</v>
      </c>
      <c r="L57" s="37">
        <v>124602.30899999999</v>
      </c>
      <c r="M57" s="37">
        <v>132584.71799999999</v>
      </c>
      <c r="N57" s="37">
        <v>139447.34</v>
      </c>
      <c r="O57" s="37">
        <v>147014.02600000001</v>
      </c>
      <c r="P57" s="37">
        <v>151544.95999999999</v>
      </c>
      <c r="Q57" s="37">
        <v>156652.55300000001</v>
      </c>
      <c r="R57" s="37">
        <v>163729.16</v>
      </c>
      <c r="S57" s="37">
        <v>173406.815</v>
      </c>
      <c r="T57" s="23">
        <v>181744.93900000001</v>
      </c>
      <c r="U57" s="23">
        <v>184814.91399999999</v>
      </c>
      <c r="V57" s="23">
        <v>216570.30600000001</v>
      </c>
      <c r="W57" s="23">
        <v>216311.95300000001</v>
      </c>
      <c r="X57" s="23">
        <v>217108.6</v>
      </c>
      <c r="Y57" s="2">
        <v>215365.13099999999</v>
      </c>
      <c r="Z57" s="2">
        <v>218372.59899999999</v>
      </c>
      <c r="AA57" s="2">
        <v>217187.552</v>
      </c>
    </row>
    <row r="58" spans="1:27" s="45" customFormat="1">
      <c r="A58" s="23" t="s">
        <v>97</v>
      </c>
      <c r="B58" s="36"/>
      <c r="C58" s="36"/>
      <c r="D58" s="36"/>
      <c r="E58" s="37"/>
      <c r="F58" s="77">
        <v>347930.11700000003</v>
      </c>
      <c r="G58" s="36"/>
      <c r="H58" s="36"/>
      <c r="I58" s="37">
        <v>399468.35499999998</v>
      </c>
      <c r="J58" s="37"/>
      <c r="K58" s="37">
        <v>441217.74200000003</v>
      </c>
      <c r="L58" s="37">
        <v>497455.02899999998</v>
      </c>
      <c r="M58" s="37">
        <v>531056.93700000003</v>
      </c>
      <c r="N58" s="37">
        <v>551315.55599999998</v>
      </c>
      <c r="O58" s="37">
        <v>527868.01399999997</v>
      </c>
      <c r="P58" s="37">
        <v>552069.34</v>
      </c>
      <c r="Q58" s="37">
        <v>612568.80000000005</v>
      </c>
      <c r="R58" s="37">
        <v>682483.52899999998</v>
      </c>
      <c r="S58" s="37">
        <v>730944.48800000001</v>
      </c>
      <c r="T58" s="23">
        <v>786212.54</v>
      </c>
      <c r="U58" s="23">
        <v>694912.90300000005</v>
      </c>
      <c r="V58" s="23">
        <v>936036.39800000004</v>
      </c>
      <c r="W58" s="23">
        <v>1008090.437</v>
      </c>
      <c r="X58" s="45">
        <v>1064316.247</v>
      </c>
      <c r="Y58" s="2">
        <v>1107357.1810000001</v>
      </c>
      <c r="Z58" s="2">
        <v>1172959.3359999999</v>
      </c>
      <c r="AA58" s="2">
        <v>1233476.818</v>
      </c>
    </row>
    <row r="59" spans="1:27" s="14" customFormat="1">
      <c r="A59" s="23" t="s">
        <v>103</v>
      </c>
      <c r="B59" s="37"/>
      <c r="C59" s="37"/>
      <c r="D59" s="37"/>
      <c r="E59" s="37"/>
      <c r="F59" s="77">
        <v>75598.259999999995</v>
      </c>
      <c r="G59" s="37"/>
      <c r="H59" s="37"/>
      <c r="I59" s="37">
        <v>92710.070999999996</v>
      </c>
      <c r="J59" s="37"/>
      <c r="K59" s="37">
        <v>99868.688999999998</v>
      </c>
      <c r="L59" s="37">
        <v>110205.795</v>
      </c>
      <c r="M59" s="37">
        <v>115755.173</v>
      </c>
      <c r="N59" s="37">
        <v>135097.76</v>
      </c>
      <c r="O59" s="37">
        <v>138994.76999999999</v>
      </c>
      <c r="P59" s="37">
        <v>156677.606</v>
      </c>
      <c r="Q59" s="37">
        <v>163413.845</v>
      </c>
      <c r="R59" s="37">
        <v>168114.82399999999</v>
      </c>
      <c r="S59" s="37">
        <v>177436.704</v>
      </c>
      <c r="T59" s="23">
        <v>217174.861</v>
      </c>
      <c r="U59" s="23">
        <v>230959.68299999999</v>
      </c>
      <c r="V59" s="23">
        <v>237951.399</v>
      </c>
      <c r="W59" s="23">
        <v>257731.405</v>
      </c>
      <c r="X59" s="14">
        <v>250030.79399999999</v>
      </c>
      <c r="Y59" s="2">
        <v>253531.826</v>
      </c>
      <c r="Z59" s="2">
        <v>260232.47</v>
      </c>
      <c r="AA59" s="2">
        <v>274237.43800000002</v>
      </c>
    </row>
    <row r="60" spans="1:27" s="14" customFormat="1">
      <c r="A60" s="23" t="s">
        <v>104</v>
      </c>
      <c r="B60" s="37"/>
      <c r="C60" s="37"/>
      <c r="D60" s="37"/>
      <c r="E60" s="37"/>
      <c r="F60" s="77">
        <v>362630.09899999999</v>
      </c>
      <c r="G60" s="37"/>
      <c r="H60" s="37"/>
      <c r="I60" s="37">
        <v>419082.60600000003</v>
      </c>
      <c r="J60" s="37"/>
      <c r="K60" s="37">
        <v>769396.06200000003</v>
      </c>
      <c r="L60" s="37">
        <v>488336.39500000002</v>
      </c>
      <c r="M60" s="37">
        <v>503124.42599999998</v>
      </c>
      <c r="N60" s="37">
        <v>544439.17700000003</v>
      </c>
      <c r="O60" s="37">
        <v>563039.26300000004</v>
      </c>
      <c r="P60" s="37">
        <v>588321.16</v>
      </c>
      <c r="Q60" s="37">
        <v>1112441.102</v>
      </c>
      <c r="R60" s="37">
        <v>1173899.6950000001</v>
      </c>
      <c r="S60" s="37">
        <v>1226718.96</v>
      </c>
      <c r="T60" s="23">
        <v>1408881.6669999999</v>
      </c>
      <c r="U60" s="23">
        <v>1298017.578</v>
      </c>
      <c r="V60" s="23">
        <v>1697592.409</v>
      </c>
      <c r="W60" s="23">
        <v>1809848.7</v>
      </c>
      <c r="X60" s="14">
        <v>1880861.1270000001</v>
      </c>
      <c r="Y60" s="2">
        <v>1725006.2490000001</v>
      </c>
      <c r="Z60" s="2">
        <v>2003703.7819999999</v>
      </c>
      <c r="AA60" s="2">
        <v>2086097.7109999999</v>
      </c>
    </row>
    <row r="61" spans="1:27" s="14" customFormat="1">
      <c r="A61" s="23" t="s">
        <v>106</v>
      </c>
      <c r="B61" s="37"/>
      <c r="C61" s="37"/>
      <c r="D61" s="37"/>
      <c r="E61" s="37"/>
      <c r="F61" s="77">
        <v>1418134.013</v>
      </c>
      <c r="G61" s="37"/>
      <c r="H61" s="37"/>
      <c r="I61" s="37">
        <v>1662912.23</v>
      </c>
      <c r="J61" s="37"/>
      <c r="K61" s="37">
        <v>1674188.067</v>
      </c>
      <c r="L61" s="37">
        <v>1725469.8119999999</v>
      </c>
      <c r="M61" s="37">
        <v>1801968.865</v>
      </c>
      <c r="N61" s="37">
        <v>1989494.098</v>
      </c>
      <c r="O61" s="37">
        <v>1950080.923</v>
      </c>
      <c r="P61" s="37">
        <v>1985903.3389999999</v>
      </c>
      <c r="Q61" s="37">
        <v>2251046.6910000001</v>
      </c>
      <c r="R61" s="37">
        <v>2287459.9679999999</v>
      </c>
      <c r="S61" s="37">
        <v>2611313.077</v>
      </c>
      <c r="T61" s="23">
        <v>2745917.0079999999</v>
      </c>
      <c r="U61" s="23">
        <v>2668357.486</v>
      </c>
      <c r="V61" s="23">
        <v>3630125.1669999999</v>
      </c>
      <c r="W61" s="23">
        <v>3851347.2050000001</v>
      </c>
      <c r="X61" s="14">
        <v>3802992.6189999999</v>
      </c>
      <c r="Y61" s="2">
        <v>3666044.8280000002</v>
      </c>
      <c r="Z61" s="2">
        <v>3887029.236</v>
      </c>
      <c r="AA61" s="2">
        <v>4346696.3250000002</v>
      </c>
    </row>
    <row r="62" spans="1:27" s="14" customFormat="1">
      <c r="A62" s="23" t="s">
        <v>110</v>
      </c>
      <c r="B62" s="37"/>
      <c r="C62" s="37"/>
      <c r="D62" s="37"/>
      <c r="E62" s="37"/>
      <c r="F62" s="77">
        <v>1042142.099</v>
      </c>
      <c r="G62" s="37"/>
      <c r="H62" s="37"/>
      <c r="I62" s="37">
        <v>1194308.3829999999</v>
      </c>
      <c r="J62" s="37"/>
      <c r="K62" s="37">
        <v>1234793.946</v>
      </c>
      <c r="L62" s="37">
        <v>1433604.246</v>
      </c>
      <c r="M62" s="37">
        <v>1248227.9550000001</v>
      </c>
      <c r="N62" s="37">
        <v>797172.46900000004</v>
      </c>
      <c r="O62" s="37">
        <v>541621.03599999996</v>
      </c>
      <c r="P62" s="37">
        <v>540868.65399999998</v>
      </c>
      <c r="Q62" s="37">
        <v>539624.87300000002</v>
      </c>
      <c r="R62" s="37">
        <v>554445.23899999994</v>
      </c>
      <c r="S62" s="37">
        <v>590887.47199999995</v>
      </c>
      <c r="T62" s="23">
        <v>608870.22600000002</v>
      </c>
      <c r="U62" s="23">
        <v>631271.07900000003</v>
      </c>
      <c r="V62" s="23">
        <v>793875.45600000001</v>
      </c>
      <c r="W62" s="23">
        <v>832102.85199999996</v>
      </c>
      <c r="X62" s="14">
        <v>819943.60100000002</v>
      </c>
      <c r="Y62" s="2">
        <v>846424.90099999995</v>
      </c>
      <c r="Z62" s="2">
        <v>869433.58700000006</v>
      </c>
      <c r="AA62" s="2">
        <v>882415.69200000004</v>
      </c>
    </row>
    <row r="63" spans="1:27" s="14" customFormat="1">
      <c r="A63" s="23" t="s">
        <v>111</v>
      </c>
      <c r="B63" s="37"/>
      <c r="C63" s="37"/>
      <c r="D63" s="37"/>
      <c r="E63" s="37"/>
      <c r="F63" s="77">
        <v>77119.629000000001</v>
      </c>
      <c r="G63" s="37"/>
      <c r="H63" s="37"/>
      <c r="I63" s="37">
        <v>91559.630999999994</v>
      </c>
      <c r="J63" s="37"/>
      <c r="K63" s="37">
        <v>87055.58</v>
      </c>
      <c r="L63" s="37">
        <v>95624.906000000003</v>
      </c>
      <c r="M63" s="37">
        <v>101082.985</v>
      </c>
      <c r="N63" s="37">
        <v>105290.435</v>
      </c>
      <c r="O63" s="37">
        <v>111819.739</v>
      </c>
      <c r="P63" s="37">
        <v>115533.323</v>
      </c>
      <c r="Q63" s="37">
        <v>117600.303</v>
      </c>
      <c r="R63" s="37">
        <v>123021.87699999999</v>
      </c>
      <c r="S63" s="37">
        <v>124981.844</v>
      </c>
      <c r="T63" s="23">
        <v>132499.70800000001</v>
      </c>
      <c r="U63" s="23">
        <v>131292.35699999999</v>
      </c>
      <c r="V63" s="23">
        <v>159863.85</v>
      </c>
      <c r="W63" s="23">
        <v>164625.04800000001</v>
      </c>
      <c r="X63" s="14">
        <v>168159.709</v>
      </c>
      <c r="Y63" s="2">
        <v>171550.60500000001</v>
      </c>
      <c r="Z63" s="2">
        <v>182786.42600000001</v>
      </c>
      <c r="AA63" s="2">
        <v>182542.008</v>
      </c>
    </row>
    <row r="64" spans="1:27" s="14" customFormat="1">
      <c r="A64" s="45" t="s">
        <v>114</v>
      </c>
      <c r="B64" s="63"/>
      <c r="C64" s="63"/>
      <c r="D64" s="63"/>
      <c r="E64" s="63"/>
      <c r="F64" s="82">
        <v>79767.837</v>
      </c>
      <c r="G64" s="63"/>
      <c r="H64" s="63"/>
      <c r="I64" s="63">
        <v>89664.967999999993</v>
      </c>
      <c r="J64" s="63"/>
      <c r="K64" s="63">
        <v>95188.210999999996</v>
      </c>
      <c r="L64" s="63">
        <v>108377.852</v>
      </c>
      <c r="M64" s="63">
        <v>112693.914</v>
      </c>
      <c r="N64" s="63">
        <v>118417.754</v>
      </c>
      <c r="O64" s="63">
        <v>109863.96</v>
      </c>
      <c r="P64" s="63">
        <v>130516.01300000001</v>
      </c>
      <c r="Q64" s="63">
        <v>138715.682</v>
      </c>
      <c r="R64" s="63">
        <v>143787.37400000001</v>
      </c>
      <c r="S64" s="63">
        <v>169582.932</v>
      </c>
      <c r="T64" s="45">
        <v>179252.87299999999</v>
      </c>
      <c r="U64" s="45">
        <v>174432.70800000001</v>
      </c>
      <c r="V64" s="45">
        <v>224709.46900000001</v>
      </c>
      <c r="W64" s="45">
        <v>233682.29</v>
      </c>
      <c r="X64" s="63">
        <v>242281.886</v>
      </c>
      <c r="Y64" s="45">
        <v>231574.92199999999</v>
      </c>
      <c r="Z64" s="45">
        <v>238815.658</v>
      </c>
      <c r="AA64" s="45">
        <v>240796.30499999999</v>
      </c>
    </row>
    <row r="65" spans="1:27" s="14" customFormat="1">
      <c r="A65" s="88" t="s">
        <v>90</v>
      </c>
      <c r="B65" s="84"/>
      <c r="C65" s="84"/>
      <c r="D65" s="84"/>
      <c r="E65" s="84"/>
      <c r="F65" s="85">
        <v>50504.614999999998</v>
      </c>
      <c r="G65" s="84"/>
      <c r="H65" s="84"/>
      <c r="I65" s="86">
        <v>40920.159</v>
      </c>
      <c r="J65" s="86"/>
      <c r="K65" s="86">
        <v>41358.930030000003</v>
      </c>
      <c r="L65" s="86">
        <v>33923.783000000003</v>
      </c>
      <c r="M65" s="86">
        <v>37082.226000000002</v>
      </c>
      <c r="N65" s="86">
        <v>28579.234</v>
      </c>
      <c r="O65" s="86">
        <v>32236.488000000001</v>
      </c>
      <c r="P65" s="86">
        <v>33852.826000000001</v>
      </c>
      <c r="Q65" s="86">
        <v>41477.572999999997</v>
      </c>
      <c r="R65" s="86">
        <v>42394.33</v>
      </c>
      <c r="S65" s="86">
        <v>47484.222000000002</v>
      </c>
      <c r="T65" s="87">
        <v>41681.623</v>
      </c>
      <c r="U65" s="87">
        <v>41506.419000000002</v>
      </c>
      <c r="V65" s="87">
        <v>39654</v>
      </c>
      <c r="W65" s="87">
        <v>60512.646000000001</v>
      </c>
      <c r="X65" s="63">
        <v>63064.275000000001</v>
      </c>
      <c r="Y65" s="45">
        <v>60120.593000000001</v>
      </c>
      <c r="Z65" s="45">
        <v>53316.891000000003</v>
      </c>
      <c r="AA65" s="45">
        <v>43810.288</v>
      </c>
    </row>
    <row r="66" spans="1:27" s="14" customFormat="1">
      <c r="A66" s="80"/>
      <c r="F66" s="27"/>
    </row>
    <row r="67" spans="1:27">
      <c r="A67" s="13" t="s">
        <v>18</v>
      </c>
      <c r="F67" s="14" t="s">
        <v>63</v>
      </c>
      <c r="I67" s="14" t="s">
        <v>78</v>
      </c>
      <c r="J67" s="14" t="s">
        <v>76</v>
      </c>
      <c r="K67" s="14" t="s">
        <v>66</v>
      </c>
      <c r="L67" s="14" t="s">
        <v>69</v>
      </c>
      <c r="O67" s="14" t="s">
        <v>78</v>
      </c>
      <c r="P67" s="14" t="s">
        <v>78</v>
      </c>
      <c r="Q67" s="14" t="s">
        <v>78</v>
      </c>
      <c r="R67" s="14" t="s">
        <v>78</v>
      </c>
    </row>
    <row r="68" spans="1:27">
      <c r="F68" s="14" t="s">
        <v>129</v>
      </c>
      <c r="I68" s="14" t="s">
        <v>79</v>
      </c>
      <c r="J68" s="14" t="s">
        <v>72</v>
      </c>
      <c r="K68" s="14" t="s">
        <v>83</v>
      </c>
      <c r="L68" s="14" t="s">
        <v>84</v>
      </c>
      <c r="O68" s="14" t="s">
        <v>79</v>
      </c>
      <c r="P68" s="14" t="s">
        <v>79</v>
      </c>
      <c r="Q68" s="14" t="s">
        <v>79</v>
      </c>
      <c r="R68" s="14" t="s">
        <v>79</v>
      </c>
    </row>
    <row r="69" spans="1:27">
      <c r="F69" s="14" t="s">
        <v>65</v>
      </c>
      <c r="I69" s="14" t="s">
        <v>80</v>
      </c>
      <c r="J69" s="14" t="s">
        <v>73</v>
      </c>
      <c r="O69" s="14" t="s">
        <v>80</v>
      </c>
      <c r="P69" s="14" t="s">
        <v>80</v>
      </c>
      <c r="Q69" s="14" t="s">
        <v>80</v>
      </c>
      <c r="R69" s="14" t="s">
        <v>80</v>
      </c>
    </row>
    <row r="70" spans="1:27">
      <c r="J70" s="14" t="s">
        <v>74</v>
      </c>
    </row>
  </sheetData>
  <phoneticPr fontId="6" type="noConversion"/>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3">
    <tabColor indexed="62"/>
  </sheetPr>
  <dimension ref="A1:AA72"/>
  <sheetViews>
    <sheetView zoomScale="80" zoomScaleNormal="80" workbookViewId="0">
      <pane xSplit="1" ySplit="5" topLeftCell="N6" activePane="bottomRight" state="frozen"/>
      <selection activeCell="B52" sqref="B52"/>
      <selection pane="topRight" activeCell="B52" sqref="B52"/>
      <selection pane="bottomLeft" activeCell="B52" sqref="B52"/>
      <selection pane="bottomRight" activeCell="AA2" sqref="AA2"/>
    </sheetView>
  </sheetViews>
  <sheetFormatPr defaultColWidth="9.7109375" defaultRowHeight="12.75"/>
  <cols>
    <col min="1" max="1" width="23.42578125" style="80" customWidth="1"/>
    <col min="2" max="9" width="12.42578125" style="14" customWidth="1"/>
    <col min="10" max="10" width="11.140625" style="14" customWidth="1"/>
    <col min="11" max="18" width="12.42578125" style="14" customWidth="1"/>
    <col min="19" max="23" width="12.42578125" style="2" customWidth="1"/>
    <col min="24" max="24" width="14.42578125" style="2" bestFit="1" customWidth="1"/>
    <col min="25" max="25" width="10.5703125" style="2" bestFit="1" customWidth="1"/>
    <col min="26" max="27" width="10.5703125" style="2" customWidth="1"/>
    <col min="28" max="16384" width="9.7109375" style="2"/>
  </cols>
  <sheetData>
    <row r="1" spans="1:27">
      <c r="A1" s="8" t="s">
        <v>39</v>
      </c>
      <c r="B1" s="13"/>
      <c r="C1" s="13"/>
      <c r="D1" s="13"/>
      <c r="E1" s="13"/>
      <c r="F1" s="13"/>
      <c r="G1" s="13"/>
      <c r="H1" s="13"/>
    </row>
    <row r="2" spans="1:27">
      <c r="A2" s="1"/>
      <c r="B2" s="13"/>
      <c r="C2" s="13"/>
      <c r="D2" s="13"/>
      <c r="E2" s="13"/>
      <c r="F2" s="13"/>
      <c r="G2" s="13"/>
      <c r="H2" s="13"/>
    </row>
    <row r="3" spans="1:27">
      <c r="A3" s="1" t="s">
        <v>0</v>
      </c>
      <c r="B3" s="13"/>
      <c r="C3" s="13"/>
      <c r="D3" s="12"/>
      <c r="E3" s="12"/>
      <c r="F3" s="13"/>
      <c r="G3" s="13"/>
      <c r="H3" s="13"/>
    </row>
    <row r="4" spans="1:27" s="61"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75">
        <v>2005</v>
      </c>
      <c r="R4" s="75">
        <v>2006</v>
      </c>
      <c r="S4" s="75">
        <v>2007</v>
      </c>
      <c r="T4" s="75">
        <v>2008</v>
      </c>
      <c r="U4" s="75">
        <v>2009</v>
      </c>
      <c r="V4" s="74">
        <v>2010</v>
      </c>
      <c r="W4" s="74">
        <v>2011</v>
      </c>
      <c r="X4" s="173" t="s">
        <v>142</v>
      </c>
      <c r="Y4" s="173" t="s">
        <v>144</v>
      </c>
      <c r="Z4" s="173" t="s">
        <v>145</v>
      </c>
      <c r="AA4" s="173" t="s">
        <v>146</v>
      </c>
    </row>
    <row r="5" spans="1:27">
      <c r="B5" s="15" t="s">
        <v>2</v>
      </c>
      <c r="C5" s="15" t="s">
        <v>2</v>
      </c>
      <c r="D5" s="15" t="s">
        <v>2</v>
      </c>
      <c r="E5" s="15" t="s">
        <v>2</v>
      </c>
      <c r="F5" s="15" t="s">
        <v>2</v>
      </c>
      <c r="G5" s="15" t="s">
        <v>2</v>
      </c>
      <c r="H5" s="15" t="s">
        <v>2</v>
      </c>
      <c r="I5" s="15" t="s">
        <v>2</v>
      </c>
      <c r="J5" s="15" t="s">
        <v>2</v>
      </c>
      <c r="K5" s="15" t="s">
        <v>2</v>
      </c>
      <c r="L5" s="15" t="s">
        <v>2</v>
      </c>
      <c r="M5" s="15" t="s">
        <v>2</v>
      </c>
      <c r="N5" s="15" t="s">
        <v>2</v>
      </c>
      <c r="O5" s="15" t="s">
        <v>2</v>
      </c>
      <c r="P5" s="15" t="s">
        <v>2</v>
      </c>
      <c r="Q5" s="15" t="s">
        <v>2</v>
      </c>
      <c r="R5" s="15" t="s">
        <v>2</v>
      </c>
      <c r="S5" s="15" t="s">
        <v>2</v>
      </c>
      <c r="T5" s="15" t="s">
        <v>2</v>
      </c>
      <c r="U5" s="15" t="s">
        <v>2</v>
      </c>
      <c r="V5" s="15" t="s">
        <v>2</v>
      </c>
      <c r="W5" s="15" t="s">
        <v>2</v>
      </c>
      <c r="X5" s="19" t="s">
        <v>2</v>
      </c>
      <c r="Y5" s="19" t="s">
        <v>2</v>
      </c>
      <c r="Z5" s="19" t="s">
        <v>2</v>
      </c>
      <c r="AA5" s="19" t="s">
        <v>2</v>
      </c>
    </row>
    <row r="6" spans="1:27" s="23" customFormat="1">
      <c r="A6" s="63" t="s">
        <v>118</v>
      </c>
      <c r="B6" s="66">
        <v>4481854</v>
      </c>
      <c r="C6" s="66">
        <v>4818621</v>
      </c>
      <c r="D6" s="66">
        <v>5120989</v>
      </c>
      <c r="E6" s="66">
        <v>7540344.4139999999</v>
      </c>
      <c r="F6" s="91">
        <f>+F7+F25+F40+F54+F65</f>
        <v>7842909.4129999997</v>
      </c>
      <c r="G6" s="66">
        <v>8645465.7559999991</v>
      </c>
      <c r="H6" s="66">
        <v>9053480.3709999993</v>
      </c>
      <c r="I6" s="91">
        <f>+I7+I25+I40+I54+I65</f>
        <v>8970821.0789999999</v>
      </c>
      <c r="J6" s="63">
        <v>9762155.2660000008</v>
      </c>
      <c r="K6" s="91">
        <f t="shared" ref="K6:U6" si="0">+K7+K25+K40+K54+K65</f>
        <v>10120685.521130001</v>
      </c>
      <c r="L6" s="91">
        <f t="shared" si="0"/>
        <v>11186707.625</v>
      </c>
      <c r="M6" s="91">
        <f t="shared" si="0"/>
        <v>12209856.35</v>
      </c>
      <c r="N6" s="91">
        <f t="shared" si="0"/>
        <v>12514271.915999999</v>
      </c>
      <c r="O6" s="91">
        <f t="shared" si="0"/>
        <v>12787607.030999999</v>
      </c>
      <c r="P6" s="91">
        <f t="shared" si="0"/>
        <v>13122721.689999999</v>
      </c>
      <c r="Q6" s="91">
        <f t="shared" si="0"/>
        <v>14528334.474999998</v>
      </c>
      <c r="R6" s="91">
        <f t="shared" si="0"/>
        <v>15405612.856999999</v>
      </c>
      <c r="S6" s="91">
        <f t="shared" si="0"/>
        <v>16335984.432</v>
      </c>
      <c r="T6" s="91">
        <f t="shared" si="0"/>
        <v>17840473.568</v>
      </c>
      <c r="U6" s="91">
        <f t="shared" si="0"/>
        <v>19436124.537</v>
      </c>
      <c r="V6" s="91">
        <f t="shared" ref="V6:W6" si="1">+V7+V25+V40+V54+V65</f>
        <v>23072745.412</v>
      </c>
      <c r="W6" s="91">
        <f t="shared" si="1"/>
        <v>24302001.506999999</v>
      </c>
      <c r="X6" s="91">
        <f t="shared" ref="X6:Y6" si="2">+X7+X25+X40+X54+X65</f>
        <v>24416587.718999997</v>
      </c>
      <c r="Y6" s="91">
        <f t="shared" si="2"/>
        <v>20953736.903000001</v>
      </c>
      <c r="Z6" s="91">
        <f t="shared" ref="Z6:AA6" si="3">+Z7+Z25+Z40+Z54+Z65</f>
        <v>21376741.784000002</v>
      </c>
      <c r="AA6" s="91">
        <f t="shared" si="3"/>
        <v>21772729.454000004</v>
      </c>
    </row>
    <row r="7" spans="1:27" s="23" customFormat="1">
      <c r="A7" s="22" t="s">
        <v>56</v>
      </c>
      <c r="B7" s="89">
        <f>SUM(B8:B24)</f>
        <v>1288612</v>
      </c>
      <c r="C7" s="89">
        <f t="shared" ref="C7:U7" si="4">SUM(C8:C24)</f>
        <v>1416471</v>
      </c>
      <c r="D7" s="89">
        <f t="shared" si="4"/>
        <v>1523801</v>
      </c>
      <c r="E7" s="89">
        <f t="shared" si="4"/>
        <v>2306884.3879999998</v>
      </c>
      <c r="F7" s="89">
        <f t="shared" si="4"/>
        <v>2362171.6090000002</v>
      </c>
      <c r="G7" s="89">
        <f t="shared" si="4"/>
        <v>2626589.753</v>
      </c>
      <c r="H7" s="89">
        <f t="shared" si="4"/>
        <v>2831586.6809999999</v>
      </c>
      <c r="I7" s="89">
        <f t="shared" si="4"/>
        <v>2911501.4109999998</v>
      </c>
      <c r="J7" s="89">
        <f t="shared" si="4"/>
        <v>3078746.6880000001</v>
      </c>
      <c r="K7" s="89">
        <f t="shared" si="4"/>
        <v>3225846.4519900004</v>
      </c>
      <c r="L7" s="89">
        <f t="shared" si="4"/>
        <v>3963347.639</v>
      </c>
      <c r="M7" s="89">
        <f t="shared" si="4"/>
        <v>4345992.1719999993</v>
      </c>
      <c r="N7" s="89">
        <f t="shared" si="4"/>
        <v>4181250.3979999996</v>
      </c>
      <c r="O7" s="89">
        <f t="shared" si="4"/>
        <v>4236290.8540000003</v>
      </c>
      <c r="P7" s="89">
        <f t="shared" si="4"/>
        <v>4363199.7419999996</v>
      </c>
      <c r="Q7" s="89">
        <f t="shared" si="4"/>
        <v>4767955.2319999989</v>
      </c>
      <c r="R7" s="89">
        <f t="shared" si="4"/>
        <v>5054101.2769999998</v>
      </c>
      <c r="S7" s="89">
        <f t="shared" si="4"/>
        <v>5545132.317999999</v>
      </c>
      <c r="T7" s="89">
        <f t="shared" si="4"/>
        <v>6140256.352</v>
      </c>
      <c r="U7" s="89">
        <f t="shared" si="4"/>
        <v>6634558.0770000005</v>
      </c>
      <c r="V7" s="89">
        <f t="shared" ref="V7:W7" si="5">SUM(V8:V24)</f>
        <v>8071952.6869999999</v>
      </c>
      <c r="W7" s="89">
        <f t="shared" si="5"/>
        <v>8493046.9009999987</v>
      </c>
      <c r="X7" s="89">
        <f t="shared" ref="X7:Y7" si="6">SUM(X8:X24)</f>
        <v>8516083.1559999976</v>
      </c>
      <c r="Y7" s="89">
        <f t="shared" si="6"/>
        <v>8139406.7790000001</v>
      </c>
      <c r="Z7" s="89">
        <f t="shared" ref="Z7:AA7" si="7">SUM(Z8:Z24)</f>
        <v>8204830.0960000018</v>
      </c>
      <c r="AA7" s="89">
        <f t="shared" si="7"/>
        <v>8216142.2940000016</v>
      </c>
    </row>
    <row r="8" spans="1:27">
      <c r="A8" s="79" t="s">
        <v>119</v>
      </c>
      <c r="S8" s="14"/>
    </row>
    <row r="9" spans="1:27">
      <c r="A9" s="22" t="s">
        <v>3</v>
      </c>
      <c r="B9" s="13">
        <v>51444</v>
      </c>
      <c r="C9" s="13">
        <v>79956</v>
      </c>
      <c r="D9" s="13">
        <v>92492</v>
      </c>
      <c r="E9" s="13">
        <v>116136.359</v>
      </c>
      <c r="F9" s="76">
        <v>119768.159</v>
      </c>
      <c r="G9" s="13">
        <v>129943.61500000001</v>
      </c>
      <c r="H9" s="13">
        <v>140592.49</v>
      </c>
      <c r="I9" s="13">
        <v>151966.21299999999</v>
      </c>
      <c r="J9" s="13">
        <v>159527.84299999999</v>
      </c>
      <c r="K9" s="13">
        <v>155412.66150999998</v>
      </c>
      <c r="L9" s="14">
        <v>169292.003</v>
      </c>
      <c r="M9" s="14">
        <v>173389.35699999999</v>
      </c>
      <c r="N9" s="14">
        <v>172396.25399999999</v>
      </c>
      <c r="O9" s="14">
        <v>184070.33199999999</v>
      </c>
      <c r="P9" s="14">
        <v>197118.334</v>
      </c>
      <c r="Q9" s="14">
        <v>204802.38800000001</v>
      </c>
      <c r="R9" s="14">
        <v>222150.09599999999</v>
      </c>
      <c r="S9" s="14">
        <v>239649.59099999999</v>
      </c>
      <c r="T9" s="2">
        <v>309287.13699999999</v>
      </c>
      <c r="U9" s="2">
        <v>299802.89299999998</v>
      </c>
      <c r="V9" s="2">
        <v>336372.06099999999</v>
      </c>
      <c r="W9" s="2">
        <v>335114.83399999997</v>
      </c>
      <c r="X9" s="2">
        <v>331813.31099999999</v>
      </c>
      <c r="Y9" s="2">
        <v>315946.739</v>
      </c>
      <c r="Z9" s="2">
        <v>318162.88199999998</v>
      </c>
      <c r="AA9" s="2">
        <v>310375.08799999999</v>
      </c>
    </row>
    <row r="10" spans="1:27">
      <c r="A10" s="22" t="s">
        <v>4</v>
      </c>
      <c r="B10" s="13">
        <v>12727</v>
      </c>
      <c r="C10" s="13">
        <v>15989</v>
      </c>
      <c r="D10" s="13">
        <v>16595</v>
      </c>
      <c r="E10" s="13">
        <v>25497.748</v>
      </c>
      <c r="F10" s="76">
        <v>28047.028999999999</v>
      </c>
      <c r="G10" s="13">
        <v>35428.294000000002</v>
      </c>
      <c r="H10" s="13">
        <v>37147.173000000003</v>
      </c>
      <c r="I10" s="14">
        <v>40483.927000000003</v>
      </c>
      <c r="J10" s="14">
        <v>59016.319000000003</v>
      </c>
      <c r="K10" s="14">
        <v>53732.05</v>
      </c>
      <c r="L10" s="14">
        <v>79651.883000000002</v>
      </c>
      <c r="M10" s="14">
        <v>85940.28</v>
      </c>
      <c r="N10" s="14">
        <v>85915.48</v>
      </c>
      <c r="O10" s="14">
        <v>89893.262000000002</v>
      </c>
      <c r="P10" s="14">
        <v>102564.984</v>
      </c>
      <c r="Q10" s="14">
        <v>110118.773</v>
      </c>
      <c r="R10" s="14">
        <v>119625.868</v>
      </c>
      <c r="S10" s="14">
        <v>149944.53700000001</v>
      </c>
      <c r="T10" s="2">
        <v>160547.049</v>
      </c>
      <c r="U10" s="2">
        <v>148614.649</v>
      </c>
      <c r="V10" s="2">
        <v>190576.071</v>
      </c>
      <c r="W10" s="2">
        <v>199396.93599999999</v>
      </c>
      <c r="X10" s="2">
        <v>205856.33799999999</v>
      </c>
      <c r="Y10" s="2">
        <v>199420.03200000001</v>
      </c>
      <c r="Z10" s="2">
        <v>203393.435</v>
      </c>
      <c r="AA10" s="2">
        <v>194049.36199999999</v>
      </c>
    </row>
    <row r="11" spans="1:27">
      <c r="A11" s="22" t="s">
        <v>52</v>
      </c>
      <c r="B11" s="13"/>
      <c r="C11" s="13"/>
      <c r="D11" s="13">
        <v>12672</v>
      </c>
      <c r="E11" s="13">
        <v>25068.355</v>
      </c>
      <c r="F11" s="76">
        <v>32148.685000000001</v>
      </c>
      <c r="G11" s="13"/>
      <c r="H11" s="13"/>
      <c r="I11" s="14">
        <v>15141.124</v>
      </c>
      <c r="J11" s="14">
        <v>28848.151000000002</v>
      </c>
      <c r="K11" s="14">
        <v>31739.526000000002</v>
      </c>
      <c r="L11" s="14">
        <v>36157.555999999997</v>
      </c>
      <c r="M11" s="14">
        <v>37826.125</v>
      </c>
      <c r="N11" s="14">
        <v>38157.480000000003</v>
      </c>
      <c r="O11" s="14">
        <v>39696.425000000003</v>
      </c>
      <c r="P11" s="14">
        <v>42065.220999999998</v>
      </c>
      <c r="Q11" s="14">
        <v>45330.663</v>
      </c>
      <c r="R11" s="14">
        <v>49409.188000000002</v>
      </c>
      <c r="S11" s="14">
        <v>53489.733</v>
      </c>
      <c r="T11" s="2">
        <v>55909.159</v>
      </c>
      <c r="U11" s="2">
        <v>56716.728999999999</v>
      </c>
      <c r="V11" s="2">
        <v>65627.520000000004</v>
      </c>
      <c r="W11" s="2">
        <v>75956.070000000007</v>
      </c>
      <c r="X11" s="2">
        <v>81056.270999999993</v>
      </c>
      <c r="Y11" s="2">
        <v>81096.320999999996</v>
      </c>
      <c r="Z11" s="2">
        <v>84310.627999999997</v>
      </c>
      <c r="AA11" s="2">
        <v>81674.042000000001</v>
      </c>
    </row>
    <row r="12" spans="1:27">
      <c r="A12" s="22" t="s">
        <v>5</v>
      </c>
      <c r="B12" s="13">
        <v>223678</v>
      </c>
      <c r="C12" s="13">
        <v>238792</v>
      </c>
      <c r="D12" s="13">
        <v>245621</v>
      </c>
      <c r="E12" s="13">
        <v>420275.80900000001</v>
      </c>
      <c r="F12" s="76">
        <v>431264.99800000002</v>
      </c>
      <c r="G12" s="13">
        <v>458427.73200000002</v>
      </c>
      <c r="H12" s="13">
        <v>491802.79</v>
      </c>
      <c r="I12" s="14">
        <v>505131.60399999999</v>
      </c>
      <c r="J12" s="14">
        <v>499744.17</v>
      </c>
      <c r="K12" s="14">
        <v>522015.592</v>
      </c>
      <c r="L12" s="14">
        <v>606938.84499999997</v>
      </c>
      <c r="M12" s="14">
        <v>772091.87899999996</v>
      </c>
      <c r="N12" s="14">
        <v>610493.12699999998</v>
      </c>
      <c r="O12" s="14">
        <v>501567.46500000003</v>
      </c>
      <c r="P12" s="14">
        <v>513307.31099999999</v>
      </c>
      <c r="Q12" s="14">
        <v>545206.32200000004</v>
      </c>
      <c r="R12" s="14">
        <v>567385.45799999998</v>
      </c>
      <c r="S12" s="14">
        <v>716638.20200000005</v>
      </c>
      <c r="T12" s="2">
        <v>727380.34699999995</v>
      </c>
      <c r="U12" s="2">
        <v>1145286.122</v>
      </c>
      <c r="V12" s="2">
        <v>1204243.1629999999</v>
      </c>
      <c r="W12" s="2">
        <v>1253971.67</v>
      </c>
      <c r="X12" s="2">
        <v>1246436.2069999999</v>
      </c>
      <c r="Y12" s="2">
        <v>1250887.267</v>
      </c>
      <c r="Z12" s="2">
        <v>1274691.2180000001</v>
      </c>
      <c r="AA12" s="2">
        <v>1317769.709</v>
      </c>
    </row>
    <row r="13" spans="1:27">
      <c r="A13" s="22" t="s">
        <v>6</v>
      </c>
      <c r="B13" s="13">
        <v>39273</v>
      </c>
      <c r="C13" s="13">
        <v>40765</v>
      </c>
      <c r="D13" s="13">
        <v>48800</v>
      </c>
      <c r="E13" s="13">
        <v>154432.728</v>
      </c>
      <c r="F13" s="76">
        <v>162113.92000000001</v>
      </c>
      <c r="G13" s="13">
        <v>180410.53</v>
      </c>
      <c r="H13" s="13">
        <v>202412.39799999999</v>
      </c>
      <c r="I13" s="14">
        <v>219217.82500000001</v>
      </c>
      <c r="J13" s="14">
        <v>175971.94399999999</v>
      </c>
      <c r="K13" s="14">
        <v>183391.88570000004</v>
      </c>
      <c r="L13" s="14">
        <v>294879.77399999998</v>
      </c>
      <c r="M13" s="14">
        <v>308155.89399999997</v>
      </c>
      <c r="N13" s="14">
        <v>341997.59499999997</v>
      </c>
      <c r="O13" s="14">
        <v>336144.32500000001</v>
      </c>
      <c r="P13" s="14">
        <v>358111.19099999999</v>
      </c>
      <c r="Q13" s="14">
        <v>362710.75599999999</v>
      </c>
      <c r="R13" s="14">
        <v>378008.35200000001</v>
      </c>
      <c r="S13" s="14">
        <v>381692.23800000001</v>
      </c>
      <c r="T13" s="2">
        <v>397136.45600000001</v>
      </c>
      <c r="U13" s="2">
        <v>194925.84700000001</v>
      </c>
      <c r="V13" s="2">
        <v>550291.85499999998</v>
      </c>
      <c r="W13" s="2">
        <v>600029.53099999996</v>
      </c>
      <c r="X13" s="2">
        <v>600634.90300000005</v>
      </c>
      <c r="Y13" s="2">
        <v>190808.19099999999</v>
      </c>
      <c r="Z13" s="2">
        <v>196892.82199999999</v>
      </c>
      <c r="AA13" s="2">
        <v>199032.546</v>
      </c>
    </row>
    <row r="14" spans="1:27">
      <c r="A14" s="22" t="s">
        <v>7</v>
      </c>
      <c r="B14" s="13">
        <v>19079</v>
      </c>
      <c r="C14" s="13">
        <v>24094</v>
      </c>
      <c r="D14" s="13">
        <v>28667</v>
      </c>
      <c r="E14" s="13">
        <v>46750.586000000003</v>
      </c>
      <c r="F14" s="76">
        <v>57600.074999999997</v>
      </c>
      <c r="G14" s="13">
        <v>59111.864999999998</v>
      </c>
      <c r="H14" s="13">
        <v>60476.966999999997</v>
      </c>
      <c r="I14" s="14">
        <v>65221.902999999998</v>
      </c>
      <c r="J14" s="14">
        <v>65625.082999999999</v>
      </c>
      <c r="K14" s="14">
        <v>75014.955000000002</v>
      </c>
      <c r="L14" s="14">
        <v>145882.86199999999</v>
      </c>
      <c r="M14" s="14">
        <v>147813.106</v>
      </c>
      <c r="N14" s="14">
        <v>12949.546</v>
      </c>
      <c r="O14" s="14">
        <v>13548.236999999999</v>
      </c>
      <c r="P14" s="14">
        <v>14273.965</v>
      </c>
      <c r="Q14" s="14">
        <v>151553.32399999999</v>
      </c>
      <c r="R14" s="14">
        <v>164109.774</v>
      </c>
      <c r="S14" s="14">
        <v>175044.57500000001</v>
      </c>
      <c r="T14" s="2">
        <v>231731.54800000001</v>
      </c>
      <c r="U14" s="2">
        <v>224190.21799999999</v>
      </c>
      <c r="V14" s="2">
        <v>277627.81800000003</v>
      </c>
      <c r="W14" s="2">
        <v>266281.80499999999</v>
      </c>
      <c r="X14" s="2">
        <v>274765.45799999998</v>
      </c>
      <c r="Y14" s="2">
        <v>253945.05100000001</v>
      </c>
      <c r="Z14" s="2">
        <v>220286.57800000001</v>
      </c>
      <c r="AA14" s="2">
        <v>222616.21400000001</v>
      </c>
    </row>
    <row r="15" spans="1:27">
      <c r="A15" s="22" t="s">
        <v>8</v>
      </c>
      <c r="B15" s="36">
        <v>13886</v>
      </c>
      <c r="C15" s="36">
        <v>15994</v>
      </c>
      <c r="D15" s="36">
        <v>16970</v>
      </c>
      <c r="E15" s="36">
        <v>32146.780999999999</v>
      </c>
      <c r="F15" s="77">
        <v>35144.114999999998</v>
      </c>
      <c r="G15" s="36">
        <v>38712.743999999999</v>
      </c>
      <c r="H15" s="36">
        <v>42107.919000000002</v>
      </c>
      <c r="I15" s="37">
        <v>42812.633000000002</v>
      </c>
      <c r="J15" s="37">
        <v>79573.168000000005</v>
      </c>
      <c r="K15" s="37">
        <v>85949.671480000019</v>
      </c>
      <c r="L15" s="37">
        <v>102932.361</v>
      </c>
      <c r="M15" s="37">
        <v>106136.609</v>
      </c>
      <c r="N15" s="37">
        <v>117731.622</v>
      </c>
      <c r="O15" s="37">
        <v>128447.182</v>
      </c>
      <c r="P15" s="37">
        <v>145018.57800000001</v>
      </c>
      <c r="Q15" s="37">
        <v>147737.54199999999</v>
      </c>
      <c r="R15" s="37">
        <v>140896.35699999999</v>
      </c>
      <c r="S15" s="37">
        <v>171743.81899999999</v>
      </c>
      <c r="T15" s="23">
        <v>214558.73300000001</v>
      </c>
      <c r="U15" s="23">
        <v>124167.158</v>
      </c>
      <c r="V15" s="23">
        <v>219364.66399999999</v>
      </c>
      <c r="W15" s="23">
        <v>235271.59299999999</v>
      </c>
      <c r="X15" s="2">
        <v>229153.59700000001</v>
      </c>
      <c r="Y15" s="2">
        <v>153855.902</v>
      </c>
      <c r="Z15" s="2">
        <v>163745.701</v>
      </c>
      <c r="AA15" s="2">
        <v>162277.13099999999</v>
      </c>
    </row>
    <row r="16" spans="1:27">
      <c r="A16" s="22" t="s">
        <v>9</v>
      </c>
      <c r="B16" s="36">
        <v>104941</v>
      </c>
      <c r="C16" s="36">
        <v>109193</v>
      </c>
      <c r="D16" s="36">
        <v>119790</v>
      </c>
      <c r="E16" s="36">
        <v>169214.98</v>
      </c>
      <c r="F16" s="77">
        <v>138296.715</v>
      </c>
      <c r="G16" s="36">
        <v>181430.302</v>
      </c>
      <c r="H16" s="36">
        <v>196953.753</v>
      </c>
      <c r="I16" s="37">
        <v>162050.533</v>
      </c>
      <c r="J16" s="37">
        <v>208516.30600000001</v>
      </c>
      <c r="K16" s="37">
        <v>207354.266</v>
      </c>
      <c r="L16" s="37">
        <v>244895.97</v>
      </c>
      <c r="M16" s="37">
        <v>277553.00900000002</v>
      </c>
      <c r="N16" s="37">
        <v>284179.054</v>
      </c>
      <c r="O16" s="37">
        <v>311208.84000000003</v>
      </c>
      <c r="P16" s="37">
        <v>314024.32500000001</v>
      </c>
      <c r="Q16" s="37">
        <v>331635.19300000003</v>
      </c>
      <c r="R16" s="37">
        <v>359867.02500000002</v>
      </c>
      <c r="S16" s="37">
        <v>383018.74599999998</v>
      </c>
      <c r="T16" s="23">
        <v>425053.821</v>
      </c>
      <c r="U16" s="23">
        <v>488220.04499999998</v>
      </c>
      <c r="V16" s="23">
        <v>541145.03599999996</v>
      </c>
      <c r="W16" s="23">
        <v>569683.30599999998</v>
      </c>
      <c r="X16" s="2">
        <v>599436.59299999999</v>
      </c>
      <c r="Y16" s="2">
        <v>588451.93000000005</v>
      </c>
      <c r="Z16" s="2">
        <v>605553.04799999995</v>
      </c>
      <c r="AA16" s="2">
        <v>626287.66</v>
      </c>
    </row>
    <row r="17" spans="1:27">
      <c r="A17" s="22" t="s">
        <v>10</v>
      </c>
      <c r="B17" s="36">
        <v>64004</v>
      </c>
      <c r="C17" s="36">
        <v>66111</v>
      </c>
      <c r="D17" s="36">
        <v>74650</v>
      </c>
      <c r="E17" s="36">
        <v>105343.63800000001</v>
      </c>
      <c r="F17" s="77">
        <v>105609.853</v>
      </c>
      <c r="G17" s="36">
        <v>115427.625</v>
      </c>
      <c r="H17" s="36">
        <v>125125.584</v>
      </c>
      <c r="I17" s="37">
        <v>142784.571</v>
      </c>
      <c r="J17" s="37">
        <v>162645.747</v>
      </c>
      <c r="K17" s="37">
        <v>163409.75399999999</v>
      </c>
      <c r="L17" s="37">
        <v>196266.217</v>
      </c>
      <c r="M17" s="37">
        <v>198978.07</v>
      </c>
      <c r="N17" s="37">
        <v>198119.49400000001</v>
      </c>
      <c r="O17" s="37">
        <v>206198.73699999999</v>
      </c>
      <c r="P17" s="37">
        <v>216760.29</v>
      </c>
      <c r="Q17" s="37">
        <v>228062.65400000001</v>
      </c>
      <c r="R17" s="37">
        <v>235415.81899999999</v>
      </c>
      <c r="S17" s="37">
        <v>253073.78400000001</v>
      </c>
      <c r="T17" s="23">
        <v>282013.50300000003</v>
      </c>
      <c r="U17" s="23">
        <v>312487.67</v>
      </c>
      <c r="V17" s="23">
        <v>356965.48499999999</v>
      </c>
      <c r="W17" s="23">
        <v>356415.71100000001</v>
      </c>
      <c r="X17" s="2">
        <v>357302.32900000003</v>
      </c>
      <c r="Y17" s="2">
        <v>365542.55099999998</v>
      </c>
      <c r="Z17" s="2">
        <v>365919.05900000001</v>
      </c>
      <c r="AA17" s="2">
        <v>357380.93199999997</v>
      </c>
    </row>
    <row r="18" spans="1:27">
      <c r="A18" s="22" t="s">
        <v>11</v>
      </c>
      <c r="B18" s="36">
        <v>155963</v>
      </c>
      <c r="C18" s="36">
        <v>172129</v>
      </c>
      <c r="D18" s="36">
        <v>193426</v>
      </c>
      <c r="E18" s="36">
        <v>273492.37900000002</v>
      </c>
      <c r="F18" s="77">
        <v>281740.22899999999</v>
      </c>
      <c r="G18" s="36">
        <v>312743.30300000001</v>
      </c>
      <c r="H18" s="36">
        <v>334668.43199999997</v>
      </c>
      <c r="I18" s="37">
        <v>352050.658</v>
      </c>
      <c r="J18" s="37">
        <v>358212.83399999997</v>
      </c>
      <c r="K18" s="37">
        <v>381656.25063000014</v>
      </c>
      <c r="L18" s="37">
        <v>488916.41</v>
      </c>
      <c r="M18" s="37">
        <v>490780.685</v>
      </c>
      <c r="N18" s="37">
        <v>497644.174</v>
      </c>
      <c r="O18" s="37">
        <v>534940.29399999999</v>
      </c>
      <c r="P18" s="37">
        <v>568332.46600000001</v>
      </c>
      <c r="Q18" s="37">
        <v>637570.07400000002</v>
      </c>
      <c r="R18" s="37">
        <v>684674.84</v>
      </c>
      <c r="S18" s="37">
        <v>736593.71100000001</v>
      </c>
      <c r="T18" s="23">
        <v>788325.96600000001</v>
      </c>
      <c r="U18" s="23">
        <v>810888.76100000006</v>
      </c>
      <c r="V18" s="23">
        <v>941510.01199999999</v>
      </c>
      <c r="W18" s="23">
        <v>1015873.035</v>
      </c>
      <c r="X18" s="2">
        <v>993694.49699999997</v>
      </c>
      <c r="Y18" s="2">
        <v>1033378.061</v>
      </c>
      <c r="Z18" s="2">
        <v>1014976.749</v>
      </c>
      <c r="AA18" s="2">
        <v>1027808.763</v>
      </c>
    </row>
    <row r="19" spans="1:27">
      <c r="A19" s="22" t="s">
        <v>12</v>
      </c>
      <c r="B19" s="36">
        <v>47817</v>
      </c>
      <c r="C19" s="36">
        <v>50354</v>
      </c>
      <c r="D19" s="37">
        <v>56396</v>
      </c>
      <c r="E19" s="36">
        <v>76371.894</v>
      </c>
      <c r="F19" s="77">
        <v>86031.054999999993</v>
      </c>
      <c r="G19" s="36">
        <v>86210.448000000004</v>
      </c>
      <c r="H19" s="36">
        <v>86971.361999999994</v>
      </c>
      <c r="I19" s="37">
        <v>89545.626999999993</v>
      </c>
      <c r="J19" s="37">
        <v>91697.369000000006</v>
      </c>
      <c r="K19" s="37">
        <v>104283.59018000001</v>
      </c>
      <c r="L19" s="37">
        <v>115307.31</v>
      </c>
      <c r="M19" s="37">
        <v>168696.78200000001</v>
      </c>
      <c r="N19" s="37">
        <v>143804.92199999999</v>
      </c>
      <c r="O19" s="37">
        <v>137022.14000000001</v>
      </c>
      <c r="P19" s="37">
        <v>131026.682</v>
      </c>
      <c r="Q19" s="37">
        <v>139764.19399999999</v>
      </c>
      <c r="R19" s="37">
        <v>146865.79800000001</v>
      </c>
      <c r="S19" s="37">
        <v>148319.12899999999</v>
      </c>
      <c r="T19" s="23">
        <v>179108.19399999999</v>
      </c>
      <c r="U19" s="23">
        <v>207296.98199999999</v>
      </c>
      <c r="V19" s="23">
        <v>226867.25899999999</v>
      </c>
      <c r="W19" s="23">
        <v>241183.40100000001</v>
      </c>
      <c r="X19" s="2">
        <v>260131.56099999999</v>
      </c>
      <c r="Y19" s="2">
        <v>269157.90100000001</v>
      </c>
      <c r="Z19" s="2">
        <v>266362.84000000003</v>
      </c>
      <c r="AA19" s="2">
        <v>257461.83799999999</v>
      </c>
    </row>
    <row r="20" spans="1:27">
      <c r="A20" s="22" t="s">
        <v>13</v>
      </c>
      <c r="B20" s="36">
        <v>51867</v>
      </c>
      <c r="C20" s="36">
        <v>53316</v>
      </c>
      <c r="D20" s="36">
        <v>59771</v>
      </c>
      <c r="E20" s="36">
        <v>92385.486999999994</v>
      </c>
      <c r="F20" s="77">
        <v>97991.304000000004</v>
      </c>
      <c r="G20" s="36">
        <v>104603.16</v>
      </c>
      <c r="H20" s="36">
        <v>114356.749</v>
      </c>
      <c r="I20" s="37">
        <v>121483.13400000001</v>
      </c>
      <c r="J20" s="37">
        <v>127686.673</v>
      </c>
      <c r="K20" s="37">
        <v>136928.18900000001</v>
      </c>
      <c r="L20" s="37">
        <v>169879.97500000001</v>
      </c>
      <c r="M20" s="37">
        <v>177002.791</v>
      </c>
      <c r="N20" s="37">
        <v>178366.236</v>
      </c>
      <c r="O20" s="37">
        <v>191098.97</v>
      </c>
      <c r="P20" s="37">
        <v>194354.77299999999</v>
      </c>
      <c r="Q20" s="37">
        <v>202335.383</v>
      </c>
      <c r="R20" s="37">
        <v>218728.103</v>
      </c>
      <c r="S20" s="37">
        <v>242363.728</v>
      </c>
      <c r="T20" s="23">
        <v>281938.837</v>
      </c>
      <c r="U20" s="23">
        <v>322246.56599999999</v>
      </c>
      <c r="V20" s="23">
        <v>328414.32400000002</v>
      </c>
      <c r="W20" s="23">
        <v>340171.136</v>
      </c>
      <c r="X20" s="2">
        <v>346187.10700000002</v>
      </c>
      <c r="Y20" s="2">
        <v>354621.81900000002</v>
      </c>
      <c r="Z20" s="2">
        <v>356119.076</v>
      </c>
      <c r="AA20" s="2">
        <v>361372.62800000003</v>
      </c>
    </row>
    <row r="21" spans="1:27" s="17" customFormat="1">
      <c r="A21" s="22" t="s">
        <v>14</v>
      </c>
      <c r="B21" s="36">
        <v>63537</v>
      </c>
      <c r="C21" s="36">
        <v>71555</v>
      </c>
      <c r="D21" s="36">
        <v>75963</v>
      </c>
      <c r="E21" s="36">
        <v>101231.978</v>
      </c>
      <c r="F21" s="77">
        <v>102524.465</v>
      </c>
      <c r="G21" s="36">
        <v>117293.069</v>
      </c>
      <c r="H21" s="36">
        <v>128810.787</v>
      </c>
      <c r="I21" s="37">
        <v>135538.84400000001</v>
      </c>
      <c r="J21" s="37">
        <v>136961.57199999999</v>
      </c>
      <c r="K21" s="37">
        <v>142259.78400000001</v>
      </c>
      <c r="L21" s="37">
        <v>157632.71900000001</v>
      </c>
      <c r="M21" s="37">
        <v>176066.43599999999</v>
      </c>
      <c r="N21" s="37">
        <v>172544.4</v>
      </c>
      <c r="O21" s="37">
        <v>179446.973</v>
      </c>
      <c r="P21" s="37">
        <v>181713.019</v>
      </c>
      <c r="Q21" s="37">
        <v>188992.084</v>
      </c>
      <c r="R21" s="37">
        <v>193181.677</v>
      </c>
      <c r="S21" s="37">
        <v>205941.24600000001</v>
      </c>
      <c r="T21" s="23">
        <v>218135.62299999999</v>
      </c>
      <c r="U21" s="23">
        <v>231438.07500000001</v>
      </c>
      <c r="V21" s="23">
        <v>266280.03600000002</v>
      </c>
      <c r="W21" s="23">
        <v>286976.81099999999</v>
      </c>
      <c r="X21" s="2">
        <v>299665.99300000002</v>
      </c>
      <c r="Y21" s="2">
        <v>305739.272</v>
      </c>
      <c r="Z21" s="2">
        <v>302862.13099999999</v>
      </c>
      <c r="AA21" s="2">
        <v>290590.93099999998</v>
      </c>
    </row>
    <row r="22" spans="1:27">
      <c r="A22" s="22" t="s">
        <v>15</v>
      </c>
      <c r="B22" s="36">
        <v>344238</v>
      </c>
      <c r="C22" s="36">
        <v>371450</v>
      </c>
      <c r="D22" s="36">
        <v>369679</v>
      </c>
      <c r="E22" s="36">
        <v>511214.74300000002</v>
      </c>
      <c r="F22" s="77">
        <v>523364.80800000002</v>
      </c>
      <c r="G22" s="36">
        <v>626009.20700000005</v>
      </c>
      <c r="H22" s="36">
        <v>689265.09100000001</v>
      </c>
      <c r="I22" s="37">
        <v>677795.13199999998</v>
      </c>
      <c r="J22" s="37">
        <v>729820.41899999999</v>
      </c>
      <c r="K22" s="37">
        <v>779662.772</v>
      </c>
      <c r="L22" s="37">
        <v>908999.01199999999</v>
      </c>
      <c r="M22" s="37">
        <v>962496.34499999997</v>
      </c>
      <c r="N22" s="37">
        <v>1054771.794</v>
      </c>
      <c r="O22" s="37">
        <v>1105907.774</v>
      </c>
      <c r="P22" s="37">
        <v>1101139.1440000001</v>
      </c>
      <c r="Q22" s="37">
        <v>1152571.156</v>
      </c>
      <c r="R22" s="37">
        <v>1221744.953</v>
      </c>
      <c r="S22" s="37">
        <v>1290485.5819999999</v>
      </c>
      <c r="T22" s="23">
        <v>1386277.662</v>
      </c>
      <c r="U22" s="23">
        <v>1568801.7749999999</v>
      </c>
      <c r="V22" s="23">
        <v>2014107.5859999999</v>
      </c>
      <c r="W22" s="23">
        <v>2133657.1</v>
      </c>
      <c r="X22" s="2">
        <v>2064192.0209999999</v>
      </c>
      <c r="Y22" s="2">
        <v>2131377.4980000001</v>
      </c>
      <c r="Z22" s="2">
        <v>2197111.9410000001</v>
      </c>
      <c r="AA22" s="2">
        <v>2166900.4470000002</v>
      </c>
    </row>
    <row r="23" spans="1:27">
      <c r="A23" s="22" t="s">
        <v>16</v>
      </c>
      <c r="B23" s="36">
        <v>88722</v>
      </c>
      <c r="C23" s="36">
        <v>98720</v>
      </c>
      <c r="D23" s="36">
        <v>104046</v>
      </c>
      <c r="E23" s="36">
        <v>148850.408</v>
      </c>
      <c r="F23" s="77">
        <v>151909.429</v>
      </c>
      <c r="G23" s="36">
        <v>171657.859</v>
      </c>
      <c r="H23" s="36">
        <v>171171.36300000001</v>
      </c>
      <c r="I23" s="37">
        <v>179881.87400000001</v>
      </c>
      <c r="J23" s="37">
        <v>182713.17800000001</v>
      </c>
      <c r="K23" s="37">
        <v>191115.39300000001</v>
      </c>
      <c r="L23" s="37">
        <v>233769.212</v>
      </c>
      <c r="M23" s="37">
        <v>244656.408</v>
      </c>
      <c r="N23" s="37">
        <v>257857.85</v>
      </c>
      <c r="O23" s="37">
        <v>263725.80099999998</v>
      </c>
      <c r="P23" s="37">
        <v>273765.14299999998</v>
      </c>
      <c r="Q23" s="37">
        <v>295992.842</v>
      </c>
      <c r="R23" s="37">
        <v>326974.08899999998</v>
      </c>
      <c r="S23" s="37">
        <v>360441.10100000002</v>
      </c>
      <c r="T23" s="23">
        <v>442679.897</v>
      </c>
      <c r="U23" s="23">
        <v>452060.9</v>
      </c>
      <c r="V23" s="23">
        <v>484080.94500000001</v>
      </c>
      <c r="W23" s="23">
        <v>512016.89399999997</v>
      </c>
      <c r="X23" s="2">
        <v>554104.00600000005</v>
      </c>
      <c r="Y23" s="2">
        <v>572902.73499999999</v>
      </c>
      <c r="Z23" s="2">
        <v>565405.79799999995</v>
      </c>
      <c r="AA23" s="2">
        <v>566677.196</v>
      </c>
    </row>
    <row r="24" spans="1:27">
      <c r="A24" s="83" t="s">
        <v>17</v>
      </c>
      <c r="B24" s="66">
        <v>7436</v>
      </c>
      <c r="C24" s="66">
        <v>8053</v>
      </c>
      <c r="D24" s="66">
        <v>8263</v>
      </c>
      <c r="E24" s="66">
        <v>8470.5149999999994</v>
      </c>
      <c r="F24" s="82">
        <v>8616.77</v>
      </c>
      <c r="G24" s="66">
        <v>9180</v>
      </c>
      <c r="H24" s="66">
        <v>9723.8230000000003</v>
      </c>
      <c r="I24" s="63">
        <v>10395.808999999999</v>
      </c>
      <c r="J24" s="63">
        <v>12185.912</v>
      </c>
      <c r="K24" s="63">
        <v>11920.11149000001</v>
      </c>
      <c r="L24" s="63">
        <v>11945.53</v>
      </c>
      <c r="M24" s="63">
        <v>18408.396000000001</v>
      </c>
      <c r="N24" s="63">
        <v>14321.37</v>
      </c>
      <c r="O24" s="63">
        <v>13374.097</v>
      </c>
      <c r="P24" s="63">
        <v>9624.3160000000007</v>
      </c>
      <c r="Q24" s="63">
        <v>23571.883999999998</v>
      </c>
      <c r="R24" s="63">
        <v>25063.88</v>
      </c>
      <c r="S24" s="63">
        <v>36692.595999999998</v>
      </c>
      <c r="T24" s="45">
        <v>40172.42</v>
      </c>
      <c r="U24" s="45">
        <v>47413.686999999998</v>
      </c>
      <c r="V24" s="45">
        <v>68478.851999999999</v>
      </c>
      <c r="W24" s="45">
        <v>71047.067999999999</v>
      </c>
      <c r="X24" s="45">
        <v>71652.964000000007</v>
      </c>
      <c r="Y24" s="45">
        <v>72275.509000000005</v>
      </c>
      <c r="Z24" s="45">
        <v>69036.19</v>
      </c>
      <c r="AA24" s="45">
        <v>73867.807000000001</v>
      </c>
    </row>
    <row r="25" spans="1:27" s="23" customFormat="1">
      <c r="A25" s="79" t="s">
        <v>120</v>
      </c>
      <c r="B25" s="90">
        <f>SUM(B27:B39)</f>
        <v>0</v>
      </c>
      <c r="C25" s="90">
        <f t="shared" ref="C25:AA25" si="8">SUM(C27:C39)</f>
        <v>0</v>
      </c>
      <c r="D25" s="90">
        <f t="shared" si="8"/>
        <v>0</v>
      </c>
      <c r="E25" s="90">
        <f t="shared" si="8"/>
        <v>0</v>
      </c>
      <c r="F25" s="90">
        <f t="shared" si="8"/>
        <v>2457175.625</v>
      </c>
      <c r="G25" s="90">
        <f t="shared" si="8"/>
        <v>0</v>
      </c>
      <c r="H25" s="90">
        <f t="shared" si="8"/>
        <v>0</v>
      </c>
      <c r="I25" s="90">
        <f t="shared" si="8"/>
        <v>2582428.764</v>
      </c>
      <c r="J25" s="90">
        <f t="shared" si="8"/>
        <v>0</v>
      </c>
      <c r="K25" s="90">
        <f t="shared" si="8"/>
        <v>3063225.0739700003</v>
      </c>
      <c r="L25" s="90">
        <f t="shared" si="8"/>
        <v>3077589.8699999996</v>
      </c>
      <c r="M25" s="90">
        <f t="shared" si="8"/>
        <v>3333843.8559999997</v>
      </c>
      <c r="N25" s="90">
        <f t="shared" si="8"/>
        <v>3658751.2390000005</v>
      </c>
      <c r="O25" s="90">
        <f t="shared" si="8"/>
        <v>3626278.8190000001</v>
      </c>
      <c r="P25" s="90">
        <f t="shared" si="8"/>
        <v>3593858.6400000006</v>
      </c>
      <c r="Q25" s="90">
        <f t="shared" si="8"/>
        <v>4440565.1350000007</v>
      </c>
      <c r="R25" s="90">
        <f t="shared" si="8"/>
        <v>4783858.3909999998</v>
      </c>
      <c r="S25" s="90">
        <f t="shared" si="8"/>
        <v>5039095.3110000007</v>
      </c>
      <c r="T25" s="90">
        <f t="shared" si="8"/>
        <v>5560839.4069999997</v>
      </c>
      <c r="U25" s="90">
        <f t="shared" si="8"/>
        <v>5981988.1030000011</v>
      </c>
      <c r="V25" s="90">
        <f t="shared" si="8"/>
        <v>6716506.6879999992</v>
      </c>
      <c r="W25" s="90">
        <f t="shared" si="8"/>
        <v>7066409.2570000002</v>
      </c>
      <c r="X25" s="2">
        <v>7003376.4349999996</v>
      </c>
      <c r="Y25" s="90">
        <f t="shared" si="8"/>
        <v>5115188.0089999996</v>
      </c>
      <c r="Z25" s="90">
        <f t="shared" si="8"/>
        <v>5272633.6010000007</v>
      </c>
      <c r="AA25" s="90">
        <f t="shared" si="8"/>
        <v>5507203.034</v>
      </c>
    </row>
    <row r="26" spans="1:27">
      <c r="A26" s="79" t="s">
        <v>119</v>
      </c>
      <c r="B26" s="37"/>
      <c r="C26" s="37"/>
      <c r="D26" s="37"/>
      <c r="E26" s="37"/>
      <c r="F26" s="37"/>
      <c r="G26" s="37"/>
      <c r="H26" s="37"/>
      <c r="I26" s="37"/>
      <c r="J26" s="37"/>
      <c r="K26" s="37"/>
      <c r="L26" s="37"/>
      <c r="M26" s="37"/>
      <c r="N26" s="37"/>
      <c r="O26" s="37"/>
      <c r="P26" s="37"/>
      <c r="Q26" s="37"/>
      <c r="R26" s="37"/>
      <c r="S26" s="37"/>
      <c r="T26" s="23"/>
      <c r="U26" s="23"/>
      <c r="V26" s="23"/>
      <c r="W26" s="23"/>
      <c r="X26" s="2">
        <v>0</v>
      </c>
    </row>
    <row r="27" spans="1:27">
      <c r="A27" s="23" t="s">
        <v>85</v>
      </c>
      <c r="B27" s="36"/>
      <c r="C27" s="36"/>
      <c r="D27" s="37"/>
      <c r="E27" s="36"/>
      <c r="F27" s="77">
        <v>1320.6089999999999</v>
      </c>
      <c r="G27" s="36"/>
      <c r="H27" s="36"/>
      <c r="I27" s="37">
        <v>1634.383</v>
      </c>
      <c r="J27" s="37"/>
      <c r="K27" s="37">
        <v>2067.7779999999998</v>
      </c>
      <c r="L27" s="37">
        <v>5716.598</v>
      </c>
      <c r="M27" s="37">
        <v>1814.8050000000001</v>
      </c>
      <c r="N27" s="37">
        <v>4969.4279999999999</v>
      </c>
      <c r="O27" s="37">
        <v>4705.2150000000001</v>
      </c>
      <c r="P27" s="37">
        <v>5581.6559999999999</v>
      </c>
      <c r="Q27" s="37">
        <v>2256.6280000000002</v>
      </c>
      <c r="R27" s="37">
        <v>4607.5169999999998</v>
      </c>
      <c r="S27" s="37">
        <v>5167.9269999999997</v>
      </c>
      <c r="T27" s="23">
        <v>6054.5320000000002</v>
      </c>
      <c r="U27" s="23">
        <v>6080.1509999999998</v>
      </c>
      <c r="V27" s="23">
        <v>7443.1670000000004</v>
      </c>
      <c r="W27" s="23">
        <v>3269.23</v>
      </c>
      <c r="X27" s="2">
        <v>8456.4060000000009</v>
      </c>
      <c r="Y27" s="2">
        <v>2491.663</v>
      </c>
    </row>
    <row r="28" spans="1:27">
      <c r="A28" s="23" t="s">
        <v>86</v>
      </c>
      <c r="B28" s="36"/>
      <c r="C28" s="36"/>
      <c r="D28" s="36"/>
      <c r="E28" s="36"/>
      <c r="F28" s="77">
        <v>169254.77900000001</v>
      </c>
      <c r="G28" s="36"/>
      <c r="H28" s="36"/>
      <c r="I28" s="37">
        <v>188501.802</v>
      </c>
      <c r="J28" s="37"/>
      <c r="K28" s="37">
        <v>217301.43461000003</v>
      </c>
      <c r="L28" s="37">
        <v>258364.24400000001</v>
      </c>
      <c r="M28" s="37">
        <v>286826.55200000003</v>
      </c>
      <c r="N28" s="37">
        <v>295752.98</v>
      </c>
      <c r="O28" s="37">
        <v>313257.51199999999</v>
      </c>
      <c r="P28" s="37">
        <v>344701.24300000002</v>
      </c>
      <c r="Q28" s="37">
        <v>358006.31599999999</v>
      </c>
      <c r="R28" s="37">
        <v>381179.777</v>
      </c>
      <c r="S28" s="37">
        <v>405610.16600000003</v>
      </c>
      <c r="T28" s="23">
        <v>462117.73100000003</v>
      </c>
      <c r="U28" s="23">
        <v>486937.52299999999</v>
      </c>
      <c r="V28" s="23">
        <v>528692.69799999997</v>
      </c>
      <c r="W28" s="23">
        <v>543828.64899999998</v>
      </c>
      <c r="X28" s="2">
        <v>554359.05799999996</v>
      </c>
      <c r="Y28" s="2">
        <v>140337.02499999999</v>
      </c>
      <c r="Z28" s="2">
        <v>143058.43100000001</v>
      </c>
      <c r="AA28" s="2">
        <v>143486.45300000001</v>
      </c>
    </row>
    <row r="29" spans="1:27">
      <c r="A29" s="23" t="s">
        <v>87</v>
      </c>
      <c r="B29" s="36"/>
      <c r="C29" s="36"/>
      <c r="D29" s="36"/>
      <c r="E29" s="36"/>
      <c r="F29" s="77">
        <v>1517445.6669999999</v>
      </c>
      <c r="G29" s="36"/>
      <c r="H29" s="36"/>
      <c r="I29" s="37">
        <v>1468959.648</v>
      </c>
      <c r="J29" s="37"/>
      <c r="K29" s="37">
        <v>1783111.1463900004</v>
      </c>
      <c r="L29" s="37">
        <v>1545521.5330000001</v>
      </c>
      <c r="M29" s="37">
        <v>1681881.0490000001</v>
      </c>
      <c r="N29" s="37">
        <v>1928530.5220000001</v>
      </c>
      <c r="O29" s="37">
        <v>1829250.602</v>
      </c>
      <c r="P29" s="37">
        <v>1796993.6710000001</v>
      </c>
      <c r="Q29" s="37">
        <v>2576177.2850000001</v>
      </c>
      <c r="R29" s="37">
        <v>2835144.3339999998</v>
      </c>
      <c r="S29" s="37">
        <v>3078406.51</v>
      </c>
      <c r="T29" s="23">
        <v>3383189.6519999998</v>
      </c>
      <c r="U29" s="23">
        <v>3430196.7059999998</v>
      </c>
      <c r="V29" s="23">
        <v>3736899.0580000002</v>
      </c>
      <c r="W29" s="23">
        <v>4008019.8659999999</v>
      </c>
      <c r="X29" s="2">
        <v>3917614.4679999999</v>
      </c>
      <c r="Y29" s="2">
        <v>2862747.608</v>
      </c>
      <c r="Z29" s="2">
        <v>2996597.5449999999</v>
      </c>
      <c r="AA29" s="2">
        <v>3242335.0559999999</v>
      </c>
    </row>
    <row r="30" spans="1:27">
      <c r="A30" s="23" t="s">
        <v>88</v>
      </c>
      <c r="B30" s="36"/>
      <c r="C30" s="36"/>
      <c r="D30" s="36"/>
      <c r="E30" s="36"/>
      <c r="F30" s="77">
        <v>91399.467999999993</v>
      </c>
      <c r="G30" s="36"/>
      <c r="H30" s="36"/>
      <c r="I30" s="37">
        <v>114345.867</v>
      </c>
      <c r="J30" s="37"/>
      <c r="K30" s="37">
        <v>134232.011</v>
      </c>
      <c r="L30" s="37">
        <v>147850.95800000001</v>
      </c>
      <c r="M30" s="37">
        <v>153855.70199999999</v>
      </c>
      <c r="N30" s="37">
        <v>163998.283</v>
      </c>
      <c r="O30" s="37">
        <v>167004.28400000001</v>
      </c>
      <c r="P30" s="37">
        <v>158386.41200000001</v>
      </c>
      <c r="Q30" s="37">
        <v>160811.81200000001</v>
      </c>
      <c r="R30" s="37">
        <v>166823.231</v>
      </c>
      <c r="S30" s="37">
        <v>174640.14499999999</v>
      </c>
      <c r="T30" s="23">
        <v>198741.655</v>
      </c>
      <c r="U30" s="23">
        <v>212079.65599999999</v>
      </c>
      <c r="V30" s="23">
        <v>237697.82500000001</v>
      </c>
      <c r="W30" s="23">
        <v>261857.72399999999</v>
      </c>
      <c r="X30" s="2">
        <v>267493.29599999997</v>
      </c>
      <c r="Y30" s="2">
        <v>122763.518</v>
      </c>
      <c r="Z30" s="2">
        <v>126788.8</v>
      </c>
      <c r="AA30" s="2">
        <v>129154.89599999999</v>
      </c>
    </row>
    <row r="31" spans="1:27">
      <c r="A31" s="23" t="s">
        <v>91</v>
      </c>
      <c r="B31" s="36"/>
      <c r="C31" s="36"/>
      <c r="D31" s="36"/>
      <c r="E31" s="36"/>
      <c r="F31" s="77">
        <v>54323.171000000002</v>
      </c>
      <c r="G31" s="36"/>
      <c r="H31" s="36"/>
      <c r="I31" s="37">
        <v>59302.275999999998</v>
      </c>
      <c r="J31" s="37"/>
      <c r="K31" s="37">
        <v>57915.464999999997</v>
      </c>
      <c r="L31" s="37">
        <v>61775.800999999999</v>
      </c>
      <c r="M31" s="37">
        <v>62258.699000000001</v>
      </c>
      <c r="N31" s="37">
        <v>64114.997000000003</v>
      </c>
      <c r="O31" s="37">
        <v>75228.006999999998</v>
      </c>
      <c r="P31" s="37">
        <v>66071.737999999998</v>
      </c>
      <c r="Q31" s="37">
        <v>67804.040999999997</v>
      </c>
      <c r="R31" s="37">
        <v>67461.67</v>
      </c>
      <c r="S31" s="37">
        <v>75616.956000000006</v>
      </c>
      <c r="T31" s="23">
        <v>85060.508000000002</v>
      </c>
      <c r="U31" s="23">
        <v>115730.492</v>
      </c>
      <c r="V31" s="23">
        <v>131291.39799999999</v>
      </c>
      <c r="W31" s="23">
        <v>130955.86</v>
      </c>
      <c r="X31" s="2">
        <v>140687.67199999999</v>
      </c>
      <c r="Y31" s="2">
        <v>155373.87599999999</v>
      </c>
      <c r="Z31" s="2">
        <v>159165.89000000001</v>
      </c>
      <c r="AA31" s="2">
        <v>182215.86199999999</v>
      </c>
    </row>
    <row r="32" spans="1:27">
      <c r="A32" s="23" t="s">
        <v>92</v>
      </c>
      <c r="B32" s="36"/>
      <c r="C32" s="36"/>
      <c r="D32" s="36"/>
      <c r="E32" s="36"/>
      <c r="F32" s="77">
        <v>14701.38</v>
      </c>
      <c r="G32" s="36"/>
      <c r="H32" s="36"/>
      <c r="I32" s="37">
        <v>17675.537</v>
      </c>
      <c r="J32" s="37"/>
      <c r="K32" s="37">
        <v>23779.995999999999</v>
      </c>
      <c r="L32" s="37">
        <v>28084.648000000001</v>
      </c>
      <c r="M32" s="37">
        <v>30477.014999999999</v>
      </c>
      <c r="N32" s="37">
        <v>31842.972000000002</v>
      </c>
      <c r="O32" s="37">
        <v>31434.080000000002</v>
      </c>
      <c r="P32" s="37">
        <v>33049.841999999997</v>
      </c>
      <c r="Q32" s="37">
        <v>35321.108999999997</v>
      </c>
      <c r="R32" s="37">
        <v>36875.747000000003</v>
      </c>
      <c r="S32" s="37">
        <v>37989.569000000003</v>
      </c>
      <c r="T32" s="23">
        <v>38330.033000000003</v>
      </c>
      <c r="U32" s="23">
        <v>40535.038</v>
      </c>
      <c r="V32" s="23">
        <v>44852.624000000003</v>
      </c>
      <c r="W32" s="23">
        <v>44378.495000000003</v>
      </c>
      <c r="X32" s="2">
        <v>69125.451000000001</v>
      </c>
      <c r="Y32" s="2">
        <v>70717.611999999994</v>
      </c>
      <c r="Z32" s="2">
        <v>76005.789000000004</v>
      </c>
      <c r="AA32" s="2">
        <v>76810.207999999999</v>
      </c>
    </row>
    <row r="33" spans="1:27">
      <c r="A33" s="23" t="s">
        <v>100</v>
      </c>
      <c r="B33" s="37"/>
      <c r="C33" s="37"/>
      <c r="D33" s="37"/>
      <c r="E33" s="37"/>
      <c r="F33" s="77">
        <v>7422.7330000000002</v>
      </c>
      <c r="G33" s="37"/>
      <c r="H33" s="37"/>
      <c r="I33" s="37">
        <v>17353.358</v>
      </c>
      <c r="J33" s="37"/>
      <c r="K33" s="37">
        <v>14103.26525</v>
      </c>
      <c r="L33" s="37">
        <v>13969.312</v>
      </c>
      <c r="M33" s="37">
        <v>15757.370999999999</v>
      </c>
      <c r="N33" s="37">
        <v>18002.373</v>
      </c>
      <c r="O33" s="37">
        <v>17615.687999999998</v>
      </c>
      <c r="P33" s="37">
        <v>18076.932000000001</v>
      </c>
      <c r="Q33" s="37">
        <v>22489.036</v>
      </c>
      <c r="R33" s="37">
        <v>23638.458999999999</v>
      </c>
      <c r="S33" s="37">
        <v>26185.419000000002</v>
      </c>
      <c r="T33" s="23">
        <v>27369.933000000001</v>
      </c>
      <c r="U33" s="23">
        <v>30004.201000000001</v>
      </c>
      <c r="V33" s="23">
        <v>35120.93</v>
      </c>
      <c r="W33" s="23">
        <v>35342.944000000003</v>
      </c>
      <c r="X33" s="2">
        <v>36776.247000000003</v>
      </c>
      <c r="Y33" s="2">
        <v>35375.843000000001</v>
      </c>
      <c r="Z33" s="2">
        <v>36286.881999999998</v>
      </c>
      <c r="AA33" s="2">
        <v>38890.775000000001</v>
      </c>
    </row>
    <row r="34" spans="1:27">
      <c r="A34" s="23" t="s">
        <v>102</v>
      </c>
      <c r="B34" s="37"/>
      <c r="C34" s="37"/>
      <c r="D34" s="37"/>
      <c r="E34" s="37"/>
      <c r="F34" s="77">
        <v>33951.485000000001</v>
      </c>
      <c r="G34" s="37"/>
      <c r="H34" s="37"/>
      <c r="I34" s="37">
        <v>36211.531999999999</v>
      </c>
      <c r="J34" s="37"/>
      <c r="K34" s="37">
        <v>55397</v>
      </c>
      <c r="L34" s="37">
        <v>78440</v>
      </c>
      <c r="M34" s="37">
        <v>76880</v>
      </c>
      <c r="N34" s="37">
        <v>87096</v>
      </c>
      <c r="O34" s="37">
        <v>91075</v>
      </c>
      <c r="P34" s="37">
        <v>30063</v>
      </c>
      <c r="Q34" s="37">
        <v>32672</v>
      </c>
      <c r="R34" s="37">
        <v>34114</v>
      </c>
      <c r="S34" s="37">
        <v>25567</v>
      </c>
      <c r="T34" s="23">
        <v>27282</v>
      </c>
      <c r="U34" s="23">
        <v>130993.10400000001</v>
      </c>
      <c r="V34" s="23">
        <v>162088.53200000001</v>
      </c>
      <c r="W34" s="23">
        <v>164835.87400000001</v>
      </c>
      <c r="X34" s="2">
        <v>159196.04399999999</v>
      </c>
      <c r="Y34" s="2">
        <v>155124.35800000001</v>
      </c>
      <c r="Z34" s="2">
        <v>160241.16099999999</v>
      </c>
      <c r="AA34" s="2">
        <v>171297.56700000001</v>
      </c>
    </row>
    <row r="35" spans="1:27">
      <c r="A35" s="23" t="s">
        <v>105</v>
      </c>
      <c r="B35" s="37"/>
      <c r="C35" s="37"/>
      <c r="D35" s="37"/>
      <c r="E35" s="37"/>
      <c r="F35" s="77">
        <v>56113.627</v>
      </c>
      <c r="G35" s="37"/>
      <c r="H35" s="37"/>
      <c r="I35" s="37">
        <v>74544.42</v>
      </c>
      <c r="J35" s="37"/>
      <c r="K35" s="37">
        <v>85983.728160000028</v>
      </c>
      <c r="L35" s="37">
        <v>117337</v>
      </c>
      <c r="M35" s="37">
        <v>124536.568</v>
      </c>
      <c r="N35" s="37">
        <v>131836.53700000001</v>
      </c>
      <c r="O35" s="37">
        <v>137590.87299999999</v>
      </c>
      <c r="P35" s="37">
        <v>149162.02600000001</v>
      </c>
      <c r="Q35" s="37">
        <v>158114.67600000001</v>
      </c>
      <c r="R35" s="37">
        <v>164111.80799999999</v>
      </c>
      <c r="S35" s="37">
        <v>175682.416</v>
      </c>
      <c r="T35" s="23">
        <v>190830.51</v>
      </c>
      <c r="U35" s="23">
        <v>228179.91500000001</v>
      </c>
      <c r="V35" s="23">
        <v>239687.47500000001</v>
      </c>
      <c r="W35" s="23">
        <v>252274.53700000001</v>
      </c>
      <c r="X35" s="2">
        <v>252732.15</v>
      </c>
      <c r="Y35" s="2">
        <v>156599.573</v>
      </c>
      <c r="Z35" s="2">
        <v>170100.984</v>
      </c>
      <c r="AA35" s="2">
        <v>172552.527</v>
      </c>
    </row>
    <row r="36" spans="1:27">
      <c r="A36" s="23" t="s">
        <v>109</v>
      </c>
      <c r="B36" s="37"/>
      <c r="C36" s="37"/>
      <c r="D36" s="37"/>
      <c r="E36" s="37"/>
      <c r="F36" s="77">
        <v>167859.72899999999</v>
      </c>
      <c r="G36" s="37"/>
      <c r="H36" s="37"/>
      <c r="I36" s="37">
        <v>183833.43400000001</v>
      </c>
      <c r="J36" s="37"/>
      <c r="K36" s="37">
        <v>209919.63580999995</v>
      </c>
      <c r="L36" s="37">
        <v>251245.42199999999</v>
      </c>
      <c r="M36" s="37">
        <v>253776.326</v>
      </c>
      <c r="N36" s="37">
        <v>269913.07199999999</v>
      </c>
      <c r="O36" s="37">
        <v>271077.598</v>
      </c>
      <c r="P36" s="37">
        <v>271505.94099999999</v>
      </c>
      <c r="Q36" s="37">
        <v>281364.40999999997</v>
      </c>
      <c r="R36" s="37">
        <v>291553.90299999999</v>
      </c>
      <c r="S36" s="37">
        <v>313391.55200000003</v>
      </c>
      <c r="T36" s="23">
        <v>342572.95600000001</v>
      </c>
      <c r="U36" s="23">
        <v>370223.58399999997</v>
      </c>
      <c r="V36" s="23">
        <v>449139.46899999998</v>
      </c>
      <c r="W36" s="23">
        <v>463563.96299999999</v>
      </c>
      <c r="X36" s="2">
        <v>484288.26500000001</v>
      </c>
      <c r="Y36" s="2">
        <v>481312.86700000003</v>
      </c>
      <c r="Z36" s="2">
        <v>481300.57199999999</v>
      </c>
      <c r="AA36" s="2">
        <v>421883.98499999999</v>
      </c>
    </row>
    <row r="37" spans="1:27">
      <c r="A37" s="23" t="s">
        <v>113</v>
      </c>
      <c r="B37" s="37"/>
      <c r="C37" s="37"/>
      <c r="D37" s="37"/>
      <c r="E37" s="37"/>
      <c r="F37" s="77">
        <v>53316.648000000001</v>
      </c>
      <c r="G37" s="37"/>
      <c r="H37" s="37"/>
      <c r="I37" s="37">
        <v>50912.178999999996</v>
      </c>
      <c r="J37" s="37"/>
      <c r="K37" s="37">
        <v>58754.587</v>
      </c>
      <c r="L37" s="37">
        <v>58602.889000000003</v>
      </c>
      <c r="M37" s="37">
        <v>69662.432000000001</v>
      </c>
      <c r="N37" s="37">
        <v>68928.191000000006</v>
      </c>
      <c r="O37" s="37">
        <v>67275.546000000002</v>
      </c>
      <c r="P37" s="37">
        <v>77898.536999999997</v>
      </c>
      <c r="Q37" s="37">
        <v>86446.244000000006</v>
      </c>
      <c r="R37" s="37">
        <v>88178.168000000005</v>
      </c>
      <c r="S37" s="37">
        <v>100324.087</v>
      </c>
      <c r="T37" s="23">
        <v>114041.177</v>
      </c>
      <c r="U37" s="23">
        <v>107817.054</v>
      </c>
      <c r="V37" s="23">
        <v>159497.62899999999</v>
      </c>
      <c r="W37" s="23">
        <v>133677.492</v>
      </c>
      <c r="X37" s="2">
        <v>113025.925</v>
      </c>
      <c r="Y37" s="2">
        <v>143980.611</v>
      </c>
      <c r="Z37" s="2">
        <v>145529.22399999999</v>
      </c>
      <c r="AA37" s="2">
        <v>145905.20199999999</v>
      </c>
    </row>
    <row r="38" spans="1:27">
      <c r="A38" s="23" t="s">
        <v>115</v>
      </c>
      <c r="B38" s="37"/>
      <c r="C38" s="37"/>
      <c r="D38" s="37"/>
      <c r="E38" s="37"/>
      <c r="F38" s="77">
        <v>254407.478</v>
      </c>
      <c r="G38" s="37"/>
      <c r="H38" s="37"/>
      <c r="I38" s="37">
        <v>333908.408</v>
      </c>
      <c r="J38" s="37"/>
      <c r="K38" s="37">
        <v>383314.59175000002</v>
      </c>
      <c r="L38" s="37">
        <v>471718.83</v>
      </c>
      <c r="M38" s="37">
        <v>534888.36100000003</v>
      </c>
      <c r="N38" s="37">
        <v>546711.49699999997</v>
      </c>
      <c r="O38" s="37">
        <v>569208.70299999998</v>
      </c>
      <c r="P38" s="37">
        <v>588068.91099999996</v>
      </c>
      <c r="Q38" s="37">
        <v>602936.02800000005</v>
      </c>
      <c r="R38" s="37">
        <v>628220.60400000005</v>
      </c>
      <c r="S38" s="37">
        <v>554336.17000000004</v>
      </c>
      <c r="T38" s="23">
        <v>605325.44700000004</v>
      </c>
      <c r="U38" s="23">
        <v>740104.48499999999</v>
      </c>
      <c r="V38" s="23">
        <v>883935.40399999998</v>
      </c>
      <c r="W38" s="23">
        <v>925238.81299999997</v>
      </c>
      <c r="X38" s="2">
        <v>891989</v>
      </c>
      <c r="Y38" s="2">
        <v>677433.01399999997</v>
      </c>
      <c r="Z38" s="2">
        <v>666789.929</v>
      </c>
      <c r="AA38" s="2">
        <v>669299.74899999995</v>
      </c>
    </row>
    <row r="39" spans="1:27">
      <c r="A39" s="45" t="s">
        <v>117</v>
      </c>
      <c r="B39" s="63"/>
      <c r="C39" s="63"/>
      <c r="D39" s="63"/>
      <c r="E39" s="63"/>
      <c r="F39" s="82">
        <v>35658.851000000002</v>
      </c>
      <c r="G39" s="63"/>
      <c r="H39" s="63"/>
      <c r="I39" s="63">
        <v>35245.919999999998</v>
      </c>
      <c r="J39" s="63"/>
      <c r="K39" s="63">
        <v>37344.434999999998</v>
      </c>
      <c r="L39" s="63">
        <v>38962.635000000002</v>
      </c>
      <c r="M39" s="63">
        <v>41228.976000000002</v>
      </c>
      <c r="N39" s="63">
        <v>47054.387000000002</v>
      </c>
      <c r="O39" s="63">
        <v>51555.711000000003</v>
      </c>
      <c r="P39" s="63">
        <v>54298.731</v>
      </c>
      <c r="Q39" s="63">
        <v>56165.55</v>
      </c>
      <c r="R39" s="63">
        <v>61949.173000000003</v>
      </c>
      <c r="S39" s="63">
        <v>66177.394</v>
      </c>
      <c r="T39" s="45">
        <v>79923.273000000001</v>
      </c>
      <c r="U39" s="45">
        <v>83106.194000000003</v>
      </c>
      <c r="V39" s="45">
        <v>100160.47900000001</v>
      </c>
      <c r="W39" s="45">
        <v>99165.81</v>
      </c>
      <c r="X39" s="45">
        <v>107632.45299999999</v>
      </c>
      <c r="Y39" s="45">
        <v>110930.44100000001</v>
      </c>
      <c r="Z39" s="45">
        <v>110768.394</v>
      </c>
      <c r="AA39" s="45">
        <v>113370.754</v>
      </c>
    </row>
    <row r="40" spans="1:27" s="23" customFormat="1">
      <c r="A40" s="79" t="s">
        <v>121</v>
      </c>
      <c r="B40" s="90">
        <f>SUM(B42:B53)</f>
        <v>0</v>
      </c>
      <c r="C40" s="90">
        <f t="shared" ref="C40:AA40" si="9">SUM(C42:C53)</f>
        <v>0</v>
      </c>
      <c r="D40" s="90">
        <f t="shared" si="9"/>
        <v>0</v>
      </c>
      <c r="E40" s="90">
        <f t="shared" si="9"/>
        <v>0</v>
      </c>
      <c r="F40" s="90">
        <f t="shared" si="9"/>
        <v>1932931.0789999999</v>
      </c>
      <c r="G40" s="90">
        <f t="shared" si="9"/>
        <v>0</v>
      </c>
      <c r="H40" s="90">
        <f t="shared" si="9"/>
        <v>0</v>
      </c>
      <c r="I40" s="90">
        <f t="shared" si="9"/>
        <v>2187348.2519999999</v>
      </c>
      <c r="J40" s="90">
        <f t="shared" si="9"/>
        <v>0</v>
      </c>
      <c r="K40" s="90">
        <f t="shared" si="9"/>
        <v>2430964.6015100004</v>
      </c>
      <c r="L40" s="90">
        <f t="shared" si="9"/>
        <v>2692265.8860000004</v>
      </c>
      <c r="M40" s="90">
        <f t="shared" si="9"/>
        <v>2898479.4850000003</v>
      </c>
      <c r="N40" s="90">
        <f t="shared" si="9"/>
        <v>2953858.4619999998</v>
      </c>
      <c r="O40" s="90">
        <f t="shared" si="9"/>
        <v>3093674.0759999999</v>
      </c>
      <c r="P40" s="90">
        <f t="shared" si="9"/>
        <v>3250264.5469999998</v>
      </c>
      <c r="Q40" s="90">
        <f t="shared" si="9"/>
        <v>3309970.2390000001</v>
      </c>
      <c r="R40" s="90">
        <f t="shared" si="9"/>
        <v>3464684.1310000001</v>
      </c>
      <c r="S40" s="90">
        <f t="shared" si="9"/>
        <v>3522080.3309999998</v>
      </c>
      <c r="T40" s="90">
        <f t="shared" si="9"/>
        <v>3756692.0370000005</v>
      </c>
      <c r="U40" s="90">
        <f t="shared" si="9"/>
        <v>4230569.504999999</v>
      </c>
      <c r="V40" s="90">
        <f t="shared" si="9"/>
        <v>5180712.7979999995</v>
      </c>
      <c r="W40" s="90">
        <f t="shared" si="9"/>
        <v>5516248.0009999992</v>
      </c>
      <c r="X40" s="90">
        <v>5605489.1629999997</v>
      </c>
      <c r="Y40" s="90">
        <f t="shared" si="9"/>
        <v>4258155.3500000006</v>
      </c>
      <c r="Z40" s="90">
        <f t="shared" si="9"/>
        <v>4379613.6380000003</v>
      </c>
      <c r="AA40" s="90">
        <f t="shared" si="9"/>
        <v>4385112.3810000001</v>
      </c>
    </row>
    <row r="41" spans="1:27">
      <c r="A41" s="79" t="s">
        <v>119</v>
      </c>
      <c r="B41" s="37"/>
      <c r="C41" s="37"/>
      <c r="D41" s="37"/>
      <c r="E41" s="37"/>
      <c r="F41" s="37"/>
      <c r="G41" s="37"/>
      <c r="H41" s="37"/>
      <c r="I41" s="37"/>
      <c r="J41" s="37"/>
      <c r="K41" s="37"/>
      <c r="L41" s="37"/>
      <c r="M41" s="37"/>
      <c r="N41" s="37"/>
      <c r="O41" s="37"/>
      <c r="P41" s="37"/>
      <c r="Q41" s="37"/>
      <c r="R41" s="37"/>
      <c r="S41" s="37"/>
      <c r="T41" s="23"/>
      <c r="U41" s="23"/>
      <c r="V41" s="23"/>
      <c r="W41" s="23"/>
      <c r="X41" s="2">
        <v>0</v>
      </c>
    </row>
    <row r="42" spans="1:27">
      <c r="A42" s="23" t="s">
        <v>93</v>
      </c>
      <c r="B42" s="36"/>
      <c r="C42" s="36"/>
      <c r="D42" s="36"/>
      <c r="E42" s="36"/>
      <c r="F42" s="77">
        <v>414701.26699999999</v>
      </c>
      <c r="G42" s="36"/>
      <c r="H42" s="36"/>
      <c r="I42" s="37">
        <v>489703.36099999998</v>
      </c>
      <c r="J42" s="37"/>
      <c r="K42" s="37">
        <v>496137.57365000009</v>
      </c>
      <c r="L42" s="37">
        <v>551819.20400000003</v>
      </c>
      <c r="M42" s="37">
        <v>563787.09499999997</v>
      </c>
      <c r="N42" s="37">
        <v>592423.11399999994</v>
      </c>
      <c r="O42" s="37">
        <v>616858.049</v>
      </c>
      <c r="P42" s="37">
        <v>725524.98</v>
      </c>
      <c r="Q42" s="37">
        <v>671055.28500000003</v>
      </c>
      <c r="R42" s="37">
        <v>689340.37600000005</v>
      </c>
      <c r="S42" s="37">
        <v>705930.96699999995</v>
      </c>
      <c r="T42" s="23">
        <v>760979.28700000001</v>
      </c>
      <c r="U42" s="23">
        <v>843735.03399999999</v>
      </c>
      <c r="V42" s="23">
        <v>1020101.177</v>
      </c>
      <c r="W42" s="23">
        <v>1079829.4110000001</v>
      </c>
      <c r="X42" s="2">
        <v>1130899.44</v>
      </c>
      <c r="Y42" s="2">
        <v>685629.603</v>
      </c>
      <c r="Z42" s="2">
        <v>713232.38899999997</v>
      </c>
      <c r="AA42" s="2">
        <v>741240.62</v>
      </c>
    </row>
    <row r="43" spans="1:27">
      <c r="A43" s="23" t="s">
        <v>58</v>
      </c>
      <c r="B43" s="36"/>
      <c r="C43" s="36"/>
      <c r="D43" s="36"/>
      <c r="E43" s="36"/>
      <c r="F43" s="77">
        <v>59058.574999999997</v>
      </c>
      <c r="G43" s="36"/>
      <c r="H43" s="36"/>
      <c r="I43" s="37">
        <v>71382.745999999999</v>
      </c>
      <c r="J43" s="37"/>
      <c r="K43" s="37">
        <v>80465.623999999996</v>
      </c>
      <c r="L43" s="37">
        <v>106479.125</v>
      </c>
      <c r="M43" s="37">
        <v>115454.995</v>
      </c>
      <c r="N43" s="37">
        <v>130088.92</v>
      </c>
      <c r="O43" s="37">
        <v>138795.15</v>
      </c>
      <c r="P43" s="37">
        <v>114306.10400000001</v>
      </c>
      <c r="Q43" s="37">
        <v>127405.118</v>
      </c>
      <c r="R43" s="37">
        <v>132087.41399999999</v>
      </c>
      <c r="S43" s="37">
        <v>137576.641</v>
      </c>
      <c r="T43" s="23">
        <v>137008.28599999999</v>
      </c>
      <c r="U43" s="23">
        <v>177155.59899999999</v>
      </c>
      <c r="V43" s="23">
        <v>232183.30600000001</v>
      </c>
      <c r="W43" s="23">
        <v>248657.84700000001</v>
      </c>
      <c r="X43" s="2">
        <v>265100.60100000002</v>
      </c>
      <c r="Y43" s="2">
        <v>306810.685</v>
      </c>
      <c r="Z43" s="2">
        <v>305228.777</v>
      </c>
      <c r="AA43" s="2">
        <v>292306.48100000003</v>
      </c>
    </row>
    <row r="44" spans="1:27">
      <c r="A44" s="23" t="s">
        <v>94</v>
      </c>
      <c r="B44" s="36"/>
      <c r="C44" s="36"/>
      <c r="D44" s="36"/>
      <c r="E44" s="36"/>
      <c r="F44" s="77">
        <v>158418.274</v>
      </c>
      <c r="G44" s="36"/>
      <c r="H44" s="36"/>
      <c r="I44" s="37">
        <v>165039.03</v>
      </c>
      <c r="J44" s="37"/>
      <c r="K44" s="37">
        <v>180273.77499999999</v>
      </c>
      <c r="L44" s="37">
        <v>214755.83900000001</v>
      </c>
      <c r="M44" s="37">
        <v>233691.27900000001</v>
      </c>
      <c r="N44" s="37">
        <v>227438.38699999999</v>
      </c>
      <c r="O44" s="37">
        <v>222512.49600000001</v>
      </c>
      <c r="P44" s="37">
        <v>239427.43</v>
      </c>
      <c r="Q44" s="37">
        <v>244381.31899999999</v>
      </c>
      <c r="R44" s="37">
        <v>260966.01300000001</v>
      </c>
      <c r="S44" s="37">
        <v>281192.33500000002</v>
      </c>
      <c r="T44" s="23">
        <v>302530.42099999997</v>
      </c>
      <c r="U44" s="23">
        <v>333552.76500000001</v>
      </c>
      <c r="V44" s="23">
        <v>371530.804</v>
      </c>
      <c r="W44" s="23">
        <v>383283.87599999999</v>
      </c>
      <c r="X44" s="2">
        <v>397612.53200000001</v>
      </c>
      <c r="Y44" s="2">
        <v>383307.315</v>
      </c>
      <c r="Z44" s="2">
        <v>382047.261</v>
      </c>
      <c r="AA44" s="2">
        <v>410703.60100000002</v>
      </c>
    </row>
    <row r="45" spans="1:27">
      <c r="A45" s="23" t="s">
        <v>95</v>
      </c>
      <c r="B45" s="36"/>
      <c r="C45" s="36"/>
      <c r="D45" s="36"/>
      <c r="E45" s="36"/>
      <c r="F45" s="77">
        <v>88691.846000000005</v>
      </c>
      <c r="G45" s="36"/>
      <c r="H45" s="36"/>
      <c r="I45" s="37">
        <v>114675.63400000001</v>
      </c>
      <c r="J45" s="37"/>
      <c r="K45" s="37">
        <v>127772.29416999995</v>
      </c>
      <c r="L45" s="37">
        <v>139679.337</v>
      </c>
      <c r="M45" s="37">
        <v>152122.80300000001</v>
      </c>
      <c r="N45" s="37">
        <v>160419.535</v>
      </c>
      <c r="O45" s="37">
        <v>161354.64199999999</v>
      </c>
      <c r="P45" s="37">
        <v>164511.777</v>
      </c>
      <c r="Q45" s="37">
        <v>174400.62400000001</v>
      </c>
      <c r="R45" s="37">
        <v>187068.413</v>
      </c>
      <c r="S45" s="37">
        <v>197523.353</v>
      </c>
      <c r="T45" s="23">
        <v>213037.019</v>
      </c>
      <c r="U45" s="23">
        <v>230808.60500000001</v>
      </c>
      <c r="V45" s="23">
        <v>269233.90000000002</v>
      </c>
      <c r="W45" s="23">
        <v>274775.68300000002</v>
      </c>
      <c r="X45" s="2">
        <v>273922.61900000001</v>
      </c>
      <c r="Y45" s="2">
        <v>225856.75599999999</v>
      </c>
      <c r="Z45" s="2">
        <v>227730.72899999999</v>
      </c>
      <c r="AA45" s="2">
        <v>228648.79500000001</v>
      </c>
    </row>
    <row r="46" spans="1:27">
      <c r="A46" s="23" t="s">
        <v>98</v>
      </c>
      <c r="B46" s="36"/>
      <c r="C46" s="36"/>
      <c r="D46" s="36"/>
      <c r="E46" s="37"/>
      <c r="F46" s="77">
        <v>321903.60100000002</v>
      </c>
      <c r="G46" s="36"/>
      <c r="H46" s="36"/>
      <c r="I46" s="37">
        <v>353969.217</v>
      </c>
      <c r="J46" s="37"/>
      <c r="K46" s="37">
        <v>375114.61591000011</v>
      </c>
      <c r="L46" s="37">
        <v>408026.29499999998</v>
      </c>
      <c r="M46" s="37">
        <v>425386.54200000002</v>
      </c>
      <c r="N46" s="37">
        <v>442697.34399999998</v>
      </c>
      <c r="O46" s="37">
        <v>470450.592</v>
      </c>
      <c r="P46" s="37">
        <v>460231.88900000002</v>
      </c>
      <c r="Q46" s="37">
        <v>480774.19799999997</v>
      </c>
      <c r="R46" s="37">
        <v>499738.19300000003</v>
      </c>
      <c r="S46" s="37">
        <v>513597.34399999998</v>
      </c>
      <c r="T46" s="23">
        <v>546168.95400000003</v>
      </c>
      <c r="U46" s="23">
        <v>577135.21499999997</v>
      </c>
      <c r="V46" s="23">
        <v>779284.25199999998</v>
      </c>
      <c r="W46" s="23">
        <v>807274.96799999999</v>
      </c>
      <c r="X46" s="2">
        <v>821941.41599999997</v>
      </c>
      <c r="Y46" s="2">
        <v>759136.65800000005</v>
      </c>
      <c r="Z46" s="2">
        <v>769415.63</v>
      </c>
      <c r="AA46" s="2">
        <v>777336.37</v>
      </c>
    </row>
    <row r="47" spans="1:27">
      <c r="A47" s="23" t="s">
        <v>99</v>
      </c>
      <c r="B47" s="37"/>
      <c r="C47" s="37"/>
      <c r="D47" s="37"/>
      <c r="E47" s="37"/>
      <c r="F47" s="77">
        <v>183773.329</v>
      </c>
      <c r="G47" s="37"/>
      <c r="H47" s="37"/>
      <c r="I47" s="37">
        <v>246830.584</v>
      </c>
      <c r="J47" s="37"/>
      <c r="K47" s="37">
        <v>225503.36919000006</v>
      </c>
      <c r="L47" s="37">
        <v>266510.77500000002</v>
      </c>
      <c r="M47" s="37">
        <v>301249.402</v>
      </c>
      <c r="N47" s="37">
        <v>304392.95500000002</v>
      </c>
      <c r="O47" s="37">
        <v>307852.70899999997</v>
      </c>
      <c r="P47" s="37">
        <v>329457.35200000001</v>
      </c>
      <c r="Q47" s="37">
        <v>333888.17300000001</v>
      </c>
      <c r="R47" s="37">
        <v>357914.32500000001</v>
      </c>
      <c r="S47" s="37">
        <v>369265.50699999998</v>
      </c>
      <c r="T47" s="23">
        <v>395872</v>
      </c>
      <c r="U47" s="23">
        <v>403164.24599999998</v>
      </c>
      <c r="V47" s="23">
        <v>495856.489</v>
      </c>
      <c r="W47" s="23">
        <v>503196</v>
      </c>
      <c r="X47" s="2">
        <v>491451.5</v>
      </c>
      <c r="Y47" s="2">
        <v>385522.94400000002</v>
      </c>
      <c r="Z47" s="2">
        <v>388561.00400000002</v>
      </c>
      <c r="AA47" s="2">
        <v>377402</v>
      </c>
    </row>
    <row r="48" spans="1:27">
      <c r="A48" s="23" t="s">
        <v>59</v>
      </c>
      <c r="B48" s="37"/>
      <c r="C48" s="37"/>
      <c r="D48" s="37"/>
      <c r="E48" s="37"/>
      <c r="F48" s="77">
        <v>101784.731</v>
      </c>
      <c r="G48" s="37"/>
      <c r="H48" s="37"/>
      <c r="I48" s="37">
        <v>46236.953999999998</v>
      </c>
      <c r="J48" s="37"/>
      <c r="K48" s="37">
        <v>153979.80900000001</v>
      </c>
      <c r="L48" s="37">
        <v>80230.45</v>
      </c>
      <c r="M48" s="37">
        <v>110207.39</v>
      </c>
      <c r="N48" s="37">
        <v>83187.914000000004</v>
      </c>
      <c r="O48" s="37">
        <v>84837.614000000001</v>
      </c>
      <c r="P48" s="37">
        <v>90961.864000000001</v>
      </c>
      <c r="Q48" s="37">
        <v>97254.962</v>
      </c>
      <c r="R48" s="37">
        <v>103585.56200000001</v>
      </c>
      <c r="S48" s="37">
        <v>108642.86</v>
      </c>
      <c r="T48" s="23">
        <v>122668.242</v>
      </c>
      <c r="U48" s="23">
        <v>143209.747</v>
      </c>
      <c r="V48" s="23">
        <v>165002.36499999999</v>
      </c>
      <c r="W48" s="23">
        <v>277461.33799999999</v>
      </c>
      <c r="X48" s="2">
        <v>270963.13199999998</v>
      </c>
      <c r="Y48" s="2">
        <v>283325.46299999999</v>
      </c>
      <c r="Z48" s="2">
        <v>345042.96299999999</v>
      </c>
      <c r="AA48" s="2">
        <v>331683.80900000001</v>
      </c>
    </row>
    <row r="49" spans="1:27">
      <c r="A49" s="23" t="s">
        <v>101</v>
      </c>
      <c r="B49" s="37"/>
      <c r="C49" s="37"/>
      <c r="D49" s="37"/>
      <c r="E49" s="37"/>
      <c r="F49" s="77">
        <v>34481.987999999998</v>
      </c>
      <c r="G49" s="37"/>
      <c r="H49" s="37"/>
      <c r="I49" s="37">
        <v>37730.470999999998</v>
      </c>
      <c r="J49" s="37"/>
      <c r="K49" s="37">
        <v>64568.985999999997</v>
      </c>
      <c r="L49" s="37">
        <v>74765.971999999994</v>
      </c>
      <c r="M49" s="37">
        <v>78566.195999999996</v>
      </c>
      <c r="N49" s="37">
        <v>82830.638999999996</v>
      </c>
      <c r="O49" s="37">
        <v>88375.061000000002</v>
      </c>
      <c r="P49" s="37">
        <v>93490.627999999997</v>
      </c>
      <c r="Q49" s="37">
        <v>97207.805999999997</v>
      </c>
      <c r="R49" s="37">
        <v>104131.564</v>
      </c>
      <c r="S49" s="37">
        <v>107786.912</v>
      </c>
      <c r="T49" s="23">
        <v>112587.946</v>
      </c>
      <c r="U49" s="23">
        <v>120371.962</v>
      </c>
      <c r="V49" s="23">
        <v>154214.149</v>
      </c>
      <c r="W49" s="23">
        <v>157193.196</v>
      </c>
      <c r="X49" s="2">
        <v>171976.92</v>
      </c>
      <c r="Y49" s="2">
        <v>147749.67800000001</v>
      </c>
      <c r="Z49" s="2">
        <v>152101.742</v>
      </c>
      <c r="AA49" s="2">
        <v>154417.27499999999</v>
      </c>
    </row>
    <row r="50" spans="1:27">
      <c r="A50" s="23" t="s">
        <v>107</v>
      </c>
      <c r="B50" s="37"/>
      <c r="C50" s="37"/>
      <c r="D50" s="37"/>
      <c r="E50" s="37"/>
      <c r="F50" s="77">
        <v>21089.936000000002</v>
      </c>
      <c r="G50" s="37"/>
      <c r="H50" s="37"/>
      <c r="I50" s="37">
        <v>24551.841</v>
      </c>
      <c r="J50" s="37"/>
      <c r="K50" s="37">
        <v>28228.95827000001</v>
      </c>
      <c r="L50" s="37">
        <v>30777.440999999999</v>
      </c>
      <c r="M50" s="37">
        <v>27746.148000000001</v>
      </c>
      <c r="N50" s="37">
        <v>31554.424999999999</v>
      </c>
      <c r="O50" s="37">
        <v>32805.851999999999</v>
      </c>
      <c r="P50" s="37">
        <v>31529.074000000001</v>
      </c>
      <c r="Q50" s="37">
        <v>33876.928999999996</v>
      </c>
      <c r="R50" s="37">
        <v>36087.972000000002</v>
      </c>
      <c r="S50" s="37">
        <v>37640.783000000003</v>
      </c>
      <c r="T50" s="23">
        <v>28291.246999999999</v>
      </c>
      <c r="U50" s="23">
        <v>47690.635000000002</v>
      </c>
      <c r="V50" s="23">
        <v>54843.442999999999</v>
      </c>
      <c r="W50" s="23">
        <v>60741.17</v>
      </c>
      <c r="X50" s="2">
        <v>64310.322</v>
      </c>
      <c r="Y50" s="2">
        <v>66169.956000000006</v>
      </c>
      <c r="Z50" s="2">
        <v>73593.491999999998</v>
      </c>
      <c r="AA50" s="2">
        <v>78956.510999999999</v>
      </c>
    </row>
    <row r="51" spans="1:27">
      <c r="A51" s="23" t="s">
        <v>108</v>
      </c>
      <c r="B51" s="37"/>
      <c r="C51" s="37"/>
      <c r="D51" s="37"/>
      <c r="E51" s="37"/>
      <c r="F51" s="77">
        <v>233728.465</v>
      </c>
      <c r="G51" s="37"/>
      <c r="H51" s="37"/>
      <c r="I51" s="37">
        <v>272607.99200000003</v>
      </c>
      <c r="J51" s="37"/>
      <c r="K51" s="37">
        <v>286594.93699999998</v>
      </c>
      <c r="L51" s="37">
        <v>355040.04700000002</v>
      </c>
      <c r="M51" s="37">
        <v>386628.03200000001</v>
      </c>
      <c r="N51" s="37">
        <v>361128.00599999999</v>
      </c>
      <c r="O51" s="37">
        <v>397663.21</v>
      </c>
      <c r="P51" s="37">
        <v>404244.72200000001</v>
      </c>
      <c r="Q51" s="37">
        <v>426609.63199999998</v>
      </c>
      <c r="R51" s="37">
        <v>447332.17099999997</v>
      </c>
      <c r="S51" s="37">
        <v>462645.67300000001</v>
      </c>
      <c r="T51" s="23">
        <v>496698.76899999997</v>
      </c>
      <c r="U51" s="23">
        <v>660413.902</v>
      </c>
      <c r="V51" s="23">
        <v>753205.55700000003</v>
      </c>
      <c r="W51" s="23">
        <v>817283.00399999996</v>
      </c>
      <c r="X51" s="2">
        <v>821774.04099999997</v>
      </c>
      <c r="Y51" s="2">
        <v>773320.58100000001</v>
      </c>
      <c r="Z51" s="2">
        <v>767444.11399999994</v>
      </c>
      <c r="AA51" s="2">
        <v>748479.45700000005</v>
      </c>
    </row>
    <row r="52" spans="1:27">
      <c r="A52" s="23" t="s">
        <v>112</v>
      </c>
      <c r="B52" s="37"/>
      <c r="C52" s="37"/>
      <c r="D52" s="37"/>
      <c r="E52" s="37"/>
      <c r="F52" s="77">
        <v>405.07100000000003</v>
      </c>
      <c r="G52" s="37"/>
      <c r="H52" s="37"/>
      <c r="I52" s="37">
        <v>419.58600000000001</v>
      </c>
      <c r="J52" s="37"/>
      <c r="K52" s="37">
        <v>15859.379319999993</v>
      </c>
      <c r="L52" s="37">
        <v>16740.52</v>
      </c>
      <c r="M52" s="37">
        <v>17475.307000000001</v>
      </c>
      <c r="N52" s="37">
        <v>20447.999</v>
      </c>
      <c r="O52" s="37">
        <v>18403.73</v>
      </c>
      <c r="P52" s="37">
        <v>19675.476999999999</v>
      </c>
      <c r="Q52" s="37">
        <v>19768.716</v>
      </c>
      <c r="R52" s="37">
        <v>21014.758999999998</v>
      </c>
      <c r="S52" s="37">
        <v>22279.794000000002</v>
      </c>
      <c r="T52" s="23">
        <v>23444.453000000001</v>
      </c>
      <c r="U52" s="23">
        <v>31549.53</v>
      </c>
      <c r="V52" s="23">
        <v>28664.623</v>
      </c>
      <c r="W52" s="23">
        <v>30193.202000000001</v>
      </c>
      <c r="X52" s="2">
        <v>29035.062000000002</v>
      </c>
      <c r="Y52" s="2">
        <v>40540.542999999998</v>
      </c>
      <c r="Z52" s="2">
        <v>45784.341</v>
      </c>
      <c r="AA52" s="2">
        <v>52318.879000000001</v>
      </c>
    </row>
    <row r="53" spans="1:27">
      <c r="A53" s="45" t="s">
        <v>116</v>
      </c>
      <c r="B53" s="63"/>
      <c r="C53" s="63"/>
      <c r="D53" s="63"/>
      <c r="E53" s="63"/>
      <c r="F53" s="82">
        <v>314893.99599999998</v>
      </c>
      <c r="G53" s="63"/>
      <c r="H53" s="63"/>
      <c r="I53" s="63">
        <v>364200.83600000001</v>
      </c>
      <c r="J53" s="63"/>
      <c r="K53" s="63">
        <v>396465.28</v>
      </c>
      <c r="L53" s="63">
        <v>447440.88099999999</v>
      </c>
      <c r="M53" s="63">
        <v>486164.29599999997</v>
      </c>
      <c r="N53" s="63">
        <v>517249.22399999999</v>
      </c>
      <c r="O53" s="63">
        <v>553764.97100000002</v>
      </c>
      <c r="P53" s="63">
        <v>576903.25</v>
      </c>
      <c r="Q53" s="63">
        <v>603347.47699999996</v>
      </c>
      <c r="R53" s="63">
        <v>625417.36899999995</v>
      </c>
      <c r="S53" s="63">
        <v>577998.16200000001</v>
      </c>
      <c r="T53" s="45">
        <v>617405.41299999994</v>
      </c>
      <c r="U53" s="45">
        <v>661782.26500000001</v>
      </c>
      <c r="V53" s="45">
        <v>856592.73300000001</v>
      </c>
      <c r="W53" s="45">
        <v>876358.30599999998</v>
      </c>
      <c r="X53" s="45">
        <v>866501.57799999998</v>
      </c>
      <c r="Y53" s="45">
        <v>200785.16800000001</v>
      </c>
      <c r="Z53" s="45">
        <v>209431.196</v>
      </c>
      <c r="AA53" s="45">
        <v>191618.58300000001</v>
      </c>
    </row>
    <row r="54" spans="1:27" s="23" customFormat="1">
      <c r="A54" s="79" t="s">
        <v>122</v>
      </c>
      <c r="B54" s="90">
        <f>SUM(B56:B64)</f>
        <v>0</v>
      </c>
      <c r="C54" s="90">
        <f t="shared" ref="C54:AA54" si="10">SUM(C56:C64)</f>
        <v>0</v>
      </c>
      <c r="D54" s="90">
        <f t="shared" si="10"/>
        <v>0</v>
      </c>
      <c r="E54" s="90">
        <f t="shared" si="10"/>
        <v>0</v>
      </c>
      <c r="F54" s="90">
        <f t="shared" si="10"/>
        <v>1090631.0999999999</v>
      </c>
      <c r="G54" s="90">
        <f t="shared" si="10"/>
        <v>0</v>
      </c>
      <c r="H54" s="90">
        <f t="shared" si="10"/>
        <v>0</v>
      </c>
      <c r="I54" s="90">
        <f t="shared" si="10"/>
        <v>1289542.652</v>
      </c>
      <c r="J54" s="90">
        <f t="shared" si="10"/>
        <v>0</v>
      </c>
      <c r="K54" s="90">
        <f t="shared" si="10"/>
        <v>1400649.3936600003</v>
      </c>
      <c r="L54" s="90">
        <f t="shared" si="10"/>
        <v>1453504.23</v>
      </c>
      <c r="M54" s="90">
        <f t="shared" si="10"/>
        <v>1631540.8370000001</v>
      </c>
      <c r="N54" s="90">
        <f t="shared" si="10"/>
        <v>1720411.817</v>
      </c>
      <c r="O54" s="90">
        <f t="shared" si="10"/>
        <v>1831363.2820000001</v>
      </c>
      <c r="P54" s="90">
        <f t="shared" si="10"/>
        <v>1915398.7609999999</v>
      </c>
      <c r="Q54" s="90">
        <f t="shared" si="10"/>
        <v>2009843.8689999999</v>
      </c>
      <c r="R54" s="90">
        <f t="shared" si="10"/>
        <v>2102969.0579999997</v>
      </c>
      <c r="S54" s="90">
        <f t="shared" si="10"/>
        <v>2229676.4720000001</v>
      </c>
      <c r="T54" s="90">
        <f t="shared" si="10"/>
        <v>2382685.7719999999</v>
      </c>
      <c r="U54" s="90">
        <f t="shared" si="10"/>
        <v>2589008.852</v>
      </c>
      <c r="V54" s="90">
        <f t="shared" si="10"/>
        <v>3103573.2390000005</v>
      </c>
      <c r="W54" s="90">
        <f t="shared" si="10"/>
        <v>3226297.3480000002</v>
      </c>
      <c r="X54" s="90">
        <v>3291638.9649999999</v>
      </c>
      <c r="Y54" s="90">
        <f t="shared" si="10"/>
        <v>3440986.7650000001</v>
      </c>
      <c r="Z54" s="90">
        <f t="shared" si="10"/>
        <v>3519664.449</v>
      </c>
      <c r="AA54" s="90">
        <f t="shared" si="10"/>
        <v>3664271.7450000006</v>
      </c>
    </row>
    <row r="55" spans="1:27">
      <c r="A55" s="79" t="s">
        <v>119</v>
      </c>
      <c r="B55" s="37"/>
      <c r="C55" s="37"/>
      <c r="D55" s="37"/>
      <c r="E55" s="37"/>
      <c r="F55" s="37"/>
      <c r="G55" s="37"/>
      <c r="H55" s="37"/>
      <c r="I55" s="37"/>
      <c r="J55" s="37"/>
      <c r="K55" s="37"/>
      <c r="L55" s="37"/>
      <c r="M55" s="37"/>
      <c r="N55" s="37"/>
      <c r="O55" s="37"/>
      <c r="P55" s="37"/>
      <c r="Q55" s="37"/>
      <c r="R55" s="37"/>
      <c r="S55" s="37"/>
      <c r="T55" s="23"/>
      <c r="U55" s="23"/>
      <c r="V55" s="23"/>
      <c r="W55" s="23"/>
      <c r="X55" s="2">
        <v>0</v>
      </c>
    </row>
    <row r="56" spans="1:27" s="23" customFormat="1">
      <c r="A56" s="23" t="s">
        <v>89</v>
      </c>
      <c r="B56" s="36"/>
      <c r="C56" s="36"/>
      <c r="D56" s="36"/>
      <c r="E56" s="36"/>
      <c r="F56" s="77">
        <v>49412.841999999997</v>
      </c>
      <c r="G56" s="36"/>
      <c r="H56" s="36"/>
      <c r="I56" s="37">
        <v>58962.112999999998</v>
      </c>
      <c r="J56" s="37"/>
      <c r="K56" s="37">
        <v>83335.948329999985</v>
      </c>
      <c r="L56" s="37">
        <v>87765.286999999997</v>
      </c>
      <c r="M56" s="37">
        <v>94660.827999999994</v>
      </c>
      <c r="N56" s="37">
        <v>100712.27</v>
      </c>
      <c r="O56" s="37">
        <v>103097.17600000001</v>
      </c>
      <c r="P56" s="37">
        <v>101407.276</v>
      </c>
      <c r="Q56" s="37">
        <v>118367.399</v>
      </c>
      <c r="R56" s="37">
        <v>124507.632</v>
      </c>
      <c r="S56" s="37">
        <v>133068.823</v>
      </c>
      <c r="T56" s="23">
        <v>144852.386</v>
      </c>
      <c r="U56" s="23">
        <v>161525.11499999999</v>
      </c>
      <c r="V56" s="23">
        <v>194663.03400000001</v>
      </c>
      <c r="W56" s="23">
        <v>211564.69200000001</v>
      </c>
      <c r="X56" s="2">
        <v>211069.83600000001</v>
      </c>
      <c r="Y56" s="2">
        <v>219369.27100000001</v>
      </c>
      <c r="Z56" s="2">
        <v>234846.25200000001</v>
      </c>
      <c r="AA56" s="2">
        <v>243049.70300000001</v>
      </c>
    </row>
    <row r="57" spans="1:27" s="23" customFormat="1">
      <c r="A57" s="23" t="s">
        <v>96</v>
      </c>
      <c r="B57" s="36"/>
      <c r="C57" s="36"/>
      <c r="D57" s="36"/>
      <c r="E57" s="36"/>
      <c r="F57" s="77">
        <v>17683.107</v>
      </c>
      <c r="G57" s="36"/>
      <c r="H57" s="36"/>
      <c r="I57" s="37">
        <v>20781.531999999999</v>
      </c>
      <c r="J57" s="37"/>
      <c r="K57" s="37">
        <v>23521.345000000001</v>
      </c>
      <c r="L57" s="37">
        <v>27983.918000000001</v>
      </c>
      <c r="M57" s="37">
        <v>30472.985000000001</v>
      </c>
      <c r="N57" s="37">
        <v>31366.920999999998</v>
      </c>
      <c r="O57" s="37">
        <v>34005.048000000003</v>
      </c>
      <c r="P57" s="37">
        <v>36971.523000000001</v>
      </c>
      <c r="Q57" s="37">
        <v>39774.830999999998</v>
      </c>
      <c r="R57" s="37">
        <v>40630.296999999999</v>
      </c>
      <c r="S57" s="37">
        <v>42880.79</v>
      </c>
      <c r="T57" s="23">
        <v>43178.892999999996</v>
      </c>
      <c r="U57" s="23">
        <v>57479.932000000001</v>
      </c>
      <c r="V57" s="23">
        <v>57763.93</v>
      </c>
      <c r="W57" s="23">
        <v>62070.847000000002</v>
      </c>
      <c r="X57" s="2">
        <v>61254.724999999999</v>
      </c>
      <c r="Y57" s="2">
        <v>62389.608</v>
      </c>
      <c r="Z57" s="2">
        <v>67581.281000000003</v>
      </c>
      <c r="AA57" s="2">
        <v>70026.384000000005</v>
      </c>
    </row>
    <row r="58" spans="1:27" s="45" customFormat="1">
      <c r="A58" s="23" t="s">
        <v>97</v>
      </c>
      <c r="B58" s="36"/>
      <c r="C58" s="36"/>
      <c r="D58" s="36"/>
      <c r="E58" s="37"/>
      <c r="F58" s="77">
        <v>104722.3</v>
      </c>
      <c r="G58" s="36"/>
      <c r="H58" s="36"/>
      <c r="I58" s="37">
        <v>134477.58499999999</v>
      </c>
      <c r="J58" s="37"/>
      <c r="K58" s="37">
        <v>157097.56099999999</v>
      </c>
      <c r="L58" s="37">
        <v>185030.31099999999</v>
      </c>
      <c r="M58" s="37">
        <v>219459.834</v>
      </c>
      <c r="N58" s="37">
        <v>213596.864</v>
      </c>
      <c r="O58" s="37">
        <v>199580.842</v>
      </c>
      <c r="P58" s="37">
        <v>205493.54800000001</v>
      </c>
      <c r="Q58" s="37">
        <v>208554.981</v>
      </c>
      <c r="R58" s="37">
        <v>225019.61300000001</v>
      </c>
      <c r="S58" s="37">
        <v>238655.43599999999</v>
      </c>
      <c r="T58" s="23">
        <v>261050.45</v>
      </c>
      <c r="U58" s="23">
        <v>259079.27799999999</v>
      </c>
      <c r="V58" s="23">
        <v>319785.44500000001</v>
      </c>
      <c r="W58" s="23">
        <v>341617.86200000002</v>
      </c>
      <c r="X58" s="2">
        <v>352423.00099999999</v>
      </c>
      <c r="Y58" s="2">
        <v>368391.08899999998</v>
      </c>
      <c r="Z58" s="2">
        <v>389799.64799999999</v>
      </c>
      <c r="AA58" s="2">
        <v>388504.06199999998</v>
      </c>
    </row>
    <row r="59" spans="1:27" s="14" customFormat="1">
      <c r="A59" s="23" t="s">
        <v>103</v>
      </c>
      <c r="B59" s="37"/>
      <c r="C59" s="37"/>
      <c r="D59" s="37"/>
      <c r="E59" s="37"/>
      <c r="F59" s="77">
        <v>17233.212</v>
      </c>
      <c r="G59" s="37"/>
      <c r="H59" s="37"/>
      <c r="I59" s="37">
        <v>16997.055</v>
      </c>
      <c r="J59" s="37"/>
      <c r="K59" s="37">
        <v>23273.657640000001</v>
      </c>
      <c r="L59" s="37">
        <v>19792.912</v>
      </c>
      <c r="M59" s="37">
        <v>20523.641</v>
      </c>
      <c r="N59" s="37">
        <v>21391.457999999999</v>
      </c>
      <c r="O59" s="37">
        <v>23881.579000000002</v>
      </c>
      <c r="P59" s="37">
        <v>23745.313999999998</v>
      </c>
      <c r="Q59" s="37">
        <v>24962.393</v>
      </c>
      <c r="R59" s="37">
        <v>21005.517</v>
      </c>
      <c r="S59" s="37">
        <v>28021.42</v>
      </c>
      <c r="T59" s="23">
        <v>28668.252</v>
      </c>
      <c r="U59" s="23">
        <v>31271.59</v>
      </c>
      <c r="V59" s="23">
        <v>35685.302000000003</v>
      </c>
      <c r="W59" s="23">
        <v>39436.303</v>
      </c>
      <c r="X59" s="2">
        <v>49567.972000000002</v>
      </c>
      <c r="Y59" s="2">
        <v>43030.370999999999</v>
      </c>
      <c r="Z59" s="2">
        <v>45477.023000000001</v>
      </c>
      <c r="AA59" s="2">
        <v>57154.534</v>
      </c>
    </row>
    <row r="60" spans="1:27" s="14" customFormat="1">
      <c r="A60" s="23" t="s">
        <v>104</v>
      </c>
      <c r="B60" s="37"/>
      <c r="C60" s="37"/>
      <c r="D60" s="37"/>
      <c r="E60" s="37"/>
      <c r="F60" s="77">
        <v>194304.054</v>
      </c>
      <c r="G60" s="37"/>
      <c r="H60" s="37"/>
      <c r="I60" s="37">
        <v>227469.52</v>
      </c>
      <c r="J60" s="37"/>
      <c r="K60" s="37">
        <v>238524.878</v>
      </c>
      <c r="L60" s="37">
        <v>250782.84599999999</v>
      </c>
      <c r="M60" s="37">
        <v>267420.87300000002</v>
      </c>
      <c r="N60" s="37">
        <v>281658.522</v>
      </c>
      <c r="O60" s="37">
        <v>301447.15399999998</v>
      </c>
      <c r="P60" s="37">
        <v>317390.85499999998</v>
      </c>
      <c r="Q60" s="37">
        <v>330312.14199999999</v>
      </c>
      <c r="R60" s="37">
        <v>347434.348</v>
      </c>
      <c r="S60" s="37">
        <v>356481.65299999999</v>
      </c>
      <c r="T60" s="23">
        <v>387798.91399999999</v>
      </c>
      <c r="U60" s="23">
        <v>415681.68300000002</v>
      </c>
      <c r="V60" s="23">
        <v>515040.913</v>
      </c>
      <c r="W60" s="23">
        <v>531878.42500000005</v>
      </c>
      <c r="X60" s="2">
        <v>543125.41099999996</v>
      </c>
      <c r="Y60" s="2">
        <v>554374.97600000002</v>
      </c>
      <c r="Z60" s="2">
        <v>554507.95799999998</v>
      </c>
      <c r="AA60" s="2">
        <v>547084.11100000003</v>
      </c>
    </row>
    <row r="61" spans="1:27" s="14" customFormat="1">
      <c r="A61" s="23" t="s">
        <v>106</v>
      </c>
      <c r="B61" s="37"/>
      <c r="C61" s="37"/>
      <c r="D61" s="37"/>
      <c r="E61" s="37"/>
      <c r="F61" s="77">
        <v>487227.57299999997</v>
      </c>
      <c r="G61" s="37"/>
      <c r="H61" s="37"/>
      <c r="I61" s="37">
        <v>581568.28700000001</v>
      </c>
      <c r="J61" s="37"/>
      <c r="K61" s="37">
        <v>623030.728</v>
      </c>
      <c r="L61" s="37">
        <v>603569.03799999994</v>
      </c>
      <c r="M61" s="37">
        <v>704968.978</v>
      </c>
      <c r="N61" s="37">
        <v>748150.59900000005</v>
      </c>
      <c r="O61" s="37">
        <v>820491.54200000002</v>
      </c>
      <c r="P61" s="37">
        <v>864616.31700000004</v>
      </c>
      <c r="Q61" s="37">
        <v>909667.745</v>
      </c>
      <c r="R61" s="37">
        <v>952299.38399999996</v>
      </c>
      <c r="S61" s="37">
        <v>1021127.238</v>
      </c>
      <c r="T61" s="23">
        <v>1069664.7949999999</v>
      </c>
      <c r="U61" s="23">
        <v>1167399.0830000001</v>
      </c>
      <c r="V61" s="23">
        <v>1423684.942</v>
      </c>
      <c r="W61" s="23">
        <v>1462048.6270000001</v>
      </c>
      <c r="X61" s="2">
        <v>1490753.692</v>
      </c>
      <c r="Y61" s="2">
        <v>1582422.578</v>
      </c>
      <c r="Z61" s="2">
        <v>1609709.622</v>
      </c>
      <c r="AA61" s="2">
        <v>1743374.321</v>
      </c>
    </row>
    <row r="62" spans="1:27" s="14" customFormat="1">
      <c r="A62" s="23" t="s">
        <v>110</v>
      </c>
      <c r="B62" s="37"/>
      <c r="C62" s="37"/>
      <c r="D62" s="37"/>
      <c r="E62" s="37"/>
      <c r="F62" s="77">
        <v>189795.18299999999</v>
      </c>
      <c r="G62" s="37"/>
      <c r="H62" s="37"/>
      <c r="I62" s="37">
        <v>218494.06</v>
      </c>
      <c r="J62" s="37"/>
      <c r="K62" s="37">
        <v>220743.32769000006</v>
      </c>
      <c r="L62" s="37">
        <v>243797.09</v>
      </c>
      <c r="M62" s="37">
        <v>256872.54300000001</v>
      </c>
      <c r="N62" s="37">
        <v>284118.67499999999</v>
      </c>
      <c r="O62" s="37">
        <v>306399.44099999999</v>
      </c>
      <c r="P62" s="37">
        <v>321177.38</v>
      </c>
      <c r="Q62" s="37">
        <v>332087.47600000002</v>
      </c>
      <c r="R62" s="37">
        <v>344111.57500000001</v>
      </c>
      <c r="S62" s="37">
        <v>358044.76400000002</v>
      </c>
      <c r="T62" s="23">
        <v>394840.62400000001</v>
      </c>
      <c r="U62" s="23">
        <v>422247.72899999999</v>
      </c>
      <c r="V62" s="23">
        <v>492319.22600000002</v>
      </c>
      <c r="W62" s="23">
        <v>510767.86499999999</v>
      </c>
      <c r="X62" s="2">
        <v>513705.09299999999</v>
      </c>
      <c r="Y62" s="2">
        <v>519769.31099999999</v>
      </c>
      <c r="Z62" s="2">
        <v>524431.42000000004</v>
      </c>
      <c r="AA62" s="2">
        <v>523263.20199999999</v>
      </c>
    </row>
    <row r="63" spans="1:27" s="14" customFormat="1">
      <c r="A63" s="23" t="s">
        <v>111</v>
      </c>
      <c r="B63" s="37"/>
      <c r="C63" s="37"/>
      <c r="D63" s="37"/>
      <c r="E63" s="37"/>
      <c r="F63" s="77">
        <v>24314.412</v>
      </c>
      <c r="G63" s="37"/>
      <c r="H63" s="37"/>
      <c r="I63" s="37">
        <v>28587.844000000001</v>
      </c>
      <c r="J63" s="37"/>
      <c r="K63" s="37">
        <v>28488.353999999999</v>
      </c>
      <c r="L63" s="37">
        <v>31541.017</v>
      </c>
      <c r="M63" s="37">
        <v>33397.446000000004</v>
      </c>
      <c r="N63" s="37">
        <v>35445.68</v>
      </c>
      <c r="O63" s="37">
        <v>37125.086000000003</v>
      </c>
      <c r="P63" s="37">
        <v>38536.175999999999</v>
      </c>
      <c r="Q63" s="37">
        <v>39748.023999999998</v>
      </c>
      <c r="R63" s="37">
        <v>41232.447</v>
      </c>
      <c r="S63" s="37">
        <v>42852.129000000001</v>
      </c>
      <c r="T63" s="23">
        <v>44799.339</v>
      </c>
      <c r="U63" s="23">
        <v>52659.567999999999</v>
      </c>
      <c r="V63" s="23">
        <v>53944.85</v>
      </c>
      <c r="W63" s="23">
        <v>55386.31</v>
      </c>
      <c r="X63" s="2">
        <v>58185.84</v>
      </c>
      <c r="Y63" s="2">
        <v>58935.978000000003</v>
      </c>
      <c r="Z63" s="2">
        <v>60537.938000000002</v>
      </c>
      <c r="AA63" s="2">
        <v>59583.356</v>
      </c>
    </row>
    <row r="64" spans="1:27" s="14" customFormat="1">
      <c r="A64" s="45" t="s">
        <v>114</v>
      </c>
      <c r="B64" s="63"/>
      <c r="C64" s="63"/>
      <c r="D64" s="63"/>
      <c r="E64" s="63"/>
      <c r="F64" s="82">
        <v>5938.4170000000004</v>
      </c>
      <c r="G64" s="63"/>
      <c r="H64" s="63"/>
      <c r="I64" s="63">
        <v>2204.6559999999999</v>
      </c>
      <c r="J64" s="63"/>
      <c r="K64" s="63">
        <v>2633.5940000000001</v>
      </c>
      <c r="L64" s="63">
        <v>3241.8110000000001</v>
      </c>
      <c r="M64" s="63">
        <v>3763.7089999999998</v>
      </c>
      <c r="N64" s="63">
        <v>3970.828</v>
      </c>
      <c r="O64" s="63">
        <v>5335.4139999999998</v>
      </c>
      <c r="P64" s="63">
        <v>6060.3720000000003</v>
      </c>
      <c r="Q64" s="63">
        <v>6368.8779999999997</v>
      </c>
      <c r="R64" s="63">
        <v>6728.2449999999999</v>
      </c>
      <c r="S64" s="63">
        <v>8544.2189999999991</v>
      </c>
      <c r="T64" s="45">
        <v>7832.1189999999997</v>
      </c>
      <c r="U64" s="45">
        <v>21664.874</v>
      </c>
      <c r="V64" s="45">
        <v>10685.597</v>
      </c>
      <c r="W64" s="45">
        <v>11526.416999999999</v>
      </c>
      <c r="X64" s="2">
        <v>11553.395</v>
      </c>
      <c r="Y64" s="45">
        <v>32303.582999999999</v>
      </c>
      <c r="Z64" s="45">
        <v>32773.307000000001</v>
      </c>
      <c r="AA64" s="45">
        <v>32232.072</v>
      </c>
    </row>
    <row r="65" spans="1:27" s="14" customFormat="1">
      <c r="A65" s="88" t="s">
        <v>90</v>
      </c>
      <c r="B65" s="84"/>
      <c r="C65" s="84"/>
      <c r="D65" s="84"/>
      <c r="E65" s="84"/>
      <c r="F65" s="85">
        <v>0</v>
      </c>
      <c r="G65" s="84"/>
      <c r="H65" s="84"/>
      <c r="I65" s="86">
        <v>0</v>
      </c>
      <c r="J65" s="86"/>
      <c r="K65" s="86">
        <v>0</v>
      </c>
      <c r="L65" s="86">
        <v>0</v>
      </c>
      <c r="M65" s="86">
        <v>0</v>
      </c>
      <c r="N65" s="86">
        <v>0</v>
      </c>
      <c r="O65" s="86">
        <v>0</v>
      </c>
      <c r="P65" s="86">
        <v>0</v>
      </c>
      <c r="Q65" s="86">
        <v>0</v>
      </c>
      <c r="R65" s="86">
        <v>0</v>
      </c>
      <c r="S65" s="86">
        <v>0</v>
      </c>
      <c r="T65" s="87">
        <v>0</v>
      </c>
      <c r="U65" s="87">
        <v>0</v>
      </c>
      <c r="V65" s="87">
        <v>0</v>
      </c>
      <c r="W65" s="87">
        <v>0</v>
      </c>
      <c r="X65" s="87">
        <v>0</v>
      </c>
      <c r="Y65" s="63"/>
      <c r="Z65" s="63"/>
      <c r="AA65" s="63"/>
    </row>
    <row r="66" spans="1:27" s="14" customFormat="1">
      <c r="A66" s="80"/>
      <c r="F66" s="27"/>
    </row>
    <row r="67" spans="1:27" s="14" customFormat="1">
      <c r="A67" s="13" t="s">
        <v>18</v>
      </c>
      <c r="F67" s="14" t="s">
        <v>63</v>
      </c>
      <c r="I67" s="14" t="s">
        <v>78</v>
      </c>
      <c r="J67" s="14" t="s">
        <v>76</v>
      </c>
      <c r="K67" s="14" t="s">
        <v>66</v>
      </c>
      <c r="L67" s="14" t="s">
        <v>69</v>
      </c>
      <c r="O67" s="14" t="s">
        <v>78</v>
      </c>
      <c r="P67" s="14" t="s">
        <v>78</v>
      </c>
      <c r="Q67" s="14" t="s">
        <v>78</v>
      </c>
      <c r="R67" s="14" t="s">
        <v>78</v>
      </c>
    </row>
    <row r="68" spans="1:27" s="14" customFormat="1">
      <c r="A68" s="80"/>
      <c r="F68" s="14" t="s">
        <v>64</v>
      </c>
      <c r="I68" s="14" t="s">
        <v>79</v>
      </c>
      <c r="J68" s="14" t="s">
        <v>72</v>
      </c>
      <c r="K68" s="14" t="s">
        <v>67</v>
      </c>
      <c r="L68" s="14" t="s">
        <v>70</v>
      </c>
      <c r="O68" s="14" t="s">
        <v>79</v>
      </c>
      <c r="P68" s="14" t="s">
        <v>79</v>
      </c>
      <c r="Q68" s="14" t="s">
        <v>79</v>
      </c>
      <c r="R68" s="14" t="s">
        <v>79</v>
      </c>
    </row>
    <row r="69" spans="1:27" s="14" customFormat="1">
      <c r="A69" s="80"/>
      <c r="F69" s="14" t="s">
        <v>65</v>
      </c>
      <c r="I69" s="14" t="s">
        <v>80</v>
      </c>
      <c r="J69" s="14" t="s">
        <v>73</v>
      </c>
      <c r="O69" s="14" t="s">
        <v>80</v>
      </c>
      <c r="P69" s="14" t="s">
        <v>80</v>
      </c>
      <c r="Q69" s="14" t="s">
        <v>80</v>
      </c>
      <c r="R69" s="14" t="s">
        <v>80</v>
      </c>
    </row>
    <row r="70" spans="1:27" s="14" customFormat="1">
      <c r="A70" s="80"/>
      <c r="J70" s="14" t="s">
        <v>74</v>
      </c>
    </row>
    <row r="71" spans="1:27" s="14" customFormat="1">
      <c r="A71" s="80"/>
    </row>
    <row r="72" spans="1:27" s="14" customFormat="1">
      <c r="A72" s="80"/>
    </row>
  </sheetData>
  <phoneticPr fontId="6" type="noConversion"/>
  <pageMargins left="0.5" right="0.5" top="0.5" bottom="0.55000000000000004" header="0.5" footer="0.5"/>
  <pageSetup scale="76" orientation="landscape" verticalDpi="300" r:id="rId1"/>
  <headerFooter alignWithMargins="0">
    <oddFooter>&amp;LSREB Fact Book 1996/1997&amp;CUpdate&amp;R&amp;D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tabColor indexed="62"/>
  </sheetPr>
  <dimension ref="A1:AJ70"/>
  <sheetViews>
    <sheetView showZeros="0" zoomScale="80" zoomScaleNormal="80" workbookViewId="0">
      <pane xSplit="1" ySplit="5" topLeftCell="S6" activePane="bottomRight" state="frozen"/>
      <selection activeCell="B52" sqref="B52"/>
      <selection pane="topRight" activeCell="B52" sqref="B52"/>
      <selection pane="bottomLeft" activeCell="B52" sqref="B52"/>
      <selection pane="bottomRight" activeCell="V31" sqref="V31"/>
    </sheetView>
  </sheetViews>
  <sheetFormatPr defaultColWidth="9.7109375" defaultRowHeight="12.75"/>
  <cols>
    <col min="1" max="1" width="23.42578125" style="80" customWidth="1"/>
    <col min="2" max="19" width="12.42578125" style="14" customWidth="1"/>
    <col min="20" max="23" width="12.42578125" style="2" customWidth="1"/>
    <col min="24" max="36" width="11.7109375" style="2" customWidth="1"/>
    <col min="37" max="16384" width="9.7109375" style="2"/>
  </cols>
  <sheetData>
    <row r="1" spans="1:27">
      <c r="A1" s="21" t="s">
        <v>39</v>
      </c>
      <c r="B1"/>
      <c r="C1"/>
      <c r="D1"/>
      <c r="E1"/>
      <c r="F1"/>
      <c r="G1"/>
      <c r="H1"/>
      <c r="I1"/>
    </row>
    <row r="2" spans="1:27">
      <c r="A2" s="21"/>
      <c r="B2" s="12"/>
      <c r="C2" s="12"/>
      <c r="D2" s="12"/>
      <c r="E2" s="12"/>
      <c r="F2" s="12"/>
      <c r="G2" s="13"/>
      <c r="H2" s="13"/>
    </row>
    <row r="3" spans="1:27">
      <c r="A3" s="21" t="s">
        <v>19</v>
      </c>
      <c r="B3" s="12"/>
      <c r="C3" s="12"/>
      <c r="D3" s="12"/>
      <c r="E3" s="12"/>
      <c r="F3" s="12"/>
      <c r="G3" s="13"/>
      <c r="H3" s="13"/>
    </row>
    <row r="4" spans="1:27" s="61"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74">
        <v>2005</v>
      </c>
      <c r="R4" s="74">
        <v>2006</v>
      </c>
      <c r="S4" s="74">
        <v>2007</v>
      </c>
      <c r="T4" s="74">
        <v>2008</v>
      </c>
      <c r="U4" s="74">
        <v>2009</v>
      </c>
      <c r="V4" s="74">
        <v>2010</v>
      </c>
      <c r="W4" s="74">
        <v>2011</v>
      </c>
      <c r="X4" s="173" t="s">
        <v>142</v>
      </c>
      <c r="Y4" s="173" t="s">
        <v>144</v>
      </c>
      <c r="Z4" s="173" t="s">
        <v>145</v>
      </c>
      <c r="AA4" s="173" t="s">
        <v>146</v>
      </c>
    </row>
    <row r="5" spans="1:27">
      <c r="B5" s="15" t="s">
        <v>1</v>
      </c>
      <c r="C5" s="15" t="s">
        <v>1</v>
      </c>
      <c r="D5" s="15" t="s">
        <v>1</v>
      </c>
      <c r="E5" s="15" t="s">
        <v>1</v>
      </c>
      <c r="F5" s="15" t="s">
        <v>1</v>
      </c>
      <c r="G5" s="15" t="s">
        <v>1</v>
      </c>
      <c r="H5" s="15" t="s">
        <v>1</v>
      </c>
      <c r="I5" s="15" t="s">
        <v>1</v>
      </c>
      <c r="J5" s="15" t="s">
        <v>1</v>
      </c>
      <c r="K5" s="15" t="s">
        <v>1</v>
      </c>
      <c r="L5" s="15" t="s">
        <v>1</v>
      </c>
      <c r="M5" s="15" t="s">
        <v>1</v>
      </c>
      <c r="N5" s="15" t="s">
        <v>1</v>
      </c>
      <c r="O5" s="15" t="s">
        <v>1</v>
      </c>
      <c r="P5" s="15" t="s">
        <v>1</v>
      </c>
      <c r="Q5" s="15" t="s">
        <v>1</v>
      </c>
      <c r="R5" s="15" t="s">
        <v>1</v>
      </c>
      <c r="S5" s="15" t="s">
        <v>1</v>
      </c>
      <c r="T5" s="15" t="s">
        <v>1</v>
      </c>
      <c r="U5" s="15" t="s">
        <v>1</v>
      </c>
      <c r="V5" s="15" t="s">
        <v>1</v>
      </c>
      <c r="W5" s="15" t="s">
        <v>1</v>
      </c>
      <c r="X5" s="19" t="s">
        <v>1</v>
      </c>
      <c r="Y5" s="19" t="s">
        <v>1</v>
      </c>
      <c r="Z5" s="19" t="s">
        <v>1</v>
      </c>
      <c r="AA5" s="19" t="s">
        <v>1</v>
      </c>
    </row>
    <row r="6" spans="1:27" s="23" customFormat="1">
      <c r="A6" s="63" t="s">
        <v>118</v>
      </c>
      <c r="B6" s="66">
        <f>2749380+1791963</f>
        <v>4541343</v>
      </c>
      <c r="C6" s="66">
        <f>3101874+2001726</f>
        <v>5103600</v>
      </c>
      <c r="D6" s="66">
        <f>3437662+2257346</f>
        <v>5695008</v>
      </c>
      <c r="E6" s="66">
        <v>9283751.2449999992</v>
      </c>
      <c r="F6" s="91">
        <f>+F7+F25+F40+F54+F65</f>
        <v>9637943.1569999978</v>
      </c>
      <c r="G6" s="66">
        <v>10485243.239</v>
      </c>
      <c r="H6" s="66">
        <v>11063974.324999999</v>
      </c>
      <c r="I6" s="91">
        <f>+I7+I25+I40+I54+I65</f>
        <v>11460773.595000001</v>
      </c>
      <c r="J6" s="63">
        <v>11942646.738</v>
      </c>
      <c r="K6" s="91">
        <f t="shared" ref="K6:U6" si="0">+K7+K25+K40+K54+K65</f>
        <v>12626144.356939999</v>
      </c>
      <c r="L6" s="91">
        <f t="shared" si="0"/>
        <v>15634564.102000002</v>
      </c>
      <c r="M6" s="91">
        <f t="shared" si="0"/>
        <v>17308248.903999999</v>
      </c>
      <c r="N6" s="91">
        <f t="shared" si="0"/>
        <v>17673075.224999998</v>
      </c>
      <c r="O6" s="91">
        <f t="shared" si="0"/>
        <v>18675471.768999998</v>
      </c>
      <c r="P6" s="91">
        <f t="shared" si="0"/>
        <v>19795203.394000001</v>
      </c>
      <c r="Q6" s="91">
        <f t="shared" si="0"/>
        <v>21229458.116</v>
      </c>
      <c r="R6" s="91">
        <f t="shared" si="0"/>
        <v>21650201.184</v>
      </c>
      <c r="S6" s="91">
        <f t="shared" si="0"/>
        <v>22434301.75</v>
      </c>
      <c r="T6" s="91">
        <f t="shared" si="0"/>
        <v>24370966.057</v>
      </c>
      <c r="U6" s="91">
        <f t="shared" si="0"/>
        <v>22874644.149999999</v>
      </c>
      <c r="V6" s="91">
        <f t="shared" ref="V6:W6" si="1">+V7+V25+V40+V54+V65</f>
        <v>30018967.910999998</v>
      </c>
      <c r="W6" s="91">
        <f t="shared" si="1"/>
        <v>31578626.638</v>
      </c>
      <c r="X6" s="91">
        <f t="shared" ref="X6:Y6" si="2">+X7+X25+X40+X54+X65</f>
        <v>32043001.243000001</v>
      </c>
      <c r="Y6" s="91">
        <f t="shared" si="2"/>
        <v>31225314.852999996</v>
      </c>
      <c r="Z6" s="91">
        <f t="shared" ref="Z6:AA6" si="3">+Z7+Z25+Z40+Z54+Z65</f>
        <v>31373305.208999999</v>
      </c>
      <c r="AA6" s="91">
        <f t="shared" si="3"/>
        <v>32161312.611000001</v>
      </c>
    </row>
    <row r="7" spans="1:27" s="23" customFormat="1">
      <c r="A7" s="22" t="s">
        <v>56</v>
      </c>
      <c r="B7" s="89">
        <f>SUM(B8:B24)</f>
        <v>1413288</v>
      </c>
      <c r="C7" s="89">
        <f t="shared" ref="C7:U7" si="4">SUM(C8:C24)</f>
        <v>1595395</v>
      </c>
      <c r="D7" s="89">
        <f t="shared" si="4"/>
        <v>1848737</v>
      </c>
      <c r="E7" s="89">
        <f t="shared" si="4"/>
        <v>3137071.4910000004</v>
      </c>
      <c r="F7" s="89">
        <f t="shared" si="4"/>
        <v>3236137.1540000001</v>
      </c>
      <c r="G7" s="89">
        <f t="shared" si="4"/>
        <v>3480283.6359999999</v>
      </c>
      <c r="H7" s="89">
        <f t="shared" si="4"/>
        <v>3701515.7280000001</v>
      </c>
      <c r="I7" s="89">
        <f t="shared" si="4"/>
        <v>3968187.0759999994</v>
      </c>
      <c r="J7" s="89">
        <f t="shared" si="4"/>
        <v>4136179.0819999999</v>
      </c>
      <c r="K7" s="89">
        <f t="shared" si="4"/>
        <v>4398070.9647400007</v>
      </c>
      <c r="L7" s="89">
        <f t="shared" si="4"/>
        <v>5539274.9970000014</v>
      </c>
      <c r="M7" s="89">
        <f t="shared" si="4"/>
        <v>6080345.8509999998</v>
      </c>
      <c r="N7" s="89">
        <f t="shared" si="4"/>
        <v>6522877.0189999994</v>
      </c>
      <c r="O7" s="89">
        <f t="shared" si="4"/>
        <v>7131521.2239999985</v>
      </c>
      <c r="P7" s="89">
        <f t="shared" si="4"/>
        <v>7563551.2029999997</v>
      </c>
      <c r="Q7" s="89">
        <f t="shared" si="4"/>
        <v>8054763.694000002</v>
      </c>
      <c r="R7" s="89">
        <f t="shared" si="4"/>
        <v>8045998.5349999992</v>
      </c>
      <c r="S7" s="89">
        <f t="shared" si="4"/>
        <v>8456172.3890000004</v>
      </c>
      <c r="T7" s="89">
        <f t="shared" si="4"/>
        <v>9425475.7510000002</v>
      </c>
      <c r="U7" s="89">
        <f t="shared" si="4"/>
        <v>8149839.6109999996</v>
      </c>
      <c r="V7" s="89">
        <f t="shared" ref="V7:W7" si="5">SUM(V8:V24)</f>
        <v>11362958.989999998</v>
      </c>
      <c r="W7" s="89">
        <f t="shared" si="5"/>
        <v>11859037.968999999</v>
      </c>
      <c r="X7" s="89">
        <f t="shared" ref="X7:Y7" si="6">SUM(X8:X24)</f>
        <v>11999352.439999999</v>
      </c>
      <c r="Y7" s="89">
        <f t="shared" si="6"/>
        <v>11179582.465</v>
      </c>
      <c r="Z7" s="89">
        <f t="shared" ref="Z7:AA7" si="7">SUM(Z8:Z24)</f>
        <v>11444945.659</v>
      </c>
      <c r="AA7" s="89">
        <f t="shared" si="7"/>
        <v>11851460.266000004</v>
      </c>
    </row>
    <row r="8" spans="1:27">
      <c r="A8" s="79" t="s">
        <v>119</v>
      </c>
    </row>
    <row r="9" spans="1:27">
      <c r="A9" s="22" t="s">
        <v>3</v>
      </c>
      <c r="B9" s="13">
        <f>30777+46461</f>
        <v>77238</v>
      </c>
      <c r="C9" s="13">
        <f>45218+55055</f>
        <v>100273</v>
      </c>
      <c r="D9" s="13">
        <f>56124+64533</f>
        <v>120657</v>
      </c>
      <c r="E9" s="13">
        <v>210748.49600000001</v>
      </c>
      <c r="F9" s="76">
        <v>215139.20300000001</v>
      </c>
      <c r="G9" s="13">
        <v>236454.33499999999</v>
      </c>
      <c r="H9" s="13">
        <v>239082.65100000001</v>
      </c>
      <c r="I9" s="13">
        <v>262417.89299999998</v>
      </c>
      <c r="J9" s="13">
        <v>271652.00199999998</v>
      </c>
      <c r="K9" s="13">
        <v>287680.663</v>
      </c>
      <c r="L9" s="14">
        <v>330622.54399999999</v>
      </c>
      <c r="M9" s="14">
        <v>367822.54300000001</v>
      </c>
      <c r="N9" s="14">
        <v>356868.70600000001</v>
      </c>
      <c r="O9" s="14">
        <v>391308.28899999999</v>
      </c>
      <c r="P9" s="14">
        <v>425018.23100000003</v>
      </c>
      <c r="Q9" s="14">
        <v>435761.49300000002</v>
      </c>
      <c r="R9" s="14">
        <v>461661.935</v>
      </c>
      <c r="S9" s="14">
        <v>461362.652</v>
      </c>
      <c r="T9" s="2">
        <v>586199.44299999997</v>
      </c>
      <c r="U9" s="2">
        <v>580100.59499999997</v>
      </c>
      <c r="V9" s="2">
        <v>646415.34</v>
      </c>
      <c r="W9" s="2">
        <v>680173.64199999999</v>
      </c>
      <c r="X9" s="2">
        <v>579176.24399999995</v>
      </c>
      <c r="Y9" s="2">
        <v>580285.31599999999</v>
      </c>
      <c r="Z9" s="2">
        <v>572633.67099999997</v>
      </c>
      <c r="AA9" s="2">
        <v>572636.55900000001</v>
      </c>
    </row>
    <row r="10" spans="1:27">
      <c r="A10" s="22" t="s">
        <v>4</v>
      </c>
      <c r="B10" s="13">
        <f>27891+4640</f>
        <v>32531</v>
      </c>
      <c r="C10" s="13">
        <f>33144+5869</f>
        <v>39013</v>
      </c>
      <c r="D10" s="13">
        <f>36336+7301</f>
        <v>43637</v>
      </c>
      <c r="E10" s="13">
        <v>68900.631999999998</v>
      </c>
      <c r="F10" s="76">
        <v>73756.876000000004</v>
      </c>
      <c r="G10" s="13">
        <v>83472.122000000003</v>
      </c>
      <c r="H10" s="13">
        <v>88418.567999999999</v>
      </c>
      <c r="I10" s="14">
        <v>97190.07</v>
      </c>
      <c r="J10" s="14">
        <v>105613.663</v>
      </c>
      <c r="K10" s="14">
        <v>112061.821</v>
      </c>
      <c r="L10" s="14">
        <v>121735.493</v>
      </c>
      <c r="M10" s="14">
        <v>133525.71299999999</v>
      </c>
      <c r="N10" s="14">
        <v>139109.16800000001</v>
      </c>
      <c r="O10" s="14">
        <v>157344.98699999999</v>
      </c>
      <c r="P10" s="14">
        <v>179718.908</v>
      </c>
      <c r="Q10" s="14">
        <v>194268.96900000001</v>
      </c>
      <c r="R10" s="14">
        <v>200085.12100000001</v>
      </c>
      <c r="S10" s="14">
        <v>202525.46299999999</v>
      </c>
      <c r="T10" s="2">
        <v>228731.965</v>
      </c>
      <c r="U10" s="2">
        <v>136072.93100000001</v>
      </c>
      <c r="V10" s="2">
        <v>275177.26899999997</v>
      </c>
      <c r="W10" s="2">
        <v>290313.32699999999</v>
      </c>
      <c r="X10" s="2">
        <v>282668.16800000001</v>
      </c>
      <c r="Y10" s="2">
        <v>304427.09999999998</v>
      </c>
      <c r="Z10" s="2">
        <v>296723.94</v>
      </c>
      <c r="AA10" s="2">
        <v>295665.38900000002</v>
      </c>
    </row>
    <row r="11" spans="1:27">
      <c r="A11" s="22" t="s">
        <v>52</v>
      </c>
      <c r="B11" s="13"/>
      <c r="C11" s="13"/>
      <c r="D11" s="13">
        <f>18860+863</f>
        <v>19723</v>
      </c>
      <c r="E11" s="13">
        <v>33426.968000000001</v>
      </c>
      <c r="F11" s="76">
        <v>35795.970999999998</v>
      </c>
      <c r="G11" s="13"/>
      <c r="H11" s="13"/>
      <c r="I11" s="14">
        <v>42458.78</v>
      </c>
      <c r="J11" s="14">
        <v>44381.016000000003</v>
      </c>
      <c r="K11" s="14">
        <v>48350.985000000001</v>
      </c>
      <c r="L11" s="14">
        <v>56265.944000000003</v>
      </c>
      <c r="M11" s="14">
        <v>67155.542000000001</v>
      </c>
      <c r="N11" s="14">
        <v>70199.728000000003</v>
      </c>
      <c r="O11" s="14">
        <v>81453.349000000002</v>
      </c>
      <c r="P11" s="14">
        <v>88749.577000000005</v>
      </c>
      <c r="Q11" s="14">
        <f>5451.584+86798.055</f>
        <v>92249.638999999996</v>
      </c>
      <c r="R11" s="14">
        <v>106429.06299999999</v>
      </c>
      <c r="S11" s="14">
        <v>111288.93799999999</v>
      </c>
      <c r="T11" s="2">
        <v>114883.961</v>
      </c>
      <c r="U11" s="2">
        <v>119674.12300000001</v>
      </c>
      <c r="V11" s="2">
        <v>134726.18700000001</v>
      </c>
      <c r="W11" s="2">
        <v>142710.329</v>
      </c>
      <c r="X11" s="2">
        <v>148288.97399999999</v>
      </c>
      <c r="Y11" s="2">
        <v>14480.472</v>
      </c>
      <c r="Z11" s="2">
        <v>150000.73000000001</v>
      </c>
      <c r="AA11" s="2">
        <v>149921.66099999999</v>
      </c>
    </row>
    <row r="12" spans="1:27">
      <c r="A12" s="22" t="s">
        <v>5</v>
      </c>
      <c r="B12" s="13">
        <f>126895+27835</f>
        <v>154730</v>
      </c>
      <c r="C12" s="13">
        <f>146628+35299</f>
        <v>181927</v>
      </c>
      <c r="D12" s="13">
        <f>171822+43196</f>
        <v>215018</v>
      </c>
      <c r="E12" s="13">
        <v>378672.66399999999</v>
      </c>
      <c r="F12" s="76">
        <v>373593.21</v>
      </c>
      <c r="G12" s="13">
        <v>400904.71100000001</v>
      </c>
      <c r="H12" s="13">
        <v>421924.12900000002</v>
      </c>
      <c r="I12" s="14">
        <v>474978.92599999998</v>
      </c>
      <c r="J12" s="14">
        <v>480280.95600000001</v>
      </c>
      <c r="K12" s="14">
        <v>499967.11800000002</v>
      </c>
      <c r="L12" s="14">
        <v>608149.60600000003</v>
      </c>
      <c r="M12" s="14">
        <v>696083.12600000005</v>
      </c>
      <c r="N12" s="14">
        <v>721189.598</v>
      </c>
      <c r="O12" s="14">
        <v>797724.745</v>
      </c>
      <c r="P12" s="14">
        <v>871514.745</v>
      </c>
      <c r="Q12" s="14">
        <v>925451.15</v>
      </c>
      <c r="R12" s="14">
        <v>959605.82400000002</v>
      </c>
      <c r="S12" s="14">
        <v>1035188.559</v>
      </c>
      <c r="T12" s="2">
        <v>1045264.85</v>
      </c>
      <c r="U12" s="2">
        <v>1090070.7150000001</v>
      </c>
      <c r="V12" s="2">
        <v>1247174.6680000001</v>
      </c>
      <c r="W12" s="2">
        <v>1317391.1000000001</v>
      </c>
      <c r="X12" s="2">
        <v>1339739.7660000001</v>
      </c>
      <c r="Y12" s="2">
        <v>1357351.496</v>
      </c>
      <c r="Z12" s="2">
        <v>1394863.166</v>
      </c>
      <c r="AA12" s="2">
        <v>1442348.2690000001</v>
      </c>
    </row>
    <row r="13" spans="1:27">
      <c r="A13" s="22" t="s">
        <v>6</v>
      </c>
      <c r="B13" s="13">
        <f>59883+84145</f>
        <v>144028</v>
      </c>
      <c r="C13" s="13">
        <f>65998+91488</f>
        <v>157486</v>
      </c>
      <c r="D13" s="13">
        <f>74999+108605</f>
        <v>183604</v>
      </c>
      <c r="E13" s="13">
        <v>302875.788</v>
      </c>
      <c r="F13" s="76">
        <v>306532.75900000002</v>
      </c>
      <c r="G13" s="13">
        <v>312471.239</v>
      </c>
      <c r="H13" s="13">
        <v>346923.67800000001</v>
      </c>
      <c r="I13" s="14">
        <v>371477.05200000003</v>
      </c>
      <c r="J13" s="14">
        <v>396656.43800000002</v>
      </c>
      <c r="K13" s="14">
        <v>435471.09499999997</v>
      </c>
      <c r="L13" s="14">
        <v>543326.37100000004</v>
      </c>
      <c r="M13" s="14">
        <v>560120.13500000001</v>
      </c>
      <c r="N13" s="14">
        <v>584467.47100000002</v>
      </c>
      <c r="O13" s="14">
        <v>670072.99899999995</v>
      </c>
      <c r="P13" s="14">
        <v>704225.73100000003</v>
      </c>
      <c r="Q13" s="14">
        <v>708358.31299999997</v>
      </c>
      <c r="R13" s="14">
        <v>733326.46699999995</v>
      </c>
      <c r="S13" s="14">
        <v>748271.64599999995</v>
      </c>
      <c r="T13" s="2">
        <v>843582.48499999999</v>
      </c>
      <c r="U13" s="2">
        <v>856822.61199999996</v>
      </c>
      <c r="V13" s="2">
        <v>1025741.2389999999</v>
      </c>
      <c r="W13" s="2">
        <v>1097394.7560000001</v>
      </c>
      <c r="X13" s="2">
        <v>1193768.8929999999</v>
      </c>
      <c r="Y13" s="2">
        <v>1251911.388</v>
      </c>
      <c r="Z13" s="2">
        <v>1297199.5460000001</v>
      </c>
      <c r="AA13" s="2">
        <v>1353817.567</v>
      </c>
    </row>
    <row r="14" spans="1:27">
      <c r="A14" s="22" t="s">
        <v>7</v>
      </c>
      <c r="B14" s="13">
        <f>53455+2154</f>
        <v>55609</v>
      </c>
      <c r="C14" s="13">
        <f>54010+2502</f>
        <v>56512</v>
      </c>
      <c r="D14" s="13">
        <f>60196+3422</f>
        <v>63618</v>
      </c>
      <c r="E14" s="13">
        <v>99920.353000000003</v>
      </c>
      <c r="F14" s="76">
        <v>111065.795</v>
      </c>
      <c r="G14" s="13">
        <v>115155.54700000001</v>
      </c>
      <c r="H14" s="13">
        <v>123210.58900000001</v>
      </c>
      <c r="I14" s="14">
        <v>131966.88699999999</v>
      </c>
      <c r="J14" s="14">
        <v>145254.47200000001</v>
      </c>
      <c r="K14" s="14">
        <v>154760.986</v>
      </c>
      <c r="L14" s="14">
        <v>212108.93900000001</v>
      </c>
      <c r="M14" s="14">
        <v>237564.492</v>
      </c>
      <c r="N14" s="14">
        <v>250342.04699999999</v>
      </c>
      <c r="O14" s="14">
        <v>285045.83199999999</v>
      </c>
      <c r="P14" s="14">
        <v>331341.66200000001</v>
      </c>
      <c r="Q14" s="14">
        <v>359203.14299999998</v>
      </c>
      <c r="R14" s="14">
        <v>378990.09600000002</v>
      </c>
      <c r="S14" s="14">
        <v>404393.10800000001</v>
      </c>
      <c r="T14" s="2">
        <v>414657.125</v>
      </c>
      <c r="U14" s="2">
        <v>387037.78399999999</v>
      </c>
      <c r="V14" s="2">
        <v>470316.56300000002</v>
      </c>
      <c r="W14" s="2">
        <v>487394.63400000002</v>
      </c>
      <c r="X14" s="2">
        <v>484731.83</v>
      </c>
      <c r="Y14" s="2">
        <v>448109.01</v>
      </c>
      <c r="Z14" s="2">
        <v>435857.10200000001</v>
      </c>
      <c r="AA14" s="2">
        <v>456262.35399999999</v>
      </c>
    </row>
    <row r="15" spans="1:27">
      <c r="A15" s="22" t="s">
        <v>8</v>
      </c>
      <c r="B15" s="36">
        <f>54985+24000</f>
        <v>78985</v>
      </c>
      <c r="C15" s="36">
        <f>65781+26752</f>
        <v>92533</v>
      </c>
      <c r="D15" s="36">
        <f>65570+32336</f>
        <v>97906</v>
      </c>
      <c r="E15" s="36">
        <v>177226.30499999999</v>
      </c>
      <c r="F15" s="77">
        <v>182727.22</v>
      </c>
      <c r="G15" s="36">
        <v>190880.505</v>
      </c>
      <c r="H15" s="36">
        <v>195868.524</v>
      </c>
      <c r="I15" s="37">
        <v>207373.01</v>
      </c>
      <c r="J15" s="37">
        <v>223014.391</v>
      </c>
      <c r="K15" s="37">
        <v>235441.478</v>
      </c>
      <c r="L15" s="37">
        <v>277449.69500000001</v>
      </c>
      <c r="M15" s="37">
        <v>302960.484</v>
      </c>
      <c r="N15" s="37">
        <v>302751.23200000002</v>
      </c>
      <c r="O15" s="37">
        <v>340292.85499999998</v>
      </c>
      <c r="P15" s="37">
        <v>380307.63</v>
      </c>
      <c r="Q15" s="37">
        <v>403310.24</v>
      </c>
      <c r="R15" s="37">
        <v>376014.02</v>
      </c>
      <c r="S15" s="37">
        <v>400847.22399999999</v>
      </c>
      <c r="T15" s="23">
        <v>482036.77399999998</v>
      </c>
      <c r="U15" s="23">
        <v>404149.84</v>
      </c>
      <c r="V15" s="23">
        <v>512986.64600000001</v>
      </c>
      <c r="W15" s="23">
        <v>513521.65299999999</v>
      </c>
      <c r="X15" s="2">
        <v>506831.32900000003</v>
      </c>
      <c r="Y15" s="2">
        <v>502435.60399999999</v>
      </c>
      <c r="Z15" s="2">
        <v>469965.44300000003</v>
      </c>
      <c r="AA15" s="2">
        <v>460909.27799999999</v>
      </c>
    </row>
    <row r="16" spans="1:27">
      <c r="A16" s="22" t="s">
        <v>9</v>
      </c>
      <c r="B16" s="36">
        <v>90829</v>
      </c>
      <c r="C16" s="36">
        <f>0+88330</f>
        <v>88330</v>
      </c>
      <c r="D16" s="36">
        <f>0+98440</f>
        <v>98440</v>
      </c>
      <c r="E16" s="36">
        <v>208148.61300000001</v>
      </c>
      <c r="F16" s="77">
        <v>180916.44099999999</v>
      </c>
      <c r="G16" s="36">
        <v>235062.06</v>
      </c>
      <c r="H16" s="36">
        <v>255213.01199999999</v>
      </c>
      <c r="I16" s="37">
        <v>245494.49400000001</v>
      </c>
      <c r="J16" s="37">
        <v>287457.25199999998</v>
      </c>
      <c r="K16" s="37">
        <v>346129.64883999998</v>
      </c>
      <c r="L16" s="37">
        <v>497341.86499999999</v>
      </c>
      <c r="M16" s="37">
        <v>435633.74300000002</v>
      </c>
      <c r="N16" s="37">
        <v>507334.03</v>
      </c>
      <c r="O16" s="37">
        <v>517792.52799999999</v>
      </c>
      <c r="P16" s="37">
        <v>526688.82299999997</v>
      </c>
      <c r="Q16" s="37">
        <v>591976.46699999995</v>
      </c>
      <c r="R16" s="37">
        <v>661696.48899999994</v>
      </c>
      <c r="S16" s="37">
        <v>694610.10400000005</v>
      </c>
      <c r="T16" s="23">
        <v>806281.95499999996</v>
      </c>
      <c r="U16" s="23">
        <v>471127.00900000002</v>
      </c>
      <c r="V16" s="23">
        <v>953641.321</v>
      </c>
      <c r="W16" s="23">
        <v>1027941.8639999999</v>
      </c>
      <c r="X16" s="2">
        <v>1000431.6409999999</v>
      </c>
      <c r="Y16" s="2">
        <v>1000797.226</v>
      </c>
      <c r="Z16" s="2">
        <v>999557.50199999998</v>
      </c>
      <c r="AA16" s="2">
        <v>1005959.769</v>
      </c>
    </row>
    <row r="17" spans="1:27">
      <c r="A17" s="22" t="s">
        <v>10</v>
      </c>
      <c r="B17" s="36">
        <f>4764+47320</f>
        <v>52084</v>
      </c>
      <c r="C17" s="36">
        <f>5938+52393</f>
        <v>58331</v>
      </c>
      <c r="D17" s="36">
        <f>6343+56687</f>
        <v>63030</v>
      </c>
      <c r="E17" s="36">
        <v>100670.77499999999</v>
      </c>
      <c r="F17" s="77">
        <v>98942.528000000006</v>
      </c>
      <c r="G17" s="36">
        <v>107474.383</v>
      </c>
      <c r="H17" s="36">
        <v>120161.86599999999</v>
      </c>
      <c r="I17" s="37">
        <v>133625.079</v>
      </c>
      <c r="J17" s="37">
        <v>131391.91099999999</v>
      </c>
      <c r="K17" s="37">
        <v>134280.82199999999</v>
      </c>
      <c r="L17" s="37">
        <v>202364.693</v>
      </c>
      <c r="M17" s="37">
        <v>240663.516</v>
      </c>
      <c r="N17" s="37">
        <v>253881.83499999999</v>
      </c>
      <c r="O17" s="37">
        <v>267101.23300000001</v>
      </c>
      <c r="P17" s="37">
        <v>269527.48200000002</v>
      </c>
      <c r="Q17" s="37">
        <v>275100.70600000001</v>
      </c>
      <c r="R17" s="37">
        <v>282965.81199999998</v>
      </c>
      <c r="S17" s="37">
        <v>310974.571</v>
      </c>
      <c r="T17" s="23">
        <v>339844.27899999998</v>
      </c>
      <c r="U17" s="23">
        <v>318022.951</v>
      </c>
      <c r="V17" s="23">
        <v>371972.34</v>
      </c>
      <c r="W17" s="23">
        <v>361805.62300000002</v>
      </c>
      <c r="X17" s="2">
        <v>354702.12300000002</v>
      </c>
      <c r="Y17" s="2">
        <v>320266.84899999999</v>
      </c>
      <c r="Z17" s="2">
        <v>313834.88400000002</v>
      </c>
      <c r="AA17" s="2">
        <v>321244.36900000001</v>
      </c>
    </row>
    <row r="18" spans="1:27">
      <c r="A18" s="22" t="s">
        <v>11</v>
      </c>
      <c r="B18" s="36">
        <f>59021+71430</f>
        <v>130451</v>
      </c>
      <c r="C18" s="36">
        <f>72164+81438</f>
        <v>153602</v>
      </c>
      <c r="D18" s="36">
        <f>63494+89239</f>
        <v>152733</v>
      </c>
      <c r="E18" s="36">
        <v>243411.07500000001</v>
      </c>
      <c r="F18" s="77">
        <v>258634.228</v>
      </c>
      <c r="G18" s="36">
        <v>287173.804</v>
      </c>
      <c r="H18" s="36">
        <v>308859.13099999999</v>
      </c>
      <c r="I18" s="37">
        <v>341099.33600000001</v>
      </c>
      <c r="J18" s="37">
        <v>344859.516</v>
      </c>
      <c r="K18" s="37">
        <v>344619.91399999999</v>
      </c>
      <c r="L18" s="37">
        <v>408405.80900000001</v>
      </c>
      <c r="M18" s="37">
        <v>453780.37599999999</v>
      </c>
      <c r="N18" s="37">
        <v>465652.924</v>
      </c>
      <c r="O18" s="37">
        <v>487465.21600000001</v>
      </c>
      <c r="P18" s="37">
        <v>514936.038</v>
      </c>
      <c r="Q18" s="37">
        <v>545436.19400000002</v>
      </c>
      <c r="R18" s="37">
        <v>574276.98499999999</v>
      </c>
      <c r="S18" s="37">
        <v>618489.13899999997</v>
      </c>
      <c r="T18" s="23">
        <v>679720.32700000005</v>
      </c>
      <c r="U18" s="23">
        <v>730612.88899999997</v>
      </c>
      <c r="V18" s="23">
        <v>845546.46699999995</v>
      </c>
      <c r="W18" s="23">
        <v>894667.76399999997</v>
      </c>
      <c r="X18" s="2">
        <v>909582.12</v>
      </c>
      <c r="Y18" s="2">
        <v>999587.65099999995</v>
      </c>
      <c r="Z18" s="2">
        <v>1022642.255</v>
      </c>
      <c r="AA18" s="2">
        <v>1213514.1310000001</v>
      </c>
    </row>
    <row r="19" spans="1:27">
      <c r="A19" s="22" t="s">
        <v>12</v>
      </c>
      <c r="B19" s="36">
        <v>58318</v>
      </c>
      <c r="C19" s="36">
        <f>0+62323</f>
        <v>62323</v>
      </c>
      <c r="D19" s="37">
        <f>0+71775</f>
        <v>71775</v>
      </c>
      <c r="E19" s="36">
        <v>104597.73299999999</v>
      </c>
      <c r="F19" s="77">
        <v>109097.337</v>
      </c>
      <c r="G19" s="36">
        <v>114768.103</v>
      </c>
      <c r="H19" s="36">
        <v>118660.109</v>
      </c>
      <c r="I19" s="37">
        <v>112877.266</v>
      </c>
      <c r="J19" s="37">
        <v>119640.962</v>
      </c>
      <c r="K19" s="37">
        <v>130771.85400000001</v>
      </c>
      <c r="L19" s="37">
        <v>171198.38699999999</v>
      </c>
      <c r="M19" s="37">
        <v>163138.291</v>
      </c>
      <c r="N19" s="37">
        <v>173994.20300000001</v>
      </c>
      <c r="O19" s="37">
        <v>178501.008</v>
      </c>
      <c r="P19" s="37">
        <v>187077.595</v>
      </c>
      <c r="Q19" s="37">
        <v>196817.41399999999</v>
      </c>
      <c r="R19" s="37">
        <v>206315.242</v>
      </c>
      <c r="S19" s="37">
        <v>212033.46599999999</v>
      </c>
      <c r="T19" s="23">
        <v>237215.37700000001</v>
      </c>
      <c r="U19" s="23">
        <v>202598.99100000001</v>
      </c>
      <c r="V19" s="23">
        <v>310341.86700000003</v>
      </c>
      <c r="W19" s="23">
        <v>327267.43699999998</v>
      </c>
      <c r="X19" s="2">
        <v>333787.78600000002</v>
      </c>
      <c r="Y19" s="2">
        <v>348061.38500000001</v>
      </c>
      <c r="Z19" s="2">
        <v>347825.217</v>
      </c>
      <c r="AA19" s="2">
        <v>348399.23499999999</v>
      </c>
    </row>
    <row r="20" spans="1:27">
      <c r="A20" s="22" t="s">
        <v>13</v>
      </c>
      <c r="B20" s="36">
        <f>37156+11574</f>
        <v>48730</v>
      </c>
      <c r="C20" s="36">
        <f>43803+14508</f>
        <v>58311</v>
      </c>
      <c r="D20" s="36">
        <f>50778+17045</f>
        <v>67823</v>
      </c>
      <c r="E20" s="36">
        <v>111329.122</v>
      </c>
      <c r="F20" s="77">
        <v>120215.63099999999</v>
      </c>
      <c r="G20" s="36">
        <v>134051.69500000001</v>
      </c>
      <c r="H20" s="36">
        <v>149670.46</v>
      </c>
      <c r="I20" s="37">
        <v>169541.40900000001</v>
      </c>
      <c r="J20" s="37">
        <v>170896.27</v>
      </c>
      <c r="K20" s="37">
        <v>173064.06099999999</v>
      </c>
      <c r="L20" s="37">
        <v>251027.18</v>
      </c>
      <c r="M20" s="37">
        <v>264850.24099999998</v>
      </c>
      <c r="N20" s="37">
        <v>272156.31099999999</v>
      </c>
      <c r="O20" s="37">
        <v>292154.495</v>
      </c>
      <c r="P20" s="37">
        <v>309077.58199999999</v>
      </c>
      <c r="Q20" s="37">
        <v>320277.04599999997</v>
      </c>
      <c r="R20" s="37">
        <v>337222.59299999999</v>
      </c>
      <c r="S20" s="37">
        <v>357175.76500000001</v>
      </c>
      <c r="T20" s="23">
        <v>400656.63500000001</v>
      </c>
      <c r="U20" s="23">
        <v>267191.20699999999</v>
      </c>
      <c r="V20" s="23">
        <v>474599.80599999998</v>
      </c>
      <c r="W20" s="23">
        <v>510497.70199999999</v>
      </c>
      <c r="X20" s="2">
        <v>516893.272</v>
      </c>
      <c r="Y20" s="2">
        <v>536889.44099999999</v>
      </c>
      <c r="Z20" s="2">
        <v>536000.24899999995</v>
      </c>
      <c r="AA20" s="2">
        <v>545853.95200000005</v>
      </c>
    </row>
    <row r="21" spans="1:27" s="17" customFormat="1">
      <c r="A21" s="22" t="s">
        <v>14</v>
      </c>
      <c r="B21" s="36">
        <f>20537+17961</f>
        <v>38498</v>
      </c>
      <c r="C21" s="36">
        <f>28302+23957</f>
        <v>52259</v>
      </c>
      <c r="D21" s="36">
        <f>49081+30130</f>
        <v>79211</v>
      </c>
      <c r="E21" s="36">
        <v>129650.12699999999</v>
      </c>
      <c r="F21" s="77">
        <v>135714.41800000001</v>
      </c>
      <c r="G21" s="36">
        <v>149642.141</v>
      </c>
      <c r="H21" s="36">
        <v>161337.50700000001</v>
      </c>
      <c r="I21" s="37">
        <v>163383.84299999999</v>
      </c>
      <c r="J21" s="37">
        <v>162269.02299999999</v>
      </c>
      <c r="K21" s="37">
        <v>169801.234</v>
      </c>
      <c r="L21" s="37">
        <v>197796.21100000001</v>
      </c>
      <c r="M21" s="37">
        <v>215701.76199999999</v>
      </c>
      <c r="N21" s="37">
        <v>233028.69</v>
      </c>
      <c r="O21" s="37">
        <v>268766.33899999998</v>
      </c>
      <c r="P21" s="37">
        <v>264641.65399999998</v>
      </c>
      <c r="Q21" s="37">
        <v>285877.55599999998</v>
      </c>
      <c r="R21" s="37">
        <v>269651.04700000002</v>
      </c>
      <c r="S21" s="37">
        <v>272785.97200000001</v>
      </c>
      <c r="T21" s="23">
        <v>283313.71899999998</v>
      </c>
      <c r="U21" s="23">
        <v>282317.24300000002</v>
      </c>
      <c r="V21" s="23">
        <v>364623.74699999997</v>
      </c>
      <c r="W21" s="23">
        <v>380004.32</v>
      </c>
      <c r="X21" s="23">
        <v>392122.45199999999</v>
      </c>
      <c r="Y21" s="2">
        <v>392819.288</v>
      </c>
      <c r="Z21" s="2">
        <v>394476.217</v>
      </c>
      <c r="AA21" s="2">
        <v>374906.02799999999</v>
      </c>
    </row>
    <row r="22" spans="1:27">
      <c r="A22" s="22" t="s">
        <v>15</v>
      </c>
      <c r="B22" s="36">
        <f>191144+132149</f>
        <v>323293</v>
      </c>
      <c r="C22" s="36">
        <f>203470+144384</f>
        <v>347854</v>
      </c>
      <c r="D22" s="36">
        <f>230794+169814</f>
        <v>400608</v>
      </c>
      <c r="E22" s="36">
        <v>666803.71600000001</v>
      </c>
      <c r="F22" s="77">
        <v>729613.98100000003</v>
      </c>
      <c r="G22" s="36">
        <v>787973.93500000006</v>
      </c>
      <c r="H22" s="36">
        <v>815808.60699999996</v>
      </c>
      <c r="I22" s="37">
        <v>852842.255</v>
      </c>
      <c r="J22" s="37">
        <v>889268.75600000005</v>
      </c>
      <c r="K22" s="37">
        <v>933884.86499999999</v>
      </c>
      <c r="L22" s="37">
        <v>1189122.74</v>
      </c>
      <c r="M22" s="37">
        <v>1414257.6240000001</v>
      </c>
      <c r="N22" s="37">
        <v>1598941.1669999999</v>
      </c>
      <c r="O22" s="37">
        <v>1704534.0260000001</v>
      </c>
      <c r="P22" s="37">
        <v>1771423.075</v>
      </c>
      <c r="Q22" s="37">
        <v>1920631.5649999999</v>
      </c>
      <c r="R22" s="37">
        <v>1720860.1340000001</v>
      </c>
      <c r="S22" s="37">
        <v>1811283.523</v>
      </c>
      <c r="T22" s="23">
        <v>2045858.72</v>
      </c>
      <c r="U22" s="23">
        <v>1356026.294</v>
      </c>
      <c r="V22" s="23">
        <v>2638381.59</v>
      </c>
      <c r="W22" s="23">
        <v>2667850.9380000001</v>
      </c>
      <c r="X22" s="2">
        <v>2760457.5010000002</v>
      </c>
      <c r="Y22" s="2">
        <v>1890536.179</v>
      </c>
      <c r="Z22" s="2">
        <v>1977800.2590000001</v>
      </c>
      <c r="AA22" s="2">
        <v>2069652.926</v>
      </c>
    </row>
    <row r="23" spans="1:27">
      <c r="A23" s="22" t="s">
        <v>16</v>
      </c>
      <c r="B23" s="36">
        <f>57553+49596</f>
        <v>107149</v>
      </c>
      <c r="C23" s="36">
        <f>63274+60106</f>
        <v>123380</v>
      </c>
      <c r="D23" s="36">
        <f>74395+72231</f>
        <v>146626</v>
      </c>
      <c r="E23" s="36">
        <v>247383.95499999999</v>
      </c>
      <c r="F23" s="77">
        <v>255443.655</v>
      </c>
      <c r="G23" s="36">
        <v>272383.39199999999</v>
      </c>
      <c r="H23" s="36">
        <v>293452.25199999998</v>
      </c>
      <c r="I23" s="37">
        <v>302904.68599999999</v>
      </c>
      <c r="J23" s="37">
        <v>301609.087</v>
      </c>
      <c r="K23" s="37">
        <v>328060.05599999998</v>
      </c>
      <c r="L23" s="37">
        <v>399790.04800000001</v>
      </c>
      <c r="M23" s="37">
        <v>443868.10600000003</v>
      </c>
      <c r="N23" s="37">
        <v>507945.13900000002</v>
      </c>
      <c r="O23" s="37">
        <v>597605.47900000005</v>
      </c>
      <c r="P23" s="37">
        <v>636311.85</v>
      </c>
      <c r="Q23" s="37">
        <v>683340.11499999999</v>
      </c>
      <c r="R23" s="37">
        <v>653794.39599999995</v>
      </c>
      <c r="S23" s="37">
        <v>679791.35199999996</v>
      </c>
      <c r="T23" s="23">
        <v>765012.38199999998</v>
      </c>
      <c r="U23" s="23">
        <v>796000.00100000005</v>
      </c>
      <c r="V23" s="23">
        <v>901550.76100000006</v>
      </c>
      <c r="W23" s="23">
        <v>963415.90500000003</v>
      </c>
      <c r="X23" s="2">
        <v>1006423.144</v>
      </c>
      <c r="Y23" s="2">
        <v>1053807.7609999999</v>
      </c>
      <c r="Z23" s="2">
        <v>1061869.652</v>
      </c>
      <c r="AA23" s="2">
        <v>1063351.308</v>
      </c>
    </row>
    <row r="24" spans="1:27">
      <c r="A24" s="83" t="s">
        <v>17</v>
      </c>
      <c r="B24" s="66">
        <f>19844+971</f>
        <v>20815</v>
      </c>
      <c r="C24" s="66">
        <f>22049+1212</f>
        <v>23261</v>
      </c>
      <c r="D24" s="66">
        <f>23054+1274</f>
        <v>24328</v>
      </c>
      <c r="E24" s="66">
        <v>53305.169000000002</v>
      </c>
      <c r="F24" s="82">
        <v>48947.900999999998</v>
      </c>
      <c r="G24" s="66">
        <v>52415.663999999997</v>
      </c>
      <c r="H24" s="66">
        <v>62924.644999999997</v>
      </c>
      <c r="I24" s="63">
        <v>58556.09</v>
      </c>
      <c r="J24" s="63">
        <v>61933.366999999998</v>
      </c>
      <c r="K24" s="63">
        <v>63724.363899999997</v>
      </c>
      <c r="L24" s="63">
        <v>72569.471999999994</v>
      </c>
      <c r="M24" s="63">
        <v>83220.157000000007</v>
      </c>
      <c r="N24" s="63">
        <v>85014.77</v>
      </c>
      <c r="O24" s="63">
        <v>94357.843999999997</v>
      </c>
      <c r="P24" s="63">
        <v>102990.62</v>
      </c>
      <c r="Q24" s="63">
        <v>116703.68399999999</v>
      </c>
      <c r="R24" s="63">
        <v>123103.311</v>
      </c>
      <c r="S24" s="63">
        <v>135150.90700000001</v>
      </c>
      <c r="T24" s="45">
        <v>152215.75399999999</v>
      </c>
      <c r="U24" s="45">
        <v>152014.42600000001</v>
      </c>
      <c r="V24" s="45">
        <v>189763.179</v>
      </c>
      <c r="W24" s="45">
        <v>196686.97500000001</v>
      </c>
      <c r="X24" s="45">
        <v>189747.19699999999</v>
      </c>
      <c r="Y24" s="45">
        <v>177816.299</v>
      </c>
      <c r="Z24" s="45">
        <v>173695.826</v>
      </c>
      <c r="AA24" s="45">
        <v>177017.47099999999</v>
      </c>
    </row>
    <row r="25" spans="1:27" s="23" customFormat="1">
      <c r="A25" s="79" t="s">
        <v>120</v>
      </c>
      <c r="B25" s="90">
        <f>SUM(B27:B39)</f>
        <v>0</v>
      </c>
      <c r="C25" s="90">
        <f t="shared" ref="C25:AA25" si="8">SUM(C27:C39)</f>
        <v>0</v>
      </c>
      <c r="D25" s="90">
        <f t="shared" si="8"/>
        <v>0</v>
      </c>
      <c r="E25" s="90">
        <f t="shared" si="8"/>
        <v>0</v>
      </c>
      <c r="F25" s="90">
        <f t="shared" si="8"/>
        <v>2768310.648</v>
      </c>
      <c r="G25" s="90">
        <f t="shared" si="8"/>
        <v>0</v>
      </c>
      <c r="H25" s="90">
        <f t="shared" si="8"/>
        <v>0</v>
      </c>
      <c r="I25" s="90">
        <f t="shared" si="8"/>
        <v>3301537.9060000004</v>
      </c>
      <c r="J25" s="90">
        <f t="shared" si="8"/>
        <v>0</v>
      </c>
      <c r="K25" s="90">
        <f t="shared" si="8"/>
        <v>3583397.7870599991</v>
      </c>
      <c r="L25" s="90">
        <f t="shared" si="8"/>
        <v>4584626.7919999994</v>
      </c>
      <c r="M25" s="90">
        <f t="shared" si="8"/>
        <v>5025331.9470000006</v>
      </c>
      <c r="N25" s="90">
        <f t="shared" si="8"/>
        <v>5158309.5199999996</v>
      </c>
      <c r="O25" s="90">
        <f t="shared" si="8"/>
        <v>5625359.0140000014</v>
      </c>
      <c r="P25" s="90">
        <f t="shared" si="8"/>
        <v>5848730.6270000003</v>
      </c>
      <c r="Q25" s="90">
        <f t="shared" si="8"/>
        <v>6308745.75</v>
      </c>
      <c r="R25" s="90">
        <f t="shared" si="8"/>
        <v>6546618.0959999999</v>
      </c>
      <c r="S25" s="90">
        <f t="shared" si="8"/>
        <v>6824886.4900000002</v>
      </c>
      <c r="T25" s="90">
        <f t="shared" si="8"/>
        <v>7189273.6050000014</v>
      </c>
      <c r="U25" s="90">
        <f t="shared" si="8"/>
        <v>6808016.9960000003</v>
      </c>
      <c r="V25" s="90">
        <f t="shared" si="8"/>
        <v>8996009.6009999998</v>
      </c>
      <c r="W25" s="90">
        <f t="shared" si="8"/>
        <v>9601670.4060000014</v>
      </c>
      <c r="X25" s="90">
        <f t="shared" si="8"/>
        <v>9834535.3389999978</v>
      </c>
      <c r="Y25" s="90">
        <f t="shared" si="8"/>
        <v>9875109.0299999993</v>
      </c>
      <c r="Z25" s="90">
        <f t="shared" si="8"/>
        <v>9878142.909</v>
      </c>
      <c r="AA25" s="90">
        <f t="shared" si="8"/>
        <v>9963203.4230000004</v>
      </c>
    </row>
    <row r="26" spans="1:27">
      <c r="A26" s="79" t="s">
        <v>119</v>
      </c>
      <c r="B26" s="37"/>
      <c r="C26" s="37"/>
      <c r="D26" s="37"/>
      <c r="E26" s="37"/>
      <c r="F26" s="37"/>
      <c r="G26" s="37"/>
      <c r="H26" s="37"/>
      <c r="I26" s="37"/>
      <c r="J26" s="37"/>
      <c r="K26" s="37"/>
      <c r="L26" s="37"/>
      <c r="M26" s="37"/>
      <c r="N26" s="37"/>
      <c r="O26" s="37"/>
      <c r="P26" s="37"/>
      <c r="Q26" s="37"/>
      <c r="R26" s="37"/>
      <c r="S26" s="37"/>
      <c r="T26" s="23"/>
      <c r="U26" s="23"/>
      <c r="V26" s="23"/>
      <c r="W26" s="23"/>
      <c r="Y26" s="2">
        <v>0</v>
      </c>
    </row>
    <row r="27" spans="1:27">
      <c r="A27" s="23" t="s">
        <v>85</v>
      </c>
      <c r="B27" s="36"/>
      <c r="C27" s="36"/>
      <c r="D27" s="37"/>
      <c r="E27" s="36"/>
      <c r="F27" s="77">
        <v>65568.633000000002</v>
      </c>
      <c r="G27" s="36"/>
      <c r="H27" s="36"/>
      <c r="I27" s="37">
        <v>74405.868000000002</v>
      </c>
      <c r="J27" s="37"/>
      <c r="K27" s="37">
        <v>62653.860999999997</v>
      </c>
      <c r="L27" s="37">
        <v>80698.206000000006</v>
      </c>
      <c r="M27" s="37">
        <v>93776.994999999995</v>
      </c>
      <c r="N27" s="37">
        <v>104211.63099999999</v>
      </c>
      <c r="O27" s="37">
        <v>107615.23299999999</v>
      </c>
      <c r="P27" s="37">
        <v>112013</v>
      </c>
      <c r="Q27" s="37">
        <v>118922.371</v>
      </c>
      <c r="R27" s="37">
        <v>126278.80899999999</v>
      </c>
      <c r="S27" s="37">
        <v>131282.57399999999</v>
      </c>
      <c r="T27" s="23">
        <v>121842.719</v>
      </c>
      <c r="U27" s="23">
        <v>155921.53099999999</v>
      </c>
      <c r="V27" s="23">
        <v>161868.62599999999</v>
      </c>
      <c r="W27" s="23">
        <v>169864.209</v>
      </c>
      <c r="X27" s="2">
        <v>165154.63500000001</v>
      </c>
      <c r="Y27" s="2">
        <v>163939.90100000001</v>
      </c>
      <c r="Z27" s="2">
        <v>161376.114</v>
      </c>
      <c r="AA27" s="2">
        <v>158423.28099999999</v>
      </c>
    </row>
    <row r="28" spans="1:27">
      <c r="A28" s="23" t="s">
        <v>86</v>
      </c>
      <c r="B28" s="36"/>
      <c r="C28" s="36"/>
      <c r="D28" s="36"/>
      <c r="E28" s="36"/>
      <c r="F28" s="77">
        <v>209222.11300000001</v>
      </c>
      <c r="G28" s="36"/>
      <c r="H28" s="36"/>
      <c r="I28" s="37">
        <v>266678.21999999997</v>
      </c>
      <c r="J28" s="37"/>
      <c r="K28" s="37">
        <v>256400.56200000001</v>
      </c>
      <c r="L28" s="37">
        <v>320977.41399999999</v>
      </c>
      <c r="M28" s="37">
        <v>341789.87</v>
      </c>
      <c r="N28" s="37">
        <v>340764.44900000002</v>
      </c>
      <c r="O28" s="37">
        <v>419703.53200000001</v>
      </c>
      <c r="P28" s="37">
        <v>444771.65</v>
      </c>
      <c r="Q28" s="37">
        <v>485037.43800000002</v>
      </c>
      <c r="R28" s="37">
        <v>500984.016</v>
      </c>
      <c r="S28" s="37">
        <v>517332.57699999999</v>
      </c>
      <c r="T28" s="23">
        <v>561646.78399999999</v>
      </c>
      <c r="U28" s="23">
        <v>587830.56299999997</v>
      </c>
      <c r="V28" s="23">
        <v>689167.348</v>
      </c>
      <c r="W28" s="23">
        <v>716840.65300000005</v>
      </c>
      <c r="X28" s="2">
        <v>736648.52</v>
      </c>
      <c r="Y28" s="2">
        <v>768961.098</v>
      </c>
      <c r="Z28" s="2">
        <v>749448.22699999996</v>
      </c>
      <c r="AA28" s="2">
        <v>785667.64399999997</v>
      </c>
    </row>
    <row r="29" spans="1:27">
      <c r="A29" s="23" t="s">
        <v>87</v>
      </c>
      <c r="B29" s="36"/>
      <c r="C29" s="36"/>
      <c r="D29" s="36"/>
      <c r="E29" s="36"/>
      <c r="F29" s="77">
        <v>1214505</v>
      </c>
      <c r="G29" s="36"/>
      <c r="H29" s="36"/>
      <c r="I29" s="37">
        <v>1407077</v>
      </c>
      <c r="J29" s="37"/>
      <c r="K29" s="37">
        <v>1607344.402</v>
      </c>
      <c r="L29" s="37">
        <v>2128532.1690000002</v>
      </c>
      <c r="M29" s="37">
        <v>2363973.503</v>
      </c>
      <c r="N29" s="37">
        <v>2337939.9610000001</v>
      </c>
      <c r="O29" s="37">
        <v>2540518.6690000002</v>
      </c>
      <c r="P29" s="37">
        <v>2704979.298</v>
      </c>
      <c r="Q29" s="37">
        <v>2827109.4890000001</v>
      </c>
      <c r="R29" s="37">
        <v>2952003.344</v>
      </c>
      <c r="S29" s="37">
        <v>3078898.9920000001</v>
      </c>
      <c r="T29" s="23">
        <v>3252115.9870000002</v>
      </c>
      <c r="U29" s="23">
        <v>2813503.59</v>
      </c>
      <c r="V29" s="23">
        <v>4198149.2709999997</v>
      </c>
      <c r="W29" s="23">
        <v>4423490.8710000003</v>
      </c>
      <c r="X29" s="2">
        <v>4627819.1289999997</v>
      </c>
      <c r="Y29" s="2">
        <v>4646225.7929999996</v>
      </c>
      <c r="Z29" s="2">
        <v>4705523.1749999998</v>
      </c>
      <c r="AA29" s="2">
        <v>4876640.3930000002</v>
      </c>
    </row>
    <row r="30" spans="1:27">
      <c r="A30" s="23" t="s">
        <v>88</v>
      </c>
      <c r="B30" s="36"/>
      <c r="C30" s="36"/>
      <c r="D30" s="36"/>
      <c r="E30" s="36"/>
      <c r="F30" s="77">
        <v>224490.46299999999</v>
      </c>
      <c r="G30" s="36"/>
      <c r="H30" s="36"/>
      <c r="I30" s="37">
        <v>291990.95799999998</v>
      </c>
      <c r="J30" s="37"/>
      <c r="K30" s="37">
        <v>324282.51694999996</v>
      </c>
      <c r="L30" s="37">
        <v>416814.33100000001</v>
      </c>
      <c r="M30" s="37">
        <v>468870.18300000002</v>
      </c>
      <c r="N30" s="37">
        <v>445063.34</v>
      </c>
      <c r="O30" s="37">
        <v>469118.978</v>
      </c>
      <c r="P30" s="37">
        <v>343501.538</v>
      </c>
      <c r="Q30" s="37">
        <v>542739.51100000006</v>
      </c>
      <c r="R30" s="37">
        <v>558598.60600000003</v>
      </c>
      <c r="S30" s="37">
        <v>587698.18500000006</v>
      </c>
      <c r="T30" s="23">
        <v>598681.77899999998</v>
      </c>
      <c r="U30" s="23">
        <v>601119.33499999996</v>
      </c>
      <c r="V30" s="23">
        <v>770753.40300000005</v>
      </c>
      <c r="W30" s="23">
        <v>840970.39800000004</v>
      </c>
      <c r="X30" s="2">
        <v>893607.89599999995</v>
      </c>
      <c r="Y30" s="2">
        <v>884226.05700000003</v>
      </c>
      <c r="Z30" s="2">
        <v>884041.11499999999</v>
      </c>
      <c r="AA30" s="2">
        <v>938028.62899999996</v>
      </c>
    </row>
    <row r="31" spans="1:27">
      <c r="A31" s="23" t="s">
        <v>91</v>
      </c>
      <c r="B31" s="36"/>
      <c r="C31" s="36"/>
      <c r="D31" s="36"/>
      <c r="E31" s="36"/>
      <c r="F31" s="77">
        <v>120550.61</v>
      </c>
      <c r="G31" s="36"/>
      <c r="H31" s="36"/>
      <c r="I31" s="37">
        <v>129594.36</v>
      </c>
      <c r="J31" s="37"/>
      <c r="K31" s="37">
        <v>127534.12699999999</v>
      </c>
      <c r="L31" s="37">
        <v>151409.065</v>
      </c>
      <c r="M31" s="37">
        <v>155254.07699999999</v>
      </c>
      <c r="N31" s="37">
        <v>171000.12700000001</v>
      </c>
      <c r="O31" s="37">
        <v>198695.35800000001</v>
      </c>
      <c r="P31" s="37">
        <v>216052.473</v>
      </c>
      <c r="Q31" s="37">
        <v>235467.951</v>
      </c>
      <c r="R31" s="37">
        <v>248044.09099999999</v>
      </c>
      <c r="S31" s="37">
        <v>255786.948</v>
      </c>
      <c r="T31" s="23">
        <v>265150.46500000003</v>
      </c>
      <c r="U31" s="23">
        <v>290587.97499999998</v>
      </c>
      <c r="V31" s="23">
        <v>336881.78</v>
      </c>
      <c r="W31" s="23">
        <v>345031.31199999998</v>
      </c>
      <c r="X31" s="2">
        <v>358127.93</v>
      </c>
      <c r="Y31" s="2">
        <v>361396.85100000002</v>
      </c>
      <c r="Z31" s="2">
        <v>349735.58600000001</v>
      </c>
      <c r="AA31" s="2">
        <v>261021.61199999999</v>
      </c>
    </row>
    <row r="32" spans="1:27">
      <c r="A32" s="23" t="s">
        <v>92</v>
      </c>
      <c r="B32" s="36"/>
      <c r="C32" s="36"/>
      <c r="D32" s="36"/>
      <c r="E32" s="36"/>
      <c r="F32" s="77">
        <v>46794.124000000003</v>
      </c>
      <c r="G32" s="36"/>
      <c r="H32" s="36"/>
      <c r="I32" s="37">
        <v>55950.277999999998</v>
      </c>
      <c r="J32" s="37"/>
      <c r="K32" s="37">
        <v>57626.296000000002</v>
      </c>
      <c r="L32" s="37">
        <v>64149.315000000002</v>
      </c>
      <c r="M32" s="37">
        <v>70791.108999999997</v>
      </c>
      <c r="N32" s="37">
        <v>74342.035999999993</v>
      </c>
      <c r="O32" s="37">
        <v>87252.081000000006</v>
      </c>
      <c r="P32" s="37">
        <v>94553.842999999993</v>
      </c>
      <c r="Q32" s="37">
        <v>100338.54700000001</v>
      </c>
      <c r="R32" s="37">
        <v>94705.847999999998</v>
      </c>
      <c r="S32" s="37">
        <v>96384.232999999993</v>
      </c>
      <c r="T32" s="23">
        <v>94228.138999999996</v>
      </c>
      <c r="U32" s="23">
        <v>90914.694000000003</v>
      </c>
      <c r="V32" s="23">
        <v>116316.439</v>
      </c>
      <c r="W32" s="23">
        <v>128186.497</v>
      </c>
      <c r="X32" s="2">
        <v>132508.054</v>
      </c>
      <c r="Y32" s="2">
        <v>126131.198</v>
      </c>
      <c r="Z32" s="2">
        <v>121178.19</v>
      </c>
      <c r="AA32" s="2">
        <v>124154.166</v>
      </c>
    </row>
    <row r="33" spans="1:36">
      <c r="A33" s="23" t="s">
        <v>100</v>
      </c>
      <c r="B33" s="37"/>
      <c r="C33" s="37"/>
      <c r="D33" s="37"/>
      <c r="E33" s="37"/>
      <c r="F33" s="77">
        <v>37544.661999999997</v>
      </c>
      <c r="G33" s="37"/>
      <c r="H33" s="37"/>
      <c r="I33" s="37">
        <v>51895.18</v>
      </c>
      <c r="J33" s="37"/>
      <c r="K33" s="37">
        <v>63216.101999999999</v>
      </c>
      <c r="L33" s="37">
        <v>96873.26</v>
      </c>
      <c r="M33" s="37">
        <v>90669.396999999997</v>
      </c>
      <c r="N33" s="37">
        <v>100515.924</v>
      </c>
      <c r="O33" s="37">
        <v>112807.982</v>
      </c>
      <c r="P33" s="37">
        <v>125907.55</v>
      </c>
      <c r="Q33" s="37">
        <v>142183.47500000001</v>
      </c>
      <c r="R33" s="37">
        <v>146185.07</v>
      </c>
      <c r="S33" s="37">
        <v>146197.28099999999</v>
      </c>
      <c r="T33" s="23">
        <v>154845.41699999999</v>
      </c>
      <c r="U33" s="23">
        <v>180170.37100000001</v>
      </c>
      <c r="V33" s="23">
        <v>193234.247</v>
      </c>
      <c r="W33" s="23">
        <v>189696.72500000001</v>
      </c>
      <c r="X33" s="2">
        <v>186368.476</v>
      </c>
      <c r="Y33" s="2">
        <v>181140.277</v>
      </c>
      <c r="Z33" s="2">
        <v>176508.951</v>
      </c>
      <c r="AA33" s="2">
        <v>172825.03599999999</v>
      </c>
    </row>
    <row r="34" spans="1:36">
      <c r="A34" s="23" t="s">
        <v>102</v>
      </c>
      <c r="B34" s="37"/>
      <c r="C34" s="37"/>
      <c r="D34" s="37"/>
      <c r="E34" s="37"/>
      <c r="F34" s="77">
        <v>34173.033000000003</v>
      </c>
      <c r="G34" s="37"/>
      <c r="H34" s="37"/>
      <c r="I34" s="37">
        <v>45605.440999999999</v>
      </c>
      <c r="J34" s="37"/>
      <c r="K34" s="37">
        <v>47216.88</v>
      </c>
      <c r="L34" s="37">
        <v>57081.542000000001</v>
      </c>
      <c r="M34" s="37">
        <v>67363.432000000001</v>
      </c>
      <c r="N34" s="37">
        <v>69587.171000000002</v>
      </c>
      <c r="O34" s="37">
        <v>84864.778000000006</v>
      </c>
      <c r="P34" s="37">
        <v>92109.411999999997</v>
      </c>
      <c r="Q34" s="37">
        <v>99463.361000000004</v>
      </c>
      <c r="R34" s="37">
        <v>110644.636</v>
      </c>
      <c r="S34" s="37">
        <v>117690.00599999999</v>
      </c>
      <c r="T34" s="23">
        <v>121650.72</v>
      </c>
      <c r="U34" s="23">
        <v>110748.334</v>
      </c>
      <c r="V34" s="23">
        <v>121574.58500000001</v>
      </c>
      <c r="W34" s="23">
        <v>115372.126</v>
      </c>
      <c r="X34" s="2">
        <v>105793.852</v>
      </c>
      <c r="Y34" s="2">
        <v>116496.397</v>
      </c>
      <c r="Z34" s="2">
        <v>125685.78200000001</v>
      </c>
      <c r="AA34" s="2">
        <v>112980.65</v>
      </c>
    </row>
    <row r="35" spans="1:36">
      <c r="A35" s="23" t="s">
        <v>105</v>
      </c>
      <c r="B35" s="37"/>
      <c r="C35" s="37"/>
      <c r="D35" s="37"/>
      <c r="E35" s="37"/>
      <c r="F35" s="77">
        <v>162912.80499999999</v>
      </c>
      <c r="G35" s="37"/>
      <c r="H35" s="37"/>
      <c r="I35" s="37">
        <v>202256.739</v>
      </c>
      <c r="J35" s="37"/>
      <c r="K35" s="37">
        <v>190214.15911000001</v>
      </c>
      <c r="L35" s="37">
        <v>209288.679</v>
      </c>
      <c r="M35" s="37">
        <v>258500.00399999999</v>
      </c>
      <c r="N35" s="37">
        <v>245207.255</v>
      </c>
      <c r="O35" s="37">
        <v>255773.32199999999</v>
      </c>
      <c r="P35" s="37">
        <v>288258.65500000003</v>
      </c>
      <c r="Q35" s="37">
        <v>288715.50699999998</v>
      </c>
      <c r="R35" s="37">
        <v>299111.897</v>
      </c>
      <c r="S35" s="37">
        <v>345598.09399999998</v>
      </c>
      <c r="T35" s="23">
        <v>337557.68900000001</v>
      </c>
      <c r="U35" s="23">
        <v>383744.81900000002</v>
      </c>
      <c r="V35" s="23">
        <v>420714.12400000001</v>
      </c>
      <c r="W35" s="23">
        <v>430278.35399999999</v>
      </c>
      <c r="X35" s="2">
        <v>400979.98599999998</v>
      </c>
      <c r="Y35" s="2">
        <v>397332.50099999999</v>
      </c>
      <c r="Z35" s="2">
        <v>389892.21399999998</v>
      </c>
      <c r="AA35" s="2">
        <v>386405.39</v>
      </c>
    </row>
    <row r="36" spans="1:36">
      <c r="A36" s="23" t="s">
        <v>109</v>
      </c>
      <c r="B36" s="37"/>
      <c r="C36" s="37"/>
      <c r="D36" s="37"/>
      <c r="E36" s="37"/>
      <c r="F36" s="77">
        <v>150794.976</v>
      </c>
      <c r="G36" s="37"/>
      <c r="H36" s="37"/>
      <c r="I36" s="37">
        <v>191241.77299999999</v>
      </c>
      <c r="J36" s="37"/>
      <c r="K36" s="37">
        <v>213491.35500000001</v>
      </c>
      <c r="L36" s="37">
        <v>260341.08600000001</v>
      </c>
      <c r="M36" s="37">
        <v>275527.98200000002</v>
      </c>
      <c r="N36" s="37">
        <v>340484.86599999998</v>
      </c>
      <c r="O36" s="37">
        <v>336734.08</v>
      </c>
      <c r="P36" s="37">
        <v>373405.67200000002</v>
      </c>
      <c r="Q36" s="37">
        <v>390238.63199999998</v>
      </c>
      <c r="R36" s="37">
        <v>409853.61300000001</v>
      </c>
      <c r="S36" s="37">
        <v>434491.21</v>
      </c>
      <c r="T36" s="23">
        <v>475656.82400000002</v>
      </c>
      <c r="U36" s="23">
        <v>328174.20199999999</v>
      </c>
      <c r="V36" s="23">
        <v>600416.88899999997</v>
      </c>
      <c r="W36" s="23">
        <v>594448.11499999999</v>
      </c>
      <c r="X36" s="2">
        <v>590254.10499999998</v>
      </c>
      <c r="Y36" s="2">
        <v>584150.19200000004</v>
      </c>
      <c r="Z36" s="2">
        <v>575500.46900000004</v>
      </c>
      <c r="AA36" s="2">
        <v>544814.67099999997</v>
      </c>
    </row>
    <row r="37" spans="1:36">
      <c r="A37" s="23" t="s">
        <v>113</v>
      </c>
      <c r="B37" s="37"/>
      <c r="C37" s="37"/>
      <c r="D37" s="37"/>
      <c r="E37" s="37"/>
      <c r="F37" s="77">
        <v>156558.823</v>
      </c>
      <c r="G37" s="37"/>
      <c r="H37" s="37"/>
      <c r="I37" s="37">
        <v>165310.43400000001</v>
      </c>
      <c r="J37" s="37"/>
      <c r="K37" s="37">
        <v>191289.91899999999</v>
      </c>
      <c r="L37" s="37">
        <v>234681.81</v>
      </c>
      <c r="M37" s="37">
        <v>251800.008</v>
      </c>
      <c r="N37" s="37">
        <v>315945.21000000002</v>
      </c>
      <c r="O37" s="37">
        <v>338827.43400000001</v>
      </c>
      <c r="P37" s="37">
        <v>318387.01199999999</v>
      </c>
      <c r="Q37" s="37">
        <v>315354.11900000001</v>
      </c>
      <c r="R37" s="37">
        <v>317252.69</v>
      </c>
      <c r="S37" s="37">
        <v>324755.02899999998</v>
      </c>
      <c r="T37" s="23">
        <v>343262.07900000003</v>
      </c>
      <c r="U37" s="23">
        <v>364533.48100000003</v>
      </c>
      <c r="V37" s="23">
        <v>367591.64500000002</v>
      </c>
      <c r="W37" s="23">
        <v>403630.83600000001</v>
      </c>
      <c r="X37" s="2">
        <v>421048.27500000002</v>
      </c>
      <c r="Y37" s="2">
        <v>430634.61900000001</v>
      </c>
      <c r="Z37" s="2">
        <v>417020.67099999997</v>
      </c>
      <c r="AA37" s="2">
        <v>424647.69</v>
      </c>
    </row>
    <row r="38" spans="1:36">
      <c r="A38" s="23" t="s">
        <v>115</v>
      </c>
      <c r="B38" s="37"/>
      <c r="C38" s="37"/>
      <c r="D38" s="37"/>
      <c r="E38" s="37"/>
      <c r="F38" s="77">
        <v>321037.69099999999</v>
      </c>
      <c r="G38" s="37"/>
      <c r="H38" s="37"/>
      <c r="I38" s="37">
        <v>381085.68</v>
      </c>
      <c r="J38" s="37"/>
      <c r="K38" s="37">
        <v>406939.45699999999</v>
      </c>
      <c r="L38" s="37">
        <v>527351.60499999998</v>
      </c>
      <c r="M38" s="37">
        <v>554539.45499999996</v>
      </c>
      <c r="N38" s="37">
        <v>581502.00399999996</v>
      </c>
      <c r="O38" s="37">
        <v>639191.62800000003</v>
      </c>
      <c r="P38" s="37">
        <v>697164.20600000001</v>
      </c>
      <c r="Q38" s="37">
        <v>721030.79599999997</v>
      </c>
      <c r="R38" s="37">
        <v>743565.16299999994</v>
      </c>
      <c r="S38" s="37">
        <v>747912.098</v>
      </c>
      <c r="T38" s="23">
        <v>816099.554</v>
      </c>
      <c r="U38" s="23">
        <v>846858.451</v>
      </c>
      <c r="V38" s="23">
        <v>943839.64800000004</v>
      </c>
      <c r="W38" s="23">
        <v>1158116.7990000001</v>
      </c>
      <c r="X38" s="2">
        <v>1125988.8160000001</v>
      </c>
      <c r="Y38" s="2">
        <v>1128799.7590000001</v>
      </c>
      <c r="Z38" s="2">
        <v>1139339.1100000001</v>
      </c>
      <c r="AA38" s="2">
        <v>1092045.1000000001</v>
      </c>
    </row>
    <row r="39" spans="1:36">
      <c r="A39" s="45" t="s">
        <v>117</v>
      </c>
      <c r="B39" s="63"/>
      <c r="C39" s="63"/>
      <c r="D39" s="63"/>
      <c r="E39" s="63"/>
      <c r="F39" s="82">
        <v>24157.715</v>
      </c>
      <c r="G39" s="63"/>
      <c r="H39" s="63"/>
      <c r="I39" s="63">
        <v>38445.974999999999</v>
      </c>
      <c r="J39" s="63"/>
      <c r="K39" s="63">
        <v>35188.15</v>
      </c>
      <c r="L39" s="63">
        <v>36428.31</v>
      </c>
      <c r="M39" s="63">
        <v>32475.932000000001</v>
      </c>
      <c r="N39" s="63">
        <v>31745.545999999998</v>
      </c>
      <c r="O39" s="63">
        <v>34255.938999999998</v>
      </c>
      <c r="P39" s="63">
        <v>37626.317999999999</v>
      </c>
      <c r="Q39" s="63">
        <v>42144.553</v>
      </c>
      <c r="R39" s="63">
        <v>39390.313000000002</v>
      </c>
      <c r="S39" s="63">
        <v>40859.262999999999</v>
      </c>
      <c r="T39" s="45">
        <v>46535.449000000001</v>
      </c>
      <c r="U39" s="45">
        <v>53909.65</v>
      </c>
      <c r="V39" s="45">
        <v>75501.596000000005</v>
      </c>
      <c r="W39" s="45">
        <v>85743.510999999999</v>
      </c>
      <c r="X39" s="45">
        <v>90235.664999999994</v>
      </c>
      <c r="Y39" s="45">
        <v>85674.387000000002</v>
      </c>
      <c r="Z39" s="45">
        <v>82893.304999999993</v>
      </c>
      <c r="AA39" s="45">
        <v>85549.160999999993</v>
      </c>
      <c r="AB39" s="23"/>
      <c r="AC39" s="23"/>
      <c r="AD39" s="23"/>
      <c r="AE39" s="23"/>
      <c r="AF39" s="23"/>
      <c r="AG39" s="23"/>
      <c r="AH39" s="23"/>
      <c r="AI39" s="23"/>
      <c r="AJ39" s="23"/>
    </row>
    <row r="40" spans="1:36" s="23" customFormat="1">
      <c r="A40" s="79" t="s">
        <v>121</v>
      </c>
      <c r="B40" s="90">
        <f>SUM(B42:B53)</f>
        <v>0</v>
      </c>
      <c r="C40" s="90">
        <f t="shared" ref="C40:AA40" si="9">SUM(C42:C53)</f>
        <v>0</v>
      </c>
      <c r="D40" s="90">
        <f t="shared" si="9"/>
        <v>0</v>
      </c>
      <c r="E40" s="90">
        <f t="shared" si="9"/>
        <v>0</v>
      </c>
      <c r="F40" s="90">
        <f t="shared" si="9"/>
        <v>2544444.9879999999</v>
      </c>
      <c r="G40" s="90">
        <f t="shared" si="9"/>
        <v>0</v>
      </c>
      <c r="H40" s="90">
        <f t="shared" si="9"/>
        <v>0</v>
      </c>
      <c r="I40" s="90">
        <f t="shared" si="9"/>
        <v>2900762.9980000006</v>
      </c>
      <c r="J40" s="90">
        <f t="shared" si="9"/>
        <v>0</v>
      </c>
      <c r="K40" s="90">
        <f t="shared" si="9"/>
        <v>3119706.1309799999</v>
      </c>
      <c r="L40" s="90">
        <f t="shared" si="9"/>
        <v>3786808.8649999998</v>
      </c>
      <c r="M40" s="90">
        <f t="shared" si="9"/>
        <v>4293382.6869999999</v>
      </c>
      <c r="N40" s="90">
        <f t="shared" si="9"/>
        <v>4292901.0290000001</v>
      </c>
      <c r="O40" s="90">
        <f t="shared" si="9"/>
        <v>4613582.9799999995</v>
      </c>
      <c r="P40" s="90">
        <f t="shared" si="9"/>
        <v>4911272.6880000001</v>
      </c>
      <c r="Q40" s="90">
        <f t="shared" si="9"/>
        <v>5148622.2500000009</v>
      </c>
      <c r="R40" s="90">
        <f t="shared" si="9"/>
        <v>5344265.0309999995</v>
      </c>
      <c r="S40" s="90">
        <f t="shared" si="9"/>
        <v>5396913.3970000008</v>
      </c>
      <c r="T40" s="90">
        <f t="shared" si="9"/>
        <v>5921295.5330000008</v>
      </c>
      <c r="U40" s="90">
        <f t="shared" si="9"/>
        <v>6270834.0470000003</v>
      </c>
      <c r="V40" s="90">
        <f t="shared" si="9"/>
        <v>7284053.6379999993</v>
      </c>
      <c r="W40" s="90">
        <f t="shared" si="9"/>
        <v>7608817.307000001</v>
      </c>
      <c r="X40" s="90">
        <f t="shared" si="9"/>
        <v>7684026.9909999995</v>
      </c>
      <c r="Y40" s="90">
        <f t="shared" si="9"/>
        <v>7772857.5199999996</v>
      </c>
      <c r="Z40" s="90">
        <f t="shared" si="9"/>
        <v>7577869.3860000009</v>
      </c>
      <c r="AA40" s="90">
        <f t="shared" si="9"/>
        <v>7733846.0800000001</v>
      </c>
    </row>
    <row r="41" spans="1:36">
      <c r="A41" s="79" t="s">
        <v>119</v>
      </c>
      <c r="B41" s="37"/>
      <c r="C41" s="37"/>
      <c r="D41" s="37"/>
      <c r="E41" s="37"/>
      <c r="F41" s="37"/>
      <c r="G41" s="37"/>
      <c r="H41" s="37"/>
      <c r="I41" s="37"/>
      <c r="J41" s="37"/>
      <c r="K41" s="37"/>
      <c r="L41" s="37"/>
      <c r="M41" s="37"/>
      <c r="N41" s="37"/>
      <c r="O41" s="37"/>
      <c r="P41" s="37"/>
      <c r="Q41" s="37"/>
      <c r="R41" s="37"/>
      <c r="S41" s="37"/>
      <c r="T41" s="23"/>
      <c r="U41" s="23"/>
      <c r="V41" s="23"/>
      <c r="W41" s="23"/>
      <c r="X41" s="2">
        <v>0</v>
      </c>
      <c r="Y41" s="2">
        <v>0</v>
      </c>
    </row>
    <row r="42" spans="1:36">
      <c r="A42" s="23" t="s">
        <v>93</v>
      </c>
      <c r="B42" s="36"/>
      <c r="C42" s="36"/>
      <c r="D42" s="36"/>
      <c r="E42" s="36"/>
      <c r="F42" s="77">
        <v>329225.44400000002</v>
      </c>
      <c r="G42" s="36"/>
      <c r="H42" s="36"/>
      <c r="I42" s="37">
        <v>339818.59</v>
      </c>
      <c r="J42" s="37"/>
      <c r="K42" s="37">
        <v>381801.23200000002</v>
      </c>
      <c r="L42" s="37">
        <v>476347.50099999999</v>
      </c>
      <c r="M42" s="37">
        <v>532359.35699999996</v>
      </c>
      <c r="N42" s="37">
        <v>553697.85</v>
      </c>
      <c r="O42" s="37">
        <v>602526.95400000003</v>
      </c>
      <c r="P42" s="37">
        <v>637107.75800000003</v>
      </c>
      <c r="Q42" s="37">
        <v>641211.02</v>
      </c>
      <c r="R42" s="37">
        <v>660379.69400000002</v>
      </c>
      <c r="S42" s="37">
        <v>662663.16399999999</v>
      </c>
      <c r="T42" s="23">
        <v>669025.04799999995</v>
      </c>
      <c r="U42" s="23">
        <v>736024.723</v>
      </c>
      <c r="V42" s="23">
        <v>876983.64800000004</v>
      </c>
      <c r="W42" s="23">
        <v>894956.31499999994</v>
      </c>
      <c r="X42" s="2">
        <v>922890.20700000005</v>
      </c>
      <c r="Y42" s="2">
        <v>957889.86</v>
      </c>
      <c r="Z42" s="2">
        <v>928243.29099999997</v>
      </c>
      <c r="AA42" s="2">
        <v>940151.83299999998</v>
      </c>
    </row>
    <row r="43" spans="1:36">
      <c r="A43" s="23" t="s">
        <v>58</v>
      </c>
      <c r="B43" s="36"/>
      <c r="C43" s="36"/>
      <c r="D43" s="36"/>
      <c r="E43" s="36"/>
      <c r="F43" s="77">
        <v>195199.136</v>
      </c>
      <c r="G43" s="36"/>
      <c r="H43" s="36"/>
      <c r="I43" s="37">
        <v>226661.299</v>
      </c>
      <c r="J43" s="37"/>
      <c r="K43" s="37">
        <v>250158.29300000001</v>
      </c>
      <c r="L43" s="37">
        <v>294149.42099999997</v>
      </c>
      <c r="M43" s="37">
        <v>329603.06900000002</v>
      </c>
      <c r="N43" s="37">
        <v>328641.23499999999</v>
      </c>
      <c r="O43" s="37">
        <v>396850.85100000002</v>
      </c>
      <c r="P43" s="37">
        <v>423595.55699999997</v>
      </c>
      <c r="Q43" s="37">
        <v>454993.35600000003</v>
      </c>
      <c r="R43" s="37">
        <v>472504.31400000001</v>
      </c>
      <c r="S43" s="37">
        <v>431793.11599999998</v>
      </c>
      <c r="T43" s="23">
        <v>454076.48200000002</v>
      </c>
      <c r="U43" s="23">
        <v>481786.902</v>
      </c>
      <c r="V43" s="23">
        <v>545440.19900000002</v>
      </c>
      <c r="W43" s="23">
        <v>599054.86699999997</v>
      </c>
      <c r="X43" s="2">
        <v>591721.18299999996</v>
      </c>
      <c r="Y43" s="2">
        <v>590923.81499999994</v>
      </c>
      <c r="Z43" s="2">
        <v>582018.30299999996</v>
      </c>
      <c r="AA43" s="2">
        <v>567495.01</v>
      </c>
    </row>
    <row r="44" spans="1:36">
      <c r="A44" s="23" t="s">
        <v>94</v>
      </c>
      <c r="B44" s="36"/>
      <c r="C44" s="36"/>
      <c r="D44" s="36"/>
      <c r="E44" s="36"/>
      <c r="F44" s="77">
        <v>191000.136</v>
      </c>
      <c r="G44" s="36"/>
      <c r="H44" s="36"/>
      <c r="I44" s="37">
        <v>239459.196</v>
      </c>
      <c r="J44" s="37"/>
      <c r="K44" s="37">
        <v>254121.43</v>
      </c>
      <c r="L44" s="37">
        <v>303085.61200000002</v>
      </c>
      <c r="M44" s="37">
        <v>321020.02</v>
      </c>
      <c r="N44" s="37">
        <v>385531.033</v>
      </c>
      <c r="O44" s="37">
        <v>330361.66499999998</v>
      </c>
      <c r="P44" s="37">
        <v>371070.13400000002</v>
      </c>
      <c r="Q44" s="37">
        <v>381751.14500000002</v>
      </c>
      <c r="R44" s="37">
        <v>402259.245</v>
      </c>
      <c r="S44" s="37">
        <v>397901.951</v>
      </c>
      <c r="T44" s="23">
        <v>430734.22700000001</v>
      </c>
      <c r="U44" s="23">
        <v>455533.06300000002</v>
      </c>
      <c r="V44" s="23">
        <v>556111.77500000002</v>
      </c>
      <c r="W44" s="23">
        <v>568584.75600000005</v>
      </c>
      <c r="X44" s="2">
        <v>537237.36199999996</v>
      </c>
      <c r="Y44" s="2">
        <v>544540.92299999995</v>
      </c>
      <c r="Z44" s="2">
        <v>554849.723</v>
      </c>
      <c r="AA44" s="2">
        <v>552173.94299999997</v>
      </c>
    </row>
    <row r="45" spans="1:36">
      <c r="A45" s="23" t="s">
        <v>95</v>
      </c>
      <c r="B45" s="36"/>
      <c r="C45" s="36"/>
      <c r="D45" s="36"/>
      <c r="E45" s="36"/>
      <c r="F45" s="77">
        <v>128330.245</v>
      </c>
      <c r="G45" s="36"/>
      <c r="H45" s="36"/>
      <c r="I45" s="37">
        <v>163328.842</v>
      </c>
      <c r="J45" s="37"/>
      <c r="K45" s="37">
        <v>180134.13640000002</v>
      </c>
      <c r="L45" s="37">
        <v>253277.79199999999</v>
      </c>
      <c r="M45" s="37">
        <v>280802.304</v>
      </c>
      <c r="N45" s="37">
        <v>245152.22200000001</v>
      </c>
      <c r="O45" s="37">
        <v>261903.40100000001</v>
      </c>
      <c r="P45" s="37">
        <v>290319.99699999997</v>
      </c>
      <c r="Q45" s="37">
        <v>314993.88199999998</v>
      </c>
      <c r="R45" s="37">
        <v>324379.88199999998</v>
      </c>
      <c r="S45" s="37">
        <v>318781.451</v>
      </c>
      <c r="T45" s="23">
        <v>340236.64500000002</v>
      </c>
      <c r="U45" s="23">
        <v>363889.31599999999</v>
      </c>
      <c r="V45" s="23">
        <v>460850.3</v>
      </c>
      <c r="W45" s="23">
        <v>482989.55800000002</v>
      </c>
      <c r="X45" s="2">
        <v>519956.29</v>
      </c>
      <c r="Y45" s="2">
        <v>529767.97600000002</v>
      </c>
      <c r="Z45" s="2">
        <v>521152.908</v>
      </c>
      <c r="AA45" s="2">
        <v>518495.77399999998</v>
      </c>
    </row>
    <row r="46" spans="1:36">
      <c r="A46" s="23" t="s">
        <v>98</v>
      </c>
      <c r="B46" s="36"/>
      <c r="C46" s="36"/>
      <c r="D46" s="36"/>
      <c r="E46" s="37"/>
      <c r="F46" s="77">
        <v>505132.40500000003</v>
      </c>
      <c r="G46" s="36"/>
      <c r="H46" s="36"/>
      <c r="I46" s="37">
        <v>582322.61499999999</v>
      </c>
      <c r="J46" s="37"/>
      <c r="K46" s="37">
        <v>637397.45799999998</v>
      </c>
      <c r="L46" s="37">
        <v>731727.44200000004</v>
      </c>
      <c r="M46" s="37">
        <v>801945.83100000001</v>
      </c>
      <c r="N46" s="37">
        <v>844383.22400000005</v>
      </c>
      <c r="O46" s="37">
        <v>933435.26199999999</v>
      </c>
      <c r="P46" s="37">
        <v>944905.19299999997</v>
      </c>
      <c r="Q46" s="37">
        <v>987349.96799999999</v>
      </c>
      <c r="R46" s="37">
        <v>999395.85699999996</v>
      </c>
      <c r="S46" s="37">
        <v>1023259.333</v>
      </c>
      <c r="T46" s="23">
        <v>1281857.889</v>
      </c>
      <c r="U46" s="23">
        <v>1314024.675</v>
      </c>
      <c r="V46" s="23">
        <v>1400104.4369999999</v>
      </c>
      <c r="W46" s="23">
        <v>1503290.578</v>
      </c>
      <c r="X46" s="2">
        <v>1521970.6359999999</v>
      </c>
      <c r="Y46" s="2">
        <v>1561196.9650000001</v>
      </c>
      <c r="Z46" s="2">
        <v>1501654.2409999999</v>
      </c>
      <c r="AA46" s="2">
        <v>1501242.862</v>
      </c>
    </row>
    <row r="47" spans="1:36">
      <c r="A47" s="23" t="s">
        <v>99</v>
      </c>
      <c r="B47" s="37"/>
      <c r="C47" s="37"/>
      <c r="D47" s="37"/>
      <c r="E47" s="37"/>
      <c r="F47" s="77">
        <v>283574.96100000001</v>
      </c>
      <c r="G47" s="37"/>
      <c r="H47" s="37"/>
      <c r="I47" s="37">
        <v>312156.24300000002</v>
      </c>
      <c r="J47" s="37"/>
      <c r="K47" s="37">
        <v>319827.147</v>
      </c>
      <c r="L47" s="37">
        <v>377387.96100000001</v>
      </c>
      <c r="M47" s="37">
        <v>363532.77600000001</v>
      </c>
      <c r="N47" s="37">
        <v>405499.95400000003</v>
      </c>
      <c r="O47" s="37">
        <v>416842.26299999998</v>
      </c>
      <c r="P47" s="37">
        <v>426860.20799999998</v>
      </c>
      <c r="Q47" s="37">
        <v>469471.51799999998</v>
      </c>
      <c r="R47" s="37">
        <v>483917.83</v>
      </c>
      <c r="S47" s="37">
        <v>519692.609</v>
      </c>
      <c r="T47" s="23">
        <v>573594.25100000005</v>
      </c>
      <c r="U47" s="23">
        <v>700581.005</v>
      </c>
      <c r="V47" s="23">
        <v>762657.71200000006</v>
      </c>
      <c r="W47" s="23">
        <v>763803.98600000003</v>
      </c>
      <c r="X47" s="2">
        <v>772160.54599999997</v>
      </c>
      <c r="Y47" s="2">
        <v>799567.33100000001</v>
      </c>
      <c r="Z47" s="2">
        <v>827839.76199999999</v>
      </c>
      <c r="AA47" s="2">
        <v>852140.32900000003</v>
      </c>
    </row>
    <row r="48" spans="1:36">
      <c r="A48" s="23" t="s">
        <v>59</v>
      </c>
      <c r="B48" s="37"/>
      <c r="C48" s="37"/>
      <c r="D48" s="37"/>
      <c r="E48" s="37"/>
      <c r="F48" s="77">
        <v>107414.38</v>
      </c>
      <c r="G48" s="37"/>
      <c r="H48" s="37"/>
      <c r="I48" s="37">
        <v>126678.272</v>
      </c>
      <c r="J48" s="37"/>
      <c r="K48" s="37">
        <v>137553.42000000001</v>
      </c>
      <c r="L48" s="37">
        <v>168006.66800000001</v>
      </c>
      <c r="M48" s="37">
        <v>351651.83</v>
      </c>
      <c r="N48" s="37">
        <v>179372.326</v>
      </c>
      <c r="O48" s="37">
        <v>184783.269</v>
      </c>
      <c r="P48" s="37">
        <v>213995.31299999999</v>
      </c>
      <c r="Q48" s="37">
        <v>215195.802</v>
      </c>
      <c r="R48" s="37">
        <v>227049.465</v>
      </c>
      <c r="S48" s="37">
        <v>227457.70800000001</v>
      </c>
      <c r="T48" s="23">
        <v>253799.174</v>
      </c>
      <c r="U48" s="23">
        <v>260740.03700000001</v>
      </c>
      <c r="V48" s="23">
        <v>268150.75400000002</v>
      </c>
      <c r="W48" s="23">
        <v>262127.16</v>
      </c>
      <c r="X48" s="2">
        <v>251622.98</v>
      </c>
      <c r="Y48" s="2">
        <v>251407.24299999999</v>
      </c>
      <c r="Z48" s="2">
        <v>244163.71100000001</v>
      </c>
      <c r="AA48" s="2">
        <v>237733.77600000001</v>
      </c>
    </row>
    <row r="49" spans="1:36">
      <c r="A49" s="23" t="s">
        <v>101</v>
      </c>
      <c r="B49" s="37"/>
      <c r="C49" s="37"/>
      <c r="D49" s="37"/>
      <c r="E49" s="37"/>
      <c r="F49" s="77">
        <v>94850.816000000006</v>
      </c>
      <c r="G49" s="37"/>
      <c r="H49" s="37"/>
      <c r="I49" s="37">
        <v>109190.435</v>
      </c>
      <c r="J49" s="37"/>
      <c r="K49" s="37">
        <v>114646.61</v>
      </c>
      <c r="L49" s="37">
        <v>131004.24400000001</v>
      </c>
      <c r="M49" s="37">
        <v>143504.34599999999</v>
      </c>
      <c r="N49" s="37">
        <v>158530.06099999999</v>
      </c>
      <c r="O49" s="37">
        <v>176059.747</v>
      </c>
      <c r="P49" s="37">
        <v>196251.32199999999</v>
      </c>
      <c r="Q49" s="37">
        <v>206751.139</v>
      </c>
      <c r="R49" s="37">
        <v>217868.198</v>
      </c>
      <c r="S49" s="37">
        <v>228012.541</v>
      </c>
      <c r="T49" s="23">
        <v>228137.342</v>
      </c>
      <c r="U49" s="23">
        <v>155019.128</v>
      </c>
      <c r="V49" s="23">
        <v>301264.16499999998</v>
      </c>
      <c r="W49" s="23">
        <v>322194.24099999998</v>
      </c>
      <c r="X49" s="2">
        <v>321784.67300000001</v>
      </c>
      <c r="Y49" s="2">
        <v>327830.43800000002</v>
      </c>
      <c r="Z49" s="2">
        <v>334323.48700000002</v>
      </c>
      <c r="AA49" s="2">
        <v>345887.94</v>
      </c>
    </row>
    <row r="50" spans="1:36">
      <c r="A50" s="23" t="s">
        <v>107</v>
      </c>
      <c r="B50" s="37"/>
      <c r="C50" s="37"/>
      <c r="D50" s="37"/>
      <c r="E50" s="37"/>
      <c r="F50" s="77">
        <v>49836.455999999998</v>
      </c>
      <c r="G50" s="37"/>
      <c r="H50" s="37"/>
      <c r="I50" s="37">
        <v>55590.961000000003</v>
      </c>
      <c r="J50" s="37"/>
      <c r="K50" s="37">
        <v>58361.474999999999</v>
      </c>
      <c r="L50" s="37">
        <v>60501.843999999997</v>
      </c>
      <c r="M50" s="37">
        <v>67560.519</v>
      </c>
      <c r="N50" s="37">
        <v>74845.615999999995</v>
      </c>
      <c r="O50" s="37">
        <v>92013.373000000007</v>
      </c>
      <c r="P50" s="37">
        <v>101731.629</v>
      </c>
      <c r="Q50" s="37">
        <v>103508.962</v>
      </c>
      <c r="R50" s="37">
        <v>110040.519</v>
      </c>
      <c r="S50" s="37">
        <v>116690.59299999999</v>
      </c>
      <c r="T50" s="23">
        <v>123620.132</v>
      </c>
      <c r="U50" s="23">
        <v>132739.46799999999</v>
      </c>
      <c r="V50" s="23">
        <v>149288.19200000001</v>
      </c>
      <c r="W50" s="23">
        <v>159525.973</v>
      </c>
      <c r="X50" s="2">
        <v>169888.36799999999</v>
      </c>
      <c r="Y50" s="2">
        <v>157114.07399999999</v>
      </c>
      <c r="Z50" s="2">
        <v>155987.52299999999</v>
      </c>
      <c r="AA50" s="2">
        <v>157343.568</v>
      </c>
    </row>
    <row r="51" spans="1:36">
      <c r="A51" s="23" t="s">
        <v>108</v>
      </c>
      <c r="B51" s="37"/>
      <c r="C51" s="37"/>
      <c r="D51" s="37"/>
      <c r="E51" s="37"/>
      <c r="F51" s="77">
        <v>286339.13799999998</v>
      </c>
      <c r="G51" s="37"/>
      <c r="H51" s="37"/>
      <c r="I51" s="37">
        <v>319564.527</v>
      </c>
      <c r="J51" s="37"/>
      <c r="K51" s="37">
        <v>346981.62599999999</v>
      </c>
      <c r="L51" s="37">
        <v>428972.45699999999</v>
      </c>
      <c r="M51" s="37">
        <v>487841.78100000002</v>
      </c>
      <c r="N51" s="37">
        <v>520468.56400000001</v>
      </c>
      <c r="O51" s="37">
        <v>565502.94299999997</v>
      </c>
      <c r="P51" s="37">
        <v>607014.61199999996</v>
      </c>
      <c r="Q51" s="37">
        <v>638988.02</v>
      </c>
      <c r="R51" s="37">
        <v>687351.46499999997</v>
      </c>
      <c r="S51" s="37">
        <v>696290.451</v>
      </c>
      <c r="T51" s="23">
        <v>745541.478</v>
      </c>
      <c r="U51" s="23">
        <v>798170.47199999995</v>
      </c>
      <c r="V51" s="23">
        <v>914926.25800000003</v>
      </c>
      <c r="W51" s="23">
        <v>955382.15099999995</v>
      </c>
      <c r="X51" s="2">
        <v>966867.79799999995</v>
      </c>
      <c r="Y51" s="2">
        <v>956845.05500000005</v>
      </c>
      <c r="Z51" s="2">
        <v>961322.17700000003</v>
      </c>
      <c r="AA51" s="2">
        <v>935433.92700000003</v>
      </c>
    </row>
    <row r="52" spans="1:36">
      <c r="A52" s="23" t="s">
        <v>112</v>
      </c>
      <c r="B52" s="37"/>
      <c r="C52" s="37"/>
      <c r="D52" s="37"/>
      <c r="E52" s="37"/>
      <c r="F52" s="77">
        <v>23264.330999999998</v>
      </c>
      <c r="G52" s="37"/>
      <c r="H52" s="37"/>
      <c r="I52" s="37">
        <v>25532.352999999999</v>
      </c>
      <c r="J52" s="37"/>
      <c r="K52" s="37">
        <v>25543.208579999999</v>
      </c>
      <c r="L52" s="37">
        <v>31522.269</v>
      </c>
      <c r="M52" s="37">
        <v>34704.851999999999</v>
      </c>
      <c r="N52" s="37">
        <v>35689.942000000003</v>
      </c>
      <c r="O52" s="37">
        <v>43545.498</v>
      </c>
      <c r="P52" s="37">
        <v>47876.548999999999</v>
      </c>
      <c r="Q52" s="37">
        <v>51649.186999999998</v>
      </c>
      <c r="R52" s="37">
        <v>56437.557000000001</v>
      </c>
      <c r="S52" s="37">
        <v>56036.120999999999</v>
      </c>
      <c r="T52" s="23">
        <v>65819.614000000001</v>
      </c>
      <c r="U52" s="23">
        <v>73656.468999999997</v>
      </c>
      <c r="V52" s="23">
        <v>102768.16499999999</v>
      </c>
      <c r="W52" s="23">
        <v>105727.325</v>
      </c>
      <c r="X52" s="2">
        <v>102996.777</v>
      </c>
      <c r="Y52" s="2">
        <v>93452.686000000002</v>
      </c>
      <c r="Z52" s="2">
        <v>89318.178</v>
      </c>
      <c r="AA52" s="2">
        <v>88079.326000000001</v>
      </c>
    </row>
    <row r="53" spans="1:36">
      <c r="A53" s="45" t="s">
        <v>116</v>
      </c>
      <c r="B53" s="63"/>
      <c r="C53" s="63"/>
      <c r="D53" s="63"/>
      <c r="E53" s="63"/>
      <c r="F53" s="82">
        <v>350277.54</v>
      </c>
      <c r="G53" s="63"/>
      <c r="H53" s="63"/>
      <c r="I53" s="63">
        <v>400459.66499999998</v>
      </c>
      <c r="J53" s="63"/>
      <c r="K53" s="63">
        <v>413180.09499999997</v>
      </c>
      <c r="L53" s="63">
        <v>530825.65399999998</v>
      </c>
      <c r="M53" s="63">
        <v>578856.00199999998</v>
      </c>
      <c r="N53" s="63">
        <v>561089.00199999998</v>
      </c>
      <c r="O53" s="63">
        <v>609757.75399999996</v>
      </c>
      <c r="P53" s="63">
        <v>650544.41599999997</v>
      </c>
      <c r="Q53" s="63">
        <v>682758.25100000005</v>
      </c>
      <c r="R53" s="63">
        <v>702681.005</v>
      </c>
      <c r="S53" s="63">
        <v>718334.35900000005</v>
      </c>
      <c r="T53" s="45">
        <v>754853.25100000005</v>
      </c>
      <c r="U53" s="45">
        <v>798668.78899999999</v>
      </c>
      <c r="V53" s="45">
        <v>945508.03300000005</v>
      </c>
      <c r="W53" s="45">
        <v>991180.397</v>
      </c>
      <c r="X53" s="45">
        <v>1004930.171</v>
      </c>
      <c r="Y53" s="45">
        <v>1002321.154</v>
      </c>
      <c r="Z53" s="45">
        <v>876996.08200000005</v>
      </c>
      <c r="AA53" s="45">
        <v>1037667.792</v>
      </c>
    </row>
    <row r="54" spans="1:36" s="23" customFormat="1">
      <c r="A54" s="79" t="s">
        <v>122</v>
      </c>
      <c r="B54" s="90">
        <f>SUM(B56:B64)</f>
        <v>0</v>
      </c>
      <c r="C54" s="90">
        <f t="shared" ref="C54:AA54" si="10">SUM(C56:C64)</f>
        <v>0</v>
      </c>
      <c r="D54" s="90">
        <f t="shared" si="10"/>
        <v>0</v>
      </c>
      <c r="E54" s="90">
        <f t="shared" si="10"/>
        <v>0</v>
      </c>
      <c r="F54" s="90">
        <f t="shared" si="10"/>
        <v>1082753.3339999998</v>
      </c>
      <c r="G54" s="90">
        <f t="shared" si="10"/>
        <v>0</v>
      </c>
      <c r="H54" s="90">
        <f t="shared" si="10"/>
        <v>0</v>
      </c>
      <c r="I54" s="90">
        <f t="shared" si="10"/>
        <v>1285226.9659999998</v>
      </c>
      <c r="J54" s="90">
        <f t="shared" si="10"/>
        <v>0</v>
      </c>
      <c r="K54" s="90">
        <f t="shared" si="10"/>
        <v>1519397.2250000001</v>
      </c>
      <c r="L54" s="90">
        <f t="shared" si="10"/>
        <v>1721683.9010000001</v>
      </c>
      <c r="M54" s="90">
        <f t="shared" si="10"/>
        <v>1906561.0969999998</v>
      </c>
      <c r="N54" s="90">
        <f t="shared" si="10"/>
        <v>1695247.7790000001</v>
      </c>
      <c r="O54" s="90">
        <f t="shared" si="10"/>
        <v>1301409.395</v>
      </c>
      <c r="P54" s="90">
        <f t="shared" si="10"/>
        <v>1468789.7010000001</v>
      </c>
      <c r="Q54" s="90">
        <f t="shared" si="10"/>
        <v>1713462.656</v>
      </c>
      <c r="R54" s="90">
        <f t="shared" si="10"/>
        <v>1709080.3529999999</v>
      </c>
      <c r="S54" s="90">
        <f t="shared" si="10"/>
        <v>1752718.0489999999</v>
      </c>
      <c r="T54" s="90">
        <f t="shared" si="10"/>
        <v>1829791.7919999999</v>
      </c>
      <c r="U54" s="90">
        <f t="shared" si="10"/>
        <v>1640513.7350000001</v>
      </c>
      <c r="V54" s="90">
        <f t="shared" si="10"/>
        <v>2370639.682</v>
      </c>
      <c r="W54" s="90">
        <f t="shared" si="10"/>
        <v>2502107.4780000001</v>
      </c>
      <c r="X54" s="90">
        <f t="shared" si="10"/>
        <v>2517531.7260000003</v>
      </c>
      <c r="Y54" s="90">
        <f t="shared" si="10"/>
        <v>2391220.659</v>
      </c>
      <c r="Z54" s="90">
        <f t="shared" si="10"/>
        <v>2467697.86</v>
      </c>
      <c r="AA54" s="90">
        <f t="shared" si="10"/>
        <v>2607892.8450000002</v>
      </c>
    </row>
    <row r="55" spans="1:36">
      <c r="A55" s="79" t="s">
        <v>119</v>
      </c>
      <c r="B55" s="37"/>
      <c r="C55" s="37"/>
      <c r="D55" s="37"/>
      <c r="E55" s="37"/>
      <c r="F55" s="37"/>
      <c r="G55" s="37"/>
      <c r="H55" s="37"/>
      <c r="I55" s="37"/>
      <c r="J55" s="37"/>
      <c r="K55" s="37"/>
      <c r="L55" s="37"/>
      <c r="M55" s="37"/>
      <c r="N55" s="37"/>
      <c r="O55" s="37"/>
      <c r="P55" s="37"/>
      <c r="Q55" s="37"/>
      <c r="R55" s="37"/>
      <c r="S55" s="37"/>
      <c r="T55" s="23"/>
      <c r="U55" s="23"/>
      <c r="V55" s="23"/>
      <c r="W55" s="23"/>
      <c r="X55" s="2">
        <v>0</v>
      </c>
      <c r="Y55" s="2">
        <v>0</v>
      </c>
    </row>
    <row r="56" spans="1:36" s="23" customFormat="1">
      <c r="A56" s="23" t="s">
        <v>89</v>
      </c>
      <c r="B56" s="36"/>
      <c r="C56" s="36"/>
      <c r="D56" s="36"/>
      <c r="E56" s="36"/>
      <c r="F56" s="77">
        <v>83026.646999999997</v>
      </c>
      <c r="G56" s="36"/>
      <c r="H56" s="36"/>
      <c r="I56" s="37">
        <v>101072.802</v>
      </c>
      <c r="J56" s="37"/>
      <c r="K56" s="37">
        <v>91914.067999999999</v>
      </c>
      <c r="L56" s="37">
        <v>106054.988</v>
      </c>
      <c r="M56" s="37">
        <v>108102.795</v>
      </c>
      <c r="N56" s="37">
        <v>113785.008</v>
      </c>
      <c r="O56" s="37">
        <v>108681.673</v>
      </c>
      <c r="P56" s="37">
        <v>121958.855</v>
      </c>
      <c r="Q56" s="37">
        <v>129128.086</v>
      </c>
      <c r="R56" s="37">
        <v>119381.107</v>
      </c>
      <c r="S56" s="37">
        <v>125117.717</v>
      </c>
      <c r="T56" s="23">
        <v>142405.93400000001</v>
      </c>
      <c r="U56" s="23">
        <v>160919.65299999999</v>
      </c>
      <c r="V56" s="23">
        <v>169353.51500000001</v>
      </c>
      <c r="W56" s="23">
        <v>172926.579</v>
      </c>
      <c r="X56" s="2">
        <v>167885.53400000001</v>
      </c>
      <c r="Y56" s="2">
        <v>182982.58</v>
      </c>
      <c r="Z56" s="2">
        <v>183988.008</v>
      </c>
      <c r="AA56" s="2">
        <v>175406.152</v>
      </c>
      <c r="AB56" s="2"/>
      <c r="AC56" s="2"/>
      <c r="AD56" s="2"/>
      <c r="AE56" s="2"/>
      <c r="AF56" s="2"/>
      <c r="AG56" s="2"/>
      <c r="AH56" s="2"/>
      <c r="AI56" s="2"/>
      <c r="AJ56" s="2"/>
    </row>
    <row r="57" spans="1:36" s="23" customFormat="1">
      <c r="A57" s="23" t="s">
        <v>96</v>
      </c>
      <c r="B57" s="36"/>
      <c r="C57" s="36"/>
      <c r="D57" s="36"/>
      <c r="E57" s="36"/>
      <c r="F57" s="77">
        <v>23090.460999999999</v>
      </c>
      <c r="G57" s="36"/>
      <c r="H57" s="36"/>
      <c r="I57" s="37">
        <v>29750.280999999999</v>
      </c>
      <c r="J57" s="37"/>
      <c r="K57" s="37">
        <v>30036.249</v>
      </c>
      <c r="L57" s="37">
        <v>46852.608</v>
      </c>
      <c r="M57" s="37">
        <v>55601.446000000004</v>
      </c>
      <c r="N57" s="37">
        <v>57185.021000000001</v>
      </c>
      <c r="O57" s="37">
        <v>63344.646000000001</v>
      </c>
      <c r="P57" s="37">
        <v>72280.37</v>
      </c>
      <c r="Q57" s="37">
        <v>73307.907000000007</v>
      </c>
      <c r="R57" s="37">
        <v>71805.165999999997</v>
      </c>
      <c r="S57" s="37">
        <v>71527.061000000002</v>
      </c>
      <c r="T57" s="23">
        <v>75127.146999999997</v>
      </c>
      <c r="U57" s="23">
        <v>73245.724000000002</v>
      </c>
      <c r="V57" s="23">
        <v>84611.466</v>
      </c>
      <c r="W57" s="23">
        <v>89882.273000000001</v>
      </c>
      <c r="X57" s="2">
        <v>83195.652000000002</v>
      </c>
      <c r="Y57" s="2">
        <v>79230.054999999993</v>
      </c>
      <c r="Z57" s="2">
        <v>83282.978000000003</v>
      </c>
      <c r="AA57" s="2">
        <v>76122.822</v>
      </c>
      <c r="AB57" s="2"/>
      <c r="AC57" s="2"/>
      <c r="AD57" s="2"/>
      <c r="AE57" s="2"/>
      <c r="AF57" s="2"/>
      <c r="AG57" s="2"/>
      <c r="AH57" s="2"/>
      <c r="AI57" s="2"/>
      <c r="AJ57" s="2"/>
    </row>
    <row r="58" spans="1:36" s="17" customFormat="1">
      <c r="A58" s="23" t="s">
        <v>97</v>
      </c>
      <c r="B58" s="36"/>
      <c r="C58" s="36"/>
      <c r="D58" s="36"/>
      <c r="E58" s="37"/>
      <c r="F58" s="77">
        <v>119804.572</v>
      </c>
      <c r="G58" s="36"/>
      <c r="H58" s="36"/>
      <c r="I58" s="37">
        <v>135421.53</v>
      </c>
      <c r="J58" s="37"/>
      <c r="K58" s="37">
        <v>151842.16699999999</v>
      </c>
      <c r="L58" s="37">
        <v>191826.13200000001</v>
      </c>
      <c r="M58" s="37">
        <v>214284.09</v>
      </c>
      <c r="N58" s="37">
        <v>243266.62100000001</v>
      </c>
      <c r="O58" s="37">
        <v>274418.022</v>
      </c>
      <c r="P58" s="37">
        <v>283207.31599999999</v>
      </c>
      <c r="Q58" s="37">
        <v>301553.78000000003</v>
      </c>
      <c r="R58" s="37">
        <v>316207.47399999999</v>
      </c>
      <c r="S58" s="37">
        <v>320112.79599999997</v>
      </c>
      <c r="T58" s="23">
        <v>342925.467</v>
      </c>
      <c r="U58" s="23">
        <v>180593.269</v>
      </c>
      <c r="V58" s="23">
        <v>468639.44400000002</v>
      </c>
      <c r="W58" s="23">
        <v>485937.99800000002</v>
      </c>
      <c r="X58" s="23">
        <v>484377.29599999997</v>
      </c>
      <c r="Y58" s="2">
        <v>478296.99699999997</v>
      </c>
      <c r="Z58" s="2">
        <v>478893.13900000002</v>
      </c>
      <c r="AA58" s="2">
        <v>517112.41600000003</v>
      </c>
    </row>
    <row r="59" spans="1:36">
      <c r="A59" s="23" t="s">
        <v>103</v>
      </c>
      <c r="B59" s="37"/>
      <c r="C59" s="37"/>
      <c r="D59" s="37"/>
      <c r="E59" s="37"/>
      <c r="F59" s="77">
        <v>40925.197</v>
      </c>
      <c r="G59" s="37"/>
      <c r="H59" s="37"/>
      <c r="I59" s="37">
        <v>44837.406000000003</v>
      </c>
      <c r="J59" s="37"/>
      <c r="K59" s="37">
        <v>50124.805999999997</v>
      </c>
      <c r="L59" s="37">
        <v>67694.911999999997</v>
      </c>
      <c r="M59" s="37">
        <v>75736.039000000004</v>
      </c>
      <c r="N59" s="37">
        <v>78228.668000000005</v>
      </c>
      <c r="O59" s="37">
        <v>86298.994000000006</v>
      </c>
      <c r="P59" s="37">
        <v>97291.535999999993</v>
      </c>
      <c r="Q59" s="37">
        <v>92911.695999999996</v>
      </c>
      <c r="R59" s="37">
        <v>103090.90399999999</v>
      </c>
      <c r="S59" s="37">
        <v>102716.943</v>
      </c>
      <c r="T59" s="23">
        <v>111869.476</v>
      </c>
      <c r="U59" s="23">
        <v>111768.372</v>
      </c>
      <c r="V59" s="23">
        <v>117240.48</v>
      </c>
      <c r="W59" s="23">
        <v>141667.83199999999</v>
      </c>
      <c r="X59" s="2">
        <v>153128.56200000001</v>
      </c>
      <c r="Y59" s="2">
        <v>138980.261</v>
      </c>
      <c r="Z59" s="2">
        <v>124722.412</v>
      </c>
      <c r="AA59" s="2">
        <v>125887.56</v>
      </c>
    </row>
    <row r="60" spans="1:36">
      <c r="A60" s="23" t="s">
        <v>104</v>
      </c>
      <c r="B60" s="37"/>
      <c r="C60" s="37"/>
      <c r="D60" s="37"/>
      <c r="E60" s="37"/>
      <c r="F60" s="77">
        <v>79331.442999999999</v>
      </c>
      <c r="G60" s="37"/>
      <c r="H60" s="37"/>
      <c r="I60" s="37">
        <v>98787.332999999999</v>
      </c>
      <c r="J60" s="37"/>
      <c r="K60" s="37">
        <v>245198.55499999999</v>
      </c>
      <c r="L60" s="37">
        <v>142626.91500000001</v>
      </c>
      <c r="M60" s="37">
        <v>178323.13200000001</v>
      </c>
      <c r="N60" s="37">
        <v>190323.30799999999</v>
      </c>
      <c r="O60" s="37">
        <v>216017.31099999999</v>
      </c>
      <c r="P60" s="37">
        <v>242243.42600000001</v>
      </c>
      <c r="Q60" s="37">
        <v>488203.609</v>
      </c>
      <c r="R60" s="37">
        <v>494729.59899999999</v>
      </c>
      <c r="S60" s="37">
        <v>490934.18900000001</v>
      </c>
      <c r="T60" s="23">
        <v>534780.64199999999</v>
      </c>
      <c r="U60" s="23">
        <v>392062.64199999999</v>
      </c>
      <c r="V60" s="23">
        <v>628891.95499999996</v>
      </c>
      <c r="W60" s="23">
        <v>644931.16</v>
      </c>
      <c r="X60" s="2">
        <v>647360.74399999995</v>
      </c>
      <c r="Y60" s="2">
        <v>484237.20899999997</v>
      </c>
      <c r="Z60" s="2">
        <v>626632.16700000002</v>
      </c>
      <c r="AA60" s="2">
        <v>773491.451</v>
      </c>
    </row>
    <row r="61" spans="1:36">
      <c r="A61" s="23" t="s">
        <v>106</v>
      </c>
      <c r="B61" s="37"/>
      <c r="C61" s="37"/>
      <c r="D61" s="37"/>
      <c r="E61" s="37"/>
      <c r="F61" s="77">
        <v>293519.95500000002</v>
      </c>
      <c r="G61" s="37"/>
      <c r="H61" s="37"/>
      <c r="I61" s="37">
        <v>342903.29700000002</v>
      </c>
      <c r="J61" s="37"/>
      <c r="K61" s="37">
        <v>394498.30699999997</v>
      </c>
      <c r="L61" s="37">
        <v>402438.09700000001</v>
      </c>
      <c r="M61" s="37">
        <v>475771.47700000001</v>
      </c>
      <c r="N61" s="37">
        <v>542244.62800000003</v>
      </c>
      <c r="O61" s="37">
        <v>435162.77399999998</v>
      </c>
      <c r="P61" s="37">
        <v>503935.44799999997</v>
      </c>
      <c r="Q61" s="37">
        <v>480969.28499999997</v>
      </c>
      <c r="R61" s="37">
        <v>446363.48700000002</v>
      </c>
      <c r="S61" s="37">
        <v>483116.86599999998</v>
      </c>
      <c r="T61" s="23">
        <v>455984.55800000002</v>
      </c>
      <c r="U61" s="23">
        <v>543542.40300000005</v>
      </c>
      <c r="V61" s="23">
        <v>678776.98400000005</v>
      </c>
      <c r="W61" s="23">
        <v>747585.65300000005</v>
      </c>
      <c r="X61" s="2">
        <v>759664.696</v>
      </c>
      <c r="Y61" s="2">
        <v>813420.69400000002</v>
      </c>
      <c r="Z61" s="2">
        <v>763137.34900000005</v>
      </c>
      <c r="AA61" s="2">
        <v>734336.04399999999</v>
      </c>
    </row>
    <row r="62" spans="1:36">
      <c r="A62" s="23" t="s">
        <v>110</v>
      </c>
      <c r="B62" s="37"/>
      <c r="C62" s="37"/>
      <c r="D62" s="37"/>
      <c r="E62" s="37"/>
      <c r="F62" s="77">
        <v>374223.83199999999</v>
      </c>
      <c r="G62" s="37"/>
      <c r="H62" s="37"/>
      <c r="I62" s="37">
        <v>456230.94400000002</v>
      </c>
      <c r="J62" s="37"/>
      <c r="K62" s="37">
        <v>473897.087</v>
      </c>
      <c r="L62" s="37">
        <v>668888.02</v>
      </c>
      <c r="M62" s="37">
        <v>688186.58900000004</v>
      </c>
      <c r="N62" s="37">
        <v>350047.25699999998</v>
      </c>
      <c r="O62" s="37">
        <v>6704.1239999999998</v>
      </c>
      <c r="P62" s="37">
        <v>8211.5360000000001</v>
      </c>
      <c r="Q62" s="37">
        <v>3955.9789999999998</v>
      </c>
      <c r="R62" s="37">
        <v>4751.1570000000002</v>
      </c>
      <c r="S62" s="37">
        <v>5913.9369999999999</v>
      </c>
      <c r="T62" s="23">
        <v>6498.741</v>
      </c>
      <c r="U62" s="23">
        <v>7296.4179999999997</v>
      </c>
      <c r="V62" s="23">
        <v>8473.15</v>
      </c>
      <c r="W62" s="23">
        <v>8484.9609999999993</v>
      </c>
      <c r="X62" s="2">
        <v>7885.7139999999999</v>
      </c>
      <c r="Y62" s="2">
        <v>6489.2030000000004</v>
      </c>
      <c r="Z62" s="2">
        <v>6149.9139999999998</v>
      </c>
      <c r="AA62" s="2">
        <v>6858.2039999999997</v>
      </c>
    </row>
    <row r="63" spans="1:36">
      <c r="A63" s="23" t="s">
        <v>111</v>
      </c>
      <c r="B63" s="37"/>
      <c r="C63" s="37"/>
      <c r="D63" s="37"/>
      <c r="E63" s="37"/>
      <c r="F63" s="77">
        <v>33751.362999999998</v>
      </c>
      <c r="G63" s="37"/>
      <c r="H63" s="37"/>
      <c r="I63" s="37">
        <v>37578.919000000002</v>
      </c>
      <c r="J63" s="37"/>
      <c r="K63" s="37">
        <v>39258.284</v>
      </c>
      <c r="L63" s="37">
        <v>49667.127999999997</v>
      </c>
      <c r="M63" s="37">
        <v>55743.599000000002</v>
      </c>
      <c r="N63" s="37">
        <v>53823.923000000003</v>
      </c>
      <c r="O63" s="37">
        <v>63322.794999999998</v>
      </c>
      <c r="P63" s="37">
        <v>57443.553</v>
      </c>
      <c r="Q63" s="37">
        <v>61588.646999999997</v>
      </c>
      <c r="R63" s="37">
        <v>66178.872000000003</v>
      </c>
      <c r="S63" s="37">
        <v>72241.543000000005</v>
      </c>
      <c r="T63" s="23">
        <v>72157.447</v>
      </c>
      <c r="U63" s="23">
        <v>76233.039999999994</v>
      </c>
      <c r="V63" s="23">
        <v>101031.364</v>
      </c>
      <c r="W63" s="23">
        <v>96592.043999999994</v>
      </c>
      <c r="X63" s="2">
        <v>113396.019</v>
      </c>
      <c r="Y63" s="2">
        <v>109188.973</v>
      </c>
      <c r="Z63" s="2">
        <v>106695.015</v>
      </c>
      <c r="AA63" s="2">
        <v>99581.316999999995</v>
      </c>
    </row>
    <row r="64" spans="1:36">
      <c r="A64" s="45" t="s">
        <v>114</v>
      </c>
      <c r="B64" s="63"/>
      <c r="C64" s="63"/>
      <c r="D64" s="63"/>
      <c r="E64" s="63"/>
      <c r="F64" s="82">
        <v>35079.864000000001</v>
      </c>
      <c r="G64" s="63"/>
      <c r="H64" s="63"/>
      <c r="I64" s="63">
        <v>38644.453999999998</v>
      </c>
      <c r="J64" s="63"/>
      <c r="K64" s="63">
        <v>42627.701999999997</v>
      </c>
      <c r="L64" s="63">
        <v>45635.101000000002</v>
      </c>
      <c r="M64" s="63">
        <v>54811.93</v>
      </c>
      <c r="N64" s="63">
        <v>66343.345000000001</v>
      </c>
      <c r="O64" s="63">
        <v>47459.055999999997</v>
      </c>
      <c r="P64" s="63">
        <v>82217.660999999993</v>
      </c>
      <c r="Q64" s="63">
        <v>81843.667000000001</v>
      </c>
      <c r="R64" s="63">
        <v>86572.587</v>
      </c>
      <c r="S64" s="63">
        <v>81036.997000000003</v>
      </c>
      <c r="T64" s="45">
        <v>88042.38</v>
      </c>
      <c r="U64" s="45">
        <v>94852.214000000007</v>
      </c>
      <c r="V64" s="45">
        <v>113621.32399999999</v>
      </c>
      <c r="W64" s="45">
        <v>114098.978</v>
      </c>
      <c r="X64" s="45">
        <v>100637.50900000001</v>
      </c>
      <c r="Y64" s="45">
        <v>98394.687000000005</v>
      </c>
      <c r="Z64" s="45">
        <v>94196.877999999997</v>
      </c>
      <c r="AA64" s="45">
        <v>99096.879000000001</v>
      </c>
    </row>
    <row r="65" spans="1:36">
      <c r="A65" s="88" t="s">
        <v>90</v>
      </c>
      <c r="B65" s="84"/>
      <c r="C65" s="84"/>
      <c r="D65" s="84"/>
      <c r="E65" s="84"/>
      <c r="F65" s="85">
        <v>6297.0330000000004</v>
      </c>
      <c r="G65" s="84"/>
      <c r="H65" s="84"/>
      <c r="I65" s="86">
        <v>5058.6490000000003</v>
      </c>
      <c r="J65" s="86"/>
      <c r="K65" s="86">
        <v>5572.2491600000003</v>
      </c>
      <c r="L65" s="86">
        <v>2169.547</v>
      </c>
      <c r="M65" s="86">
        <v>2627.3220000000001</v>
      </c>
      <c r="N65" s="86">
        <v>3739.8780000000002</v>
      </c>
      <c r="O65" s="86">
        <v>3599.1559999999999</v>
      </c>
      <c r="P65" s="86">
        <v>2859.1750000000002</v>
      </c>
      <c r="Q65" s="86">
        <v>3863.7660000000001</v>
      </c>
      <c r="R65" s="86">
        <v>4239.1689999999999</v>
      </c>
      <c r="S65" s="86">
        <v>3611.4250000000002</v>
      </c>
      <c r="T65" s="87">
        <v>5129.3760000000002</v>
      </c>
      <c r="U65" s="87">
        <v>5439.7610000000004</v>
      </c>
      <c r="V65" s="87">
        <v>5306</v>
      </c>
      <c r="W65" s="87">
        <v>6993.4780000000001</v>
      </c>
      <c r="X65" s="45">
        <v>7554.7470000000003</v>
      </c>
      <c r="Y65" s="45">
        <v>6545.1790000000001</v>
      </c>
      <c r="Z65" s="45">
        <v>4649.3950000000004</v>
      </c>
      <c r="AA65" s="45">
        <v>4909.9970000000003</v>
      </c>
      <c r="AB65" s="23"/>
      <c r="AC65" s="23"/>
      <c r="AD65" s="23"/>
      <c r="AE65" s="23"/>
      <c r="AF65" s="23"/>
      <c r="AG65" s="23"/>
      <c r="AH65" s="23"/>
      <c r="AI65" s="23"/>
      <c r="AJ65" s="23"/>
    </row>
    <row r="67" spans="1:36">
      <c r="I67" s="34" t="s">
        <v>78</v>
      </c>
      <c r="J67" s="34" t="s">
        <v>76</v>
      </c>
      <c r="L67" s="14" t="s">
        <v>69</v>
      </c>
      <c r="O67" s="14" t="s">
        <v>78</v>
      </c>
      <c r="P67" s="14" t="s">
        <v>78</v>
      </c>
      <c r="Q67" s="14" t="s">
        <v>78</v>
      </c>
      <c r="R67" s="14" t="s">
        <v>78</v>
      </c>
    </row>
    <row r="68" spans="1:36">
      <c r="I68" s="14" t="s">
        <v>79</v>
      </c>
      <c r="J68" s="14" t="s">
        <v>72</v>
      </c>
      <c r="L68" s="14" t="s">
        <v>70</v>
      </c>
      <c r="O68" s="14" t="s">
        <v>79</v>
      </c>
      <c r="P68" s="14" t="s">
        <v>79</v>
      </c>
      <c r="Q68" s="14" t="s">
        <v>79</v>
      </c>
      <c r="R68" s="14" t="s">
        <v>79</v>
      </c>
    </row>
    <row r="69" spans="1:36">
      <c r="I69" s="14" t="s">
        <v>80</v>
      </c>
      <c r="J69" s="14" t="s">
        <v>73</v>
      </c>
      <c r="O69" s="14" t="s">
        <v>80</v>
      </c>
      <c r="P69" s="14" t="s">
        <v>80</v>
      </c>
      <c r="Q69" s="14" t="s">
        <v>80</v>
      </c>
      <c r="R69" s="14" t="s">
        <v>80</v>
      </c>
    </row>
    <row r="70" spans="1:36">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4">
    <tabColor indexed="62"/>
  </sheetPr>
  <dimension ref="A1:AK70"/>
  <sheetViews>
    <sheetView showZeros="0" zoomScale="80" zoomScaleNormal="80" workbookViewId="0">
      <pane xSplit="1" ySplit="5" topLeftCell="G6" activePane="bottomRight" state="frozen"/>
      <selection activeCell="B52" sqref="B52"/>
      <selection pane="topRight" activeCell="B52" sqref="B52"/>
      <selection pane="bottomLeft" activeCell="B52" sqref="B52"/>
      <selection pane="bottomRight" activeCell="AA2" sqref="AA2"/>
    </sheetView>
  </sheetViews>
  <sheetFormatPr defaultColWidth="9.7109375" defaultRowHeight="12.75"/>
  <cols>
    <col min="1" max="1" width="23.42578125" style="80" customWidth="1"/>
    <col min="2" max="23" width="12.42578125" style="14" customWidth="1"/>
    <col min="24" max="37" width="11.7109375" style="2" customWidth="1"/>
    <col min="38" max="16384" width="9.7109375" style="2"/>
  </cols>
  <sheetData>
    <row r="1" spans="1:27">
      <c r="A1" s="8" t="s">
        <v>39</v>
      </c>
      <c r="B1"/>
      <c r="C1"/>
      <c r="D1"/>
      <c r="E1"/>
      <c r="F1"/>
      <c r="G1"/>
      <c r="H1"/>
      <c r="I1"/>
      <c r="J1"/>
      <c r="K1"/>
      <c r="L1"/>
      <c r="M1"/>
      <c r="N1" s="46"/>
      <c r="O1" s="46"/>
      <c r="P1" s="46"/>
      <c r="Q1" s="46"/>
      <c r="R1" s="46"/>
      <c r="S1"/>
      <c r="T1"/>
      <c r="U1"/>
      <c r="V1"/>
      <c r="W1"/>
    </row>
    <row r="2" spans="1:27">
      <c r="A2" s="8"/>
      <c r="B2" s="12"/>
      <c r="C2" s="12"/>
      <c r="D2" s="12"/>
      <c r="E2" s="12"/>
      <c r="F2" s="13"/>
      <c r="G2" s="13"/>
      <c r="H2" s="13"/>
    </row>
    <row r="3" spans="1:27">
      <c r="A3" s="8" t="s">
        <v>19</v>
      </c>
      <c r="B3" s="12"/>
      <c r="C3" s="12"/>
      <c r="D3" s="12"/>
      <c r="E3" s="12"/>
      <c r="F3" s="13"/>
      <c r="G3" s="13"/>
      <c r="H3" s="13"/>
    </row>
    <row r="4" spans="1:27" s="61"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74">
        <v>2005</v>
      </c>
      <c r="R4" s="74">
        <v>2006</v>
      </c>
      <c r="S4" s="74">
        <v>2007</v>
      </c>
      <c r="T4" s="74">
        <v>2008</v>
      </c>
      <c r="U4" s="74">
        <v>2009</v>
      </c>
      <c r="V4" s="74">
        <v>2010</v>
      </c>
      <c r="W4" s="74">
        <v>2011</v>
      </c>
      <c r="X4" s="173" t="s">
        <v>142</v>
      </c>
      <c r="Y4" s="173" t="s">
        <v>144</v>
      </c>
      <c r="Z4" s="173" t="s">
        <v>145</v>
      </c>
      <c r="AA4" s="173" t="s">
        <v>146</v>
      </c>
    </row>
    <row r="5" spans="1:27">
      <c r="B5" s="15" t="s">
        <v>2</v>
      </c>
      <c r="C5" s="15" t="s">
        <v>2</v>
      </c>
      <c r="D5" s="15" t="s">
        <v>2</v>
      </c>
      <c r="E5" s="15" t="s">
        <v>2</v>
      </c>
      <c r="F5" s="15" t="s">
        <v>2</v>
      </c>
      <c r="G5" s="15" t="s">
        <v>2</v>
      </c>
      <c r="H5" s="15" t="s">
        <v>2</v>
      </c>
      <c r="I5" s="15" t="s">
        <v>2</v>
      </c>
      <c r="J5" s="15" t="s">
        <v>2</v>
      </c>
      <c r="K5" s="15" t="s">
        <v>2</v>
      </c>
      <c r="L5" s="15" t="s">
        <v>2</v>
      </c>
      <c r="M5" s="15" t="s">
        <v>2</v>
      </c>
      <c r="N5" s="15" t="s">
        <v>2</v>
      </c>
      <c r="O5" s="15" t="s">
        <v>2</v>
      </c>
      <c r="P5" s="15" t="s">
        <v>2</v>
      </c>
      <c r="Q5" s="15" t="s">
        <v>2</v>
      </c>
      <c r="R5" s="15" t="s">
        <v>2</v>
      </c>
      <c r="S5" s="15" t="s">
        <v>2</v>
      </c>
      <c r="T5" s="15" t="s">
        <v>2</v>
      </c>
      <c r="U5" s="15" t="s">
        <v>2</v>
      </c>
      <c r="V5" s="15" t="s">
        <v>2</v>
      </c>
      <c r="W5" s="15" t="s">
        <v>2</v>
      </c>
      <c r="X5" s="19" t="s">
        <v>2</v>
      </c>
      <c r="Y5" s="19" t="s">
        <v>2</v>
      </c>
      <c r="Z5" s="19" t="s">
        <v>2</v>
      </c>
      <c r="AA5" s="19" t="s">
        <v>2</v>
      </c>
    </row>
    <row r="6" spans="1:27" s="23" customFormat="1">
      <c r="A6" s="63" t="s">
        <v>118</v>
      </c>
      <c r="B6" s="66">
        <v>18189</v>
      </c>
      <c r="C6" s="66">
        <v>15591</v>
      </c>
      <c r="D6" s="66">
        <v>10136</v>
      </c>
      <c r="E6" s="66">
        <v>19390.402999999998</v>
      </c>
      <c r="F6" s="91">
        <f>+F7+F25+F40+F54+F65</f>
        <v>23345.152999999998</v>
      </c>
      <c r="G6" s="66">
        <v>27509.581999999999</v>
      </c>
      <c r="H6" s="66">
        <v>29560.142</v>
      </c>
      <c r="I6" s="91">
        <f>+I7+I25+I40+I54+I65</f>
        <v>26113.995999999999</v>
      </c>
      <c r="J6" s="63">
        <v>23579.591</v>
      </c>
      <c r="K6" s="91">
        <f t="shared" ref="K6:U6" si="0">+K7+K25+K40+K54+K65</f>
        <v>24729.763319999995</v>
      </c>
      <c r="L6" s="91">
        <f t="shared" si="0"/>
        <v>19087.635999999999</v>
      </c>
      <c r="M6" s="91">
        <f t="shared" si="0"/>
        <v>14330.182999999999</v>
      </c>
      <c r="N6" s="91">
        <f t="shared" si="0"/>
        <v>25237.376000000004</v>
      </c>
      <c r="O6" s="91">
        <f t="shared" si="0"/>
        <v>24220.089999999997</v>
      </c>
      <c r="P6" s="91">
        <f t="shared" si="0"/>
        <v>13849.078</v>
      </c>
      <c r="Q6" s="91">
        <f t="shared" si="0"/>
        <v>21237.095999999998</v>
      </c>
      <c r="R6" s="91">
        <f t="shared" si="0"/>
        <v>23485.154999999999</v>
      </c>
      <c r="S6" s="91">
        <f t="shared" si="0"/>
        <v>17141.681</v>
      </c>
      <c r="T6" s="91">
        <f t="shared" si="0"/>
        <v>18703.891</v>
      </c>
      <c r="U6" s="91">
        <f t="shared" si="0"/>
        <v>29904.638999999999</v>
      </c>
      <c r="V6" s="91">
        <f t="shared" ref="V6:W6" si="1">+V7+V25+V40+V54+V65</f>
        <v>26579.951000000001</v>
      </c>
      <c r="W6" s="91">
        <f t="shared" si="1"/>
        <v>26520.702000000001</v>
      </c>
      <c r="X6" s="91">
        <f t="shared" ref="X6:Y6" si="2">+X7+X25+X40+X54+X65</f>
        <v>24778.85</v>
      </c>
      <c r="Y6" s="91">
        <f t="shared" si="2"/>
        <v>25074.718000000004</v>
      </c>
      <c r="Z6" s="91">
        <f t="shared" ref="Z6:AA6" si="3">+Z7+Z25+Z40+Z54+Z65</f>
        <v>33629.784</v>
      </c>
      <c r="AA6" s="91">
        <f t="shared" si="3"/>
        <v>22886.705999999998</v>
      </c>
    </row>
    <row r="7" spans="1:27" s="23" customFormat="1">
      <c r="A7" s="22" t="s">
        <v>56</v>
      </c>
      <c r="B7" s="89">
        <f>SUM(B8:B24)</f>
        <v>1700</v>
      </c>
      <c r="C7" s="89">
        <f t="shared" ref="C7:U7" si="4">SUM(C8:C24)</f>
        <v>584</v>
      </c>
      <c r="D7" s="89">
        <f t="shared" si="4"/>
        <v>690</v>
      </c>
      <c r="E7" s="89">
        <f t="shared" si="4"/>
        <v>2899.4279999999999</v>
      </c>
      <c r="F7" s="89">
        <f t="shared" si="4"/>
        <v>5575.2340000000004</v>
      </c>
      <c r="G7" s="89">
        <f t="shared" si="4"/>
        <v>5832.1370000000015</v>
      </c>
      <c r="H7" s="89">
        <f t="shared" si="4"/>
        <v>7807.1109999999999</v>
      </c>
      <c r="I7" s="89">
        <f t="shared" si="4"/>
        <v>5576.607</v>
      </c>
      <c r="J7" s="89">
        <f t="shared" si="4"/>
        <v>5294.88</v>
      </c>
      <c r="K7" s="89">
        <f t="shared" si="4"/>
        <v>3035.7930000000001</v>
      </c>
      <c r="L7" s="89">
        <f t="shared" si="4"/>
        <v>1443.7930000000001</v>
      </c>
      <c r="M7" s="89">
        <f t="shared" si="4"/>
        <v>1895.5819999999999</v>
      </c>
      <c r="N7" s="89">
        <f t="shared" si="4"/>
        <v>4125.0680000000002</v>
      </c>
      <c r="O7" s="89">
        <f t="shared" si="4"/>
        <v>2960.26</v>
      </c>
      <c r="P7" s="89">
        <f t="shared" si="4"/>
        <v>1659.1289999999999</v>
      </c>
      <c r="Q7" s="89">
        <f t="shared" si="4"/>
        <v>1571.8929999999998</v>
      </c>
      <c r="R7" s="89">
        <f t="shared" si="4"/>
        <v>1795.4399999999998</v>
      </c>
      <c r="S7" s="89">
        <f t="shared" si="4"/>
        <v>1394.7759999999998</v>
      </c>
      <c r="T7" s="89">
        <f t="shared" si="4"/>
        <v>1696.2259999999999</v>
      </c>
      <c r="U7" s="89">
        <f t="shared" si="4"/>
        <v>3393.9459999999999</v>
      </c>
      <c r="V7" s="89">
        <f t="shared" ref="V7:W7" si="5">SUM(V8:V24)</f>
        <v>3510.3519999999999</v>
      </c>
      <c r="W7" s="89">
        <f t="shared" si="5"/>
        <v>3177.4050000000002</v>
      </c>
      <c r="X7" s="89">
        <f t="shared" ref="X7:Y7" si="6">SUM(X8:X24)</f>
        <v>2274.7669999999998</v>
      </c>
      <c r="Y7" s="89">
        <f t="shared" si="6"/>
        <v>1781.94</v>
      </c>
      <c r="Z7" s="89">
        <f t="shared" ref="Z7:AA7" si="7">SUM(Z8:Z24)</f>
        <v>1836.6440000000002</v>
      </c>
      <c r="AA7" s="89">
        <f t="shared" si="7"/>
        <v>1083.8429999999998</v>
      </c>
    </row>
    <row r="8" spans="1:27">
      <c r="A8" s="79" t="s">
        <v>119</v>
      </c>
      <c r="T8" s="2"/>
      <c r="U8" s="2"/>
      <c r="V8" s="2"/>
      <c r="W8" s="2"/>
    </row>
    <row r="9" spans="1:27">
      <c r="A9" s="22" t="s">
        <v>3</v>
      </c>
      <c r="B9" s="13">
        <v>0</v>
      </c>
      <c r="C9" s="13">
        <v>53</v>
      </c>
      <c r="D9" s="13">
        <v>54</v>
      </c>
      <c r="E9" s="13">
        <v>1173.51</v>
      </c>
      <c r="F9" s="76">
        <v>3078.078</v>
      </c>
      <c r="G9" s="13">
        <v>3090.7440000000001</v>
      </c>
      <c r="H9" s="13">
        <v>5381.7290000000003</v>
      </c>
      <c r="I9" s="13">
        <v>0</v>
      </c>
      <c r="J9" s="13">
        <v>0</v>
      </c>
      <c r="K9" s="13">
        <v>0</v>
      </c>
      <c r="L9" s="14">
        <v>0</v>
      </c>
      <c r="M9" s="14">
        <v>0</v>
      </c>
      <c r="N9" s="14">
        <v>56.825000000000003</v>
      </c>
      <c r="P9" s="14">
        <v>0</v>
      </c>
      <c r="Q9" s="14">
        <v>0</v>
      </c>
      <c r="R9" s="14">
        <v>0</v>
      </c>
      <c r="S9" s="14">
        <v>0</v>
      </c>
      <c r="T9" s="2">
        <v>0</v>
      </c>
      <c r="U9" s="2">
        <v>0</v>
      </c>
      <c r="V9" s="2">
        <v>0</v>
      </c>
      <c r="W9" s="2">
        <v>0</v>
      </c>
      <c r="X9" s="2">
        <v>0</v>
      </c>
      <c r="Y9" s="2">
        <v>0</v>
      </c>
      <c r="Z9" s="2">
        <v>0</v>
      </c>
      <c r="AA9" s="2">
        <v>0</v>
      </c>
    </row>
    <row r="10" spans="1:27">
      <c r="A10" s="22" t="s">
        <v>4</v>
      </c>
      <c r="B10" s="13">
        <v>76</v>
      </c>
      <c r="C10" s="13">
        <v>0</v>
      </c>
      <c r="D10" s="13">
        <v>0</v>
      </c>
      <c r="E10" s="13">
        <v>0</v>
      </c>
      <c r="F10" s="76">
        <v>0</v>
      </c>
      <c r="G10" s="13">
        <v>0</v>
      </c>
      <c r="H10" s="13">
        <v>0</v>
      </c>
      <c r="I10" s="14">
        <v>17.036999999999999</v>
      </c>
      <c r="J10" s="14">
        <v>4.7039999999999997</v>
      </c>
      <c r="K10" s="14">
        <v>0.16700000000000001</v>
      </c>
      <c r="L10" s="14">
        <v>0</v>
      </c>
      <c r="M10" s="14">
        <v>0</v>
      </c>
      <c r="N10" s="14">
        <v>0</v>
      </c>
      <c r="P10" s="14">
        <v>0</v>
      </c>
      <c r="Q10" s="14">
        <v>0</v>
      </c>
      <c r="R10" s="14">
        <v>0</v>
      </c>
      <c r="S10" s="14">
        <v>0</v>
      </c>
      <c r="T10" s="2">
        <v>0</v>
      </c>
      <c r="U10" s="2">
        <v>0</v>
      </c>
      <c r="V10" s="2">
        <v>0</v>
      </c>
      <c r="W10" s="2">
        <v>0</v>
      </c>
      <c r="X10" s="2">
        <v>0</v>
      </c>
      <c r="Y10" s="2">
        <v>0</v>
      </c>
      <c r="Z10" s="2">
        <v>0</v>
      </c>
      <c r="AA10" s="2">
        <v>36.536000000000001</v>
      </c>
    </row>
    <row r="11" spans="1:27">
      <c r="A11" s="22" t="s">
        <v>52</v>
      </c>
      <c r="B11" s="13"/>
      <c r="C11" s="13"/>
      <c r="D11" s="13">
        <v>0</v>
      </c>
      <c r="E11" s="13"/>
      <c r="F11" s="76">
        <v>0</v>
      </c>
      <c r="G11" s="13"/>
      <c r="H11" s="13"/>
      <c r="I11" s="14">
        <v>0</v>
      </c>
      <c r="J11" s="14">
        <v>0</v>
      </c>
      <c r="K11" s="14">
        <v>0</v>
      </c>
      <c r="L11" s="14">
        <v>0</v>
      </c>
      <c r="M11" s="14">
        <v>0</v>
      </c>
      <c r="N11" s="14">
        <v>0</v>
      </c>
      <c r="P11" s="14">
        <v>0</v>
      </c>
      <c r="Q11" s="14">
        <v>0</v>
      </c>
      <c r="R11" s="14">
        <v>0</v>
      </c>
      <c r="S11" s="14">
        <v>0</v>
      </c>
      <c r="T11" s="2">
        <v>0</v>
      </c>
      <c r="U11" s="2">
        <v>0</v>
      </c>
      <c r="V11" s="2">
        <v>0</v>
      </c>
      <c r="W11" s="2">
        <v>0</v>
      </c>
      <c r="X11" s="2">
        <v>0</v>
      </c>
      <c r="Y11" s="2">
        <v>0</v>
      </c>
      <c r="Z11" s="2">
        <v>0</v>
      </c>
      <c r="AA11" s="2">
        <v>0</v>
      </c>
    </row>
    <row r="12" spans="1:27">
      <c r="A12" s="22" t="s">
        <v>5</v>
      </c>
      <c r="B12" s="13">
        <v>16</v>
      </c>
      <c r="C12" s="13">
        <v>119</v>
      </c>
      <c r="D12" s="13">
        <v>207</v>
      </c>
      <c r="E12" s="13">
        <v>198.05</v>
      </c>
      <c r="F12" s="76">
        <v>350.43900000000002</v>
      </c>
      <c r="G12" s="13">
        <v>381.55500000000001</v>
      </c>
      <c r="H12" s="13">
        <v>502.59899999999999</v>
      </c>
      <c r="I12" s="14">
        <v>878.98900000000003</v>
      </c>
      <c r="J12" s="14">
        <v>168.881</v>
      </c>
      <c r="K12" s="14">
        <v>211.84800000000001</v>
      </c>
      <c r="L12" s="14">
        <v>0</v>
      </c>
      <c r="M12" s="14">
        <v>50.204999999999998</v>
      </c>
      <c r="N12" s="14">
        <v>0</v>
      </c>
      <c r="P12" s="14">
        <v>8.0399999999999991</v>
      </c>
      <c r="Q12" s="14">
        <v>10.555</v>
      </c>
      <c r="R12" s="14">
        <v>0</v>
      </c>
      <c r="S12" s="14">
        <v>3.9969999999999999</v>
      </c>
      <c r="T12" s="2">
        <v>50.904000000000003</v>
      </c>
      <c r="U12" s="2">
        <v>0</v>
      </c>
      <c r="V12" s="2">
        <v>318.14699999999999</v>
      </c>
      <c r="W12" s="2">
        <v>0</v>
      </c>
      <c r="X12" s="2">
        <v>561.05200000000002</v>
      </c>
      <c r="Y12" s="2">
        <v>0</v>
      </c>
      <c r="Z12" s="2">
        <v>0</v>
      </c>
      <c r="AA12" s="2">
        <v>0</v>
      </c>
    </row>
    <row r="13" spans="1:27">
      <c r="A13" s="22" t="s">
        <v>6</v>
      </c>
      <c r="B13" s="13">
        <v>0</v>
      </c>
      <c r="C13" s="13">
        <v>0</v>
      </c>
      <c r="D13" s="13">
        <v>0</v>
      </c>
      <c r="E13" s="13">
        <v>49.662999999999997</v>
      </c>
      <c r="F13" s="76">
        <v>327.57900000000001</v>
      </c>
      <c r="G13" s="13">
        <v>412.334</v>
      </c>
      <c r="H13" s="13">
        <v>184.441</v>
      </c>
      <c r="I13" s="14">
        <v>170.39699999999999</v>
      </c>
      <c r="J13" s="14">
        <v>261.41199999999998</v>
      </c>
      <c r="K13" s="14">
        <v>259.99299999999999</v>
      </c>
      <c r="L13" s="14">
        <v>99.191999999999993</v>
      </c>
      <c r="M13" s="14">
        <v>92.739000000000004</v>
      </c>
      <c r="N13" s="14">
        <v>385.77800000000002</v>
      </c>
      <c r="O13" s="14">
        <v>222.50200000000001</v>
      </c>
      <c r="P13" s="14">
        <v>338.53500000000003</v>
      </c>
      <c r="Q13" s="14">
        <v>378.74099999999999</v>
      </c>
      <c r="R13" s="14">
        <v>397.00900000000001</v>
      </c>
      <c r="S13" s="14">
        <v>129.97499999999999</v>
      </c>
      <c r="T13" s="2">
        <v>0</v>
      </c>
      <c r="U13" s="2">
        <v>0</v>
      </c>
      <c r="V13" s="2">
        <v>0</v>
      </c>
      <c r="W13" s="2">
        <v>38.116999999999997</v>
      </c>
      <c r="X13" s="2">
        <v>205.27099999999999</v>
      </c>
      <c r="Y13" s="2">
        <v>0</v>
      </c>
      <c r="Z13" s="2">
        <v>44.048000000000002</v>
      </c>
      <c r="AA13" s="2">
        <v>105.464</v>
      </c>
    </row>
    <row r="14" spans="1:27">
      <c r="A14" s="22" t="s">
        <v>7</v>
      </c>
      <c r="B14" s="13">
        <v>0</v>
      </c>
      <c r="C14" s="13">
        <v>0</v>
      </c>
      <c r="D14" s="13">
        <v>0</v>
      </c>
      <c r="E14" s="13">
        <v>0</v>
      </c>
      <c r="F14" s="76">
        <v>15.622</v>
      </c>
      <c r="G14" s="13"/>
      <c r="H14" s="13">
        <v>0</v>
      </c>
      <c r="I14" s="14">
        <v>0</v>
      </c>
      <c r="J14" s="14">
        <v>0</v>
      </c>
      <c r="K14" s="14">
        <v>0</v>
      </c>
      <c r="L14" s="14">
        <v>0</v>
      </c>
      <c r="M14" s="14">
        <v>195.876</v>
      </c>
      <c r="N14" s="14">
        <v>196.619</v>
      </c>
      <c r="O14" s="14">
        <v>160.137</v>
      </c>
      <c r="P14" s="14">
        <v>34.615000000000002</v>
      </c>
      <c r="Q14" s="14">
        <v>0</v>
      </c>
      <c r="R14" s="14">
        <v>0</v>
      </c>
      <c r="S14" s="14">
        <v>0</v>
      </c>
      <c r="T14" s="2">
        <v>0</v>
      </c>
      <c r="U14" s="2">
        <v>0</v>
      </c>
      <c r="V14" s="2">
        <v>0</v>
      </c>
      <c r="W14" s="2">
        <v>0</v>
      </c>
      <c r="X14" s="2">
        <v>0</v>
      </c>
      <c r="Y14" s="2">
        <v>0</v>
      </c>
      <c r="Z14" s="2">
        <v>0</v>
      </c>
      <c r="AA14" s="2">
        <v>0</v>
      </c>
    </row>
    <row r="15" spans="1:27">
      <c r="A15" s="22" t="s">
        <v>8</v>
      </c>
      <c r="B15" s="36">
        <v>138</v>
      </c>
      <c r="C15" s="36">
        <v>94</v>
      </c>
      <c r="D15" s="36">
        <v>140</v>
      </c>
      <c r="E15" s="36">
        <v>160.22</v>
      </c>
      <c r="F15" s="77">
        <v>226.89699999999999</v>
      </c>
      <c r="G15" s="36">
        <v>218.35900000000001</v>
      </c>
      <c r="H15" s="36">
        <v>239.12100000000001</v>
      </c>
      <c r="I15" s="37">
        <v>211.21100000000001</v>
      </c>
      <c r="J15" s="37">
        <v>173.10400000000001</v>
      </c>
      <c r="K15" s="37">
        <v>78.209000000000003</v>
      </c>
      <c r="L15" s="37">
        <v>158.029</v>
      </c>
      <c r="M15" s="37">
        <v>18.744</v>
      </c>
      <c r="N15" s="37">
        <v>8.3450000000000006</v>
      </c>
      <c r="O15" s="37">
        <v>110.65600000000001</v>
      </c>
      <c r="P15" s="37">
        <v>105.057</v>
      </c>
      <c r="Q15" s="37">
        <v>35.020000000000003</v>
      </c>
      <c r="R15" s="37">
        <v>155.76499999999999</v>
      </c>
      <c r="S15" s="37">
        <v>371.21600000000001</v>
      </c>
      <c r="T15" s="23">
        <v>371.02600000000001</v>
      </c>
      <c r="U15" s="23">
        <v>399.84800000000001</v>
      </c>
      <c r="V15" s="23">
        <v>477.40199999999999</v>
      </c>
      <c r="W15" s="23">
        <v>590.14599999999996</v>
      </c>
      <c r="X15" s="2">
        <v>560.47299999999996</v>
      </c>
      <c r="Y15" s="2">
        <v>617.75</v>
      </c>
      <c r="Z15" s="2">
        <v>456.50900000000001</v>
      </c>
      <c r="AA15" s="2">
        <v>111.503</v>
      </c>
    </row>
    <row r="16" spans="1:27">
      <c r="A16" s="22" t="s">
        <v>9</v>
      </c>
      <c r="B16" s="36">
        <v>0</v>
      </c>
      <c r="C16" s="36">
        <v>14</v>
      </c>
      <c r="D16" s="36">
        <v>0</v>
      </c>
      <c r="E16" s="36">
        <v>6.8849999999999998</v>
      </c>
      <c r="F16" s="77">
        <v>28.289000000000001</v>
      </c>
      <c r="G16" s="36">
        <v>30.323</v>
      </c>
      <c r="H16" s="36">
        <v>24.847000000000001</v>
      </c>
      <c r="I16" s="37">
        <v>50.186999999999998</v>
      </c>
      <c r="J16" s="37">
        <v>229.51300000000001</v>
      </c>
      <c r="K16" s="37">
        <v>38.158000000000001</v>
      </c>
      <c r="L16" s="37">
        <v>2.0579999999999998</v>
      </c>
      <c r="M16" s="37">
        <v>20.699000000000002</v>
      </c>
      <c r="N16" s="37">
        <v>19.370999999999999</v>
      </c>
      <c r="O16" s="37">
        <v>8.5990000000000002</v>
      </c>
      <c r="P16" s="37">
        <v>5.0419999999999998</v>
      </c>
      <c r="Q16" s="37">
        <v>2.6280000000000001</v>
      </c>
      <c r="R16" s="37">
        <v>3.024</v>
      </c>
      <c r="S16" s="37">
        <v>0</v>
      </c>
      <c r="T16" s="23">
        <v>0</v>
      </c>
      <c r="U16" s="23">
        <v>1.2190000000000001</v>
      </c>
      <c r="V16" s="23">
        <v>6.2290000000000001</v>
      </c>
      <c r="W16" s="23">
        <v>1.994</v>
      </c>
      <c r="X16" s="2">
        <v>20.802</v>
      </c>
      <c r="Y16" s="2">
        <v>50.527999999999999</v>
      </c>
      <c r="Z16" s="2">
        <v>134.83199999999999</v>
      </c>
      <c r="AA16" s="2">
        <v>149.04599999999999</v>
      </c>
    </row>
    <row r="17" spans="1:27">
      <c r="A17" s="22" t="s">
        <v>10</v>
      </c>
      <c r="B17" s="36">
        <v>0</v>
      </c>
      <c r="C17" s="36">
        <v>0</v>
      </c>
      <c r="D17" s="36">
        <v>0</v>
      </c>
      <c r="E17" s="36">
        <v>0</v>
      </c>
      <c r="F17" s="77">
        <v>0</v>
      </c>
      <c r="G17" s="36">
        <v>0</v>
      </c>
      <c r="H17" s="36">
        <v>0</v>
      </c>
      <c r="I17" s="37">
        <v>0</v>
      </c>
      <c r="J17" s="37">
        <v>0</v>
      </c>
      <c r="K17" s="37">
        <v>0</v>
      </c>
      <c r="L17" s="37">
        <v>0</v>
      </c>
      <c r="M17" s="37">
        <v>0</v>
      </c>
      <c r="N17" s="37">
        <v>0</v>
      </c>
      <c r="O17" s="37">
        <v>0</v>
      </c>
      <c r="P17" s="37">
        <v>0</v>
      </c>
      <c r="Q17" s="37">
        <v>0</v>
      </c>
      <c r="R17" s="37">
        <v>0</v>
      </c>
      <c r="S17" s="37">
        <v>0</v>
      </c>
      <c r="T17" s="23">
        <v>0</v>
      </c>
      <c r="U17" s="23">
        <v>0</v>
      </c>
      <c r="V17" s="23">
        <v>0</v>
      </c>
      <c r="W17" s="23">
        <v>0</v>
      </c>
      <c r="X17" s="2">
        <v>0</v>
      </c>
      <c r="Y17" s="2">
        <v>0</v>
      </c>
      <c r="Z17" s="2">
        <v>0</v>
      </c>
      <c r="AA17" s="2">
        <v>0</v>
      </c>
    </row>
    <row r="18" spans="1:27">
      <c r="A18" s="22" t="s">
        <v>11</v>
      </c>
      <c r="B18" s="36">
        <v>146</v>
      </c>
      <c r="C18" s="36">
        <v>102</v>
      </c>
      <c r="D18" s="36">
        <v>75</v>
      </c>
      <c r="E18" s="36">
        <v>0</v>
      </c>
      <c r="F18" s="77">
        <v>52.753</v>
      </c>
      <c r="G18" s="36">
        <v>87.787000000000006</v>
      </c>
      <c r="H18" s="36">
        <v>46.235999999999997</v>
      </c>
      <c r="I18" s="37">
        <v>6.5659999999999998</v>
      </c>
      <c r="J18" s="37">
        <v>21.170999999999999</v>
      </c>
      <c r="K18" s="37">
        <v>112.79600000000001</v>
      </c>
      <c r="L18" s="37">
        <v>66.521000000000001</v>
      </c>
      <c r="M18" s="37">
        <v>460.13299999999998</v>
      </c>
      <c r="N18" s="37">
        <v>2448.317</v>
      </c>
      <c r="O18" s="37">
        <v>1241.4100000000001</v>
      </c>
      <c r="P18" s="37">
        <v>226.3</v>
      </c>
      <c r="Q18" s="37">
        <v>458.58</v>
      </c>
      <c r="R18" s="37">
        <v>780.87699999999995</v>
      </c>
      <c r="S18" s="37">
        <v>182.14599999999999</v>
      </c>
      <c r="T18" s="23">
        <v>10.957000000000001</v>
      </c>
      <c r="U18" s="23">
        <v>13.422000000000001</v>
      </c>
      <c r="V18" s="23">
        <v>0</v>
      </c>
      <c r="W18" s="23">
        <v>0</v>
      </c>
      <c r="X18" s="2">
        <v>21.83</v>
      </c>
      <c r="Y18" s="2">
        <v>71.414000000000001</v>
      </c>
      <c r="Z18" s="2">
        <v>90.307000000000002</v>
      </c>
      <c r="AA18" s="2">
        <v>42.350999999999999</v>
      </c>
    </row>
    <row r="19" spans="1:27">
      <c r="A19" s="22" t="s">
        <v>12</v>
      </c>
      <c r="B19" s="36">
        <v>9</v>
      </c>
      <c r="C19" s="36">
        <v>9</v>
      </c>
      <c r="D19" s="37">
        <v>10</v>
      </c>
      <c r="E19" s="36">
        <v>134.941</v>
      </c>
      <c r="F19" s="77">
        <v>149.47900000000001</v>
      </c>
      <c r="G19" s="36">
        <v>29.291</v>
      </c>
      <c r="H19" s="36">
        <v>277.73700000000002</v>
      </c>
      <c r="I19" s="37">
        <v>279.14499999999998</v>
      </c>
      <c r="J19" s="37">
        <v>296.32900000000001</v>
      </c>
      <c r="K19" s="37">
        <v>20.484999999999999</v>
      </c>
      <c r="L19" s="37">
        <v>56.225000000000001</v>
      </c>
      <c r="M19" s="37">
        <v>1.117</v>
      </c>
      <c r="N19" s="37">
        <v>4.7E-2</v>
      </c>
      <c r="O19" s="37">
        <v>0.317</v>
      </c>
      <c r="P19" s="37">
        <v>67.385000000000005</v>
      </c>
      <c r="Q19" s="37">
        <v>81.918000000000006</v>
      </c>
      <c r="R19" s="37">
        <v>7.05</v>
      </c>
      <c r="S19" s="37">
        <v>68.606999999999999</v>
      </c>
      <c r="T19" s="23">
        <v>101.96899999999999</v>
      </c>
      <c r="U19" s="23">
        <v>2124.79</v>
      </c>
      <c r="V19" s="23">
        <v>2052.42</v>
      </c>
      <c r="W19" s="23">
        <v>1943.4670000000001</v>
      </c>
      <c r="X19" s="2">
        <v>292.64400000000001</v>
      </c>
      <c r="Y19" s="2">
        <v>427.35599999999999</v>
      </c>
      <c r="Z19" s="2">
        <v>467.209</v>
      </c>
      <c r="AA19" s="2">
        <v>119.65900000000001</v>
      </c>
    </row>
    <row r="20" spans="1:27">
      <c r="A20" s="22" t="s">
        <v>13</v>
      </c>
      <c r="B20" s="36">
        <v>3</v>
      </c>
      <c r="C20" s="36">
        <v>3</v>
      </c>
      <c r="D20" s="36">
        <v>17</v>
      </c>
      <c r="E20" s="36">
        <v>16.492999999999999</v>
      </c>
      <c r="F20" s="77">
        <v>70.754000000000005</v>
      </c>
      <c r="G20" s="36">
        <v>61.886000000000003</v>
      </c>
      <c r="H20" s="36">
        <v>54.151000000000003</v>
      </c>
      <c r="I20" s="37">
        <v>84.091999999999999</v>
      </c>
      <c r="J20" s="37">
        <v>188.863</v>
      </c>
      <c r="K20" s="37">
        <v>79.734999999999999</v>
      </c>
      <c r="L20" s="37">
        <v>179.79</v>
      </c>
      <c r="M20" s="37">
        <v>144.94200000000001</v>
      </c>
      <c r="N20" s="37">
        <v>104.128</v>
      </c>
      <c r="O20" s="37">
        <v>195.27199999999999</v>
      </c>
      <c r="P20" s="37">
        <v>85.039000000000001</v>
      </c>
      <c r="Q20" s="37">
        <v>93.295000000000002</v>
      </c>
      <c r="R20" s="37">
        <v>127.264</v>
      </c>
      <c r="S20" s="37">
        <v>301.101</v>
      </c>
      <c r="T20" s="23">
        <v>714.28099999999995</v>
      </c>
      <c r="U20" s="23">
        <v>663.56299999999999</v>
      </c>
      <c r="V20" s="23">
        <v>398.55500000000001</v>
      </c>
      <c r="W20" s="23">
        <v>327.23500000000001</v>
      </c>
      <c r="X20" s="2">
        <v>318.09199999999998</v>
      </c>
      <c r="Y20" s="2">
        <v>338.315</v>
      </c>
      <c r="Z20" s="2">
        <v>331.04500000000002</v>
      </c>
      <c r="AA20" s="2">
        <v>251.66900000000001</v>
      </c>
    </row>
    <row r="21" spans="1:27" s="17" customFormat="1">
      <c r="A21" s="22" t="s">
        <v>14</v>
      </c>
      <c r="B21" s="36">
        <v>0</v>
      </c>
      <c r="C21" s="36">
        <v>0</v>
      </c>
      <c r="D21" s="36">
        <v>0</v>
      </c>
      <c r="E21" s="36">
        <v>0</v>
      </c>
      <c r="F21" s="77">
        <v>0</v>
      </c>
      <c r="G21" s="36">
        <v>0</v>
      </c>
      <c r="H21" s="36">
        <v>0</v>
      </c>
      <c r="I21" s="37">
        <v>0</v>
      </c>
      <c r="J21" s="37">
        <v>0</v>
      </c>
      <c r="K21" s="37">
        <v>0</v>
      </c>
      <c r="L21" s="37">
        <v>0</v>
      </c>
      <c r="M21" s="37">
        <v>0</v>
      </c>
      <c r="N21" s="37">
        <v>0</v>
      </c>
      <c r="O21" s="37">
        <v>0</v>
      </c>
      <c r="P21" s="37">
        <v>0</v>
      </c>
      <c r="Q21" s="37">
        <v>0</v>
      </c>
      <c r="R21" s="37">
        <v>0</v>
      </c>
      <c r="S21" s="37">
        <v>0</v>
      </c>
      <c r="T21" s="23">
        <v>0</v>
      </c>
      <c r="U21" s="23">
        <v>0</v>
      </c>
      <c r="V21" s="23">
        <v>0</v>
      </c>
      <c r="W21" s="23">
        <v>0</v>
      </c>
      <c r="X21" s="23">
        <v>0</v>
      </c>
      <c r="Y21" s="2">
        <v>23.21</v>
      </c>
      <c r="Z21" s="2">
        <v>50.063000000000002</v>
      </c>
      <c r="AA21" s="2">
        <v>9.8640000000000008</v>
      </c>
    </row>
    <row r="22" spans="1:27">
      <c r="A22" s="22" t="s">
        <v>15</v>
      </c>
      <c r="B22" s="36">
        <v>1312</v>
      </c>
      <c r="C22" s="36">
        <v>190</v>
      </c>
      <c r="D22" s="36">
        <v>187</v>
      </c>
      <c r="E22" s="36">
        <v>1159.6659999999999</v>
      </c>
      <c r="F22" s="77">
        <v>1275.3440000000001</v>
      </c>
      <c r="G22" s="36">
        <v>1519.8579999999999</v>
      </c>
      <c r="H22" s="36">
        <v>1096.25</v>
      </c>
      <c r="I22" s="37">
        <v>3878.9830000000002</v>
      </c>
      <c r="J22" s="37">
        <v>3950.9029999999998</v>
      </c>
      <c r="K22" s="37">
        <v>2234.402</v>
      </c>
      <c r="L22" s="37">
        <v>881.97799999999995</v>
      </c>
      <c r="M22" s="37">
        <v>911.12699999999995</v>
      </c>
      <c r="N22" s="37">
        <v>902.63800000000003</v>
      </c>
      <c r="O22" s="37">
        <v>987.36699999999996</v>
      </c>
      <c r="P22" s="37">
        <v>789.11599999999999</v>
      </c>
      <c r="Q22" s="37">
        <v>406.56900000000002</v>
      </c>
      <c r="R22" s="37">
        <v>311.19900000000001</v>
      </c>
      <c r="S22" s="37">
        <v>337.73399999999998</v>
      </c>
      <c r="T22" s="23">
        <v>430.358</v>
      </c>
      <c r="U22" s="23">
        <v>186.62200000000001</v>
      </c>
      <c r="V22" s="23">
        <v>238.62899999999999</v>
      </c>
      <c r="W22" s="23">
        <v>274.38600000000002</v>
      </c>
      <c r="X22" s="2">
        <v>294.60300000000001</v>
      </c>
      <c r="Y22" s="2">
        <v>253.36699999999999</v>
      </c>
      <c r="Z22" s="2">
        <v>262.63099999999997</v>
      </c>
      <c r="AA22" s="2">
        <v>257.75099999999998</v>
      </c>
    </row>
    <row r="23" spans="1:27">
      <c r="A23" s="22" t="s">
        <v>16</v>
      </c>
      <c r="B23" s="36">
        <v>0</v>
      </c>
      <c r="C23" s="36">
        <v>0</v>
      </c>
      <c r="D23" s="36">
        <v>0</v>
      </c>
      <c r="E23" s="36">
        <v>0</v>
      </c>
      <c r="F23" s="77">
        <v>0</v>
      </c>
      <c r="G23" s="36"/>
      <c r="H23" s="36">
        <v>0</v>
      </c>
      <c r="I23" s="37">
        <v>0</v>
      </c>
      <c r="J23" s="37">
        <v>0</v>
      </c>
      <c r="K23" s="37">
        <v>0</v>
      </c>
      <c r="L23" s="37">
        <v>0</v>
      </c>
      <c r="M23" s="37">
        <v>0</v>
      </c>
      <c r="N23" s="37">
        <v>0</v>
      </c>
      <c r="O23" s="37">
        <v>0</v>
      </c>
      <c r="P23" s="37">
        <v>0</v>
      </c>
      <c r="Q23" s="37">
        <v>0</v>
      </c>
      <c r="R23" s="37">
        <v>0</v>
      </c>
      <c r="S23" s="37">
        <v>0</v>
      </c>
      <c r="T23" s="23">
        <v>0</v>
      </c>
      <c r="U23" s="23">
        <v>0</v>
      </c>
      <c r="V23" s="23">
        <v>0</v>
      </c>
      <c r="W23" s="23">
        <v>0</v>
      </c>
      <c r="X23" s="2">
        <v>0</v>
      </c>
      <c r="Y23" s="2">
        <v>0</v>
      </c>
      <c r="Z23" s="2">
        <v>0</v>
      </c>
      <c r="AA23" s="2">
        <v>0</v>
      </c>
    </row>
    <row r="24" spans="1:27">
      <c r="A24" s="83" t="s">
        <v>17</v>
      </c>
      <c r="B24" s="66">
        <v>0</v>
      </c>
      <c r="C24" s="66">
        <v>0</v>
      </c>
      <c r="D24" s="66">
        <v>0</v>
      </c>
      <c r="E24" s="66">
        <v>0</v>
      </c>
      <c r="F24" s="82">
        <v>0</v>
      </c>
      <c r="G24" s="66">
        <v>0</v>
      </c>
      <c r="H24" s="66">
        <v>0</v>
      </c>
      <c r="I24" s="63">
        <v>0</v>
      </c>
      <c r="J24" s="63">
        <v>0</v>
      </c>
      <c r="K24" s="63">
        <v>0</v>
      </c>
      <c r="L24" s="63">
        <v>0</v>
      </c>
      <c r="M24" s="63">
        <v>0</v>
      </c>
      <c r="N24" s="63">
        <v>3</v>
      </c>
      <c r="O24" s="63">
        <v>34</v>
      </c>
      <c r="P24" s="63">
        <v>0</v>
      </c>
      <c r="Q24" s="63">
        <v>104.587</v>
      </c>
      <c r="R24" s="63">
        <v>13.252000000000001</v>
      </c>
      <c r="S24" s="63">
        <v>0</v>
      </c>
      <c r="T24" s="45">
        <v>16.731000000000002</v>
      </c>
      <c r="U24" s="45">
        <v>4.4820000000000002</v>
      </c>
      <c r="V24" s="45">
        <v>18.97</v>
      </c>
      <c r="W24" s="45">
        <v>2.06</v>
      </c>
      <c r="X24" s="45">
        <v>0</v>
      </c>
      <c r="Y24" s="45">
        <v>0</v>
      </c>
      <c r="Z24" s="45">
        <v>0</v>
      </c>
      <c r="AA24" s="45">
        <v>0</v>
      </c>
    </row>
    <row r="25" spans="1:27" s="23" customFormat="1">
      <c r="A25" s="79" t="s">
        <v>120</v>
      </c>
      <c r="B25" s="90">
        <f>SUM(B27:B39)</f>
        <v>0</v>
      </c>
      <c r="C25" s="90">
        <f t="shared" ref="C25:AA25" si="8">SUM(C27:C39)</f>
        <v>0</v>
      </c>
      <c r="D25" s="90">
        <f t="shared" si="8"/>
        <v>0</v>
      </c>
      <c r="E25" s="90">
        <f t="shared" si="8"/>
        <v>0</v>
      </c>
      <c r="F25" s="90">
        <f t="shared" si="8"/>
        <v>7512.4960000000001</v>
      </c>
      <c r="G25" s="90">
        <f t="shared" si="8"/>
        <v>0</v>
      </c>
      <c r="H25" s="90">
        <f t="shared" si="8"/>
        <v>0</v>
      </c>
      <c r="I25" s="90">
        <f t="shared" si="8"/>
        <v>5691.2109999999993</v>
      </c>
      <c r="J25" s="90">
        <f t="shared" si="8"/>
        <v>0</v>
      </c>
      <c r="K25" s="90">
        <f t="shared" si="8"/>
        <v>14722.128000000002</v>
      </c>
      <c r="L25" s="90">
        <f t="shared" si="8"/>
        <v>12055.216999999999</v>
      </c>
      <c r="M25" s="90">
        <f t="shared" si="8"/>
        <v>6110.674</v>
      </c>
      <c r="N25" s="90">
        <f t="shared" si="8"/>
        <v>14301.238000000001</v>
      </c>
      <c r="O25" s="90">
        <f t="shared" si="8"/>
        <v>12557.649999999996</v>
      </c>
      <c r="P25" s="90">
        <f t="shared" si="8"/>
        <v>5151.13</v>
      </c>
      <c r="Q25" s="90">
        <f t="shared" si="8"/>
        <v>12372.966</v>
      </c>
      <c r="R25" s="90">
        <f t="shared" si="8"/>
        <v>13263.713999999998</v>
      </c>
      <c r="S25" s="90">
        <f t="shared" si="8"/>
        <v>6225.5240000000003</v>
      </c>
      <c r="T25" s="90">
        <f t="shared" si="8"/>
        <v>6545.509</v>
      </c>
      <c r="U25" s="90">
        <f t="shared" si="8"/>
        <v>9709.4670000000006</v>
      </c>
      <c r="V25" s="90">
        <f t="shared" si="8"/>
        <v>10345.791999999999</v>
      </c>
      <c r="W25" s="90">
        <f t="shared" si="8"/>
        <v>8911.9040000000005</v>
      </c>
      <c r="X25" s="90">
        <f t="shared" si="8"/>
        <v>10148.804999999997</v>
      </c>
      <c r="Y25" s="90">
        <f t="shared" si="8"/>
        <v>7768.773000000001</v>
      </c>
      <c r="Z25" s="90">
        <f t="shared" si="8"/>
        <v>12569.469000000003</v>
      </c>
      <c r="AA25" s="90">
        <f t="shared" si="8"/>
        <v>8477.0470000000005</v>
      </c>
    </row>
    <row r="26" spans="1:27">
      <c r="A26" s="79" t="s">
        <v>119</v>
      </c>
      <c r="B26" s="37"/>
      <c r="C26" s="37"/>
      <c r="D26" s="37"/>
      <c r="E26" s="37"/>
      <c r="F26" s="37"/>
      <c r="G26" s="37"/>
      <c r="H26" s="37"/>
      <c r="I26" s="37"/>
      <c r="J26" s="37"/>
      <c r="K26" s="37"/>
      <c r="L26" s="37"/>
      <c r="M26" s="37"/>
      <c r="N26" s="37"/>
      <c r="O26" s="37"/>
      <c r="P26" s="37"/>
      <c r="Q26" s="37"/>
      <c r="R26" s="37"/>
      <c r="S26" s="37"/>
      <c r="T26" s="23"/>
      <c r="U26" s="23"/>
      <c r="V26" s="23"/>
      <c r="W26" s="23"/>
      <c r="X26" s="2">
        <v>0</v>
      </c>
      <c r="Y26" s="2" t="e">
        <f>#REF!/1000</f>
        <v>#REF!</v>
      </c>
    </row>
    <row r="27" spans="1:27">
      <c r="A27" s="23" t="s">
        <v>85</v>
      </c>
      <c r="B27" s="36"/>
      <c r="C27" s="36"/>
      <c r="D27" s="37"/>
      <c r="E27" s="36"/>
      <c r="F27" s="77">
        <v>0</v>
      </c>
      <c r="G27" s="36"/>
      <c r="H27" s="36"/>
      <c r="I27" s="37">
        <v>0</v>
      </c>
      <c r="J27" s="37"/>
      <c r="K27" s="37">
        <v>0</v>
      </c>
      <c r="L27" s="37">
        <v>52.29</v>
      </c>
      <c r="M27" s="37">
        <v>0</v>
      </c>
      <c r="N27" s="37">
        <v>215.24100000000001</v>
      </c>
      <c r="O27" s="37">
        <v>172.273</v>
      </c>
      <c r="P27" s="37">
        <v>344.10599999999999</v>
      </c>
      <c r="Q27" s="37">
        <v>0</v>
      </c>
      <c r="R27" s="37">
        <v>287.33699999999999</v>
      </c>
      <c r="S27" s="37">
        <v>356.74599999999998</v>
      </c>
      <c r="T27" s="23">
        <v>0</v>
      </c>
      <c r="U27" s="23">
        <v>0</v>
      </c>
      <c r="V27" s="23">
        <v>0</v>
      </c>
      <c r="W27" s="23">
        <v>0</v>
      </c>
      <c r="X27" s="2">
        <v>0</v>
      </c>
      <c r="Y27" s="2">
        <v>0</v>
      </c>
      <c r="Z27" s="2">
        <v>0</v>
      </c>
      <c r="AA27" s="2">
        <v>0</v>
      </c>
    </row>
    <row r="28" spans="1:27">
      <c r="A28" s="23" t="s">
        <v>86</v>
      </c>
      <c r="B28" s="36"/>
      <c r="C28" s="36"/>
      <c r="D28" s="36"/>
      <c r="E28" s="36"/>
      <c r="F28" s="77">
        <v>2715.8519999999999</v>
      </c>
      <c r="G28" s="36"/>
      <c r="H28" s="36"/>
      <c r="I28" s="37">
        <v>139.66399999999999</v>
      </c>
      <c r="J28" s="37"/>
      <c r="K28" s="37">
        <v>3331.3690000000001</v>
      </c>
      <c r="L28" s="37">
        <v>5071.634</v>
      </c>
      <c r="M28" s="37">
        <v>648.40099999999995</v>
      </c>
      <c r="N28" s="37">
        <v>7147.4009999999998</v>
      </c>
      <c r="O28" s="37">
        <v>8751.7139999999999</v>
      </c>
      <c r="P28" s="37">
        <v>902.94299999999998</v>
      </c>
      <c r="Q28" s="37">
        <v>828.75099999999998</v>
      </c>
      <c r="R28" s="37">
        <v>0</v>
      </c>
      <c r="S28" s="37">
        <v>0</v>
      </c>
      <c r="T28" s="23">
        <v>815.447</v>
      </c>
      <c r="U28" s="23">
        <v>693.04200000000003</v>
      </c>
      <c r="V28" s="23">
        <v>669.85199999999998</v>
      </c>
      <c r="W28" s="23">
        <v>639.89099999999996</v>
      </c>
      <c r="X28" s="2">
        <v>384.84699999999998</v>
      </c>
      <c r="Y28" s="2">
        <v>154.452</v>
      </c>
      <c r="Z28" s="2">
        <v>175.90700000000001</v>
      </c>
      <c r="AA28" s="2">
        <v>548.87199999999996</v>
      </c>
    </row>
    <row r="29" spans="1:27">
      <c r="A29" s="23" t="s">
        <v>87</v>
      </c>
      <c r="B29" s="36"/>
      <c r="C29" s="36"/>
      <c r="D29" s="36"/>
      <c r="E29" s="36"/>
      <c r="F29" s="77">
        <v>3884.2559999999999</v>
      </c>
      <c r="G29" s="36"/>
      <c r="H29" s="36"/>
      <c r="I29" s="37">
        <v>5096.2389999999996</v>
      </c>
      <c r="J29" s="37"/>
      <c r="K29" s="37">
        <v>10911.214</v>
      </c>
      <c r="L29" s="37">
        <v>6212.0929999999998</v>
      </c>
      <c r="M29" s="37">
        <v>4731.9480000000003</v>
      </c>
      <c r="N29" s="37">
        <v>6251.9840000000004</v>
      </c>
      <c r="O29" s="37">
        <v>2860.63</v>
      </c>
      <c r="P29" s="37">
        <v>2481.7020000000002</v>
      </c>
      <c r="Q29" s="37">
        <v>10059.493</v>
      </c>
      <c r="R29" s="37">
        <v>11345.026</v>
      </c>
      <c r="S29" s="37">
        <v>4012.9229999999998</v>
      </c>
      <c r="T29" s="23">
        <v>4236.4769999999999</v>
      </c>
      <c r="U29" s="23">
        <v>6923.9279999999999</v>
      </c>
      <c r="V29" s="23">
        <v>6919.2380000000003</v>
      </c>
      <c r="W29" s="23">
        <v>5430.2520000000004</v>
      </c>
      <c r="X29" s="2">
        <v>6123.1980000000003</v>
      </c>
      <c r="Y29" s="2">
        <v>3915.279</v>
      </c>
      <c r="Z29" s="2">
        <v>4635.8389999999999</v>
      </c>
      <c r="AA29" s="2">
        <v>5318.2640000000001</v>
      </c>
    </row>
    <row r="30" spans="1:27">
      <c r="A30" s="23" t="s">
        <v>88</v>
      </c>
      <c r="B30" s="36"/>
      <c r="C30" s="36"/>
      <c r="D30" s="36"/>
      <c r="E30" s="36"/>
      <c r="F30" s="77">
        <v>420.04399999999998</v>
      </c>
      <c r="G30" s="36"/>
      <c r="H30" s="36"/>
      <c r="I30" s="37">
        <v>179.34</v>
      </c>
      <c r="J30" s="37"/>
      <c r="K30" s="37">
        <v>121.005</v>
      </c>
      <c r="L30" s="37">
        <v>0</v>
      </c>
      <c r="M30" s="37">
        <v>0</v>
      </c>
      <c r="N30" s="37">
        <v>0</v>
      </c>
      <c r="O30" s="37">
        <v>0</v>
      </c>
      <c r="P30" s="37">
        <v>0</v>
      </c>
      <c r="Q30" s="37">
        <v>0</v>
      </c>
      <c r="R30" s="37">
        <v>0</v>
      </c>
      <c r="S30" s="37">
        <v>0</v>
      </c>
      <c r="T30" s="23">
        <v>0</v>
      </c>
      <c r="U30" s="23">
        <v>0</v>
      </c>
      <c r="V30" s="23">
        <v>0</v>
      </c>
      <c r="W30" s="23">
        <v>0</v>
      </c>
      <c r="X30" s="2">
        <v>0</v>
      </c>
      <c r="Y30" s="2">
        <v>0</v>
      </c>
      <c r="Z30" s="2">
        <v>0</v>
      </c>
      <c r="AA30" s="2">
        <v>0</v>
      </c>
    </row>
    <row r="31" spans="1:27">
      <c r="A31" s="23" t="s">
        <v>91</v>
      </c>
      <c r="B31" s="36"/>
      <c r="C31" s="36"/>
      <c r="D31" s="36"/>
      <c r="E31" s="36"/>
      <c r="F31" s="77">
        <v>57.241</v>
      </c>
      <c r="G31" s="36"/>
      <c r="H31" s="36"/>
      <c r="I31" s="37">
        <v>61.3</v>
      </c>
      <c r="J31" s="37"/>
      <c r="K31" s="37">
        <v>32.19</v>
      </c>
      <c r="L31" s="37">
        <v>34.161000000000001</v>
      </c>
      <c r="M31" s="37">
        <v>73.674000000000007</v>
      </c>
      <c r="N31" s="37">
        <v>37.972000000000001</v>
      </c>
      <c r="O31" s="37">
        <v>110.087</v>
      </c>
      <c r="P31" s="37">
        <v>508.55099999999999</v>
      </c>
      <c r="Q31" s="37">
        <v>638.17499999999995</v>
      </c>
      <c r="R31" s="37">
        <v>379.42</v>
      </c>
      <c r="S31" s="37">
        <v>297.42599999999999</v>
      </c>
      <c r="T31" s="23">
        <v>274.11200000000002</v>
      </c>
      <c r="U31" s="23">
        <v>376.45100000000002</v>
      </c>
      <c r="V31" s="23">
        <v>377.322</v>
      </c>
      <c r="W31" s="23">
        <v>625.447</v>
      </c>
      <c r="X31" s="2">
        <v>724.303</v>
      </c>
      <c r="Y31" s="2">
        <v>1217.3230000000001</v>
      </c>
      <c r="Z31" s="2">
        <v>5313.6360000000004</v>
      </c>
      <c r="AA31" s="2">
        <v>510.375</v>
      </c>
    </row>
    <row r="32" spans="1:27">
      <c r="A32" s="23" t="s">
        <v>92</v>
      </c>
      <c r="B32" s="36"/>
      <c r="C32" s="36"/>
      <c r="D32" s="36"/>
      <c r="E32" s="36"/>
      <c r="F32" s="77">
        <v>0</v>
      </c>
      <c r="G32" s="36"/>
      <c r="H32" s="36"/>
      <c r="I32" s="37">
        <v>0</v>
      </c>
      <c r="J32" s="37"/>
      <c r="K32" s="37">
        <v>0</v>
      </c>
      <c r="L32" s="37">
        <v>0</v>
      </c>
      <c r="M32" s="37">
        <v>0</v>
      </c>
      <c r="N32" s="37">
        <v>0</v>
      </c>
      <c r="O32" s="37">
        <v>0</v>
      </c>
      <c r="P32" s="37">
        <v>0</v>
      </c>
      <c r="Q32" s="37">
        <v>0</v>
      </c>
      <c r="R32" s="37">
        <v>0</v>
      </c>
      <c r="S32" s="37">
        <v>0</v>
      </c>
      <c r="T32" s="23">
        <v>0</v>
      </c>
      <c r="U32" s="23">
        <v>0</v>
      </c>
      <c r="V32" s="23">
        <v>0</v>
      </c>
      <c r="W32" s="23">
        <v>0</v>
      </c>
      <c r="X32" s="2">
        <v>0</v>
      </c>
      <c r="Y32" s="2">
        <v>0</v>
      </c>
      <c r="Z32" s="2">
        <v>0</v>
      </c>
      <c r="AA32" s="2">
        <v>0</v>
      </c>
    </row>
    <row r="33" spans="1:37">
      <c r="A33" s="23" t="s">
        <v>100</v>
      </c>
      <c r="B33" s="37"/>
      <c r="C33" s="37"/>
      <c r="D33" s="37"/>
      <c r="E33" s="37"/>
      <c r="F33" s="77">
        <v>0</v>
      </c>
      <c r="G33" s="37"/>
      <c r="H33" s="37"/>
      <c r="I33" s="37">
        <v>0</v>
      </c>
      <c r="J33" s="37"/>
      <c r="K33" s="37">
        <v>19.172000000000001</v>
      </c>
      <c r="L33" s="37">
        <v>33.222000000000001</v>
      </c>
      <c r="M33" s="37">
        <v>134.995</v>
      </c>
      <c r="N33" s="37">
        <v>167.88200000000001</v>
      </c>
      <c r="O33" s="37">
        <v>202.74100000000001</v>
      </c>
      <c r="P33" s="37">
        <v>418.11900000000003</v>
      </c>
      <c r="Q33" s="37">
        <v>345.57100000000003</v>
      </c>
      <c r="R33" s="37">
        <v>567.88</v>
      </c>
      <c r="S33" s="37">
        <v>815.48400000000004</v>
      </c>
      <c r="T33" s="23">
        <v>500.75200000000001</v>
      </c>
      <c r="U33" s="23">
        <v>986.41899999999998</v>
      </c>
      <c r="V33" s="23">
        <v>1380.9480000000001</v>
      </c>
      <c r="W33" s="23">
        <v>1278.384</v>
      </c>
      <c r="X33" s="2">
        <v>1287.854</v>
      </c>
      <c r="Y33" s="2">
        <v>827.50099999999998</v>
      </c>
      <c r="Z33" s="2">
        <v>629.14499999999998</v>
      </c>
      <c r="AA33" s="2">
        <v>543.91999999999996</v>
      </c>
    </row>
    <row r="34" spans="1:37">
      <c r="A34" s="23" t="s">
        <v>102</v>
      </c>
      <c r="B34" s="37"/>
      <c r="C34" s="37"/>
      <c r="D34" s="37"/>
      <c r="E34" s="37"/>
      <c r="F34" s="77">
        <v>0</v>
      </c>
      <c r="G34" s="37"/>
      <c r="H34" s="37"/>
      <c r="I34" s="37">
        <v>0</v>
      </c>
      <c r="J34" s="37"/>
      <c r="K34" s="37">
        <v>0</v>
      </c>
      <c r="L34" s="37">
        <v>0</v>
      </c>
      <c r="M34" s="37">
        <v>0</v>
      </c>
      <c r="N34" s="37">
        <v>0</v>
      </c>
      <c r="O34" s="37">
        <v>0</v>
      </c>
      <c r="P34" s="37">
        <v>0</v>
      </c>
      <c r="Q34" s="37">
        <v>0</v>
      </c>
      <c r="R34" s="37">
        <v>0</v>
      </c>
      <c r="S34" s="37">
        <v>0</v>
      </c>
      <c r="T34" s="23">
        <v>0</v>
      </c>
      <c r="U34" s="23">
        <v>0</v>
      </c>
      <c r="V34" s="23">
        <v>0</v>
      </c>
      <c r="W34" s="23">
        <v>0</v>
      </c>
      <c r="X34" s="2">
        <v>65</v>
      </c>
      <c r="Y34" s="2">
        <v>192</v>
      </c>
      <c r="Z34" s="2">
        <v>198.59</v>
      </c>
      <c r="AA34" s="2">
        <v>121</v>
      </c>
    </row>
    <row r="35" spans="1:37">
      <c r="A35" s="23" t="s">
        <v>105</v>
      </c>
      <c r="B35" s="37"/>
      <c r="C35" s="37"/>
      <c r="D35" s="37"/>
      <c r="E35" s="37"/>
      <c r="F35" s="77">
        <v>330.67899999999997</v>
      </c>
      <c r="G35" s="37"/>
      <c r="H35" s="37"/>
      <c r="I35" s="37">
        <v>43.481999999999999</v>
      </c>
      <c r="J35" s="37"/>
      <c r="K35" s="37">
        <v>53.683</v>
      </c>
      <c r="L35" s="37">
        <v>90.837999999999994</v>
      </c>
      <c r="M35" s="37">
        <v>1.897</v>
      </c>
      <c r="N35" s="37">
        <v>10.058</v>
      </c>
      <c r="O35" s="37">
        <v>69.477999999999994</v>
      </c>
      <c r="P35" s="37">
        <v>125.276</v>
      </c>
      <c r="Q35" s="37">
        <v>18.3</v>
      </c>
      <c r="R35" s="37">
        <v>48.802999999999997</v>
      </c>
      <c r="S35" s="37">
        <v>45.061</v>
      </c>
      <c r="T35" s="23">
        <v>61.932000000000002</v>
      </c>
      <c r="U35" s="23">
        <v>32.688000000000002</v>
      </c>
      <c r="V35" s="23">
        <v>26.922999999999998</v>
      </c>
      <c r="W35" s="23">
        <v>0</v>
      </c>
      <c r="X35" s="2">
        <v>637.51400000000001</v>
      </c>
      <c r="Y35" s="2">
        <v>676.73299999999995</v>
      </c>
      <c r="Z35" s="2">
        <v>550.34100000000001</v>
      </c>
      <c r="AA35" s="2">
        <v>178.84700000000001</v>
      </c>
    </row>
    <row r="36" spans="1:37">
      <c r="A36" s="23" t="s">
        <v>109</v>
      </c>
      <c r="B36" s="37"/>
      <c r="C36" s="37"/>
      <c r="D36" s="37"/>
      <c r="E36" s="37"/>
      <c r="F36" s="77">
        <v>75.611000000000004</v>
      </c>
      <c r="G36" s="37"/>
      <c r="H36" s="37"/>
      <c r="I36" s="37">
        <v>158.721</v>
      </c>
      <c r="J36" s="37"/>
      <c r="K36" s="37">
        <v>239.047</v>
      </c>
      <c r="L36" s="37">
        <v>429.12299999999999</v>
      </c>
      <c r="M36" s="37">
        <v>434.36200000000002</v>
      </c>
      <c r="N36" s="37">
        <v>383.90100000000001</v>
      </c>
      <c r="O36" s="37">
        <v>345.70100000000002</v>
      </c>
      <c r="P36" s="37">
        <v>355.827</v>
      </c>
      <c r="Q36" s="37">
        <v>448.04899999999998</v>
      </c>
      <c r="R36" s="37">
        <v>493.90699999999998</v>
      </c>
      <c r="S36" s="37">
        <v>576.173</v>
      </c>
      <c r="T36" s="23">
        <v>571.81700000000001</v>
      </c>
      <c r="U36" s="23">
        <v>658.16200000000003</v>
      </c>
      <c r="V36" s="23">
        <v>715.90700000000004</v>
      </c>
      <c r="W36" s="23">
        <v>823.04600000000005</v>
      </c>
      <c r="X36" s="2">
        <v>872.55899999999997</v>
      </c>
      <c r="Y36" s="2">
        <v>614.55399999999997</v>
      </c>
      <c r="Z36" s="2">
        <v>716.30899999999997</v>
      </c>
      <c r="AA36" s="2">
        <v>809.36699999999996</v>
      </c>
    </row>
    <row r="37" spans="1:37">
      <c r="A37" s="23" t="s">
        <v>113</v>
      </c>
      <c r="B37" s="37"/>
      <c r="C37" s="37"/>
      <c r="D37" s="37"/>
      <c r="E37" s="37"/>
      <c r="F37" s="77">
        <v>16.571999999999999</v>
      </c>
      <c r="G37" s="37"/>
      <c r="H37" s="37"/>
      <c r="I37" s="37">
        <v>12.465</v>
      </c>
      <c r="J37" s="37"/>
      <c r="K37" s="37">
        <v>12.938000000000001</v>
      </c>
      <c r="L37" s="37">
        <v>17.931999999999999</v>
      </c>
      <c r="M37" s="37">
        <v>22.347999999999999</v>
      </c>
      <c r="N37" s="37">
        <v>21.045999999999999</v>
      </c>
      <c r="O37" s="37">
        <v>33.658999999999999</v>
      </c>
      <c r="P37" s="37">
        <v>14.093999999999999</v>
      </c>
      <c r="Q37" s="37">
        <v>5.0389999999999997</v>
      </c>
      <c r="R37" s="37">
        <v>86.707999999999998</v>
      </c>
      <c r="S37" s="37">
        <v>38.475000000000001</v>
      </c>
      <c r="T37" s="23">
        <v>0</v>
      </c>
      <c r="U37" s="23">
        <v>0</v>
      </c>
      <c r="V37" s="23">
        <v>172.63200000000001</v>
      </c>
      <c r="W37" s="23">
        <v>12.602</v>
      </c>
      <c r="X37" s="2">
        <v>3.5150000000000001</v>
      </c>
      <c r="Y37" s="2">
        <v>102.529</v>
      </c>
      <c r="Z37" s="2">
        <v>142.32300000000001</v>
      </c>
      <c r="AA37" s="2">
        <v>143.94999999999999</v>
      </c>
    </row>
    <row r="38" spans="1:37">
      <c r="A38" s="23" t="s">
        <v>115</v>
      </c>
      <c r="B38" s="37"/>
      <c r="C38" s="37"/>
      <c r="D38" s="37"/>
      <c r="E38" s="37"/>
      <c r="F38" s="77">
        <v>12.241</v>
      </c>
      <c r="G38" s="37"/>
      <c r="H38" s="37"/>
      <c r="I38" s="37">
        <v>0</v>
      </c>
      <c r="J38" s="37"/>
      <c r="K38" s="37">
        <v>0</v>
      </c>
      <c r="L38" s="37">
        <v>68.319999999999993</v>
      </c>
      <c r="M38" s="37">
        <v>13.744</v>
      </c>
      <c r="N38" s="37">
        <v>15.253</v>
      </c>
      <c r="O38" s="37">
        <v>11.367000000000001</v>
      </c>
      <c r="P38" s="37">
        <v>0</v>
      </c>
      <c r="Q38" s="37">
        <v>0</v>
      </c>
      <c r="R38" s="37">
        <v>0</v>
      </c>
      <c r="S38" s="37">
        <v>0</v>
      </c>
      <c r="T38" s="23">
        <v>0</v>
      </c>
      <c r="U38" s="23">
        <v>0</v>
      </c>
      <c r="V38" s="23">
        <v>0</v>
      </c>
      <c r="W38" s="23">
        <v>0</v>
      </c>
      <c r="X38" s="2">
        <v>0</v>
      </c>
      <c r="Y38" s="2">
        <v>0</v>
      </c>
      <c r="Z38" s="2">
        <v>0</v>
      </c>
      <c r="AA38" s="2">
        <v>0</v>
      </c>
    </row>
    <row r="39" spans="1:37">
      <c r="A39" s="45" t="s">
        <v>117</v>
      </c>
      <c r="B39" s="63"/>
      <c r="C39" s="63"/>
      <c r="D39" s="63"/>
      <c r="E39" s="63"/>
      <c r="F39" s="82">
        <v>0</v>
      </c>
      <c r="G39" s="63"/>
      <c r="H39" s="63"/>
      <c r="I39" s="63">
        <v>0</v>
      </c>
      <c r="J39" s="63"/>
      <c r="K39" s="63">
        <v>1.51</v>
      </c>
      <c r="L39" s="63">
        <v>45.603999999999999</v>
      </c>
      <c r="M39" s="63">
        <v>49.305</v>
      </c>
      <c r="N39" s="63">
        <v>50.5</v>
      </c>
      <c r="O39" s="63">
        <v>0</v>
      </c>
      <c r="P39" s="63">
        <v>0.51200000000000001</v>
      </c>
      <c r="Q39" s="63">
        <v>29.588000000000001</v>
      </c>
      <c r="R39" s="63">
        <v>54.633000000000003</v>
      </c>
      <c r="S39" s="63">
        <v>83.236000000000004</v>
      </c>
      <c r="T39" s="45">
        <v>84.971999999999994</v>
      </c>
      <c r="U39" s="45">
        <v>38.777000000000001</v>
      </c>
      <c r="V39" s="45">
        <v>82.97</v>
      </c>
      <c r="W39" s="45">
        <v>102.282</v>
      </c>
      <c r="X39" s="45">
        <v>50.015000000000001</v>
      </c>
      <c r="Y39" s="45">
        <v>68.402000000000001</v>
      </c>
      <c r="Z39" s="45">
        <v>207.37899999999999</v>
      </c>
      <c r="AA39" s="45">
        <v>302.452</v>
      </c>
      <c r="AB39" s="23"/>
      <c r="AC39" s="23"/>
      <c r="AD39" s="23"/>
      <c r="AE39" s="23"/>
      <c r="AF39" s="23"/>
      <c r="AG39" s="23"/>
      <c r="AH39" s="23"/>
      <c r="AI39" s="23"/>
      <c r="AJ39" s="23"/>
      <c r="AK39" s="23"/>
    </row>
    <row r="40" spans="1:37" s="23" customFormat="1">
      <c r="A40" s="79" t="s">
        <v>121</v>
      </c>
      <c r="B40" s="90">
        <f>SUM(B42:B53)</f>
        <v>0</v>
      </c>
      <c r="C40" s="90">
        <f t="shared" ref="C40:AA40" si="9">SUM(C42:C53)</f>
        <v>0</v>
      </c>
      <c r="D40" s="90">
        <f t="shared" si="9"/>
        <v>0</v>
      </c>
      <c r="E40" s="90">
        <f t="shared" si="9"/>
        <v>0</v>
      </c>
      <c r="F40" s="90">
        <f t="shared" si="9"/>
        <v>4351.3150000000005</v>
      </c>
      <c r="G40" s="90">
        <f t="shared" si="9"/>
        <v>0</v>
      </c>
      <c r="H40" s="90">
        <f t="shared" si="9"/>
        <v>0</v>
      </c>
      <c r="I40" s="90">
        <f t="shared" si="9"/>
        <v>7548.130000000001</v>
      </c>
      <c r="J40" s="90">
        <f t="shared" si="9"/>
        <v>0</v>
      </c>
      <c r="K40" s="90">
        <f t="shared" si="9"/>
        <v>4246.733319999993</v>
      </c>
      <c r="L40" s="90">
        <f t="shared" si="9"/>
        <v>3958.2379999999998</v>
      </c>
      <c r="M40" s="90">
        <f t="shared" si="9"/>
        <v>2523.1490000000003</v>
      </c>
      <c r="N40" s="90">
        <f t="shared" si="9"/>
        <v>2998.5070000000001</v>
      </c>
      <c r="O40" s="90">
        <f t="shared" si="9"/>
        <v>4546.8730000000005</v>
      </c>
      <c r="P40" s="90">
        <f t="shared" si="9"/>
        <v>2566.4009999999998</v>
      </c>
      <c r="Q40" s="90">
        <f t="shared" si="9"/>
        <v>2944.4589999999998</v>
      </c>
      <c r="R40" s="90">
        <f t="shared" si="9"/>
        <v>3812.587</v>
      </c>
      <c r="S40" s="90">
        <f t="shared" si="9"/>
        <v>4642.6729999999998</v>
      </c>
      <c r="T40" s="90">
        <f t="shared" si="9"/>
        <v>5412.2249999999995</v>
      </c>
      <c r="U40" s="90">
        <f t="shared" si="9"/>
        <v>11750.523999999999</v>
      </c>
      <c r="V40" s="90">
        <f t="shared" si="9"/>
        <v>7162.9100000000008</v>
      </c>
      <c r="W40" s="90">
        <f t="shared" si="9"/>
        <v>8620.7340000000004</v>
      </c>
      <c r="X40" s="90">
        <f t="shared" si="9"/>
        <v>6432.4350000000004</v>
      </c>
      <c r="Y40" s="90">
        <f t="shared" si="9"/>
        <v>9806.8740000000016</v>
      </c>
      <c r="Z40" s="90">
        <f t="shared" si="9"/>
        <v>9129.851999999999</v>
      </c>
      <c r="AA40" s="90">
        <f t="shared" si="9"/>
        <v>5783.7359999999999</v>
      </c>
    </row>
    <row r="41" spans="1:37">
      <c r="A41" s="79" t="s">
        <v>119</v>
      </c>
      <c r="B41" s="37"/>
      <c r="C41" s="37"/>
      <c r="D41" s="37"/>
      <c r="E41" s="37"/>
      <c r="F41" s="37"/>
      <c r="G41" s="37"/>
      <c r="H41" s="37"/>
      <c r="I41" s="37"/>
      <c r="J41" s="37"/>
      <c r="K41" s="37"/>
      <c r="L41" s="37"/>
      <c r="M41" s="37"/>
      <c r="N41" s="37"/>
      <c r="O41" s="37"/>
      <c r="P41" s="37"/>
      <c r="Q41" s="37"/>
      <c r="R41" s="37"/>
      <c r="S41" s="37"/>
      <c r="T41" s="23"/>
      <c r="U41" s="23"/>
      <c r="V41" s="23"/>
      <c r="W41" s="23"/>
      <c r="X41" s="2">
        <v>0</v>
      </c>
      <c r="Y41" s="2" t="e">
        <f>#REF!/1000</f>
        <v>#REF!</v>
      </c>
    </row>
    <row r="42" spans="1:37">
      <c r="A42" s="23" t="s">
        <v>93</v>
      </c>
      <c r="B42" s="36"/>
      <c r="C42" s="36"/>
      <c r="D42" s="36"/>
      <c r="E42" s="36"/>
      <c r="F42" s="77">
        <v>48.466000000000001</v>
      </c>
      <c r="G42" s="36"/>
      <c r="H42" s="36"/>
      <c r="I42" s="37">
        <v>63.625999999999998</v>
      </c>
      <c r="J42" s="37"/>
      <c r="K42" s="37">
        <v>254.91499999999999</v>
      </c>
      <c r="L42" s="37">
        <v>277.00299999999999</v>
      </c>
      <c r="M42" s="37">
        <v>303.35399999999998</v>
      </c>
      <c r="N42" s="37">
        <v>228.49700000000001</v>
      </c>
      <c r="O42" s="37">
        <v>269.17</v>
      </c>
      <c r="P42" s="37">
        <v>521.22299999999996</v>
      </c>
      <c r="Q42" s="37">
        <v>416.54300000000001</v>
      </c>
      <c r="R42" s="37">
        <v>504.53300000000002</v>
      </c>
      <c r="S42" s="37">
        <v>889.56600000000003</v>
      </c>
      <c r="T42" s="23">
        <v>1217.662</v>
      </c>
      <c r="U42" s="23">
        <v>1426.23</v>
      </c>
      <c r="V42" s="23">
        <v>1039.652</v>
      </c>
      <c r="W42" s="23">
        <v>767.87300000000005</v>
      </c>
      <c r="X42" s="2">
        <v>462.94499999999999</v>
      </c>
      <c r="Y42" s="2">
        <v>7.484</v>
      </c>
      <c r="Z42" s="2">
        <v>12.590999999999999</v>
      </c>
      <c r="AA42" s="2">
        <v>4.1790000000000003</v>
      </c>
    </row>
    <row r="43" spans="1:37">
      <c r="A43" s="23" t="s">
        <v>58</v>
      </c>
      <c r="B43" s="36"/>
      <c r="C43" s="36"/>
      <c r="D43" s="36"/>
      <c r="E43" s="36"/>
      <c r="F43" s="77">
        <v>0</v>
      </c>
      <c r="G43" s="36"/>
      <c r="H43" s="36"/>
      <c r="I43" s="37">
        <v>0</v>
      </c>
      <c r="J43" s="37"/>
      <c r="K43" s="37">
        <v>0</v>
      </c>
      <c r="L43" s="37">
        <v>0</v>
      </c>
      <c r="M43" s="37">
        <v>0</v>
      </c>
      <c r="N43" s="37">
        <v>0</v>
      </c>
      <c r="O43" s="37">
        <v>0</v>
      </c>
      <c r="P43" s="37">
        <v>0</v>
      </c>
      <c r="Q43" s="37">
        <v>0</v>
      </c>
      <c r="R43" s="37">
        <v>0</v>
      </c>
      <c r="S43" s="37">
        <v>0</v>
      </c>
      <c r="T43" s="23">
        <v>0</v>
      </c>
      <c r="U43" s="23">
        <v>0</v>
      </c>
      <c r="V43" s="23">
        <v>0</v>
      </c>
      <c r="W43" s="23">
        <v>0</v>
      </c>
      <c r="X43" s="2">
        <v>0</v>
      </c>
      <c r="Y43" s="2">
        <v>0</v>
      </c>
      <c r="Z43" s="2">
        <v>0</v>
      </c>
      <c r="AA43" s="2">
        <v>0</v>
      </c>
    </row>
    <row r="44" spans="1:37">
      <c r="A44" s="23" t="s">
        <v>94</v>
      </c>
      <c r="B44" s="36"/>
      <c r="C44" s="36"/>
      <c r="D44" s="36"/>
      <c r="E44" s="36"/>
      <c r="F44" s="77">
        <v>8.58</v>
      </c>
      <c r="G44" s="36"/>
      <c r="H44" s="36"/>
      <c r="I44" s="37">
        <v>21.896000000000001</v>
      </c>
      <c r="J44" s="37"/>
      <c r="K44" s="37">
        <v>0</v>
      </c>
      <c r="L44" s="37">
        <v>151.52699999999999</v>
      </c>
      <c r="M44" s="37">
        <v>138.227</v>
      </c>
      <c r="N44" s="37">
        <v>141.71199999999999</v>
      </c>
      <c r="O44" s="37">
        <v>126.38</v>
      </c>
      <c r="P44" s="37">
        <v>101.813</v>
      </c>
      <c r="Q44" s="37">
        <v>99.847999999999999</v>
      </c>
      <c r="R44" s="37">
        <v>59.124000000000002</v>
      </c>
      <c r="S44" s="37">
        <v>93.02</v>
      </c>
      <c r="T44" s="23">
        <v>110.17700000000001</v>
      </c>
      <c r="U44" s="23">
        <v>104.684</v>
      </c>
      <c r="V44" s="23">
        <v>118.586</v>
      </c>
      <c r="W44" s="23">
        <v>157.38999999999999</v>
      </c>
      <c r="X44" s="2">
        <v>156.191</v>
      </c>
      <c r="Y44" s="2">
        <v>0</v>
      </c>
      <c r="Z44" s="2">
        <v>0</v>
      </c>
      <c r="AA44" s="2">
        <v>0</v>
      </c>
    </row>
    <row r="45" spans="1:37">
      <c r="A45" s="23" t="s">
        <v>95</v>
      </c>
      <c r="B45" s="36"/>
      <c r="C45" s="36"/>
      <c r="D45" s="36"/>
      <c r="E45" s="36"/>
      <c r="F45" s="77">
        <v>400.51499999999999</v>
      </c>
      <c r="G45" s="36"/>
      <c r="H45" s="36"/>
      <c r="I45" s="37">
        <v>75.786000000000001</v>
      </c>
      <c r="J45" s="37"/>
      <c r="K45" s="37">
        <v>34.380000000000003</v>
      </c>
      <c r="L45" s="37">
        <v>123.444</v>
      </c>
      <c r="M45" s="37">
        <v>87.93</v>
      </c>
      <c r="N45" s="37">
        <v>96.662999999999997</v>
      </c>
      <c r="O45" s="37">
        <v>96.588999999999999</v>
      </c>
      <c r="P45" s="37">
        <v>96.588999999999999</v>
      </c>
      <c r="Q45" s="37">
        <v>108.94499999999999</v>
      </c>
      <c r="R45" s="37">
        <v>133.55699999999999</v>
      </c>
      <c r="S45" s="37">
        <v>162.08699999999999</v>
      </c>
      <c r="T45" s="23">
        <v>172.81399999999999</v>
      </c>
      <c r="U45" s="23">
        <v>123.26900000000001</v>
      </c>
      <c r="V45" s="23">
        <v>194.309</v>
      </c>
      <c r="W45" s="23">
        <v>218.459</v>
      </c>
      <c r="X45" s="2">
        <v>214.50399999999999</v>
      </c>
      <c r="Y45" s="2">
        <v>3703.422</v>
      </c>
      <c r="Z45" s="2">
        <v>4029.9749999999999</v>
      </c>
      <c r="AA45" s="2">
        <v>283.08600000000001</v>
      </c>
    </row>
    <row r="46" spans="1:37">
      <c r="A46" s="23" t="s">
        <v>98</v>
      </c>
      <c r="B46" s="36"/>
      <c r="C46" s="36"/>
      <c r="D46" s="36"/>
      <c r="E46" s="37"/>
      <c r="F46" s="77">
        <v>338.178</v>
      </c>
      <c r="G46" s="36"/>
      <c r="H46" s="36"/>
      <c r="I46" s="37">
        <v>515.4</v>
      </c>
      <c r="J46" s="37"/>
      <c r="K46" s="37">
        <v>619.678</v>
      </c>
      <c r="L46" s="37">
        <v>625.44899999999996</v>
      </c>
      <c r="M46" s="37">
        <v>512.577</v>
      </c>
      <c r="N46" s="37">
        <v>642.12</v>
      </c>
      <c r="O46" s="37">
        <v>953.64499999999998</v>
      </c>
      <c r="P46" s="37">
        <v>324.38</v>
      </c>
      <c r="Q46" s="37">
        <v>344.214</v>
      </c>
      <c r="R46" s="37">
        <v>1026.2439999999999</v>
      </c>
      <c r="S46" s="37">
        <v>745.58699999999999</v>
      </c>
      <c r="T46" s="23">
        <v>972.303</v>
      </c>
      <c r="U46" s="23">
        <v>995.84900000000005</v>
      </c>
      <c r="V46" s="23">
        <v>1253.3710000000001</v>
      </c>
      <c r="W46" s="23">
        <v>1038.171</v>
      </c>
      <c r="X46" s="2">
        <v>944.55</v>
      </c>
      <c r="Y46" s="2">
        <v>489.58199999999999</v>
      </c>
      <c r="Z46" s="2">
        <v>685.43499999999995</v>
      </c>
      <c r="AA46" s="2">
        <v>594.36800000000005</v>
      </c>
    </row>
    <row r="47" spans="1:37">
      <c r="A47" s="23" t="s">
        <v>99</v>
      </c>
      <c r="B47" s="37"/>
      <c r="C47" s="37"/>
      <c r="D47" s="37"/>
      <c r="E47" s="37"/>
      <c r="F47" s="77">
        <v>677.83799999999997</v>
      </c>
      <c r="G47" s="37"/>
      <c r="H47" s="37"/>
      <c r="I47" s="37">
        <v>3074.3510000000001</v>
      </c>
      <c r="J47" s="37"/>
      <c r="K47" s="37">
        <v>2662.6143199999929</v>
      </c>
      <c r="L47" s="37">
        <v>1712.0029999999999</v>
      </c>
      <c r="M47" s="37">
        <v>572.28700000000003</v>
      </c>
      <c r="N47" s="37">
        <v>656.28499999999997</v>
      </c>
      <c r="O47" s="37">
        <v>605.721</v>
      </c>
      <c r="P47" s="37">
        <v>876.17499999999995</v>
      </c>
      <c r="Q47" s="37">
        <v>1004.155</v>
      </c>
      <c r="R47" s="37">
        <v>1060.826</v>
      </c>
      <c r="S47" s="37">
        <v>1315.9280000000001</v>
      </c>
      <c r="T47" s="23">
        <v>1357.25</v>
      </c>
      <c r="U47" s="23">
        <v>2037</v>
      </c>
      <c r="V47" s="23">
        <v>2654</v>
      </c>
      <c r="W47" s="23">
        <v>3560</v>
      </c>
      <c r="X47" s="2">
        <v>2147</v>
      </c>
      <c r="Y47" s="2">
        <v>1189</v>
      </c>
      <c r="Z47" s="2">
        <v>1055</v>
      </c>
      <c r="AA47" s="2">
        <v>1169</v>
      </c>
    </row>
    <row r="48" spans="1:37">
      <c r="A48" s="23" t="s">
        <v>59</v>
      </c>
      <c r="B48" s="37"/>
      <c r="C48" s="37"/>
      <c r="D48" s="37"/>
      <c r="E48" s="37"/>
      <c r="F48" s="77">
        <v>0</v>
      </c>
      <c r="G48" s="37"/>
      <c r="H48" s="37"/>
      <c r="I48" s="37">
        <v>0</v>
      </c>
      <c r="J48" s="37"/>
      <c r="K48" s="37">
        <v>0</v>
      </c>
      <c r="L48" s="37">
        <v>0</v>
      </c>
      <c r="M48" s="37">
        <v>7.93</v>
      </c>
      <c r="N48" s="37">
        <v>11.445</v>
      </c>
      <c r="O48" s="37">
        <v>0</v>
      </c>
      <c r="P48" s="37">
        <v>0</v>
      </c>
      <c r="Q48" s="37">
        <v>0</v>
      </c>
      <c r="R48" s="37">
        <v>0</v>
      </c>
      <c r="S48" s="37">
        <v>14.823</v>
      </c>
      <c r="T48" s="23">
        <v>6.2930000000000001</v>
      </c>
      <c r="U48" s="23">
        <v>0</v>
      </c>
      <c r="V48" s="23">
        <v>0</v>
      </c>
      <c r="W48" s="23">
        <v>0.68799999999999994</v>
      </c>
      <c r="X48" s="2">
        <v>0</v>
      </c>
      <c r="Y48" s="2">
        <v>0</v>
      </c>
      <c r="Z48" s="2">
        <v>1.673</v>
      </c>
      <c r="AA48" s="2">
        <v>0.72799999999999998</v>
      </c>
    </row>
    <row r="49" spans="1:37">
      <c r="A49" s="23" t="s">
        <v>101</v>
      </c>
      <c r="B49" s="37"/>
      <c r="C49" s="37"/>
      <c r="D49" s="37"/>
      <c r="E49" s="37"/>
      <c r="F49" s="77">
        <v>0</v>
      </c>
      <c r="G49" s="37"/>
      <c r="H49" s="37"/>
      <c r="I49" s="37">
        <v>0</v>
      </c>
      <c r="J49" s="37"/>
      <c r="K49" s="37">
        <v>0</v>
      </c>
      <c r="L49" s="37">
        <v>0</v>
      </c>
      <c r="M49" s="37">
        <v>0</v>
      </c>
      <c r="N49" s="37">
        <v>0</v>
      </c>
      <c r="O49" s="37">
        <v>0</v>
      </c>
      <c r="P49" s="37">
        <v>117.791</v>
      </c>
      <c r="Q49" s="37">
        <v>0</v>
      </c>
      <c r="R49" s="37">
        <v>9.9870000000000001</v>
      </c>
      <c r="S49" s="37">
        <v>1</v>
      </c>
      <c r="T49" s="23">
        <v>0</v>
      </c>
      <c r="U49" s="23">
        <v>2.36</v>
      </c>
      <c r="V49" s="23">
        <v>6.1360000000000001</v>
      </c>
      <c r="W49" s="23">
        <v>164.06100000000001</v>
      </c>
      <c r="X49" s="2">
        <v>44.8</v>
      </c>
      <c r="Y49" s="2">
        <v>39.536999999999999</v>
      </c>
      <c r="Z49" s="2">
        <v>12.513999999999999</v>
      </c>
      <c r="AA49" s="2">
        <v>0</v>
      </c>
    </row>
    <row r="50" spans="1:37">
      <c r="A50" s="23" t="s">
        <v>107</v>
      </c>
      <c r="B50" s="37"/>
      <c r="C50" s="37"/>
      <c r="D50" s="37"/>
      <c r="E50" s="37"/>
      <c r="F50" s="77">
        <v>12.266</v>
      </c>
      <c r="G50" s="37"/>
      <c r="H50" s="37"/>
      <c r="I50" s="37">
        <v>0</v>
      </c>
      <c r="J50" s="37"/>
      <c r="K50" s="37">
        <v>92.185000000000002</v>
      </c>
      <c r="L50" s="37">
        <v>180.733</v>
      </c>
      <c r="M50" s="37">
        <v>15.945</v>
      </c>
      <c r="N50" s="37">
        <v>2.105</v>
      </c>
      <c r="O50" s="37">
        <v>11.688000000000001</v>
      </c>
      <c r="P50" s="37">
        <v>7.2709999999999999</v>
      </c>
      <c r="Q50" s="37">
        <v>1.349</v>
      </c>
      <c r="R50" s="37">
        <v>0</v>
      </c>
      <c r="S50" s="37">
        <v>0</v>
      </c>
      <c r="T50" s="23">
        <v>0</v>
      </c>
      <c r="U50" s="23">
        <v>0</v>
      </c>
      <c r="V50" s="23">
        <v>0</v>
      </c>
      <c r="W50" s="23">
        <v>0</v>
      </c>
      <c r="X50" s="2">
        <v>0</v>
      </c>
      <c r="Y50" s="2">
        <v>63.805</v>
      </c>
      <c r="Z50" s="2">
        <v>188.37200000000001</v>
      </c>
      <c r="AA50" s="2">
        <v>673.68899999999996</v>
      </c>
    </row>
    <row r="51" spans="1:37">
      <c r="A51" s="23" t="s">
        <v>108</v>
      </c>
      <c r="B51" s="37"/>
      <c r="C51" s="37"/>
      <c r="D51" s="37"/>
      <c r="E51" s="37"/>
      <c r="F51" s="77">
        <v>341.29500000000002</v>
      </c>
      <c r="G51" s="37"/>
      <c r="H51" s="37"/>
      <c r="I51" s="37">
        <v>770.28300000000002</v>
      </c>
      <c r="J51" s="37"/>
      <c r="K51" s="37">
        <v>376.39100000000002</v>
      </c>
      <c r="L51" s="37">
        <v>719.19299999999998</v>
      </c>
      <c r="M51" s="37">
        <v>730.73500000000001</v>
      </c>
      <c r="N51" s="37">
        <v>471.97300000000001</v>
      </c>
      <c r="O51" s="37">
        <v>437.74400000000003</v>
      </c>
      <c r="P51" s="37">
        <v>489.64100000000002</v>
      </c>
      <c r="Q51" s="37">
        <v>771.48400000000004</v>
      </c>
      <c r="R51" s="37">
        <v>860.58199999999999</v>
      </c>
      <c r="S51" s="37">
        <v>1202.394</v>
      </c>
      <c r="T51" s="23">
        <v>1385.5889999999999</v>
      </c>
      <c r="U51" s="23">
        <v>6596.6379999999999</v>
      </c>
      <c r="V51" s="23">
        <v>1709.162</v>
      </c>
      <c r="W51" s="23">
        <v>2502.2959999999998</v>
      </c>
      <c r="X51" s="2">
        <v>2290.413</v>
      </c>
      <c r="Y51" s="2">
        <v>4027.4349999999999</v>
      </c>
      <c r="Z51" s="2">
        <v>2775.4490000000001</v>
      </c>
      <c r="AA51" s="2">
        <v>2804.761</v>
      </c>
    </row>
    <row r="52" spans="1:37">
      <c r="A52" s="23" t="s">
        <v>112</v>
      </c>
      <c r="B52" s="37"/>
      <c r="C52" s="37"/>
      <c r="D52" s="37"/>
      <c r="E52" s="37"/>
      <c r="F52" s="77">
        <v>0</v>
      </c>
      <c r="G52" s="37"/>
      <c r="H52" s="37"/>
      <c r="I52" s="37">
        <v>0</v>
      </c>
      <c r="J52" s="37"/>
      <c r="K52" s="37">
        <v>0</v>
      </c>
      <c r="L52" s="37">
        <v>0</v>
      </c>
      <c r="M52" s="37">
        <v>0</v>
      </c>
      <c r="N52" s="37">
        <v>28.286999999999999</v>
      </c>
      <c r="O52" s="37">
        <v>0</v>
      </c>
      <c r="P52" s="37">
        <v>0</v>
      </c>
      <c r="Q52" s="37">
        <v>0</v>
      </c>
      <c r="R52" s="37">
        <v>0</v>
      </c>
      <c r="S52" s="37">
        <v>0</v>
      </c>
      <c r="T52" s="23">
        <v>0</v>
      </c>
      <c r="U52" s="23">
        <v>260.976</v>
      </c>
      <c r="V52" s="23">
        <v>0</v>
      </c>
      <c r="W52" s="23">
        <v>0</v>
      </c>
      <c r="X52" s="2">
        <v>0</v>
      </c>
      <c r="Y52" s="2">
        <v>70.311000000000007</v>
      </c>
      <c r="Z52" s="2">
        <v>46.865000000000002</v>
      </c>
      <c r="AA52" s="2">
        <v>54.746000000000002</v>
      </c>
    </row>
    <row r="53" spans="1:37">
      <c r="A53" s="45" t="s">
        <v>116</v>
      </c>
      <c r="B53" s="63"/>
      <c r="C53" s="63"/>
      <c r="D53" s="63"/>
      <c r="E53" s="63"/>
      <c r="F53" s="82">
        <v>2524.1770000000001</v>
      </c>
      <c r="G53" s="63"/>
      <c r="H53" s="63"/>
      <c r="I53" s="63">
        <v>3026.788</v>
      </c>
      <c r="J53" s="63"/>
      <c r="K53" s="63">
        <v>206.57</v>
      </c>
      <c r="L53" s="63">
        <v>168.886</v>
      </c>
      <c r="M53" s="63">
        <v>154.16399999999999</v>
      </c>
      <c r="N53" s="63">
        <v>719.42</v>
      </c>
      <c r="O53" s="63">
        <v>2045.9359999999999</v>
      </c>
      <c r="P53" s="63">
        <v>31.518000000000001</v>
      </c>
      <c r="Q53" s="63">
        <v>197.92099999999999</v>
      </c>
      <c r="R53" s="63">
        <v>157.73400000000001</v>
      </c>
      <c r="S53" s="63">
        <v>218.268</v>
      </c>
      <c r="T53" s="45">
        <v>190.137</v>
      </c>
      <c r="U53" s="45">
        <v>203.518</v>
      </c>
      <c r="V53" s="45">
        <v>187.69399999999999</v>
      </c>
      <c r="W53" s="45">
        <v>211.79599999999999</v>
      </c>
      <c r="X53" s="45">
        <v>172.03200000000001</v>
      </c>
      <c r="Y53" s="45">
        <v>216.298</v>
      </c>
      <c r="Z53" s="45">
        <v>321.97800000000001</v>
      </c>
      <c r="AA53" s="45">
        <v>199.179</v>
      </c>
    </row>
    <row r="54" spans="1:37" s="23" customFormat="1">
      <c r="A54" s="79" t="s">
        <v>122</v>
      </c>
      <c r="B54" s="90">
        <f>SUM(B56:B64)</f>
        <v>0</v>
      </c>
      <c r="C54" s="90">
        <f t="shared" ref="C54:AA54" si="10">SUM(C56:C64)</f>
        <v>0</v>
      </c>
      <c r="D54" s="90">
        <f t="shared" si="10"/>
        <v>0</v>
      </c>
      <c r="E54" s="90">
        <f t="shared" si="10"/>
        <v>0</v>
      </c>
      <c r="F54" s="90">
        <f>SUM(F56:F64)</f>
        <v>5906.1080000000011</v>
      </c>
      <c r="G54" s="90">
        <f t="shared" si="10"/>
        <v>0</v>
      </c>
      <c r="H54" s="90">
        <f t="shared" si="10"/>
        <v>0</v>
      </c>
      <c r="I54" s="90">
        <f t="shared" si="10"/>
        <v>7298.0480000000007</v>
      </c>
      <c r="J54" s="90">
        <f t="shared" si="10"/>
        <v>0</v>
      </c>
      <c r="K54" s="90">
        <f t="shared" si="10"/>
        <v>2725.1089999999999</v>
      </c>
      <c r="L54" s="90">
        <f t="shared" si="10"/>
        <v>1630.3879999999999</v>
      </c>
      <c r="M54" s="90">
        <f t="shared" si="10"/>
        <v>3800.7779999999998</v>
      </c>
      <c r="N54" s="90">
        <f t="shared" si="10"/>
        <v>3812.5630000000001</v>
      </c>
      <c r="O54" s="90">
        <f t="shared" si="10"/>
        <v>4155.3069999999998</v>
      </c>
      <c r="P54" s="90">
        <f t="shared" si="10"/>
        <v>4472.4179999999997</v>
      </c>
      <c r="Q54" s="90">
        <f t="shared" si="10"/>
        <v>4347.7780000000002</v>
      </c>
      <c r="R54" s="90">
        <f t="shared" si="10"/>
        <v>4613.4139999999989</v>
      </c>
      <c r="S54" s="90">
        <f t="shared" si="10"/>
        <v>4878.7080000000005</v>
      </c>
      <c r="T54" s="90">
        <f t="shared" si="10"/>
        <v>5049.9309999999996</v>
      </c>
      <c r="U54" s="90">
        <f t="shared" si="10"/>
        <v>5050.7020000000002</v>
      </c>
      <c r="V54" s="90">
        <f t="shared" si="10"/>
        <v>5560.8970000000008</v>
      </c>
      <c r="W54" s="90">
        <f t="shared" si="10"/>
        <v>5810.6590000000006</v>
      </c>
      <c r="X54" s="90">
        <f t="shared" si="10"/>
        <v>5922.8430000000008</v>
      </c>
      <c r="Y54" s="90">
        <f t="shared" si="10"/>
        <v>5717.1310000000003</v>
      </c>
      <c r="Z54" s="90">
        <f t="shared" si="10"/>
        <v>10093.819</v>
      </c>
      <c r="AA54" s="90">
        <f t="shared" si="10"/>
        <v>7542.08</v>
      </c>
    </row>
    <row r="55" spans="1:37">
      <c r="A55" s="79" t="s">
        <v>119</v>
      </c>
      <c r="B55" s="37"/>
      <c r="C55" s="37"/>
      <c r="D55" s="37"/>
      <c r="E55" s="37"/>
      <c r="F55" s="37"/>
      <c r="G55" s="37"/>
      <c r="H55" s="37"/>
      <c r="I55" s="37"/>
      <c r="J55" s="37"/>
      <c r="K55" s="37"/>
      <c r="L55" s="37"/>
      <c r="M55" s="37"/>
      <c r="N55" s="37"/>
      <c r="O55" s="37"/>
      <c r="P55" s="37"/>
      <c r="Q55" s="37"/>
      <c r="R55" s="37"/>
      <c r="S55" s="37"/>
      <c r="T55" s="23"/>
      <c r="U55" s="23"/>
      <c r="V55" s="23"/>
      <c r="W55" s="23"/>
      <c r="X55" s="2">
        <v>0</v>
      </c>
      <c r="Y55" s="2" t="e">
        <f>#REF!/1000</f>
        <v>#REF!</v>
      </c>
    </row>
    <row r="56" spans="1:37" s="23" customFormat="1">
      <c r="A56" s="23" t="s">
        <v>89</v>
      </c>
      <c r="B56" s="36"/>
      <c r="C56" s="36"/>
      <c r="D56" s="36"/>
      <c r="E56" s="36"/>
      <c r="F56" s="77">
        <v>0</v>
      </c>
      <c r="G56" s="36"/>
      <c r="H56" s="36"/>
      <c r="I56" s="37">
        <v>0</v>
      </c>
      <c r="J56" s="37"/>
      <c r="K56" s="37">
        <v>0</v>
      </c>
      <c r="L56" s="37">
        <v>0</v>
      </c>
      <c r="M56" s="37">
        <v>0</v>
      </c>
      <c r="N56" s="37">
        <v>0</v>
      </c>
      <c r="O56" s="37">
        <v>0</v>
      </c>
      <c r="P56" s="37">
        <v>0</v>
      </c>
      <c r="Q56" s="37">
        <v>0</v>
      </c>
      <c r="R56" s="37">
        <v>0</v>
      </c>
      <c r="S56" s="37">
        <v>0</v>
      </c>
      <c r="T56" s="23">
        <v>0</v>
      </c>
      <c r="U56" s="23">
        <v>0</v>
      </c>
      <c r="V56" s="23">
        <v>0</v>
      </c>
      <c r="W56" s="23">
        <v>0</v>
      </c>
      <c r="X56" s="2">
        <v>0</v>
      </c>
      <c r="Y56" s="2">
        <v>0</v>
      </c>
      <c r="Z56" s="2">
        <v>0</v>
      </c>
      <c r="AA56" s="2">
        <v>0</v>
      </c>
      <c r="AB56" s="2"/>
      <c r="AC56" s="2"/>
      <c r="AD56" s="2"/>
      <c r="AE56" s="2"/>
      <c r="AF56" s="2"/>
      <c r="AG56" s="2"/>
      <c r="AH56" s="2"/>
      <c r="AI56" s="2"/>
      <c r="AJ56" s="2"/>
      <c r="AK56" s="2"/>
    </row>
    <row r="57" spans="1:37" s="23" customFormat="1">
      <c r="A57" s="23" t="s">
        <v>96</v>
      </c>
      <c r="B57" s="36"/>
      <c r="C57" s="36"/>
      <c r="D57" s="36"/>
      <c r="E57" s="36"/>
      <c r="F57" s="77">
        <v>17.428999999999998</v>
      </c>
      <c r="G57" s="36"/>
      <c r="H57" s="36"/>
      <c r="I57" s="37">
        <v>5.1109999999999998</v>
      </c>
      <c r="J57" s="37"/>
      <c r="K57" s="37">
        <v>1.881</v>
      </c>
      <c r="L57" s="37">
        <v>0</v>
      </c>
      <c r="M57" s="37">
        <v>0</v>
      </c>
      <c r="N57" s="37">
        <v>0</v>
      </c>
      <c r="O57" s="37">
        <v>0</v>
      </c>
      <c r="P57" s="37">
        <v>0</v>
      </c>
      <c r="Q57" s="37">
        <v>0</v>
      </c>
      <c r="R57" s="37">
        <v>0</v>
      </c>
      <c r="S57" s="37">
        <v>0</v>
      </c>
      <c r="T57" s="23">
        <v>0</v>
      </c>
      <c r="U57" s="23">
        <v>0</v>
      </c>
      <c r="V57" s="23">
        <v>0</v>
      </c>
      <c r="W57" s="23">
        <v>0</v>
      </c>
      <c r="X57" s="2">
        <v>0</v>
      </c>
      <c r="Y57" s="2">
        <v>396</v>
      </c>
      <c r="Z57" s="2">
        <v>609</v>
      </c>
      <c r="AA57" s="2">
        <v>647</v>
      </c>
      <c r="AB57" s="2"/>
      <c r="AC57" s="2"/>
      <c r="AD57" s="2"/>
      <c r="AE57" s="2"/>
      <c r="AF57" s="2"/>
      <c r="AG57" s="2"/>
      <c r="AH57" s="2"/>
      <c r="AI57" s="2"/>
      <c r="AJ57" s="2"/>
      <c r="AK57" s="2"/>
    </row>
    <row r="58" spans="1:37" s="17" customFormat="1">
      <c r="A58" s="23" t="s">
        <v>97</v>
      </c>
      <c r="B58" s="36"/>
      <c r="C58" s="36"/>
      <c r="D58" s="36"/>
      <c r="E58" s="37"/>
      <c r="F58" s="77">
        <v>0</v>
      </c>
      <c r="G58" s="36"/>
      <c r="H58" s="36"/>
      <c r="I58" s="37">
        <v>18.222000000000001</v>
      </c>
      <c r="J58" s="37"/>
      <c r="K58" s="37">
        <v>18.183</v>
      </c>
      <c r="L58" s="37">
        <v>26.731000000000002</v>
      </c>
      <c r="M58" s="37">
        <v>23.35</v>
      </c>
      <c r="N58" s="37">
        <v>22.718</v>
      </c>
      <c r="O58" s="37">
        <v>50.226999999999997</v>
      </c>
      <c r="P58" s="37">
        <v>78.671999999999997</v>
      </c>
      <c r="Q58" s="37">
        <v>91.272999999999996</v>
      </c>
      <c r="R58" s="37">
        <v>194.024</v>
      </c>
      <c r="S58" s="37">
        <v>166.24799999999999</v>
      </c>
      <c r="T58" s="23">
        <v>129.52000000000001</v>
      </c>
      <c r="U58" s="23">
        <v>122.015</v>
      </c>
      <c r="V58" s="23">
        <v>132.29499999999999</v>
      </c>
      <c r="W58" s="23">
        <v>53.543999999999997</v>
      </c>
      <c r="X58" s="23">
        <v>23.388999999999999</v>
      </c>
      <c r="Y58" s="2">
        <v>8.327</v>
      </c>
      <c r="Z58" s="2">
        <v>11.077</v>
      </c>
      <c r="AA58" s="2">
        <v>6.1989999999999998</v>
      </c>
    </row>
    <row r="59" spans="1:37">
      <c r="A59" s="23" t="s">
        <v>103</v>
      </c>
      <c r="B59" s="37"/>
      <c r="C59" s="37"/>
      <c r="D59" s="37"/>
      <c r="E59" s="37"/>
      <c r="F59" s="77">
        <v>0</v>
      </c>
      <c r="G59" s="37"/>
      <c r="H59" s="37"/>
      <c r="I59" s="37">
        <v>0</v>
      </c>
      <c r="J59" s="37"/>
      <c r="K59" s="37">
        <v>0</v>
      </c>
      <c r="L59" s="37">
        <v>20.891999999999999</v>
      </c>
      <c r="M59" s="37">
        <v>0</v>
      </c>
      <c r="N59" s="37">
        <v>0</v>
      </c>
      <c r="O59" s="37">
        <v>0</v>
      </c>
      <c r="P59" s="37">
        <v>0</v>
      </c>
      <c r="Q59" s="37">
        <v>0</v>
      </c>
      <c r="R59" s="37">
        <v>0</v>
      </c>
      <c r="S59" s="37">
        <v>7.75</v>
      </c>
      <c r="T59" s="23">
        <v>6.1970000000000001</v>
      </c>
      <c r="U59" s="23">
        <v>44.072000000000003</v>
      </c>
      <c r="V59" s="23">
        <v>51.41</v>
      </c>
      <c r="W59" s="23">
        <v>14.94</v>
      </c>
      <c r="X59" s="2">
        <v>194.03100000000001</v>
      </c>
      <c r="Y59" s="2">
        <v>273.74</v>
      </c>
      <c r="Z59" s="2">
        <v>269.86700000000002</v>
      </c>
      <c r="AA59" s="2">
        <v>509.57100000000003</v>
      </c>
    </row>
    <row r="60" spans="1:37">
      <c r="A60" s="23" t="s">
        <v>104</v>
      </c>
      <c r="B60" s="37"/>
      <c r="C60" s="37"/>
      <c r="D60" s="37"/>
      <c r="E60" s="37"/>
      <c r="F60" s="77">
        <v>1189.3810000000001</v>
      </c>
      <c r="G60" s="37"/>
      <c r="H60" s="37"/>
      <c r="I60" s="37">
        <v>1278.9490000000001</v>
      </c>
      <c r="J60" s="37"/>
      <c r="K60" s="37">
        <v>1352.4680000000001</v>
      </c>
      <c r="L60" s="37">
        <v>1001.022</v>
      </c>
      <c r="M60" s="37">
        <v>1095.8320000000001</v>
      </c>
      <c r="N60" s="37">
        <v>1347.711</v>
      </c>
      <c r="O60" s="37">
        <v>1466.0050000000001</v>
      </c>
      <c r="P60" s="37">
        <v>1515.6389999999999</v>
      </c>
      <c r="Q60" s="37">
        <v>1695.9390000000001</v>
      </c>
      <c r="R60" s="37">
        <v>1738.433</v>
      </c>
      <c r="S60" s="37">
        <v>1765.328</v>
      </c>
      <c r="T60" s="23">
        <v>2046.0319999999999</v>
      </c>
      <c r="U60" s="23">
        <v>2205.5680000000002</v>
      </c>
      <c r="V60" s="23">
        <v>2605.5790000000002</v>
      </c>
      <c r="W60" s="23">
        <v>2581.076</v>
      </c>
      <c r="X60" s="2">
        <v>2817.6170000000002</v>
      </c>
      <c r="Y60" s="2">
        <v>2775.4</v>
      </c>
      <c r="Z60" s="2">
        <v>2937.377</v>
      </c>
      <c r="AA60" s="2">
        <v>2262.864</v>
      </c>
    </row>
    <row r="61" spans="1:37">
      <c r="A61" s="23" t="s">
        <v>106</v>
      </c>
      <c r="B61" s="37"/>
      <c r="C61" s="37"/>
      <c r="D61" s="37"/>
      <c r="E61" s="37"/>
      <c r="F61" s="77">
        <v>4500.8680000000004</v>
      </c>
      <c r="G61" s="37"/>
      <c r="H61" s="37"/>
      <c r="I61" s="37">
        <v>5822.6490000000003</v>
      </c>
      <c r="J61" s="37"/>
      <c r="K61" s="37">
        <v>1135.1289999999999</v>
      </c>
      <c r="L61" s="37">
        <v>382.31599999999997</v>
      </c>
      <c r="M61" s="37">
        <v>2675.0050000000001</v>
      </c>
      <c r="N61" s="37">
        <v>2433.7159999999999</v>
      </c>
      <c r="O61" s="37">
        <v>2472.1170000000002</v>
      </c>
      <c r="P61" s="37">
        <v>2878.107</v>
      </c>
      <c r="Q61" s="37">
        <v>2489.9119999999998</v>
      </c>
      <c r="R61" s="37">
        <v>2604.4409999999998</v>
      </c>
      <c r="S61" s="37">
        <v>2806.8440000000001</v>
      </c>
      <c r="T61" s="23">
        <v>2726.0259999999998</v>
      </c>
      <c r="U61" s="23">
        <v>2565.2869999999998</v>
      </c>
      <c r="V61" s="23">
        <v>2654.7809999999999</v>
      </c>
      <c r="W61" s="23">
        <v>3087.067</v>
      </c>
      <c r="X61" s="2">
        <v>2882.6030000000001</v>
      </c>
      <c r="Y61" s="2">
        <v>2262.5329999999999</v>
      </c>
      <c r="Z61" s="2">
        <v>6217.9629999999997</v>
      </c>
      <c r="AA61" s="2">
        <v>4072.183</v>
      </c>
    </row>
    <row r="62" spans="1:37">
      <c r="A62" s="23" t="s">
        <v>110</v>
      </c>
      <c r="B62" s="37"/>
      <c r="C62" s="37"/>
      <c r="D62" s="37"/>
      <c r="E62" s="37"/>
      <c r="F62" s="77">
        <v>198.43</v>
      </c>
      <c r="G62" s="37"/>
      <c r="H62" s="37"/>
      <c r="I62" s="37">
        <v>173.11699999999999</v>
      </c>
      <c r="J62" s="37"/>
      <c r="K62" s="37">
        <v>217.44800000000001</v>
      </c>
      <c r="L62" s="37">
        <v>199.42699999999999</v>
      </c>
      <c r="M62" s="37">
        <v>6.5910000000000002</v>
      </c>
      <c r="N62" s="37">
        <v>8.4179999999999993</v>
      </c>
      <c r="O62" s="37">
        <v>166.958</v>
      </c>
      <c r="P62" s="37">
        <v>0</v>
      </c>
      <c r="Q62" s="37">
        <v>70.653999999999996</v>
      </c>
      <c r="R62" s="37">
        <v>76.516000000000005</v>
      </c>
      <c r="S62" s="37">
        <v>132.53800000000001</v>
      </c>
      <c r="T62" s="23">
        <v>142.15600000000001</v>
      </c>
      <c r="U62" s="23">
        <v>113.76</v>
      </c>
      <c r="V62" s="23">
        <v>116.83199999999999</v>
      </c>
      <c r="W62" s="23">
        <v>74.031999999999996</v>
      </c>
      <c r="X62" s="2">
        <v>5.2030000000000003</v>
      </c>
      <c r="Y62" s="2">
        <v>1.131</v>
      </c>
      <c r="Z62" s="2">
        <v>48.534999999999997</v>
      </c>
      <c r="AA62" s="2">
        <v>26.19</v>
      </c>
    </row>
    <row r="63" spans="1:37">
      <c r="A63" s="23" t="s">
        <v>111</v>
      </c>
      <c r="B63" s="37"/>
      <c r="C63" s="37"/>
      <c r="D63" s="37"/>
      <c r="E63" s="37"/>
      <c r="F63" s="77">
        <v>0</v>
      </c>
      <c r="G63" s="37"/>
      <c r="H63" s="37"/>
      <c r="I63" s="37">
        <v>0</v>
      </c>
      <c r="J63" s="37"/>
      <c r="K63" s="37">
        <v>0</v>
      </c>
      <c r="L63" s="37">
        <v>0</v>
      </c>
      <c r="M63" s="37">
        <v>0</v>
      </c>
      <c r="N63" s="37">
        <v>0</v>
      </c>
      <c r="O63" s="37">
        <v>0</v>
      </c>
      <c r="P63" s="37">
        <v>0</v>
      </c>
      <c r="Q63" s="37">
        <v>0</v>
      </c>
      <c r="R63" s="37">
        <v>0</v>
      </c>
      <c r="S63" s="37">
        <v>0</v>
      </c>
      <c r="T63" s="23">
        <v>0</v>
      </c>
      <c r="U63" s="23">
        <v>0</v>
      </c>
      <c r="V63" s="23">
        <v>0</v>
      </c>
      <c r="W63" s="23">
        <v>0</v>
      </c>
      <c r="X63" s="2">
        <v>0</v>
      </c>
      <c r="Y63" s="2">
        <v>0</v>
      </c>
      <c r="Z63" s="2">
        <v>0</v>
      </c>
      <c r="AA63" s="2">
        <v>0</v>
      </c>
    </row>
    <row r="64" spans="1:37">
      <c r="A64" s="45" t="s">
        <v>114</v>
      </c>
      <c r="B64" s="63"/>
      <c r="C64" s="63"/>
      <c r="D64" s="63"/>
      <c r="E64" s="63"/>
      <c r="F64" s="82">
        <v>0</v>
      </c>
      <c r="G64" s="63"/>
      <c r="H64" s="63"/>
      <c r="I64" s="63">
        <v>0</v>
      </c>
      <c r="J64" s="63"/>
      <c r="K64" s="63">
        <v>0</v>
      </c>
      <c r="L64" s="63">
        <v>0</v>
      </c>
      <c r="M64" s="63">
        <v>0</v>
      </c>
      <c r="N64" s="63">
        <v>0</v>
      </c>
      <c r="O64" s="63">
        <v>0</v>
      </c>
      <c r="P64" s="63">
        <v>0</v>
      </c>
      <c r="Q64" s="63">
        <v>0</v>
      </c>
      <c r="R64" s="63">
        <v>0</v>
      </c>
      <c r="S64" s="63">
        <v>0</v>
      </c>
      <c r="T64" s="45">
        <v>0</v>
      </c>
      <c r="U64" s="45">
        <v>0</v>
      </c>
      <c r="V64" s="45">
        <v>0</v>
      </c>
      <c r="W64" s="45">
        <v>0</v>
      </c>
      <c r="X64" s="45">
        <v>0</v>
      </c>
      <c r="Y64" s="45">
        <v>0</v>
      </c>
      <c r="Z64" s="45">
        <v>0</v>
      </c>
      <c r="AA64" s="45">
        <v>18.073</v>
      </c>
    </row>
    <row r="65" spans="1:37">
      <c r="A65" s="88" t="s">
        <v>90</v>
      </c>
      <c r="B65" s="84"/>
      <c r="C65" s="84"/>
      <c r="D65" s="84"/>
      <c r="E65" s="84"/>
      <c r="F65" s="85">
        <v>0</v>
      </c>
      <c r="G65" s="84"/>
      <c r="H65" s="84"/>
      <c r="I65" s="86">
        <v>0</v>
      </c>
      <c r="J65" s="86"/>
      <c r="K65" s="86">
        <v>0</v>
      </c>
      <c r="L65" s="86"/>
      <c r="M65" s="86">
        <v>0</v>
      </c>
      <c r="N65" s="86">
        <v>0</v>
      </c>
      <c r="O65" s="86">
        <v>0</v>
      </c>
      <c r="P65" s="86">
        <v>0</v>
      </c>
      <c r="Q65" s="86">
        <v>0</v>
      </c>
      <c r="R65" s="86">
        <v>0</v>
      </c>
      <c r="S65" s="86">
        <v>0</v>
      </c>
      <c r="T65" s="87">
        <v>0</v>
      </c>
      <c r="U65" s="87">
        <v>0</v>
      </c>
      <c r="V65" s="87">
        <v>0</v>
      </c>
      <c r="W65" s="87">
        <v>0</v>
      </c>
      <c r="X65" s="45">
        <v>0</v>
      </c>
      <c r="Y65" s="45"/>
      <c r="Z65" s="45"/>
      <c r="AA65" s="45"/>
      <c r="AB65" s="23"/>
      <c r="AC65" s="23"/>
      <c r="AD65" s="23"/>
      <c r="AE65" s="23"/>
      <c r="AF65" s="23"/>
      <c r="AG65" s="23"/>
      <c r="AH65" s="23"/>
      <c r="AI65" s="23"/>
      <c r="AJ65" s="23"/>
      <c r="AK65" s="23"/>
    </row>
    <row r="67" spans="1:37">
      <c r="I67" s="34" t="s">
        <v>78</v>
      </c>
      <c r="J67" s="34" t="s">
        <v>76</v>
      </c>
      <c r="K67" s="34"/>
      <c r="L67" s="34" t="s">
        <v>69</v>
      </c>
      <c r="M67" s="34"/>
      <c r="N67" s="34"/>
      <c r="O67" s="34" t="s">
        <v>78</v>
      </c>
      <c r="P67" s="34" t="s">
        <v>78</v>
      </c>
      <c r="Q67" s="34" t="s">
        <v>78</v>
      </c>
      <c r="R67" s="34" t="s">
        <v>78</v>
      </c>
      <c r="S67" s="34"/>
      <c r="T67" s="34"/>
      <c r="U67" s="34"/>
      <c r="V67" s="34"/>
      <c r="W67" s="34"/>
    </row>
    <row r="68" spans="1:37">
      <c r="I68" s="14" t="s">
        <v>79</v>
      </c>
      <c r="J68" s="14" t="s">
        <v>72</v>
      </c>
      <c r="L68" s="14" t="s">
        <v>70</v>
      </c>
      <c r="O68" s="14" t="s">
        <v>79</v>
      </c>
      <c r="P68" s="14" t="s">
        <v>79</v>
      </c>
      <c r="Q68" s="14" t="s">
        <v>79</v>
      </c>
      <c r="R68" s="14" t="s">
        <v>79</v>
      </c>
    </row>
    <row r="69" spans="1:37">
      <c r="I69" s="14" t="s">
        <v>80</v>
      </c>
      <c r="J69" s="14" t="s">
        <v>73</v>
      </c>
      <c r="O69" s="14" t="s">
        <v>80</v>
      </c>
      <c r="P69" s="14" t="s">
        <v>80</v>
      </c>
      <c r="Q69" s="14" t="s">
        <v>80</v>
      </c>
      <c r="R69" s="14" t="s">
        <v>80</v>
      </c>
    </row>
    <row r="70" spans="1:37">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tabColor indexed="62"/>
  </sheetPr>
  <dimension ref="A1:AS70"/>
  <sheetViews>
    <sheetView showZeros="0" zoomScale="80" zoomScaleNormal="80" workbookViewId="0">
      <pane xSplit="1" ySplit="5" topLeftCell="S6" activePane="bottomRight" state="frozen"/>
      <selection activeCell="B52" sqref="B52"/>
      <selection pane="topRight" activeCell="B52" sqref="B52"/>
      <selection pane="bottomLeft" activeCell="B52" sqref="B52"/>
      <selection pane="bottomRight" activeCell="Z1" sqref="Z1"/>
    </sheetView>
  </sheetViews>
  <sheetFormatPr defaultColWidth="9.7109375" defaultRowHeight="12.75"/>
  <cols>
    <col min="1" max="1" width="23.42578125" style="80" customWidth="1"/>
    <col min="2" max="23" width="12.42578125" style="14" customWidth="1"/>
    <col min="24" max="45" width="10.7109375" style="2" customWidth="1"/>
    <col min="46" max="16384" width="9.7109375" style="2"/>
  </cols>
  <sheetData>
    <row r="1" spans="1:28">
      <c r="A1" s="21" t="s">
        <v>39</v>
      </c>
      <c r="B1"/>
      <c r="C1"/>
      <c r="D1"/>
      <c r="E1"/>
      <c r="F1"/>
      <c r="G1"/>
      <c r="H1"/>
      <c r="I1"/>
      <c r="J1"/>
      <c r="K1"/>
      <c r="L1"/>
      <c r="M1"/>
      <c r="N1"/>
      <c r="O1" s="46"/>
      <c r="P1" s="46"/>
      <c r="Q1" s="46"/>
      <c r="R1" s="46"/>
      <c r="S1"/>
      <c r="T1"/>
      <c r="U1"/>
      <c r="V1"/>
      <c r="W1"/>
    </row>
    <row r="2" spans="1:28">
      <c r="A2" s="12"/>
      <c r="B2" s="12"/>
      <c r="C2" s="12"/>
      <c r="D2" s="12"/>
      <c r="E2" s="12"/>
      <c r="F2" s="12"/>
      <c r="G2" s="13"/>
      <c r="H2" s="13"/>
    </row>
    <row r="3" spans="1:28">
      <c r="A3" s="13" t="s">
        <v>20</v>
      </c>
      <c r="B3" s="12"/>
      <c r="C3" s="12"/>
      <c r="D3" s="12"/>
      <c r="E3" s="12"/>
      <c r="F3" s="12"/>
      <c r="G3" s="13"/>
      <c r="H3" s="13"/>
    </row>
    <row r="4" spans="1:28" s="61"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74">
        <v>2005</v>
      </c>
      <c r="R4" s="74">
        <v>2006</v>
      </c>
      <c r="S4" s="74">
        <v>2007</v>
      </c>
      <c r="T4" s="74">
        <v>2008</v>
      </c>
      <c r="U4" s="74">
        <v>2009</v>
      </c>
      <c r="V4" s="74">
        <v>2010</v>
      </c>
      <c r="W4" s="74">
        <v>2011</v>
      </c>
      <c r="X4" s="173" t="s">
        <v>142</v>
      </c>
      <c r="Y4" s="173" t="s">
        <v>144</v>
      </c>
      <c r="Z4" s="173" t="s">
        <v>145</v>
      </c>
      <c r="AA4" s="173" t="s">
        <v>146</v>
      </c>
    </row>
    <row r="5" spans="1:28">
      <c r="B5" s="15" t="s">
        <v>1</v>
      </c>
      <c r="C5" s="15" t="s">
        <v>1</v>
      </c>
      <c r="D5" s="15" t="s">
        <v>1</v>
      </c>
      <c r="E5" s="15" t="s">
        <v>1</v>
      </c>
      <c r="F5" s="15" t="s">
        <v>1</v>
      </c>
      <c r="G5" s="15" t="s">
        <v>1</v>
      </c>
      <c r="H5" s="15" t="s">
        <v>1</v>
      </c>
      <c r="I5" s="15" t="s">
        <v>1</v>
      </c>
      <c r="J5" s="15" t="s">
        <v>1</v>
      </c>
      <c r="K5" s="15" t="s">
        <v>1</v>
      </c>
      <c r="L5" s="15" t="s">
        <v>1</v>
      </c>
      <c r="M5" s="15" t="s">
        <v>1</v>
      </c>
      <c r="N5" s="15" t="s">
        <v>1</v>
      </c>
      <c r="O5" s="15" t="s">
        <v>1</v>
      </c>
      <c r="P5" s="15" t="s">
        <v>1</v>
      </c>
      <c r="Q5" s="15" t="s">
        <v>1</v>
      </c>
      <c r="R5" s="15" t="s">
        <v>1</v>
      </c>
      <c r="S5" s="15" t="s">
        <v>1</v>
      </c>
      <c r="T5" s="15" t="s">
        <v>1</v>
      </c>
      <c r="U5" s="15" t="s">
        <v>1</v>
      </c>
      <c r="V5" s="15" t="s">
        <v>1</v>
      </c>
      <c r="W5" s="15" t="s">
        <v>1</v>
      </c>
      <c r="X5" s="15" t="s">
        <v>1</v>
      </c>
      <c r="Y5" s="15" t="s">
        <v>1</v>
      </c>
      <c r="Z5" s="15" t="s">
        <v>1</v>
      </c>
      <c r="AA5" s="15" t="s">
        <v>1</v>
      </c>
      <c r="AB5" s="20"/>
    </row>
    <row r="6" spans="1:28" s="23" customFormat="1">
      <c r="A6" s="63" t="s">
        <v>118</v>
      </c>
      <c r="B6" s="66">
        <f>1123948+774975</f>
        <v>1898923</v>
      </c>
      <c r="C6" s="66">
        <f>1237823+884519</f>
        <v>2122342</v>
      </c>
      <c r="D6" s="66">
        <f>1361459+951835</f>
        <v>2313294</v>
      </c>
      <c r="E6" s="66">
        <v>3604057.4369999999</v>
      </c>
      <c r="F6" s="91">
        <f>+F7+F25+F40+F54+F65</f>
        <v>3723608.2909999997</v>
      </c>
      <c r="G6" s="66">
        <v>4153965.43</v>
      </c>
      <c r="H6" s="66">
        <v>4304768.3650000002</v>
      </c>
      <c r="I6" s="91">
        <f>+I7+I25+I40+I54+I65</f>
        <v>4390465.6669999994</v>
      </c>
      <c r="J6" s="63">
        <v>4836048.3310000002</v>
      </c>
      <c r="K6" s="91">
        <f t="shared" ref="K6:U6" si="0">+K7+K25+K40+K54+K65</f>
        <v>5211166.3877000008</v>
      </c>
      <c r="L6" s="91">
        <f t="shared" si="0"/>
        <v>6423100.7999999989</v>
      </c>
      <c r="M6" s="91">
        <f t="shared" si="0"/>
        <v>6960824.4690000014</v>
      </c>
      <c r="N6" s="91">
        <f t="shared" si="0"/>
        <v>7191773.7750000004</v>
      </c>
      <c r="O6" s="91">
        <f t="shared" si="0"/>
        <v>7282357.0540000005</v>
      </c>
      <c r="P6" s="91">
        <f t="shared" si="0"/>
        <v>7717216.4139999989</v>
      </c>
      <c r="Q6" s="91">
        <f t="shared" si="0"/>
        <v>8365568.4239999987</v>
      </c>
      <c r="R6" s="91">
        <f t="shared" si="0"/>
        <v>8550279.7739999983</v>
      </c>
      <c r="S6" s="91">
        <f t="shared" si="0"/>
        <v>8964730.6689999998</v>
      </c>
      <c r="T6" s="91">
        <f t="shared" si="0"/>
        <v>9718925.9930000007</v>
      </c>
      <c r="U6" s="91">
        <f t="shared" si="0"/>
        <v>8863831.7979999986</v>
      </c>
      <c r="V6" s="91">
        <f t="shared" ref="V6:W6" si="1">+V7+V25+V40+V54+V65</f>
        <v>11337142.858000001</v>
      </c>
      <c r="W6" s="91">
        <f t="shared" si="1"/>
        <v>11783769.738000002</v>
      </c>
      <c r="X6" s="91">
        <f t="shared" ref="X6:Y6" si="2">+X7+X25+X40+X54+X65</f>
        <v>11970565.113</v>
      </c>
      <c r="Y6" s="91">
        <f t="shared" si="2"/>
        <v>11642963.959000001</v>
      </c>
      <c r="Z6" s="91">
        <f t="shared" ref="Z6:AA6" si="3">+Z7+Z25+Z40+Z54+Z65</f>
        <v>12103996.17</v>
      </c>
      <c r="AA6" s="91">
        <f t="shared" si="3"/>
        <v>12273194.308</v>
      </c>
    </row>
    <row r="7" spans="1:28" s="23" customFormat="1">
      <c r="A7" s="22" t="s">
        <v>56</v>
      </c>
      <c r="B7" s="89">
        <f>SUM(B8:B24)</f>
        <v>757117</v>
      </c>
      <c r="C7" s="89">
        <f t="shared" ref="C7:U7" si="4">SUM(C8:C24)</f>
        <v>840925</v>
      </c>
      <c r="D7" s="89">
        <f t="shared" si="4"/>
        <v>941532</v>
      </c>
      <c r="E7" s="89">
        <f t="shared" si="4"/>
        <v>1465471.787</v>
      </c>
      <c r="F7" s="89">
        <f t="shared" si="4"/>
        <v>1527873.6980000001</v>
      </c>
      <c r="G7" s="89">
        <f t="shared" si="4"/>
        <v>1673537.199</v>
      </c>
      <c r="H7" s="89">
        <f t="shared" si="4"/>
        <v>1679426.4129999999</v>
      </c>
      <c r="I7" s="89">
        <f t="shared" si="4"/>
        <v>1775180.99</v>
      </c>
      <c r="J7" s="89">
        <f t="shared" si="4"/>
        <v>1872206.0269999995</v>
      </c>
      <c r="K7" s="89">
        <f t="shared" si="4"/>
        <v>2062870.8123999999</v>
      </c>
      <c r="L7" s="89">
        <f t="shared" si="4"/>
        <v>2545154.3709999993</v>
      </c>
      <c r="M7" s="89">
        <f t="shared" si="4"/>
        <v>2742216.3130000005</v>
      </c>
      <c r="N7" s="89">
        <f t="shared" si="4"/>
        <v>2926197.602</v>
      </c>
      <c r="O7" s="89">
        <f t="shared" si="4"/>
        <v>3047681.1650000005</v>
      </c>
      <c r="P7" s="89">
        <f t="shared" si="4"/>
        <v>3358959.3249999993</v>
      </c>
      <c r="Q7" s="89">
        <f t="shared" si="4"/>
        <v>3517854.1440000003</v>
      </c>
      <c r="R7" s="89">
        <f t="shared" si="4"/>
        <v>3487173.5239999997</v>
      </c>
      <c r="S7" s="89">
        <f t="shared" si="4"/>
        <v>3625793.3419999997</v>
      </c>
      <c r="T7" s="89">
        <f t="shared" si="4"/>
        <v>4000663.5710000005</v>
      </c>
      <c r="U7" s="89">
        <f t="shared" si="4"/>
        <v>3611518.0409999993</v>
      </c>
      <c r="V7" s="89">
        <f t="shared" ref="V7:W7" si="5">SUM(V8:V24)</f>
        <v>4740123.8020000001</v>
      </c>
      <c r="W7" s="89">
        <f t="shared" si="5"/>
        <v>4932653.307000001</v>
      </c>
      <c r="X7" s="89">
        <f t="shared" ref="X7:Y7" si="6">SUM(X8:X24)</f>
        <v>4993253.4979999997</v>
      </c>
      <c r="Y7" s="89">
        <f t="shared" si="6"/>
        <v>4673158.4350000005</v>
      </c>
      <c r="Z7" s="89">
        <f t="shared" ref="Z7:AA7" si="7">SUM(Z8:Z24)</f>
        <v>4792561.5180000002</v>
      </c>
      <c r="AA7" s="89">
        <f t="shared" si="7"/>
        <v>5061106.824</v>
      </c>
    </row>
    <row r="8" spans="1:28">
      <c r="A8" s="79" t="s">
        <v>119</v>
      </c>
      <c r="T8" s="2"/>
      <c r="U8" s="2"/>
      <c r="V8" s="2"/>
      <c r="W8" s="2"/>
    </row>
    <row r="9" spans="1:28">
      <c r="A9" s="22" t="s">
        <v>3</v>
      </c>
      <c r="B9" s="13">
        <f>36139+25389</f>
        <v>61528</v>
      </c>
      <c r="C9" s="13">
        <f>39358+30139</f>
        <v>69497</v>
      </c>
      <c r="D9" s="13">
        <f>44038+32537</f>
        <v>76575</v>
      </c>
      <c r="E9" s="13">
        <v>112309.96799999999</v>
      </c>
      <c r="F9" s="76">
        <v>128753.25199999999</v>
      </c>
      <c r="G9" s="13">
        <v>134729.89799999999</v>
      </c>
      <c r="H9" s="13">
        <v>135241.26999999999</v>
      </c>
      <c r="I9" s="13">
        <v>156649.60699999999</v>
      </c>
      <c r="J9" s="13">
        <v>173623.92</v>
      </c>
      <c r="K9" s="13">
        <v>187142.66399999999</v>
      </c>
      <c r="L9" s="14">
        <v>233698.06</v>
      </c>
      <c r="M9" s="14">
        <v>246998.06200000001</v>
      </c>
      <c r="N9" s="14">
        <v>213672.05900000001</v>
      </c>
      <c r="O9" s="14">
        <v>219987.67800000001</v>
      </c>
      <c r="P9" s="14">
        <v>344189.05800000002</v>
      </c>
      <c r="Q9" s="14">
        <v>256081.86</v>
      </c>
      <c r="R9" s="14">
        <v>276619.33199999999</v>
      </c>
      <c r="S9" s="14">
        <v>305542.14899999998</v>
      </c>
      <c r="T9" s="2">
        <v>349177.83399999997</v>
      </c>
      <c r="U9" s="2">
        <v>317702.77399999998</v>
      </c>
      <c r="V9" s="2">
        <v>333868.47899999999</v>
      </c>
      <c r="W9" s="2">
        <v>381187.13900000002</v>
      </c>
      <c r="X9" s="2">
        <v>369607.13199999998</v>
      </c>
      <c r="Y9" s="2">
        <v>386544.7</v>
      </c>
      <c r="Z9" s="2">
        <v>405985.83399999997</v>
      </c>
      <c r="AA9" s="2">
        <v>437112.92</v>
      </c>
    </row>
    <row r="10" spans="1:28">
      <c r="A10" s="22" t="s">
        <v>4</v>
      </c>
      <c r="B10" s="13">
        <f>19512+5995</f>
        <v>25507</v>
      </c>
      <c r="C10" s="13">
        <f>22456+7691</f>
        <v>30147</v>
      </c>
      <c r="D10" s="13">
        <f>23894+8492</f>
        <v>32386</v>
      </c>
      <c r="E10" s="13">
        <v>40354.447999999997</v>
      </c>
      <c r="F10" s="76">
        <v>42746.135000000002</v>
      </c>
      <c r="G10" s="13">
        <v>47553.472000000002</v>
      </c>
      <c r="H10" s="13">
        <v>51120.58</v>
      </c>
      <c r="I10" s="14">
        <v>50187.644999999997</v>
      </c>
      <c r="J10" s="14">
        <v>52321.703999999998</v>
      </c>
      <c r="K10" s="14">
        <v>60009.419000000002</v>
      </c>
      <c r="L10" s="14">
        <v>82197.945999999996</v>
      </c>
      <c r="M10" s="14">
        <v>92072.082999999999</v>
      </c>
      <c r="N10" s="14">
        <v>86784.373999999996</v>
      </c>
      <c r="O10" s="14">
        <v>87621.307000000001</v>
      </c>
      <c r="P10" s="14">
        <v>98473.195000000007</v>
      </c>
      <c r="Q10" s="14">
        <v>101910.72100000001</v>
      </c>
      <c r="R10" s="14">
        <v>118674.442</v>
      </c>
      <c r="S10" s="14">
        <v>125662.584</v>
      </c>
      <c r="T10" s="2">
        <v>134144.95800000001</v>
      </c>
      <c r="U10" s="2">
        <v>115238.79399999999</v>
      </c>
      <c r="V10" s="2">
        <v>170062.41</v>
      </c>
      <c r="W10" s="2">
        <v>179734.24799999999</v>
      </c>
      <c r="X10" s="2">
        <v>258148.49</v>
      </c>
      <c r="Y10" s="2">
        <v>195484.59899999999</v>
      </c>
      <c r="Z10" s="2">
        <v>197809.26800000001</v>
      </c>
      <c r="AA10" s="2">
        <v>185602.02499999999</v>
      </c>
    </row>
    <row r="11" spans="1:28">
      <c r="A11" s="22" t="s">
        <v>52</v>
      </c>
      <c r="B11" s="13"/>
      <c r="C11" s="13"/>
      <c r="D11" s="13">
        <f>8834+439</f>
        <v>9273</v>
      </c>
      <c r="E11" s="13">
        <v>12135.057000000001</v>
      </c>
      <c r="F11" s="76">
        <v>12772.491</v>
      </c>
      <c r="G11" s="13"/>
      <c r="H11" s="13"/>
      <c r="I11" s="14">
        <v>16077.117</v>
      </c>
      <c r="J11" s="14">
        <v>13575.155000000001</v>
      </c>
      <c r="K11" s="14">
        <v>13903.581</v>
      </c>
      <c r="L11" s="14">
        <v>18110.8</v>
      </c>
      <c r="M11" s="14">
        <v>25058.768</v>
      </c>
      <c r="N11" s="14">
        <v>28030.178</v>
      </c>
      <c r="O11" s="14">
        <v>30393.091</v>
      </c>
      <c r="P11" s="14">
        <v>32401.892</v>
      </c>
      <c r="Q11" s="14">
        <f>2365.9+35080.394</f>
        <v>37446.294000000002</v>
      </c>
      <c r="R11" s="14">
        <v>38556.146000000001</v>
      </c>
      <c r="S11" s="14">
        <v>42340.915999999997</v>
      </c>
      <c r="T11" s="2">
        <v>47226.487999999998</v>
      </c>
      <c r="U11" s="2">
        <v>47805.29</v>
      </c>
      <c r="V11" s="2">
        <v>46479.72</v>
      </c>
      <c r="W11" s="2">
        <v>46219.199000000001</v>
      </c>
      <c r="X11" s="2">
        <v>50060.85</v>
      </c>
      <c r="Y11" s="2">
        <v>3008.95</v>
      </c>
      <c r="Z11" s="2">
        <v>52183.91</v>
      </c>
      <c r="AA11" s="2">
        <v>52376.260999999999</v>
      </c>
    </row>
    <row r="12" spans="1:28">
      <c r="A12" s="22" t="s">
        <v>5</v>
      </c>
      <c r="B12" s="13">
        <f>27961+14685</f>
        <v>42646</v>
      </c>
      <c r="C12" s="13">
        <f>31353+16763</f>
        <v>48116</v>
      </c>
      <c r="D12" s="13">
        <f>34341+16079</f>
        <v>50420</v>
      </c>
      <c r="E12" s="13">
        <v>130910.371</v>
      </c>
      <c r="F12" s="76">
        <v>146506.44699999999</v>
      </c>
      <c r="G12" s="13">
        <v>115890.774</v>
      </c>
      <c r="H12" s="13">
        <v>129690.689</v>
      </c>
      <c r="I12" s="14">
        <v>136436.636</v>
      </c>
      <c r="J12" s="14">
        <v>132746.674</v>
      </c>
      <c r="K12" s="14">
        <v>141166.209</v>
      </c>
      <c r="L12" s="14">
        <v>164206.41</v>
      </c>
      <c r="M12" s="14">
        <v>176648.72399999999</v>
      </c>
      <c r="N12" s="14">
        <v>170631.56599999999</v>
      </c>
      <c r="O12" s="14">
        <v>182432.69099999999</v>
      </c>
      <c r="P12" s="14">
        <v>201360.26699999999</v>
      </c>
      <c r="Q12" s="14">
        <v>241084.019</v>
      </c>
      <c r="R12" s="14">
        <v>227423.50700000001</v>
      </c>
      <c r="S12" s="14">
        <v>243179.065</v>
      </c>
      <c r="T12" s="2">
        <v>258507.867</v>
      </c>
      <c r="U12" s="2">
        <v>492087.11</v>
      </c>
      <c r="V12" s="2">
        <v>491760.19900000002</v>
      </c>
      <c r="W12" s="2">
        <v>501148.58</v>
      </c>
      <c r="X12" s="2">
        <v>514688.95500000002</v>
      </c>
      <c r="Y12" s="2">
        <v>573231.79700000002</v>
      </c>
      <c r="Z12" s="2">
        <v>579846.73600000003</v>
      </c>
      <c r="AA12" s="2">
        <v>666425.73800000001</v>
      </c>
    </row>
    <row r="13" spans="1:28">
      <c r="A13" s="22" t="s">
        <v>6</v>
      </c>
      <c r="B13" s="13">
        <f>57599+6266</f>
        <v>63865</v>
      </c>
      <c r="C13" s="13">
        <f>63184+6263</f>
        <v>69447</v>
      </c>
      <c r="D13" s="13">
        <f>69767+8807</f>
        <v>78574</v>
      </c>
      <c r="E13" s="13">
        <v>111066.71</v>
      </c>
      <c r="F13" s="76">
        <v>108858.08900000001</v>
      </c>
      <c r="G13" s="13">
        <v>115296.435</v>
      </c>
      <c r="H13" s="13">
        <v>123226.04700000001</v>
      </c>
      <c r="I13" s="14">
        <v>132378.53599999999</v>
      </c>
      <c r="J13" s="14">
        <v>142379.89799999999</v>
      </c>
      <c r="K13" s="14">
        <v>151873.73000000001</v>
      </c>
      <c r="L13" s="14">
        <v>198576.94200000001</v>
      </c>
      <c r="M13" s="14">
        <v>224362.731</v>
      </c>
      <c r="N13" s="14">
        <v>281551.777</v>
      </c>
      <c r="O13" s="14">
        <v>312991.48499999999</v>
      </c>
      <c r="P13" s="14">
        <v>281393.33500000002</v>
      </c>
      <c r="Q13" s="14">
        <v>285456.09299999999</v>
      </c>
      <c r="R13" s="14">
        <v>306073.50699999998</v>
      </c>
      <c r="S13" s="14">
        <v>323929.37199999997</v>
      </c>
      <c r="T13" s="2">
        <v>342866.79800000001</v>
      </c>
      <c r="U13" s="2">
        <v>249159.86799999999</v>
      </c>
      <c r="V13" s="2">
        <v>369832.25900000002</v>
      </c>
      <c r="W13" s="2">
        <v>402540.97200000001</v>
      </c>
      <c r="X13" s="2">
        <v>340941.56400000001</v>
      </c>
      <c r="Y13" s="2">
        <v>354697.03700000001</v>
      </c>
      <c r="Z13" s="2">
        <v>322110.27500000002</v>
      </c>
      <c r="AA13" s="2">
        <v>323854.94799999997</v>
      </c>
    </row>
    <row r="14" spans="1:28">
      <c r="A14" s="22" t="s">
        <v>7</v>
      </c>
      <c r="B14" s="13">
        <f>46168+9766</f>
        <v>55934</v>
      </c>
      <c r="C14" s="13">
        <f>53420+11934</f>
        <v>65354</v>
      </c>
      <c r="D14" s="13">
        <f>61741+11483</f>
        <v>73224</v>
      </c>
      <c r="E14" s="13">
        <v>117941.413</v>
      </c>
      <c r="F14" s="76">
        <v>127251.792</v>
      </c>
      <c r="G14" s="13">
        <v>136540.405</v>
      </c>
      <c r="H14" s="13">
        <v>137222.41899999999</v>
      </c>
      <c r="I14" s="14">
        <v>154052.56400000001</v>
      </c>
      <c r="J14" s="14">
        <v>152609.12</v>
      </c>
      <c r="K14" s="14">
        <v>202183.63099999999</v>
      </c>
      <c r="L14" s="14">
        <v>268823.63299999997</v>
      </c>
      <c r="M14" s="14">
        <v>287737.891</v>
      </c>
      <c r="N14" s="14">
        <v>272340.55300000001</v>
      </c>
      <c r="O14" s="14">
        <v>286156.49800000002</v>
      </c>
      <c r="P14" s="14">
        <v>254736.084</v>
      </c>
      <c r="Q14" s="14">
        <v>271171.29399999999</v>
      </c>
      <c r="R14" s="14">
        <v>319202.16899999999</v>
      </c>
      <c r="S14" s="14">
        <v>360059.201</v>
      </c>
      <c r="T14" s="2">
        <v>381794.62800000003</v>
      </c>
      <c r="U14" s="2">
        <v>396942.67599999998</v>
      </c>
      <c r="V14" s="2">
        <v>596834.53899999999</v>
      </c>
      <c r="W14" s="2">
        <v>645199.83900000004</v>
      </c>
      <c r="X14" s="2">
        <v>671930.90500000003</v>
      </c>
      <c r="Y14" s="2">
        <v>646912.19700000004</v>
      </c>
      <c r="Z14" s="2">
        <v>627835.80099999998</v>
      </c>
      <c r="AA14" s="2">
        <v>700192.13699999999</v>
      </c>
    </row>
    <row r="15" spans="1:28">
      <c r="A15" s="22" t="s">
        <v>8</v>
      </c>
      <c r="B15" s="36">
        <f>33282+37443</f>
        <v>70725</v>
      </c>
      <c r="C15" s="36">
        <f>34335+40065</f>
        <v>74400</v>
      </c>
      <c r="D15" s="36">
        <f>35008+34527</f>
        <v>69535</v>
      </c>
      <c r="E15" s="36">
        <v>98086.171000000002</v>
      </c>
      <c r="F15" s="77">
        <v>111503.07399999999</v>
      </c>
      <c r="G15" s="36">
        <v>126083.829</v>
      </c>
      <c r="H15" s="36">
        <v>129737.056</v>
      </c>
      <c r="I15" s="37">
        <v>150429.93900000001</v>
      </c>
      <c r="J15" s="37">
        <v>156041.739</v>
      </c>
      <c r="K15" s="37">
        <v>164526.014</v>
      </c>
      <c r="L15" s="37">
        <v>200807.54699999999</v>
      </c>
      <c r="M15" s="37">
        <v>200392.283</v>
      </c>
      <c r="N15" s="37">
        <v>197400.736</v>
      </c>
      <c r="O15" s="37">
        <v>203865.86799999999</v>
      </c>
      <c r="P15" s="37">
        <v>241999.66699999999</v>
      </c>
      <c r="Q15" s="37">
        <v>261019.25700000001</v>
      </c>
      <c r="R15" s="37">
        <v>280874.75699999998</v>
      </c>
      <c r="S15" s="37">
        <v>271523.24</v>
      </c>
      <c r="T15" s="23">
        <v>346184.10600000003</v>
      </c>
      <c r="U15" s="23">
        <v>150581.359</v>
      </c>
      <c r="V15" s="23">
        <v>366964.80499999999</v>
      </c>
      <c r="W15" s="23">
        <v>355384.13799999998</v>
      </c>
      <c r="X15" s="2">
        <v>371073.08600000001</v>
      </c>
      <c r="Y15" s="2">
        <v>364739.62800000003</v>
      </c>
      <c r="Z15" s="2">
        <v>376071.79300000001</v>
      </c>
      <c r="AA15" s="2">
        <v>381390.06900000002</v>
      </c>
    </row>
    <row r="16" spans="1:28">
      <c r="A16" s="22" t="s">
        <v>9</v>
      </c>
      <c r="B16" s="36">
        <v>18452</v>
      </c>
      <c r="C16" s="36">
        <f>0+24701</f>
        <v>24701</v>
      </c>
      <c r="D16" s="36">
        <f>0+25127</f>
        <v>25127</v>
      </c>
      <c r="E16" s="36">
        <v>44519.891000000003</v>
      </c>
      <c r="F16" s="77">
        <v>17893.824000000001</v>
      </c>
      <c r="G16" s="36">
        <v>47489.167999999998</v>
      </c>
      <c r="H16" s="36">
        <v>52096.421999999999</v>
      </c>
      <c r="I16" s="37">
        <v>61598.938999999998</v>
      </c>
      <c r="J16" s="37">
        <v>76803.149000000005</v>
      </c>
      <c r="K16" s="37">
        <v>86206.505999999994</v>
      </c>
      <c r="L16" s="37">
        <v>124225.08900000001</v>
      </c>
      <c r="M16" s="37">
        <v>131607.03899999999</v>
      </c>
      <c r="N16" s="37">
        <v>147259.14600000001</v>
      </c>
      <c r="O16" s="37">
        <v>161427.73499999999</v>
      </c>
      <c r="P16" s="37">
        <v>144710.997</v>
      </c>
      <c r="Q16" s="37">
        <v>147146.245</v>
      </c>
      <c r="R16" s="37">
        <v>125455.875</v>
      </c>
      <c r="S16" s="37">
        <v>127925.969</v>
      </c>
      <c r="T16" s="23">
        <v>140518.60200000001</v>
      </c>
      <c r="U16" s="23">
        <v>139544.26300000001</v>
      </c>
      <c r="V16" s="23">
        <v>160103.361</v>
      </c>
      <c r="W16" s="23">
        <v>164566.04300000001</v>
      </c>
      <c r="X16" s="2">
        <v>174750.99900000001</v>
      </c>
      <c r="Y16" s="2">
        <v>168885.45</v>
      </c>
      <c r="Z16" s="2">
        <v>170166.26699999999</v>
      </c>
      <c r="AA16" s="2">
        <v>168650.323</v>
      </c>
    </row>
    <row r="17" spans="1:27">
      <c r="A17" s="22" t="s">
        <v>10</v>
      </c>
      <c r="B17" s="36">
        <f>622+32980</f>
        <v>33602</v>
      </c>
      <c r="C17" s="36">
        <f>633+35123</f>
        <v>35756</v>
      </c>
      <c r="D17" s="36">
        <f>922+37361</f>
        <v>38283</v>
      </c>
      <c r="E17" s="36">
        <v>46191.555999999997</v>
      </c>
      <c r="F17" s="77">
        <v>45348.779000000002</v>
      </c>
      <c r="G17" s="36">
        <v>50876.451000000001</v>
      </c>
      <c r="H17" s="36">
        <v>55812.771999999997</v>
      </c>
      <c r="I17" s="37">
        <v>60552.599000000002</v>
      </c>
      <c r="J17" s="37">
        <v>62886.432999999997</v>
      </c>
      <c r="K17" s="37">
        <v>60973.728999999999</v>
      </c>
      <c r="L17" s="37">
        <v>82536.778000000006</v>
      </c>
      <c r="M17" s="37">
        <v>97253.472999999998</v>
      </c>
      <c r="N17" s="37">
        <v>105930.822</v>
      </c>
      <c r="O17" s="37">
        <v>108574.29300000001</v>
      </c>
      <c r="P17" s="37">
        <v>119033.039</v>
      </c>
      <c r="Q17" s="37">
        <v>121364.99</v>
      </c>
      <c r="R17" s="37">
        <v>114596.829</v>
      </c>
      <c r="S17" s="37">
        <v>129318.515</v>
      </c>
      <c r="T17" s="23">
        <v>148589.41200000001</v>
      </c>
      <c r="U17" s="23">
        <v>131416.49299999999</v>
      </c>
      <c r="V17" s="23">
        <v>164467.785</v>
      </c>
      <c r="W17" s="23">
        <v>161323.33199999999</v>
      </c>
      <c r="X17" s="2">
        <v>160514.09400000001</v>
      </c>
      <c r="Y17" s="2">
        <v>157805.73000000001</v>
      </c>
      <c r="Z17" s="2">
        <v>160502.57800000001</v>
      </c>
      <c r="AA17" s="2">
        <v>167376.16200000001</v>
      </c>
    </row>
    <row r="18" spans="1:27">
      <c r="A18" s="22" t="s">
        <v>11</v>
      </c>
      <c r="B18" s="36">
        <f>59075+54195</f>
        <v>113270</v>
      </c>
      <c r="C18" s="36">
        <f>65449+60394</f>
        <v>125843</v>
      </c>
      <c r="D18" s="36">
        <f>71379+73448</f>
        <v>144827</v>
      </c>
      <c r="E18" s="36">
        <v>236508.14600000001</v>
      </c>
      <c r="F18" s="77">
        <v>257045.647</v>
      </c>
      <c r="G18" s="36">
        <v>300443.26400000002</v>
      </c>
      <c r="H18" s="36">
        <v>222730.91399999999</v>
      </c>
      <c r="I18" s="37">
        <v>225451.948</v>
      </c>
      <c r="J18" s="37">
        <v>189727.71</v>
      </c>
      <c r="K18" s="37">
        <v>210440.41200000001</v>
      </c>
      <c r="L18" s="37">
        <v>237141.81599999999</v>
      </c>
      <c r="M18" s="37">
        <v>248865.215</v>
      </c>
      <c r="N18" s="37">
        <v>331325.71899999998</v>
      </c>
      <c r="O18" s="37">
        <v>327438.70600000001</v>
      </c>
      <c r="P18" s="37">
        <v>352494.98200000002</v>
      </c>
      <c r="Q18" s="37">
        <v>361368.52799999999</v>
      </c>
      <c r="R18" s="37">
        <v>269483.01899999997</v>
      </c>
      <c r="S18" s="37">
        <v>289153.59700000001</v>
      </c>
      <c r="T18" s="23">
        <v>302385.90899999999</v>
      </c>
      <c r="U18" s="23">
        <v>329676.21799999999</v>
      </c>
      <c r="V18" s="23">
        <v>341920.761</v>
      </c>
      <c r="W18" s="23">
        <v>354889.86800000002</v>
      </c>
      <c r="X18" s="2">
        <v>337934.41800000001</v>
      </c>
      <c r="Y18" s="2">
        <v>355691.90299999999</v>
      </c>
      <c r="Z18" s="2">
        <v>348143.647</v>
      </c>
      <c r="AA18" s="2">
        <v>372853.66100000002</v>
      </c>
    </row>
    <row r="19" spans="1:27">
      <c r="A19" s="22" t="s">
        <v>12</v>
      </c>
      <c r="B19" s="36">
        <v>32880</v>
      </c>
      <c r="C19" s="36">
        <f>0+32948</f>
        <v>32948</v>
      </c>
      <c r="D19" s="37">
        <f>0+38863</f>
        <v>38863</v>
      </c>
      <c r="E19" s="36">
        <v>63391.436000000002</v>
      </c>
      <c r="F19" s="77">
        <v>65902.106</v>
      </c>
      <c r="G19" s="36">
        <v>72201.626000000004</v>
      </c>
      <c r="H19" s="36">
        <v>76456.929999999993</v>
      </c>
      <c r="I19" s="37">
        <v>80754.455000000002</v>
      </c>
      <c r="J19" s="37">
        <v>84846.841</v>
      </c>
      <c r="K19" s="37">
        <v>90585.176999999996</v>
      </c>
      <c r="L19" s="37">
        <v>115401.82</v>
      </c>
      <c r="M19" s="37">
        <v>130996.63499999999</v>
      </c>
      <c r="N19" s="37">
        <v>137672.166</v>
      </c>
      <c r="O19" s="37">
        <v>157503.79300000001</v>
      </c>
      <c r="P19" s="37">
        <v>148089.864</v>
      </c>
      <c r="Q19" s="37">
        <v>159160.36900000001</v>
      </c>
      <c r="R19" s="37">
        <v>185753.647</v>
      </c>
      <c r="S19" s="37">
        <v>186278.11</v>
      </c>
      <c r="T19" s="23">
        <v>202811.51199999999</v>
      </c>
      <c r="U19" s="23">
        <v>165470.35200000001</v>
      </c>
      <c r="V19" s="23">
        <v>199212.554</v>
      </c>
      <c r="W19" s="23">
        <v>195428.70600000001</v>
      </c>
      <c r="X19" s="2">
        <v>199351.39</v>
      </c>
      <c r="Y19" s="2">
        <v>188961.25399999999</v>
      </c>
      <c r="Z19" s="2">
        <v>188748.65100000001</v>
      </c>
      <c r="AA19" s="2">
        <v>190889.74900000001</v>
      </c>
    </row>
    <row r="20" spans="1:27">
      <c r="A20" s="22" t="s">
        <v>13</v>
      </c>
      <c r="B20" s="36">
        <f>35559+15449</f>
        <v>51008</v>
      </c>
      <c r="C20" s="36">
        <f>40105+17674</f>
        <v>57779</v>
      </c>
      <c r="D20" s="36">
        <f>45871+21328</f>
        <v>67199</v>
      </c>
      <c r="E20" s="36">
        <v>88983.525999999998</v>
      </c>
      <c r="F20" s="77">
        <v>91966.176000000007</v>
      </c>
      <c r="G20" s="36">
        <v>88541.47</v>
      </c>
      <c r="H20" s="36">
        <v>93265.426000000007</v>
      </c>
      <c r="I20" s="37">
        <v>106389.514</v>
      </c>
      <c r="J20" s="37">
        <v>103870.954</v>
      </c>
      <c r="K20" s="37">
        <v>115654.27499999999</v>
      </c>
      <c r="L20" s="37">
        <v>143186.26699999999</v>
      </c>
      <c r="M20" s="37">
        <v>144879.11900000001</v>
      </c>
      <c r="N20" s="37">
        <v>132900.95800000001</v>
      </c>
      <c r="O20" s="37">
        <v>137131.845</v>
      </c>
      <c r="P20" s="37">
        <v>143111.04699999999</v>
      </c>
      <c r="Q20" s="37">
        <v>150774.16500000001</v>
      </c>
      <c r="R20" s="37">
        <v>158995.63</v>
      </c>
      <c r="S20" s="37">
        <v>162866.97700000001</v>
      </c>
      <c r="T20" s="23">
        <v>188689.913</v>
      </c>
      <c r="U20" s="23">
        <v>145215.709</v>
      </c>
      <c r="V20" s="23">
        <v>197454.64799999999</v>
      </c>
      <c r="W20" s="23">
        <v>199356.30600000001</v>
      </c>
      <c r="X20" s="2">
        <v>201412.68400000001</v>
      </c>
      <c r="Y20" s="2">
        <v>204301.323</v>
      </c>
      <c r="Z20" s="2">
        <v>242851.49400000001</v>
      </c>
      <c r="AA20" s="2">
        <v>262198.55699999997</v>
      </c>
    </row>
    <row r="21" spans="1:27" s="17" customFormat="1">
      <c r="A21" s="22" t="s">
        <v>14</v>
      </c>
      <c r="B21" s="36">
        <f>6161+15041</f>
        <v>21202</v>
      </c>
      <c r="C21" s="36">
        <f>6115+16954</f>
        <v>23069</v>
      </c>
      <c r="D21" s="36">
        <f>31788+17238</f>
        <v>49026</v>
      </c>
      <c r="E21" s="36">
        <v>77537.225000000006</v>
      </c>
      <c r="F21" s="77">
        <v>70315.607000000004</v>
      </c>
      <c r="G21" s="36">
        <v>86556.928</v>
      </c>
      <c r="H21" s="36">
        <v>95207.275999999998</v>
      </c>
      <c r="I21" s="37">
        <v>89304.763000000006</v>
      </c>
      <c r="J21" s="37">
        <v>105193.265</v>
      </c>
      <c r="K21" s="37">
        <v>115957.30528</v>
      </c>
      <c r="L21" s="37">
        <v>122763.982</v>
      </c>
      <c r="M21" s="37">
        <v>154463.70600000001</v>
      </c>
      <c r="N21" s="37">
        <v>160584.85399999999</v>
      </c>
      <c r="O21" s="37">
        <v>171455.864</v>
      </c>
      <c r="P21" s="37">
        <v>177181.17199999999</v>
      </c>
      <c r="Q21" s="37">
        <v>180034.658</v>
      </c>
      <c r="R21" s="37">
        <v>190619.614</v>
      </c>
      <c r="S21" s="37">
        <v>196837.05900000001</v>
      </c>
      <c r="T21" s="23">
        <v>204951.33</v>
      </c>
      <c r="U21" s="23">
        <v>204673.253</v>
      </c>
      <c r="V21" s="23">
        <v>228193.06700000001</v>
      </c>
      <c r="W21" s="23">
        <v>259728.33799999999</v>
      </c>
      <c r="X21" s="23">
        <v>260926.93</v>
      </c>
      <c r="Y21" s="2">
        <v>216081.97700000001</v>
      </c>
      <c r="Z21" s="2">
        <v>214883.83600000001</v>
      </c>
      <c r="AA21" s="2">
        <v>210872.033</v>
      </c>
    </row>
    <row r="22" spans="1:27">
      <c r="A22" s="22" t="s">
        <v>15</v>
      </c>
      <c r="B22" s="36">
        <f>66984+39670</f>
        <v>106654</v>
      </c>
      <c r="C22" s="36">
        <f>69581+46064</f>
        <v>115645</v>
      </c>
      <c r="D22" s="36">
        <f>64766+53200</f>
        <v>117966</v>
      </c>
      <c r="E22" s="36">
        <v>174638.304</v>
      </c>
      <c r="F22" s="77">
        <v>191756.05</v>
      </c>
      <c r="G22" s="36">
        <v>237034.99600000001</v>
      </c>
      <c r="H22" s="36">
        <v>254160.174</v>
      </c>
      <c r="I22" s="37">
        <v>219739.65299999999</v>
      </c>
      <c r="J22" s="37">
        <v>287021.84100000001</v>
      </c>
      <c r="K22" s="37">
        <v>312017.65100000001</v>
      </c>
      <c r="L22" s="37">
        <v>377622.45299999998</v>
      </c>
      <c r="M22" s="37">
        <v>392781.33299999998</v>
      </c>
      <c r="N22" s="37">
        <v>464222.02100000001</v>
      </c>
      <c r="O22" s="37">
        <v>455780.82699999999</v>
      </c>
      <c r="P22" s="37">
        <v>625287.81799999997</v>
      </c>
      <c r="Q22" s="37">
        <v>740503.88199999998</v>
      </c>
      <c r="R22" s="37">
        <v>655865.43900000001</v>
      </c>
      <c r="S22" s="37">
        <v>638669.14099999995</v>
      </c>
      <c r="T22" s="23">
        <v>713183.06799999997</v>
      </c>
      <c r="U22" s="23">
        <v>476044.54499999998</v>
      </c>
      <c r="V22" s="23">
        <v>788942.92599999998</v>
      </c>
      <c r="W22" s="23">
        <v>793685.10600000003</v>
      </c>
      <c r="X22" s="2">
        <v>770393.79799999995</v>
      </c>
      <c r="Y22" s="2">
        <v>539868.76399999997</v>
      </c>
      <c r="Z22" s="2">
        <v>582176.61399999994</v>
      </c>
      <c r="AA22" s="2">
        <v>606377.63800000004</v>
      </c>
    </row>
    <row r="23" spans="1:27">
      <c r="A23" s="22" t="s">
        <v>16</v>
      </c>
      <c r="B23" s="36">
        <f>2997+42808</f>
        <v>45805</v>
      </c>
      <c r="C23" s="36">
        <f>6137+47956</f>
        <v>54093</v>
      </c>
      <c r="D23" s="36">
        <f>5340+49662</f>
        <v>55002</v>
      </c>
      <c r="E23" s="36">
        <v>88027.642000000007</v>
      </c>
      <c r="F23" s="77">
        <v>81650.581000000006</v>
      </c>
      <c r="G23" s="36">
        <v>80710.066000000006</v>
      </c>
      <c r="H23" s="36">
        <v>85382.858999999997</v>
      </c>
      <c r="I23" s="37">
        <v>91112.153000000006</v>
      </c>
      <c r="J23" s="37">
        <v>85808.119000000006</v>
      </c>
      <c r="K23" s="37">
        <v>95356.936000000002</v>
      </c>
      <c r="L23" s="37">
        <v>115907.462</v>
      </c>
      <c r="M23" s="37">
        <v>119929.96</v>
      </c>
      <c r="N23" s="37">
        <v>124084.79300000001</v>
      </c>
      <c r="O23" s="37">
        <v>126251.82399999999</v>
      </c>
      <c r="P23" s="37">
        <v>119594.287</v>
      </c>
      <c r="Q23" s="37">
        <v>128628.56299999999</v>
      </c>
      <c r="R23" s="37">
        <v>144642.43700000001</v>
      </c>
      <c r="S23" s="37">
        <v>145961.815</v>
      </c>
      <c r="T23" s="23">
        <v>160162.31</v>
      </c>
      <c r="U23" s="23">
        <v>164716.04800000001</v>
      </c>
      <c r="V23" s="23">
        <v>177019.005</v>
      </c>
      <c r="W23" s="23">
        <v>185441.212</v>
      </c>
      <c r="X23" s="2">
        <v>204733.785</v>
      </c>
      <c r="Y23" s="2">
        <v>216258.08499999999</v>
      </c>
      <c r="Z23" s="2">
        <v>224786.83499999999</v>
      </c>
      <c r="AA23" s="2">
        <v>236068.42800000001</v>
      </c>
    </row>
    <row r="24" spans="1:27">
      <c r="A24" s="83" t="s">
        <v>17</v>
      </c>
      <c r="B24" s="66">
        <f>12179+1860</f>
        <v>14039</v>
      </c>
      <c r="C24" s="66">
        <f>12200+1930</f>
        <v>14130</v>
      </c>
      <c r="D24" s="66">
        <f>13606+1646</f>
        <v>15252</v>
      </c>
      <c r="E24" s="66">
        <v>22869.922999999999</v>
      </c>
      <c r="F24" s="82">
        <v>27603.648000000001</v>
      </c>
      <c r="G24" s="66">
        <v>33588.417000000001</v>
      </c>
      <c r="H24" s="66">
        <v>38075.578999999998</v>
      </c>
      <c r="I24" s="63">
        <v>44064.921999999999</v>
      </c>
      <c r="J24" s="63">
        <v>52749.504999999997</v>
      </c>
      <c r="K24" s="63">
        <v>54873.573120000001</v>
      </c>
      <c r="L24" s="63">
        <v>59947.366000000002</v>
      </c>
      <c r="M24" s="63">
        <v>68169.290999999997</v>
      </c>
      <c r="N24" s="63">
        <v>71805.88</v>
      </c>
      <c r="O24" s="63">
        <v>78667.66</v>
      </c>
      <c r="P24" s="63">
        <v>74902.620999999999</v>
      </c>
      <c r="Q24" s="63">
        <v>74703.206000000006</v>
      </c>
      <c r="R24" s="63">
        <v>74337.173999999999</v>
      </c>
      <c r="S24" s="63">
        <v>76545.631999999998</v>
      </c>
      <c r="T24" s="45">
        <v>79468.835999999996</v>
      </c>
      <c r="U24" s="45">
        <v>85243.289000000004</v>
      </c>
      <c r="V24" s="45">
        <v>107007.284</v>
      </c>
      <c r="W24" s="45">
        <v>106820.281</v>
      </c>
      <c r="X24" s="45">
        <v>106784.41800000001</v>
      </c>
      <c r="Y24" s="45">
        <v>100685.041</v>
      </c>
      <c r="Z24" s="45">
        <v>98457.979000000007</v>
      </c>
      <c r="AA24" s="45">
        <v>98866.175000000003</v>
      </c>
    </row>
    <row r="25" spans="1:27" s="23" customFormat="1">
      <c r="A25" s="79" t="s">
        <v>120</v>
      </c>
      <c r="B25" s="90">
        <f>SUM(B27:B39)</f>
        <v>0</v>
      </c>
      <c r="C25" s="90">
        <f t="shared" ref="C25:AA25" si="8">SUM(C27:C39)</f>
        <v>0</v>
      </c>
      <c r="D25" s="90">
        <f t="shared" si="8"/>
        <v>0</v>
      </c>
      <c r="E25" s="90">
        <f t="shared" si="8"/>
        <v>0</v>
      </c>
      <c r="F25" s="90">
        <f t="shared" si="8"/>
        <v>635052.52999999991</v>
      </c>
      <c r="G25" s="90">
        <f t="shared" si="8"/>
        <v>0</v>
      </c>
      <c r="H25" s="90">
        <f t="shared" si="8"/>
        <v>0</v>
      </c>
      <c r="I25" s="90">
        <f t="shared" si="8"/>
        <v>787894.21300000011</v>
      </c>
      <c r="J25" s="90">
        <f t="shared" si="8"/>
        <v>0</v>
      </c>
      <c r="K25" s="90">
        <f t="shared" si="8"/>
        <v>1037171.5985100002</v>
      </c>
      <c r="L25" s="90">
        <f t="shared" si="8"/>
        <v>1377643.3760000002</v>
      </c>
      <c r="M25" s="90">
        <f t="shared" si="8"/>
        <v>1521987.2590000001</v>
      </c>
      <c r="N25" s="90">
        <f t="shared" si="8"/>
        <v>1448629.0619999999</v>
      </c>
      <c r="O25" s="90">
        <f t="shared" si="8"/>
        <v>1473628.0859999999</v>
      </c>
      <c r="P25" s="90">
        <f t="shared" si="8"/>
        <v>1529437.6</v>
      </c>
      <c r="Q25" s="90">
        <f t="shared" si="8"/>
        <v>1630389.568</v>
      </c>
      <c r="R25" s="90">
        <f t="shared" si="8"/>
        <v>1730332.7040000004</v>
      </c>
      <c r="S25" s="90">
        <f t="shared" si="8"/>
        <v>1861342.6569999999</v>
      </c>
      <c r="T25" s="90">
        <f t="shared" si="8"/>
        <v>1936038.4890000003</v>
      </c>
      <c r="U25" s="90">
        <f t="shared" si="8"/>
        <v>1976071.4859999998</v>
      </c>
      <c r="V25" s="90">
        <f t="shared" si="8"/>
        <v>2312380.9469999997</v>
      </c>
      <c r="W25" s="90">
        <f t="shared" si="8"/>
        <v>2468526.5130000003</v>
      </c>
      <c r="X25" s="90">
        <f t="shared" si="8"/>
        <v>2599685.2829999998</v>
      </c>
      <c r="Y25" s="90">
        <f t="shared" si="8"/>
        <v>2598320.1839999999</v>
      </c>
      <c r="Z25" s="90">
        <f t="shared" si="8"/>
        <v>2717718.1690000002</v>
      </c>
      <c r="AA25" s="90">
        <f t="shared" si="8"/>
        <v>2826894.7820000001</v>
      </c>
    </row>
    <row r="26" spans="1:27">
      <c r="A26" s="79" t="s">
        <v>119</v>
      </c>
      <c r="B26" s="37"/>
      <c r="C26" s="37"/>
      <c r="D26" s="37"/>
      <c r="E26" s="37"/>
      <c r="F26" s="37"/>
      <c r="G26" s="37"/>
      <c r="H26" s="37"/>
      <c r="I26" s="37"/>
      <c r="J26" s="37"/>
      <c r="K26" s="37"/>
      <c r="L26" s="37"/>
      <c r="M26" s="37"/>
      <c r="N26" s="37"/>
      <c r="O26" s="37"/>
      <c r="P26" s="37"/>
      <c r="Q26" s="37"/>
      <c r="R26" s="37"/>
      <c r="S26" s="37"/>
      <c r="T26" s="23"/>
      <c r="U26" s="23"/>
      <c r="V26" s="23"/>
      <c r="W26" s="23"/>
      <c r="X26" s="2">
        <v>0</v>
      </c>
    </row>
    <row r="27" spans="1:27">
      <c r="A27" s="23" t="s">
        <v>85</v>
      </c>
      <c r="B27" s="36"/>
      <c r="C27" s="36"/>
      <c r="D27" s="37"/>
      <c r="E27" s="36"/>
      <c r="F27" s="77">
        <v>9767.8410000000003</v>
      </c>
      <c r="G27" s="36"/>
      <c r="H27" s="36"/>
      <c r="I27" s="37">
        <v>15874.365</v>
      </c>
      <c r="J27" s="37"/>
      <c r="K27" s="37">
        <v>18366.294000000002</v>
      </c>
      <c r="L27" s="37">
        <v>18427.026999999998</v>
      </c>
      <c r="M27" s="37">
        <v>19379.079000000002</v>
      </c>
      <c r="N27" s="37">
        <v>21041.85</v>
      </c>
      <c r="O27" s="37">
        <v>23887.829000000002</v>
      </c>
      <c r="P27" s="37">
        <v>23952.064999999999</v>
      </c>
      <c r="Q27" s="37">
        <v>27672.453000000001</v>
      </c>
      <c r="R27" s="37">
        <v>28013.920999999998</v>
      </c>
      <c r="S27" s="37">
        <v>29883.547999999999</v>
      </c>
      <c r="T27" s="23">
        <v>32704.958999999999</v>
      </c>
      <c r="U27" s="23">
        <v>41353.192999999999</v>
      </c>
      <c r="V27" s="23">
        <v>44551.159</v>
      </c>
      <c r="W27" s="23">
        <v>41111.608</v>
      </c>
      <c r="X27" s="2">
        <v>42514.743999999999</v>
      </c>
      <c r="Y27" s="2">
        <v>43873.601000000002</v>
      </c>
      <c r="Z27" s="2">
        <v>47595.716999999997</v>
      </c>
      <c r="AA27" s="2">
        <v>53666.749000000003</v>
      </c>
    </row>
    <row r="28" spans="1:27">
      <c r="A28" s="23" t="s">
        <v>86</v>
      </c>
      <c r="B28" s="36"/>
      <c r="C28" s="36"/>
      <c r="D28" s="36"/>
      <c r="E28" s="36"/>
      <c r="F28" s="77">
        <v>49903.353999999999</v>
      </c>
      <c r="G28" s="36"/>
      <c r="H28" s="36"/>
      <c r="I28" s="37">
        <v>58261.266000000003</v>
      </c>
      <c r="J28" s="37"/>
      <c r="K28" s="37">
        <v>70875.350999999995</v>
      </c>
      <c r="L28" s="37">
        <v>82394.31</v>
      </c>
      <c r="M28" s="37">
        <v>83564.058000000005</v>
      </c>
      <c r="N28" s="37">
        <v>86381.142000000007</v>
      </c>
      <c r="O28" s="37">
        <v>90814.187000000005</v>
      </c>
      <c r="P28" s="37">
        <v>107209.764</v>
      </c>
      <c r="Q28" s="37">
        <v>116333.784</v>
      </c>
      <c r="R28" s="37">
        <v>129728.408</v>
      </c>
      <c r="S28" s="37">
        <v>135774.601</v>
      </c>
      <c r="T28" s="23">
        <v>143916.29300000001</v>
      </c>
      <c r="U28" s="23">
        <v>141758.027</v>
      </c>
      <c r="V28" s="23">
        <v>154579.53200000001</v>
      </c>
      <c r="W28" s="23">
        <v>162028.511</v>
      </c>
      <c r="X28" s="2">
        <v>170008.962</v>
      </c>
      <c r="Y28" s="2">
        <v>178201.671</v>
      </c>
      <c r="Z28" s="2">
        <v>165177.84599999999</v>
      </c>
      <c r="AA28" s="2">
        <v>155027.19899999999</v>
      </c>
    </row>
    <row r="29" spans="1:27">
      <c r="A29" s="23" t="s">
        <v>87</v>
      </c>
      <c r="B29" s="36"/>
      <c r="C29" s="36"/>
      <c r="D29" s="36"/>
      <c r="E29" s="36"/>
      <c r="F29" s="77">
        <v>90091.841</v>
      </c>
      <c r="G29" s="36"/>
      <c r="H29" s="36"/>
      <c r="I29" s="37">
        <v>96809.934999999998</v>
      </c>
      <c r="J29" s="37"/>
      <c r="K29" s="37">
        <v>217021.15100000001</v>
      </c>
      <c r="L29" s="37">
        <v>329370.83100000001</v>
      </c>
      <c r="M29" s="37">
        <v>386276.06099999999</v>
      </c>
      <c r="N29" s="37">
        <v>328039.73700000002</v>
      </c>
      <c r="O29" s="37">
        <v>327640.43699999998</v>
      </c>
      <c r="P29" s="37">
        <v>345318.52899999998</v>
      </c>
      <c r="Q29" s="37">
        <v>351197.973</v>
      </c>
      <c r="R29" s="37">
        <v>364639.79399999999</v>
      </c>
      <c r="S29" s="37">
        <v>394332.55099999998</v>
      </c>
      <c r="T29" s="23">
        <v>403165.91499999998</v>
      </c>
      <c r="U29" s="23">
        <v>343217.66499999998</v>
      </c>
      <c r="V29" s="23">
        <v>475274.897</v>
      </c>
      <c r="W29" s="23">
        <v>518269.35200000001</v>
      </c>
      <c r="X29" s="2">
        <v>567101.52800000005</v>
      </c>
      <c r="Y29" s="2">
        <v>579259.79</v>
      </c>
      <c r="Z29" s="2">
        <v>574328.25800000003</v>
      </c>
      <c r="AA29" s="2">
        <v>552701.35199999996</v>
      </c>
    </row>
    <row r="30" spans="1:27">
      <c r="A30" s="23" t="s">
        <v>88</v>
      </c>
      <c r="B30" s="36"/>
      <c r="C30" s="36"/>
      <c r="D30" s="36"/>
      <c r="E30" s="36"/>
      <c r="F30" s="77">
        <v>46156.341</v>
      </c>
      <c r="G30" s="36"/>
      <c r="H30" s="36"/>
      <c r="I30" s="37">
        <v>66354.654999999999</v>
      </c>
      <c r="J30" s="37"/>
      <c r="K30" s="37">
        <v>80918.235000000001</v>
      </c>
      <c r="L30" s="37">
        <v>92611.718999999997</v>
      </c>
      <c r="M30" s="37">
        <v>105525.00199999999</v>
      </c>
      <c r="N30" s="37">
        <v>130868.867</v>
      </c>
      <c r="O30" s="37">
        <v>122046.899</v>
      </c>
      <c r="P30" s="37">
        <v>82235.769</v>
      </c>
      <c r="Q30" s="37">
        <v>133606.81700000001</v>
      </c>
      <c r="R30" s="37">
        <v>138027.25700000001</v>
      </c>
      <c r="S30" s="37">
        <v>150247.18900000001</v>
      </c>
      <c r="T30" s="23">
        <v>172198.905</v>
      </c>
      <c r="U30" s="23">
        <v>183705.87899999999</v>
      </c>
      <c r="V30" s="23">
        <v>193183.375</v>
      </c>
      <c r="W30" s="23">
        <v>220001.61799999999</v>
      </c>
      <c r="X30" s="2">
        <v>262081.35</v>
      </c>
      <c r="Y30" s="2">
        <v>193990.13099999999</v>
      </c>
      <c r="Z30" s="2">
        <v>205482.3</v>
      </c>
      <c r="AA30" s="2">
        <v>219167.546</v>
      </c>
    </row>
    <row r="31" spans="1:27">
      <c r="A31" s="23" t="s">
        <v>91</v>
      </c>
      <c r="B31" s="36"/>
      <c r="C31" s="36"/>
      <c r="D31" s="36"/>
      <c r="E31" s="36"/>
      <c r="F31" s="77">
        <v>24892.323</v>
      </c>
      <c r="G31" s="36"/>
      <c r="H31" s="36"/>
      <c r="I31" s="37">
        <v>33519.017</v>
      </c>
      <c r="J31" s="37"/>
      <c r="K31" s="37">
        <v>30914.162</v>
      </c>
      <c r="L31" s="37">
        <v>24568.404999999999</v>
      </c>
      <c r="M31" s="37">
        <v>25251.102999999999</v>
      </c>
      <c r="N31" s="37">
        <v>25257.019</v>
      </c>
      <c r="O31" s="37">
        <v>29541.216</v>
      </c>
      <c r="P31" s="37">
        <v>32603.992999999999</v>
      </c>
      <c r="Q31" s="37">
        <v>34427.065999999999</v>
      </c>
      <c r="R31" s="37">
        <v>35666.165000000001</v>
      </c>
      <c r="S31" s="37">
        <v>39448.875</v>
      </c>
      <c r="T31" s="23">
        <v>41483.582000000002</v>
      </c>
      <c r="U31" s="23">
        <v>42700.597000000002</v>
      </c>
      <c r="V31" s="23">
        <v>48581.866999999998</v>
      </c>
      <c r="W31" s="23">
        <v>47679.678999999996</v>
      </c>
      <c r="X31" s="2">
        <v>45261.46</v>
      </c>
      <c r="Y31" s="2">
        <v>42710.57</v>
      </c>
      <c r="Z31" s="2">
        <v>43636.665000000001</v>
      </c>
      <c r="AA31" s="2">
        <v>47400.482000000004</v>
      </c>
    </row>
    <row r="32" spans="1:27">
      <c r="A32" s="23" t="s">
        <v>92</v>
      </c>
      <c r="B32" s="36"/>
      <c r="C32" s="36"/>
      <c r="D32" s="36"/>
      <c r="E32" s="36"/>
      <c r="F32" s="77">
        <v>17463.911</v>
      </c>
      <c r="G32" s="36"/>
      <c r="H32" s="36"/>
      <c r="I32" s="37">
        <v>22712.353999999999</v>
      </c>
      <c r="J32" s="37"/>
      <c r="K32" s="37">
        <v>21996.569</v>
      </c>
      <c r="L32" s="37">
        <v>26605.583999999999</v>
      </c>
      <c r="M32" s="37">
        <v>29280.667000000001</v>
      </c>
      <c r="N32" s="37">
        <v>28788.309000000001</v>
      </c>
      <c r="O32" s="37">
        <v>31332.524000000001</v>
      </c>
      <c r="P32" s="37">
        <v>36886.26</v>
      </c>
      <c r="Q32" s="37">
        <v>38395.932000000001</v>
      </c>
      <c r="R32" s="37">
        <v>39294.591</v>
      </c>
      <c r="S32" s="37">
        <v>42809.135000000002</v>
      </c>
      <c r="T32" s="23">
        <v>45559.489000000001</v>
      </c>
      <c r="U32" s="23">
        <v>49683.81</v>
      </c>
      <c r="V32" s="23">
        <v>53393.383000000002</v>
      </c>
      <c r="W32" s="23">
        <v>53275.116999999998</v>
      </c>
      <c r="X32" s="2">
        <v>53649.000999999997</v>
      </c>
      <c r="Y32" s="2">
        <v>58068.44</v>
      </c>
      <c r="Z32" s="2">
        <v>59282.686000000002</v>
      </c>
      <c r="AA32" s="2">
        <v>60110.58</v>
      </c>
    </row>
    <row r="33" spans="1:45">
      <c r="A33" s="23" t="s">
        <v>100</v>
      </c>
      <c r="B33" s="37"/>
      <c r="C33" s="37"/>
      <c r="D33" s="37"/>
      <c r="E33" s="37"/>
      <c r="F33" s="77">
        <v>16460.416000000001</v>
      </c>
      <c r="G33" s="37"/>
      <c r="H33" s="37"/>
      <c r="I33" s="37">
        <v>24885.248</v>
      </c>
      <c r="J33" s="37"/>
      <c r="K33" s="37">
        <v>25581.245999999999</v>
      </c>
      <c r="L33" s="37">
        <v>30016.91</v>
      </c>
      <c r="M33" s="37">
        <v>34432.807999999997</v>
      </c>
      <c r="N33" s="37">
        <v>34305.474999999999</v>
      </c>
      <c r="O33" s="37">
        <v>35557.249000000003</v>
      </c>
      <c r="P33" s="37">
        <v>35412.427000000003</v>
      </c>
      <c r="Q33" s="37">
        <v>35235.402000000002</v>
      </c>
      <c r="R33" s="37">
        <v>37051.328000000001</v>
      </c>
      <c r="S33" s="37">
        <v>37107.315999999999</v>
      </c>
      <c r="T33" s="23">
        <v>38562.118000000002</v>
      </c>
      <c r="U33" s="23">
        <v>43347.074999999997</v>
      </c>
      <c r="V33" s="23">
        <v>46885.347000000002</v>
      </c>
      <c r="W33" s="23">
        <v>47262.906000000003</v>
      </c>
      <c r="X33" s="2">
        <v>49807.595000000001</v>
      </c>
      <c r="Y33" s="2">
        <v>52204.34</v>
      </c>
      <c r="Z33" s="2">
        <v>55077.432000000001</v>
      </c>
      <c r="AA33" s="2">
        <v>58653.133999999998</v>
      </c>
    </row>
    <row r="34" spans="1:45">
      <c r="A34" s="23" t="s">
        <v>102</v>
      </c>
      <c r="B34" s="37"/>
      <c r="C34" s="37"/>
      <c r="D34" s="37"/>
      <c r="E34" s="37"/>
      <c r="F34" s="77">
        <v>28800.406999999999</v>
      </c>
      <c r="G34" s="37"/>
      <c r="H34" s="37"/>
      <c r="I34" s="37">
        <v>38725.17</v>
      </c>
      <c r="J34" s="37"/>
      <c r="K34" s="37">
        <v>41892.455999999998</v>
      </c>
      <c r="L34" s="37">
        <v>43160.955999999998</v>
      </c>
      <c r="M34" s="37">
        <v>48947.17</v>
      </c>
      <c r="N34" s="37">
        <v>44058.697999999997</v>
      </c>
      <c r="O34" s="37">
        <v>46442.137999999999</v>
      </c>
      <c r="P34" s="37">
        <v>53720.313999999998</v>
      </c>
      <c r="Q34" s="37">
        <v>57850.190999999999</v>
      </c>
      <c r="R34" s="37">
        <v>56726.417000000001</v>
      </c>
      <c r="S34" s="37">
        <v>54518.12</v>
      </c>
      <c r="T34" s="23">
        <v>55384.211000000003</v>
      </c>
      <c r="U34" s="23">
        <v>59197.957999999999</v>
      </c>
      <c r="V34" s="23">
        <v>66758.399999999994</v>
      </c>
      <c r="W34" s="23">
        <v>63927.027999999998</v>
      </c>
      <c r="X34" s="2">
        <v>60471.237000000001</v>
      </c>
      <c r="Y34" s="2">
        <v>58954.067999999999</v>
      </c>
      <c r="Z34" s="2">
        <v>58136.525000000001</v>
      </c>
      <c r="AA34" s="2">
        <v>57908.586000000003</v>
      </c>
    </row>
    <row r="35" spans="1:45">
      <c r="A35" s="23" t="s">
        <v>105</v>
      </c>
      <c r="B35" s="37"/>
      <c r="C35" s="37"/>
      <c r="D35" s="37"/>
      <c r="E35" s="37"/>
      <c r="F35" s="77">
        <v>89252.633000000002</v>
      </c>
      <c r="G35" s="37"/>
      <c r="H35" s="37"/>
      <c r="I35" s="37">
        <v>110743.54</v>
      </c>
      <c r="J35" s="37"/>
      <c r="K35" s="37">
        <v>157506.68351</v>
      </c>
      <c r="L35" s="37">
        <v>184894.16500000001</v>
      </c>
      <c r="M35" s="37">
        <v>198917.86300000001</v>
      </c>
      <c r="N35" s="37">
        <v>229890.274</v>
      </c>
      <c r="O35" s="37">
        <v>236137.587</v>
      </c>
      <c r="P35" s="37">
        <v>254261.81299999999</v>
      </c>
      <c r="Q35" s="37">
        <v>254162.41500000001</v>
      </c>
      <c r="R35" s="37">
        <v>254139.965</v>
      </c>
      <c r="S35" s="37">
        <v>286953.51799999998</v>
      </c>
      <c r="T35" s="23">
        <v>251535.81599999999</v>
      </c>
      <c r="U35" s="23">
        <v>290282.07699999999</v>
      </c>
      <c r="V35" s="23">
        <v>296633.34299999999</v>
      </c>
      <c r="W35" s="23">
        <v>386808.63400000002</v>
      </c>
      <c r="X35" s="2">
        <v>381281.79700000002</v>
      </c>
      <c r="Y35" s="2">
        <v>407098.37199999997</v>
      </c>
      <c r="Z35" s="2">
        <v>422958.29399999999</v>
      </c>
      <c r="AA35" s="2">
        <v>461583.65100000001</v>
      </c>
    </row>
    <row r="36" spans="1:45">
      <c r="A36" s="23" t="s">
        <v>109</v>
      </c>
      <c r="B36" s="37"/>
      <c r="C36" s="37"/>
      <c r="D36" s="37"/>
      <c r="E36" s="37"/>
      <c r="F36" s="77">
        <v>72205.868000000002</v>
      </c>
      <c r="G36" s="37"/>
      <c r="H36" s="37"/>
      <c r="I36" s="37">
        <v>92766.581000000006</v>
      </c>
      <c r="J36" s="37"/>
      <c r="K36" s="37">
        <v>101954.69500000001</v>
      </c>
      <c r="L36" s="37">
        <v>130611.35</v>
      </c>
      <c r="M36" s="37">
        <v>137227.68799999999</v>
      </c>
      <c r="N36" s="37">
        <v>122944.663</v>
      </c>
      <c r="O36" s="37">
        <v>107068.56600000001</v>
      </c>
      <c r="P36" s="37">
        <v>110700.834</v>
      </c>
      <c r="Q36" s="37">
        <v>118478.761</v>
      </c>
      <c r="R36" s="37">
        <v>136459.49</v>
      </c>
      <c r="S36" s="37">
        <v>140474.095</v>
      </c>
      <c r="T36" s="23">
        <v>151450.18799999999</v>
      </c>
      <c r="U36" s="23">
        <v>114614.58199999999</v>
      </c>
      <c r="V36" s="23">
        <v>163063.37899999999</v>
      </c>
      <c r="W36" s="23">
        <v>199649.288</v>
      </c>
      <c r="X36" s="2">
        <v>201744.31299999999</v>
      </c>
      <c r="Y36" s="2">
        <v>195810.53700000001</v>
      </c>
      <c r="Z36" s="2">
        <v>200853.079</v>
      </c>
      <c r="AA36" s="2">
        <v>215665.397</v>
      </c>
    </row>
    <row r="37" spans="1:45">
      <c r="A37" s="23" t="s">
        <v>113</v>
      </c>
      <c r="B37" s="37"/>
      <c r="C37" s="37"/>
      <c r="D37" s="37"/>
      <c r="E37" s="37"/>
      <c r="F37" s="77">
        <v>143156.891</v>
      </c>
      <c r="G37" s="37"/>
      <c r="H37" s="37"/>
      <c r="I37" s="37">
        <v>174685.04199999999</v>
      </c>
      <c r="J37" s="37"/>
      <c r="K37" s="37">
        <v>212089.10399999999</v>
      </c>
      <c r="L37" s="37">
        <v>349624.255</v>
      </c>
      <c r="M37" s="37">
        <v>375017.08100000001</v>
      </c>
      <c r="N37" s="37">
        <v>333449.41899999999</v>
      </c>
      <c r="O37" s="37">
        <v>343108.26400000002</v>
      </c>
      <c r="P37" s="37">
        <v>361872.47899999999</v>
      </c>
      <c r="Q37" s="37">
        <v>368748.69199999998</v>
      </c>
      <c r="R37" s="37">
        <v>411723.40399999998</v>
      </c>
      <c r="S37" s="37">
        <v>440842.38799999998</v>
      </c>
      <c r="T37" s="23">
        <v>478157.32</v>
      </c>
      <c r="U37" s="23">
        <v>542228.95900000003</v>
      </c>
      <c r="V37" s="23">
        <v>555673.68299999996</v>
      </c>
      <c r="W37" s="23">
        <v>594577.13699999999</v>
      </c>
      <c r="X37" s="2">
        <v>648372.14800000004</v>
      </c>
      <c r="Y37" s="2">
        <v>635467.66099999996</v>
      </c>
      <c r="Z37" s="2">
        <v>732170.55599999998</v>
      </c>
      <c r="AA37" s="2">
        <v>797287.38199999998</v>
      </c>
    </row>
    <row r="38" spans="1:45">
      <c r="A38" s="23" t="s">
        <v>115</v>
      </c>
      <c r="B38" s="37"/>
      <c r="C38" s="37"/>
      <c r="D38" s="37"/>
      <c r="E38" s="37"/>
      <c r="F38" s="77">
        <v>38601.523000000001</v>
      </c>
      <c r="G38" s="37"/>
      <c r="H38" s="37"/>
      <c r="I38" s="37">
        <v>43206.756000000001</v>
      </c>
      <c r="J38" s="37"/>
      <c r="K38" s="37">
        <v>48988.05</v>
      </c>
      <c r="L38" s="37">
        <v>53585.635000000002</v>
      </c>
      <c r="M38" s="37">
        <v>58972.724999999999</v>
      </c>
      <c r="N38" s="37">
        <v>44998.360999999997</v>
      </c>
      <c r="O38" s="37">
        <v>57592.962</v>
      </c>
      <c r="P38" s="37">
        <v>61036.02</v>
      </c>
      <c r="Q38" s="37">
        <v>68994.896999999997</v>
      </c>
      <c r="R38" s="37">
        <v>73645.816999999995</v>
      </c>
      <c r="S38" s="37">
        <v>79192.876000000004</v>
      </c>
      <c r="T38" s="23">
        <v>90633.442999999999</v>
      </c>
      <c r="U38" s="23">
        <v>91701.611000000004</v>
      </c>
      <c r="V38" s="23">
        <v>174958.77499999999</v>
      </c>
      <c r="W38" s="23">
        <v>90955.464000000007</v>
      </c>
      <c r="X38" s="2">
        <v>82038.100000000006</v>
      </c>
      <c r="Y38" s="2">
        <v>111840.13800000001</v>
      </c>
      <c r="Z38" s="2">
        <v>110514.003</v>
      </c>
      <c r="AA38" s="2">
        <v>105200.06200000001</v>
      </c>
    </row>
    <row r="39" spans="1:45">
      <c r="A39" s="45" t="s">
        <v>117</v>
      </c>
      <c r="B39" s="63"/>
      <c r="C39" s="63"/>
      <c r="D39" s="63"/>
      <c r="E39" s="63"/>
      <c r="F39" s="82">
        <v>8299.1810000000005</v>
      </c>
      <c r="G39" s="63"/>
      <c r="H39" s="63"/>
      <c r="I39" s="63">
        <v>9350.2839999999997</v>
      </c>
      <c r="J39" s="63"/>
      <c r="K39" s="63">
        <v>9067.6020000000008</v>
      </c>
      <c r="L39" s="63">
        <v>11772.228999999999</v>
      </c>
      <c r="M39" s="63">
        <v>19195.954000000002</v>
      </c>
      <c r="N39" s="63">
        <v>18605.248</v>
      </c>
      <c r="O39" s="63">
        <v>22458.227999999999</v>
      </c>
      <c r="P39" s="63">
        <v>24227.332999999999</v>
      </c>
      <c r="Q39" s="63">
        <v>25285.185000000001</v>
      </c>
      <c r="R39" s="63">
        <v>25216.147000000001</v>
      </c>
      <c r="S39" s="63">
        <v>29758.445</v>
      </c>
      <c r="T39" s="45">
        <v>31286.25</v>
      </c>
      <c r="U39" s="45">
        <v>32280.053</v>
      </c>
      <c r="V39" s="45">
        <v>38843.807000000001</v>
      </c>
      <c r="W39" s="45">
        <v>42980.171000000002</v>
      </c>
      <c r="X39" s="45">
        <v>35353.048000000003</v>
      </c>
      <c r="Y39" s="45">
        <v>40840.864999999998</v>
      </c>
      <c r="Z39" s="45">
        <v>42504.807999999997</v>
      </c>
      <c r="AA39" s="45">
        <v>42522.661999999997</v>
      </c>
      <c r="AB39" s="23"/>
      <c r="AC39" s="23"/>
      <c r="AD39" s="23"/>
      <c r="AE39" s="23"/>
      <c r="AF39" s="23"/>
      <c r="AG39" s="23"/>
      <c r="AH39" s="23"/>
      <c r="AI39" s="23"/>
      <c r="AJ39" s="23"/>
      <c r="AK39" s="23"/>
      <c r="AL39" s="23"/>
      <c r="AM39" s="23"/>
      <c r="AN39" s="23"/>
      <c r="AO39" s="23"/>
      <c r="AP39" s="23"/>
      <c r="AQ39" s="23"/>
      <c r="AR39" s="23"/>
      <c r="AS39" s="23"/>
    </row>
    <row r="40" spans="1:45" s="23" customFormat="1">
      <c r="A40" s="79" t="s">
        <v>121</v>
      </c>
      <c r="B40" s="90">
        <f>SUM(B42:B53)</f>
        <v>0</v>
      </c>
      <c r="C40" s="90">
        <f t="shared" ref="C40:AA40" si="9">SUM(C42:C53)</f>
        <v>0</v>
      </c>
      <c r="D40" s="90">
        <f t="shared" si="9"/>
        <v>0</v>
      </c>
      <c r="E40" s="90">
        <f t="shared" si="9"/>
        <v>0</v>
      </c>
      <c r="F40" s="90">
        <f t="shared" si="9"/>
        <v>1117943.8079999997</v>
      </c>
      <c r="G40" s="90">
        <f t="shared" si="9"/>
        <v>0</v>
      </c>
      <c r="H40" s="90">
        <f t="shared" si="9"/>
        <v>0</v>
      </c>
      <c r="I40" s="90">
        <f t="shared" si="9"/>
        <v>1350077.7949999999</v>
      </c>
      <c r="J40" s="90">
        <f t="shared" si="9"/>
        <v>0</v>
      </c>
      <c r="K40" s="90">
        <f t="shared" si="9"/>
        <v>1529185.3045899998</v>
      </c>
      <c r="L40" s="90">
        <f t="shared" si="9"/>
        <v>1804201.44</v>
      </c>
      <c r="M40" s="90">
        <f t="shared" si="9"/>
        <v>1931164.7920000001</v>
      </c>
      <c r="N40" s="90">
        <f t="shared" si="9"/>
        <v>2020542.0109999999</v>
      </c>
      <c r="O40" s="90">
        <f t="shared" si="9"/>
        <v>2063358.3199999998</v>
      </c>
      <c r="P40" s="90">
        <f t="shared" si="9"/>
        <v>2093558.0820000004</v>
      </c>
      <c r="Q40" s="90">
        <f t="shared" si="9"/>
        <v>2236582.5349999997</v>
      </c>
      <c r="R40" s="90">
        <f t="shared" si="9"/>
        <v>2326919.9509999999</v>
      </c>
      <c r="S40" s="90">
        <f t="shared" si="9"/>
        <v>2428283.4010000001</v>
      </c>
      <c r="T40" s="90">
        <f t="shared" si="9"/>
        <v>2682389.3420000002</v>
      </c>
      <c r="U40" s="90">
        <f t="shared" si="9"/>
        <v>2773494.1710000001</v>
      </c>
      <c r="V40" s="90">
        <f t="shared" si="9"/>
        <v>3096439.4820000003</v>
      </c>
      <c r="W40" s="90">
        <f t="shared" si="9"/>
        <v>3082788.7690000003</v>
      </c>
      <c r="X40" s="90">
        <f t="shared" si="9"/>
        <v>3180217.9070000001</v>
      </c>
      <c r="Y40" s="90">
        <f t="shared" si="9"/>
        <v>3267903.2520000003</v>
      </c>
      <c r="Z40" s="90">
        <f t="shared" si="9"/>
        <v>3332816.8509999998</v>
      </c>
      <c r="AA40" s="90">
        <f t="shared" si="9"/>
        <v>3390190.2420000001</v>
      </c>
    </row>
    <row r="41" spans="1:45">
      <c r="A41" s="79" t="s">
        <v>119</v>
      </c>
      <c r="B41" s="37"/>
      <c r="C41" s="37"/>
      <c r="D41" s="37"/>
      <c r="E41" s="37"/>
      <c r="F41" s="37"/>
      <c r="G41" s="37"/>
      <c r="H41" s="37"/>
      <c r="I41" s="37"/>
      <c r="J41" s="37"/>
      <c r="K41" s="37"/>
      <c r="L41" s="37"/>
      <c r="M41" s="37"/>
      <c r="N41" s="37"/>
      <c r="O41" s="37"/>
      <c r="P41" s="37"/>
      <c r="Q41" s="37"/>
      <c r="R41" s="37"/>
      <c r="S41" s="37"/>
      <c r="T41" s="23"/>
      <c r="U41" s="23"/>
      <c r="V41" s="23"/>
      <c r="W41" s="23"/>
      <c r="X41" s="2">
        <v>0</v>
      </c>
    </row>
    <row r="42" spans="1:45">
      <c r="A42" s="23" t="s">
        <v>93</v>
      </c>
      <c r="B42" s="36"/>
      <c r="C42" s="36"/>
      <c r="D42" s="36"/>
      <c r="E42" s="36"/>
      <c r="F42" s="77">
        <v>188066.34599999999</v>
      </c>
      <c r="G42" s="36"/>
      <c r="H42" s="36"/>
      <c r="I42" s="37">
        <v>247737.495</v>
      </c>
      <c r="J42" s="37"/>
      <c r="K42" s="37">
        <v>279950.72100000002</v>
      </c>
      <c r="L42" s="37">
        <v>332856.81400000001</v>
      </c>
      <c r="M42" s="37">
        <v>367090.66899999999</v>
      </c>
      <c r="N42" s="37">
        <v>406112.04599999997</v>
      </c>
      <c r="O42" s="37">
        <v>422899.99800000002</v>
      </c>
      <c r="P42" s="37">
        <v>387482.88500000001</v>
      </c>
      <c r="Q42" s="37">
        <v>417472.10499999998</v>
      </c>
      <c r="R42" s="37">
        <v>446028.22200000001</v>
      </c>
      <c r="S42" s="37">
        <v>472646.092</v>
      </c>
      <c r="T42" s="23">
        <v>497881.359</v>
      </c>
      <c r="U42" s="23">
        <v>534909.88199999998</v>
      </c>
      <c r="V42" s="23">
        <v>621909.45400000003</v>
      </c>
      <c r="W42" s="23">
        <v>613016.69999999995</v>
      </c>
      <c r="X42" s="2">
        <v>663711.36499999999</v>
      </c>
      <c r="Y42" s="2">
        <v>715146.99</v>
      </c>
      <c r="Z42" s="2">
        <v>709634.36</v>
      </c>
      <c r="AA42" s="2">
        <v>728747.12600000005</v>
      </c>
    </row>
    <row r="43" spans="1:45">
      <c r="A43" s="23" t="s">
        <v>58</v>
      </c>
      <c r="B43" s="36"/>
      <c r="C43" s="36"/>
      <c r="D43" s="36"/>
      <c r="E43" s="36"/>
      <c r="F43" s="77">
        <v>112942.984</v>
      </c>
      <c r="G43" s="36"/>
      <c r="H43" s="36"/>
      <c r="I43" s="37">
        <v>140991.34</v>
      </c>
      <c r="J43" s="37"/>
      <c r="K43" s="37">
        <v>161409.356</v>
      </c>
      <c r="L43" s="37">
        <v>200363.18700000001</v>
      </c>
      <c r="M43" s="37">
        <v>220501.69699999999</v>
      </c>
      <c r="N43" s="37">
        <v>209990.283</v>
      </c>
      <c r="O43" s="37">
        <v>220662.603</v>
      </c>
      <c r="P43" s="37">
        <v>243855.785</v>
      </c>
      <c r="Q43" s="37">
        <v>265541.14899999998</v>
      </c>
      <c r="R43" s="37">
        <v>269251.908</v>
      </c>
      <c r="S43" s="37">
        <v>262382.027</v>
      </c>
      <c r="T43" s="23">
        <v>277001.37199999997</v>
      </c>
      <c r="U43" s="23">
        <v>308656.288</v>
      </c>
      <c r="V43" s="23">
        <v>344611.5</v>
      </c>
      <c r="W43" s="23">
        <v>355404.12800000003</v>
      </c>
      <c r="X43" s="2">
        <v>356632.49699999997</v>
      </c>
      <c r="Y43" s="2">
        <v>333764.69199999998</v>
      </c>
      <c r="Z43" s="2">
        <v>334395.17099999997</v>
      </c>
      <c r="AA43" s="2">
        <v>316223.83500000002</v>
      </c>
    </row>
    <row r="44" spans="1:45">
      <c r="A44" s="23" t="s">
        <v>94</v>
      </c>
      <c r="B44" s="36"/>
      <c r="C44" s="36"/>
      <c r="D44" s="36"/>
      <c r="E44" s="36"/>
      <c r="F44" s="77">
        <v>76569.616999999998</v>
      </c>
      <c r="G44" s="36"/>
      <c r="H44" s="36"/>
      <c r="I44" s="37">
        <v>106604.856</v>
      </c>
      <c r="J44" s="37"/>
      <c r="K44" s="37">
        <v>129070.284</v>
      </c>
      <c r="L44" s="37">
        <v>144240.37400000001</v>
      </c>
      <c r="M44" s="37">
        <v>154353.50599999999</v>
      </c>
      <c r="N44" s="37">
        <v>124544.554</v>
      </c>
      <c r="O44" s="37">
        <v>125770.609</v>
      </c>
      <c r="P44" s="37">
        <v>130329.886</v>
      </c>
      <c r="Q44" s="37">
        <v>137189.247</v>
      </c>
      <c r="R44" s="37">
        <v>145628.334</v>
      </c>
      <c r="S44" s="37">
        <v>158402.04999999999</v>
      </c>
      <c r="T44" s="23">
        <v>170251.35399999999</v>
      </c>
      <c r="U44" s="23">
        <v>186242.26199999999</v>
      </c>
      <c r="V44" s="23">
        <v>201250.07500000001</v>
      </c>
      <c r="W44" s="23">
        <v>199659.35699999999</v>
      </c>
      <c r="X44" s="2">
        <v>194044.323</v>
      </c>
      <c r="Y44" s="2">
        <v>206273.85800000001</v>
      </c>
      <c r="Z44" s="2">
        <v>211435.807</v>
      </c>
      <c r="AA44" s="2">
        <v>213436.84700000001</v>
      </c>
    </row>
    <row r="45" spans="1:45">
      <c r="A45" s="23" t="s">
        <v>95</v>
      </c>
      <c r="B45" s="36"/>
      <c r="C45" s="36"/>
      <c r="D45" s="36"/>
      <c r="E45" s="36"/>
      <c r="F45" s="77">
        <v>52565.790999999997</v>
      </c>
      <c r="G45" s="36"/>
      <c r="H45" s="36"/>
      <c r="I45" s="37">
        <v>57930.981</v>
      </c>
      <c r="J45" s="37"/>
      <c r="K45" s="37">
        <v>63739.669590000005</v>
      </c>
      <c r="L45" s="37">
        <v>68119.566999999995</v>
      </c>
      <c r="M45" s="37">
        <v>78542.718999999997</v>
      </c>
      <c r="N45" s="37">
        <v>84300.481</v>
      </c>
      <c r="O45" s="37">
        <v>89786.013000000006</v>
      </c>
      <c r="P45" s="37">
        <v>99219.313999999998</v>
      </c>
      <c r="Q45" s="37">
        <v>97529.607000000004</v>
      </c>
      <c r="R45" s="37">
        <v>110292.451</v>
      </c>
      <c r="S45" s="37">
        <v>122644.814</v>
      </c>
      <c r="T45" s="23">
        <v>135795.054</v>
      </c>
      <c r="U45" s="23">
        <v>132350.579</v>
      </c>
      <c r="V45" s="23">
        <v>148206.40700000001</v>
      </c>
      <c r="W45" s="23">
        <v>158261.75200000001</v>
      </c>
      <c r="X45" s="2">
        <v>168487.52799999999</v>
      </c>
      <c r="Y45" s="2">
        <v>169045.682</v>
      </c>
      <c r="Z45" s="2">
        <v>169953.61300000001</v>
      </c>
      <c r="AA45" s="2">
        <v>174274.16099999999</v>
      </c>
    </row>
    <row r="46" spans="1:45">
      <c r="A46" s="23" t="s">
        <v>98</v>
      </c>
      <c r="B46" s="36"/>
      <c r="C46" s="36"/>
      <c r="D46" s="36"/>
      <c r="E46" s="37"/>
      <c r="F46" s="77">
        <v>177148.78599999999</v>
      </c>
      <c r="G46" s="36"/>
      <c r="H46" s="36"/>
      <c r="I46" s="37">
        <v>223579.96799999999</v>
      </c>
      <c r="J46" s="37"/>
      <c r="K46" s="37">
        <v>235208.033</v>
      </c>
      <c r="L46" s="37">
        <v>288802.8</v>
      </c>
      <c r="M46" s="37">
        <v>317497.79700000002</v>
      </c>
      <c r="N46" s="37">
        <v>361291.20299999998</v>
      </c>
      <c r="O46" s="37">
        <v>349789.53899999999</v>
      </c>
      <c r="P46" s="37">
        <v>364553.22899999999</v>
      </c>
      <c r="Q46" s="37">
        <v>387739.64399999997</v>
      </c>
      <c r="R46" s="37">
        <v>393471.7</v>
      </c>
      <c r="S46" s="37">
        <v>413307.21600000001</v>
      </c>
      <c r="T46" s="23">
        <v>505324.65600000002</v>
      </c>
      <c r="U46" s="23">
        <v>503561.50099999999</v>
      </c>
      <c r="V46" s="23">
        <v>543393.46900000004</v>
      </c>
      <c r="W46" s="23">
        <v>543138.07299999997</v>
      </c>
      <c r="X46" s="2">
        <v>537835.74300000002</v>
      </c>
      <c r="Y46" s="2">
        <v>570498.473</v>
      </c>
      <c r="Z46" s="2">
        <v>570658.93299999996</v>
      </c>
      <c r="AA46" s="2">
        <v>625789.027</v>
      </c>
    </row>
    <row r="47" spans="1:45">
      <c r="A47" s="23" t="s">
        <v>99</v>
      </c>
      <c r="B47" s="37"/>
      <c r="C47" s="37"/>
      <c r="D47" s="37"/>
      <c r="E47" s="37"/>
      <c r="F47" s="77">
        <v>80871.569000000003</v>
      </c>
      <c r="G47" s="37"/>
      <c r="H47" s="37"/>
      <c r="I47" s="37">
        <v>104845.999</v>
      </c>
      <c r="J47" s="37"/>
      <c r="K47" s="37">
        <v>122194.549</v>
      </c>
      <c r="L47" s="37">
        <v>169545.878</v>
      </c>
      <c r="M47" s="37">
        <v>159563.70199999999</v>
      </c>
      <c r="N47" s="37">
        <v>157206.51</v>
      </c>
      <c r="O47" s="37">
        <v>163308.27499999999</v>
      </c>
      <c r="P47" s="37">
        <v>169462.076</v>
      </c>
      <c r="Q47" s="37">
        <v>178731.09299999999</v>
      </c>
      <c r="R47" s="37">
        <v>186655.87100000001</v>
      </c>
      <c r="S47" s="37">
        <v>196108.53599999999</v>
      </c>
      <c r="T47" s="23">
        <v>199701.15700000001</v>
      </c>
      <c r="U47" s="23">
        <v>221280.386</v>
      </c>
      <c r="V47" s="23">
        <v>234990.97200000001</v>
      </c>
      <c r="W47" s="23">
        <v>246969.976</v>
      </c>
      <c r="X47" s="2">
        <v>266817.92099999997</v>
      </c>
      <c r="Y47" s="2">
        <v>271370.17</v>
      </c>
      <c r="Z47" s="2">
        <v>277753.30300000001</v>
      </c>
      <c r="AA47" s="2">
        <v>274167.00199999998</v>
      </c>
    </row>
    <row r="48" spans="1:45">
      <c r="A48" s="23" t="s">
        <v>59</v>
      </c>
      <c r="B48" s="37"/>
      <c r="C48" s="37"/>
      <c r="D48" s="37"/>
      <c r="E48" s="37"/>
      <c r="F48" s="77">
        <v>53843.964999999997</v>
      </c>
      <c r="G48" s="37"/>
      <c r="H48" s="37"/>
      <c r="I48" s="37">
        <v>69274.271999999997</v>
      </c>
      <c r="J48" s="37"/>
      <c r="K48" s="37">
        <v>122195.86</v>
      </c>
      <c r="L48" s="37">
        <v>102350.997</v>
      </c>
      <c r="M48" s="37">
        <v>109139.70299999999</v>
      </c>
      <c r="N48" s="37">
        <v>106991.66899999999</v>
      </c>
      <c r="O48" s="37">
        <v>95721.232999999993</v>
      </c>
      <c r="P48" s="37">
        <v>100497.78200000001</v>
      </c>
      <c r="Q48" s="37">
        <v>142125.97500000001</v>
      </c>
      <c r="R48" s="37">
        <v>152221.05900000001</v>
      </c>
      <c r="S48" s="37">
        <v>154174.46900000001</v>
      </c>
      <c r="T48" s="23">
        <v>179704.18900000001</v>
      </c>
      <c r="U48" s="23">
        <v>192957.829</v>
      </c>
      <c r="V48" s="23">
        <v>184766.427</v>
      </c>
      <c r="W48" s="23">
        <v>185236.353</v>
      </c>
      <c r="X48" s="2">
        <v>192429.22399999999</v>
      </c>
      <c r="Y48" s="2">
        <v>201002.61600000001</v>
      </c>
      <c r="Z48" s="2">
        <v>207381.005</v>
      </c>
      <c r="AA48" s="2">
        <v>212292.75899999999</v>
      </c>
    </row>
    <row r="49" spans="1:45">
      <c r="A49" s="23" t="s">
        <v>101</v>
      </c>
      <c r="B49" s="37"/>
      <c r="C49" s="37"/>
      <c r="D49" s="37"/>
      <c r="E49" s="37"/>
      <c r="F49" s="77">
        <v>56674.739000000001</v>
      </c>
      <c r="G49" s="37"/>
      <c r="H49" s="37"/>
      <c r="I49" s="37">
        <v>56800.576999999997</v>
      </c>
      <c r="J49" s="37"/>
      <c r="K49" s="37">
        <v>64696.686999999998</v>
      </c>
      <c r="L49" s="37">
        <v>74544.933000000005</v>
      </c>
      <c r="M49" s="37">
        <v>73179.141000000003</v>
      </c>
      <c r="N49" s="37">
        <v>92500.785999999993</v>
      </c>
      <c r="O49" s="37">
        <v>94015.354999999996</v>
      </c>
      <c r="P49" s="37">
        <v>90410.324999999997</v>
      </c>
      <c r="Q49" s="37">
        <v>95321.195999999996</v>
      </c>
      <c r="R49" s="37">
        <v>82104.895999999993</v>
      </c>
      <c r="S49" s="37">
        <v>90227.865000000005</v>
      </c>
      <c r="T49" s="23">
        <v>94450.664999999994</v>
      </c>
      <c r="U49" s="23">
        <v>88580.228000000003</v>
      </c>
      <c r="V49" s="23">
        <v>133111.32999999999</v>
      </c>
      <c r="W49" s="23">
        <v>115222.478</v>
      </c>
      <c r="X49" s="2">
        <v>126205.91800000001</v>
      </c>
      <c r="Y49" s="2">
        <v>126039.22500000001</v>
      </c>
      <c r="Z49" s="2">
        <v>131720.52600000001</v>
      </c>
      <c r="AA49" s="2">
        <v>135791.503</v>
      </c>
    </row>
    <row r="50" spans="1:45">
      <c r="A50" s="23" t="s">
        <v>107</v>
      </c>
      <c r="B50" s="37"/>
      <c r="C50" s="37"/>
      <c r="D50" s="37"/>
      <c r="E50" s="37"/>
      <c r="F50" s="77">
        <v>22797.785</v>
      </c>
      <c r="G50" s="37"/>
      <c r="H50" s="37"/>
      <c r="I50" s="37">
        <v>25289.227999999999</v>
      </c>
      <c r="J50" s="37"/>
      <c r="K50" s="37">
        <v>24502.214</v>
      </c>
      <c r="L50" s="37">
        <v>28464.511999999999</v>
      </c>
      <c r="M50" s="37">
        <v>30179.916000000001</v>
      </c>
      <c r="N50" s="37">
        <v>34356.745999999999</v>
      </c>
      <c r="O50" s="37">
        <v>39409.671999999999</v>
      </c>
      <c r="P50" s="37">
        <v>40990.839999999997</v>
      </c>
      <c r="Q50" s="37">
        <v>42426.409</v>
      </c>
      <c r="R50" s="37">
        <v>41861.748</v>
      </c>
      <c r="S50" s="37">
        <v>41717.150999999998</v>
      </c>
      <c r="T50" s="23">
        <v>44863.038999999997</v>
      </c>
      <c r="U50" s="23">
        <v>49895.839</v>
      </c>
      <c r="V50" s="23">
        <v>56259.834000000003</v>
      </c>
      <c r="W50" s="23">
        <v>62222.822</v>
      </c>
      <c r="X50" s="2">
        <v>65617.172999999995</v>
      </c>
      <c r="Y50" s="2">
        <v>69716.722999999998</v>
      </c>
      <c r="Z50" s="2">
        <v>70574.516000000003</v>
      </c>
      <c r="AA50" s="2">
        <v>72451.125</v>
      </c>
    </row>
    <row r="51" spans="1:45">
      <c r="A51" s="23" t="s">
        <v>108</v>
      </c>
      <c r="B51" s="37"/>
      <c r="C51" s="37"/>
      <c r="D51" s="37"/>
      <c r="E51" s="37"/>
      <c r="F51" s="77">
        <v>145160.5</v>
      </c>
      <c r="G51" s="37"/>
      <c r="H51" s="37"/>
      <c r="I51" s="37">
        <v>174513.13200000001</v>
      </c>
      <c r="J51" s="37"/>
      <c r="K51" s="37">
        <v>176620.49400000001</v>
      </c>
      <c r="L51" s="37">
        <v>215516.65299999999</v>
      </c>
      <c r="M51" s="37">
        <v>228655.00399999999</v>
      </c>
      <c r="N51" s="37">
        <v>242333.353</v>
      </c>
      <c r="O51" s="37">
        <v>252345.83600000001</v>
      </c>
      <c r="P51" s="37">
        <v>256886.46400000001</v>
      </c>
      <c r="Q51" s="37">
        <v>255613.149</v>
      </c>
      <c r="R51" s="37">
        <v>278284.02100000001</v>
      </c>
      <c r="S51" s="37">
        <v>274065.52399999998</v>
      </c>
      <c r="T51" s="23">
        <v>294724.245</v>
      </c>
      <c r="U51" s="23">
        <v>295876.43199999997</v>
      </c>
      <c r="V51" s="23">
        <v>318889.06</v>
      </c>
      <c r="W51" s="23">
        <v>299712.21500000003</v>
      </c>
      <c r="X51" s="2">
        <v>298524.67700000003</v>
      </c>
      <c r="Y51" s="2">
        <v>301380.54700000002</v>
      </c>
      <c r="Z51" s="2">
        <v>340637.674</v>
      </c>
      <c r="AA51" s="2">
        <v>333403.41100000002</v>
      </c>
    </row>
    <row r="52" spans="1:45">
      <c r="A52" s="23" t="s">
        <v>112</v>
      </c>
      <c r="B52" s="37"/>
      <c r="C52" s="37"/>
      <c r="D52" s="37"/>
      <c r="E52" s="37"/>
      <c r="F52" s="77">
        <v>20126.365000000002</v>
      </c>
      <c r="G52" s="37"/>
      <c r="H52" s="37"/>
      <c r="I52" s="37">
        <v>24122</v>
      </c>
      <c r="J52" s="37"/>
      <c r="K52" s="37">
        <v>24136.804</v>
      </c>
      <c r="L52" s="37">
        <v>30328.781999999999</v>
      </c>
      <c r="M52" s="37">
        <v>32763.034</v>
      </c>
      <c r="N52" s="37">
        <v>34907.379000000001</v>
      </c>
      <c r="O52" s="37">
        <v>36950.067999999999</v>
      </c>
      <c r="P52" s="37">
        <v>36361.964999999997</v>
      </c>
      <c r="Q52" s="37">
        <v>37478.175000000003</v>
      </c>
      <c r="R52" s="37">
        <v>41659.379999999997</v>
      </c>
      <c r="S52" s="37">
        <v>44406.841999999997</v>
      </c>
      <c r="T52" s="23">
        <v>46976.578999999998</v>
      </c>
      <c r="U52" s="23">
        <v>38965.529000000002</v>
      </c>
      <c r="V52" s="23">
        <v>48342.044999999998</v>
      </c>
      <c r="W52" s="23">
        <v>49975.462</v>
      </c>
      <c r="X52" s="2">
        <v>53761.733999999997</v>
      </c>
      <c r="Y52" s="2">
        <v>48689.161</v>
      </c>
      <c r="Z52" s="2">
        <v>48710.252999999997</v>
      </c>
      <c r="AA52" s="2">
        <v>45374.578000000001</v>
      </c>
    </row>
    <row r="53" spans="1:45">
      <c r="A53" s="45" t="s">
        <v>116</v>
      </c>
      <c r="B53" s="63"/>
      <c r="C53" s="63"/>
      <c r="D53" s="63"/>
      <c r="E53" s="63"/>
      <c r="F53" s="82">
        <v>131175.361</v>
      </c>
      <c r="G53" s="63"/>
      <c r="H53" s="63"/>
      <c r="I53" s="63">
        <v>118387.947</v>
      </c>
      <c r="J53" s="63"/>
      <c r="K53" s="63">
        <v>125460.633</v>
      </c>
      <c r="L53" s="63">
        <v>149066.943</v>
      </c>
      <c r="M53" s="63">
        <v>159697.90400000001</v>
      </c>
      <c r="N53" s="63">
        <v>166007.00099999999</v>
      </c>
      <c r="O53" s="63">
        <v>172699.11900000001</v>
      </c>
      <c r="P53" s="63">
        <v>173507.53099999999</v>
      </c>
      <c r="Q53" s="63">
        <v>179414.78599999999</v>
      </c>
      <c r="R53" s="63">
        <v>179460.361</v>
      </c>
      <c r="S53" s="63">
        <v>198200.815</v>
      </c>
      <c r="T53" s="45">
        <v>235715.67300000001</v>
      </c>
      <c r="U53" s="45">
        <v>220217.416</v>
      </c>
      <c r="V53" s="45">
        <v>260708.90900000001</v>
      </c>
      <c r="W53" s="45">
        <v>253969.45300000001</v>
      </c>
      <c r="X53" s="45">
        <v>256149.804</v>
      </c>
      <c r="Y53" s="45">
        <v>254975.11499999999</v>
      </c>
      <c r="Z53" s="45">
        <v>259961.69</v>
      </c>
      <c r="AA53" s="45">
        <v>258238.86799999999</v>
      </c>
    </row>
    <row r="54" spans="1:45" s="23" customFormat="1">
      <c r="A54" s="79" t="s">
        <v>122</v>
      </c>
      <c r="B54" s="90">
        <f>SUM(B56:B64)</f>
        <v>0</v>
      </c>
      <c r="C54" s="90">
        <f t="shared" ref="C54:AA54" si="10">SUM(C56:C64)</f>
        <v>0</v>
      </c>
      <c r="D54" s="90">
        <f t="shared" si="10"/>
        <v>0</v>
      </c>
      <c r="E54" s="90">
        <f t="shared" si="10"/>
        <v>0</v>
      </c>
      <c r="F54" s="90">
        <f t="shared" si="10"/>
        <v>435753.45199999993</v>
      </c>
      <c r="G54" s="90">
        <f t="shared" si="10"/>
        <v>0</v>
      </c>
      <c r="H54" s="90">
        <f t="shared" si="10"/>
        <v>0</v>
      </c>
      <c r="I54" s="90">
        <f t="shared" si="10"/>
        <v>467203.46699999995</v>
      </c>
      <c r="J54" s="90">
        <f t="shared" si="10"/>
        <v>0</v>
      </c>
      <c r="K54" s="90">
        <f t="shared" si="10"/>
        <v>570595.83200000005</v>
      </c>
      <c r="L54" s="90">
        <f t="shared" si="10"/>
        <v>691033.18800000008</v>
      </c>
      <c r="M54" s="90">
        <f t="shared" si="10"/>
        <v>760586.05299999996</v>
      </c>
      <c r="N54" s="90">
        <f t="shared" si="10"/>
        <v>789778.7</v>
      </c>
      <c r="O54" s="90">
        <f t="shared" si="10"/>
        <v>692576.4530000001</v>
      </c>
      <c r="P54" s="90">
        <f t="shared" si="10"/>
        <v>727013.75599999994</v>
      </c>
      <c r="Q54" s="90">
        <f t="shared" si="10"/>
        <v>977843.32599999988</v>
      </c>
      <c r="R54" s="90">
        <f t="shared" si="10"/>
        <v>1002934.7920000001</v>
      </c>
      <c r="S54" s="90">
        <f t="shared" si="10"/>
        <v>1045593.9990000001</v>
      </c>
      <c r="T54" s="90">
        <f t="shared" si="10"/>
        <v>1096459.402</v>
      </c>
      <c r="U54" s="90">
        <f t="shared" si="10"/>
        <v>499058.783</v>
      </c>
      <c r="V54" s="90">
        <f t="shared" si="10"/>
        <v>1183856.6269999999</v>
      </c>
      <c r="W54" s="90">
        <f t="shared" si="10"/>
        <v>1295404.4350000001</v>
      </c>
      <c r="X54" s="90">
        <f t="shared" si="10"/>
        <v>1192848.446</v>
      </c>
      <c r="Y54" s="90">
        <f t="shared" si="10"/>
        <v>1100352.3090000001</v>
      </c>
      <c r="Z54" s="90">
        <f t="shared" si="10"/>
        <v>1258140.726</v>
      </c>
      <c r="AA54" s="90">
        <f t="shared" si="10"/>
        <v>992630.86</v>
      </c>
    </row>
    <row r="55" spans="1:45">
      <c r="A55" s="79" t="s">
        <v>119</v>
      </c>
      <c r="B55" s="37"/>
      <c r="C55" s="37"/>
      <c r="D55" s="37"/>
      <c r="E55" s="37"/>
      <c r="F55" s="37"/>
      <c r="G55" s="37"/>
      <c r="H55" s="37"/>
      <c r="I55" s="37"/>
      <c r="J55" s="37"/>
      <c r="K55" s="37"/>
      <c r="L55" s="37"/>
      <c r="M55" s="37"/>
      <c r="N55" s="37"/>
      <c r="O55" s="37"/>
      <c r="P55" s="37"/>
      <c r="Q55" s="37"/>
      <c r="R55" s="37"/>
      <c r="S55" s="37"/>
      <c r="T55" s="23"/>
      <c r="U55" s="23"/>
      <c r="V55" s="23"/>
      <c r="W55" s="23"/>
      <c r="X55" s="2">
        <v>0</v>
      </c>
    </row>
    <row r="56" spans="1:45" s="23" customFormat="1">
      <c r="A56" s="23" t="s">
        <v>89</v>
      </c>
      <c r="B56" s="36"/>
      <c r="C56" s="36"/>
      <c r="D56" s="36"/>
      <c r="E56" s="36"/>
      <c r="F56" s="77">
        <v>21809.792000000001</v>
      </c>
      <c r="G56" s="36"/>
      <c r="H56" s="36"/>
      <c r="I56" s="37">
        <v>28965.792000000001</v>
      </c>
      <c r="J56" s="37"/>
      <c r="K56" s="37">
        <v>28031.117999999999</v>
      </c>
      <c r="L56" s="37">
        <v>41946.936000000002</v>
      </c>
      <c r="M56" s="37">
        <v>33773.131000000001</v>
      </c>
      <c r="N56" s="37">
        <v>190614.37899999999</v>
      </c>
      <c r="O56" s="37">
        <v>197837.69699999999</v>
      </c>
      <c r="P56" s="37">
        <v>193447.90299999999</v>
      </c>
      <c r="Q56" s="37">
        <v>204151.39199999999</v>
      </c>
      <c r="R56" s="37">
        <v>210181.601</v>
      </c>
      <c r="S56" s="37">
        <v>221581.40400000001</v>
      </c>
      <c r="T56" s="23">
        <v>268222.89299999998</v>
      </c>
      <c r="U56" s="23">
        <v>76940.722999999998</v>
      </c>
      <c r="V56" s="23">
        <v>68248.895000000004</v>
      </c>
      <c r="W56" s="23">
        <v>85995.573999999993</v>
      </c>
      <c r="X56" s="2">
        <v>116963.155</v>
      </c>
      <c r="Y56" s="2">
        <v>125726.94899999999</v>
      </c>
      <c r="Z56" s="2">
        <v>110691.19899999999</v>
      </c>
      <c r="AA56" s="2">
        <v>93819.827000000005</v>
      </c>
      <c r="AB56" s="2"/>
      <c r="AC56" s="2"/>
      <c r="AD56" s="2"/>
      <c r="AE56" s="2"/>
      <c r="AF56" s="2"/>
      <c r="AG56" s="2"/>
      <c r="AH56" s="2"/>
      <c r="AI56" s="2"/>
      <c r="AJ56" s="2"/>
      <c r="AK56" s="2"/>
      <c r="AL56" s="2"/>
      <c r="AM56" s="2"/>
      <c r="AN56" s="2"/>
      <c r="AO56" s="2"/>
      <c r="AP56" s="2"/>
      <c r="AQ56" s="2"/>
      <c r="AR56" s="2"/>
      <c r="AS56" s="2"/>
    </row>
    <row r="57" spans="1:45" s="23" customFormat="1">
      <c r="A57" s="23" t="s">
        <v>96</v>
      </c>
      <c r="B57" s="36"/>
      <c r="C57" s="36"/>
      <c r="D57" s="36"/>
      <c r="E57" s="36"/>
      <c r="F57" s="77">
        <v>27166.539000000001</v>
      </c>
      <c r="G57" s="36"/>
      <c r="H57" s="36"/>
      <c r="I57" s="37">
        <v>31700.738000000001</v>
      </c>
      <c r="J57" s="37"/>
      <c r="K57" s="37">
        <v>37841.107000000004</v>
      </c>
      <c r="L57" s="37">
        <v>36617.837</v>
      </c>
      <c r="M57" s="37">
        <v>39679.076000000001</v>
      </c>
      <c r="N57" s="37">
        <v>42486.8</v>
      </c>
      <c r="O57" s="37">
        <v>45513.870999999999</v>
      </c>
      <c r="P57" s="37">
        <v>47645.807999999997</v>
      </c>
      <c r="Q57" s="37">
        <v>49133.987999999998</v>
      </c>
      <c r="R57" s="37">
        <v>51410.66</v>
      </c>
      <c r="S57" s="37">
        <v>52478.718000000001</v>
      </c>
      <c r="T57" s="23">
        <v>53773.197999999997</v>
      </c>
      <c r="U57" s="23">
        <v>56763.586000000003</v>
      </c>
      <c r="V57" s="23">
        <v>67329.441999999995</v>
      </c>
      <c r="W57" s="23">
        <v>68669.832999999999</v>
      </c>
      <c r="X57" s="2">
        <v>71183.490999999995</v>
      </c>
      <c r="Y57" s="2">
        <v>68246.947</v>
      </c>
      <c r="Z57" s="2">
        <v>68823.013999999996</v>
      </c>
      <c r="AA57" s="2">
        <v>69313.429999999993</v>
      </c>
      <c r="AB57" s="2"/>
      <c r="AC57" s="2"/>
      <c r="AD57" s="2"/>
      <c r="AE57" s="2"/>
      <c r="AF57" s="2"/>
      <c r="AG57" s="2"/>
      <c r="AH57" s="2"/>
      <c r="AI57" s="2"/>
      <c r="AJ57" s="2"/>
      <c r="AK57" s="2"/>
      <c r="AL57" s="2"/>
      <c r="AM57" s="2"/>
      <c r="AN57" s="2"/>
      <c r="AO57" s="2"/>
      <c r="AP57" s="2"/>
      <c r="AQ57" s="2"/>
      <c r="AR57" s="2"/>
      <c r="AS57" s="2"/>
    </row>
    <row r="58" spans="1:45" s="17" customFormat="1">
      <c r="A58" s="23" t="s">
        <v>97</v>
      </c>
      <c r="B58" s="36"/>
      <c r="C58" s="36"/>
      <c r="D58" s="36"/>
      <c r="E58" s="37"/>
      <c r="F58" s="77">
        <v>91616.986999999994</v>
      </c>
      <c r="G58" s="36"/>
      <c r="H58" s="36"/>
      <c r="I58" s="37">
        <v>47319.457000000002</v>
      </c>
      <c r="J58" s="37"/>
      <c r="K58" s="37">
        <v>56355.713000000003</v>
      </c>
      <c r="L58" s="37">
        <v>97436.187999999995</v>
      </c>
      <c r="M58" s="37">
        <v>124114.41899999999</v>
      </c>
      <c r="N58" s="37">
        <v>157153.68799999999</v>
      </c>
      <c r="O58" s="37">
        <v>181458.24100000001</v>
      </c>
      <c r="P58" s="37">
        <v>205822.86600000001</v>
      </c>
      <c r="Q58" s="37">
        <v>391390.14</v>
      </c>
      <c r="R58" s="37">
        <v>393998.92</v>
      </c>
      <c r="S58" s="37">
        <v>405285.48599999998</v>
      </c>
      <c r="T58" s="23">
        <v>345404.00099999999</v>
      </c>
      <c r="U58" s="23">
        <v>38648.993000000002</v>
      </c>
      <c r="V58" s="23">
        <v>478418.57500000001</v>
      </c>
      <c r="W58" s="23">
        <v>556211.05200000003</v>
      </c>
      <c r="X58" s="23">
        <v>432716.03499999997</v>
      </c>
      <c r="Y58" s="2">
        <v>477081.06900000002</v>
      </c>
      <c r="Z58" s="2">
        <v>511200.02399999998</v>
      </c>
      <c r="AA58" s="2">
        <v>360033.96</v>
      </c>
    </row>
    <row r="59" spans="1:45">
      <c r="A59" s="23" t="s">
        <v>103</v>
      </c>
      <c r="B59" s="37"/>
      <c r="C59" s="37"/>
      <c r="D59" s="37"/>
      <c r="E59" s="37"/>
      <c r="F59" s="77">
        <v>11748.178</v>
      </c>
      <c r="G59" s="37"/>
      <c r="H59" s="37"/>
      <c r="I59" s="37">
        <v>14891.739</v>
      </c>
      <c r="J59" s="37"/>
      <c r="K59" s="37">
        <v>15344.83</v>
      </c>
      <c r="L59" s="37">
        <v>17041.084999999999</v>
      </c>
      <c r="M59" s="37">
        <v>18241.859</v>
      </c>
      <c r="N59" s="37">
        <v>16309.343999999999</v>
      </c>
      <c r="O59" s="37">
        <v>17137.955999999998</v>
      </c>
      <c r="P59" s="37">
        <v>16990.34</v>
      </c>
      <c r="Q59" s="37">
        <v>18093.905999999999</v>
      </c>
      <c r="R59" s="37">
        <v>18621.103999999999</v>
      </c>
      <c r="S59" s="37">
        <v>19738.098000000002</v>
      </c>
      <c r="T59" s="23">
        <v>22221.172999999999</v>
      </c>
      <c r="U59" s="23">
        <v>11981.098</v>
      </c>
      <c r="V59" s="23">
        <v>11341.779</v>
      </c>
      <c r="W59" s="23">
        <v>12124.554</v>
      </c>
      <c r="X59" s="2">
        <v>9180.768</v>
      </c>
      <c r="Y59" s="2">
        <v>8914.0439999999999</v>
      </c>
      <c r="Z59" s="2">
        <v>9765.9110000000001</v>
      </c>
      <c r="AA59" s="2">
        <v>11215.928</v>
      </c>
    </row>
    <row r="60" spans="1:45">
      <c r="A60" s="23" t="s">
        <v>104</v>
      </c>
      <c r="B60" s="37"/>
      <c r="C60" s="37"/>
      <c r="D60" s="37"/>
      <c r="E60" s="37"/>
      <c r="F60" s="77">
        <v>64248.826999999997</v>
      </c>
      <c r="G60" s="37"/>
      <c r="H60" s="37"/>
      <c r="I60" s="37">
        <v>87310.23</v>
      </c>
      <c r="J60" s="37"/>
      <c r="K60" s="37">
        <v>120370.045</v>
      </c>
      <c r="L60" s="37">
        <v>168108.329</v>
      </c>
      <c r="M60" s="37">
        <v>184645.69399999999</v>
      </c>
      <c r="N60" s="37">
        <v>70008.494999999995</v>
      </c>
      <c r="O60" s="37">
        <v>73321.248999999996</v>
      </c>
      <c r="P60" s="37">
        <v>74780.262000000002</v>
      </c>
      <c r="Q60" s="37">
        <v>110091.762</v>
      </c>
      <c r="R60" s="37">
        <v>115550.24</v>
      </c>
      <c r="S60" s="37">
        <v>118806.026</v>
      </c>
      <c r="T60" s="23">
        <v>138188.106</v>
      </c>
      <c r="U60" s="23">
        <v>70910.665999999997</v>
      </c>
      <c r="V60" s="23">
        <v>213374.114</v>
      </c>
      <c r="W60" s="23">
        <v>205484.47200000001</v>
      </c>
      <c r="X60" s="2">
        <v>212780.88699999999</v>
      </c>
      <c r="Y60" s="2">
        <v>88236.539000000004</v>
      </c>
      <c r="Z60" s="2">
        <v>218333.40599999999</v>
      </c>
      <c r="AA60" s="2">
        <v>114456.287</v>
      </c>
    </row>
    <row r="61" spans="1:45">
      <c r="A61" s="23" t="s">
        <v>106</v>
      </c>
      <c r="B61" s="37"/>
      <c r="C61" s="37"/>
      <c r="D61" s="37"/>
      <c r="E61" s="37"/>
      <c r="F61" s="77">
        <v>112969.186</v>
      </c>
      <c r="G61" s="37"/>
      <c r="H61" s="37"/>
      <c r="I61" s="37">
        <v>128485.1</v>
      </c>
      <c r="J61" s="37"/>
      <c r="K61" s="37">
        <v>150496.21400000001</v>
      </c>
      <c r="L61" s="37">
        <v>164153.42800000001</v>
      </c>
      <c r="M61" s="37">
        <v>210622.315</v>
      </c>
      <c r="N61" s="37">
        <v>223232.55600000001</v>
      </c>
      <c r="O61" s="37">
        <v>102558.81299999999</v>
      </c>
      <c r="P61" s="37">
        <v>105887.014</v>
      </c>
      <c r="Q61" s="37">
        <v>119509.73</v>
      </c>
      <c r="R61" s="37">
        <v>124618.05499999999</v>
      </c>
      <c r="S61" s="37">
        <v>140372.74799999999</v>
      </c>
      <c r="T61" s="23">
        <v>175042.78899999999</v>
      </c>
      <c r="U61" s="23">
        <v>155877.96</v>
      </c>
      <c r="V61" s="23">
        <v>236694.193</v>
      </c>
      <c r="W61" s="23">
        <v>246795.052</v>
      </c>
      <c r="X61" s="2">
        <v>226641.541</v>
      </c>
      <c r="Y61" s="2">
        <v>211535.40299999999</v>
      </c>
      <c r="Z61" s="2">
        <v>211385.00700000001</v>
      </c>
      <c r="AA61" s="2">
        <v>216916.24</v>
      </c>
    </row>
    <row r="62" spans="1:45">
      <c r="A62" s="23" t="s">
        <v>110</v>
      </c>
      <c r="B62" s="37"/>
      <c r="C62" s="37"/>
      <c r="D62" s="37"/>
      <c r="E62" s="37"/>
      <c r="F62" s="77">
        <v>81742.524000000005</v>
      </c>
      <c r="G62" s="37"/>
      <c r="H62" s="37"/>
      <c r="I62" s="37">
        <v>102466.772</v>
      </c>
      <c r="J62" s="37"/>
      <c r="K62" s="37">
        <v>133541.035</v>
      </c>
      <c r="L62" s="37">
        <v>130477.446</v>
      </c>
      <c r="M62" s="37">
        <v>110947.124</v>
      </c>
      <c r="N62" s="37">
        <v>49284.961000000003</v>
      </c>
      <c r="O62" s="37">
        <v>39220.027999999998</v>
      </c>
      <c r="P62" s="37">
        <v>39411.885000000002</v>
      </c>
      <c r="Q62" s="37">
        <v>41169.587</v>
      </c>
      <c r="R62" s="37">
        <v>39274.175000000003</v>
      </c>
      <c r="S62" s="37">
        <v>39596.332999999999</v>
      </c>
      <c r="T62" s="23">
        <v>41681.892</v>
      </c>
      <c r="U62" s="23">
        <v>40677.805999999997</v>
      </c>
      <c r="V62" s="23">
        <v>43102.286999999997</v>
      </c>
      <c r="W62" s="23">
        <v>42123.324000000001</v>
      </c>
      <c r="X62" s="2">
        <v>40266.514000000003</v>
      </c>
      <c r="Y62" s="2">
        <v>40910.241999999998</v>
      </c>
      <c r="Z62" s="2">
        <v>44917.955000000002</v>
      </c>
      <c r="AA62" s="2">
        <v>44716.286999999997</v>
      </c>
    </row>
    <row r="63" spans="1:45">
      <c r="A63" s="23" t="s">
        <v>111</v>
      </c>
      <c r="B63" s="37"/>
      <c r="C63" s="37"/>
      <c r="D63" s="37"/>
      <c r="E63" s="37"/>
      <c r="F63" s="77">
        <v>4270.8429999999998</v>
      </c>
      <c r="G63" s="37"/>
      <c r="H63" s="37"/>
      <c r="I63" s="37">
        <v>4167.5119999999997</v>
      </c>
      <c r="J63" s="37"/>
      <c r="K63" s="37">
        <v>5015.2950000000001</v>
      </c>
      <c r="L63" s="37">
        <v>5664.7420000000002</v>
      </c>
      <c r="M63" s="37">
        <v>6304.3850000000002</v>
      </c>
      <c r="N63" s="37">
        <v>6643.9279999999999</v>
      </c>
      <c r="O63" s="37">
        <v>7250.6130000000003</v>
      </c>
      <c r="P63" s="37">
        <v>6703.5829999999996</v>
      </c>
      <c r="Q63" s="37">
        <v>6073.7830000000004</v>
      </c>
      <c r="R63" s="37">
        <v>5812.4859999999999</v>
      </c>
      <c r="S63" s="37">
        <v>6134.4350000000004</v>
      </c>
      <c r="T63" s="23">
        <v>7980.4189999999999</v>
      </c>
      <c r="U63" s="23">
        <v>7617.3860000000004</v>
      </c>
      <c r="V63" s="23">
        <v>8800.4349999999995</v>
      </c>
      <c r="W63" s="23">
        <v>9838.0580000000009</v>
      </c>
      <c r="X63" s="2">
        <v>11410.576999999999</v>
      </c>
      <c r="Y63" s="2">
        <v>11682.379000000001</v>
      </c>
      <c r="Z63" s="2">
        <v>11166.282999999999</v>
      </c>
      <c r="AA63" s="2">
        <v>11322.915999999999</v>
      </c>
    </row>
    <row r="64" spans="1:45">
      <c r="A64" s="45" t="s">
        <v>114</v>
      </c>
      <c r="B64" s="63"/>
      <c r="C64" s="63"/>
      <c r="D64" s="63"/>
      <c r="E64" s="63"/>
      <c r="F64" s="82">
        <v>20180.576000000001</v>
      </c>
      <c r="G64" s="63"/>
      <c r="H64" s="63"/>
      <c r="I64" s="63">
        <v>21896.127</v>
      </c>
      <c r="J64" s="63"/>
      <c r="K64" s="63">
        <v>23600.474999999999</v>
      </c>
      <c r="L64" s="63">
        <v>29587.197</v>
      </c>
      <c r="M64" s="63">
        <v>32258.05</v>
      </c>
      <c r="N64" s="63">
        <v>34044.548999999999</v>
      </c>
      <c r="O64" s="63">
        <v>28277.985000000001</v>
      </c>
      <c r="P64" s="63">
        <v>36324.095000000001</v>
      </c>
      <c r="Q64" s="63">
        <v>38229.038</v>
      </c>
      <c r="R64" s="63">
        <v>43467.550999999999</v>
      </c>
      <c r="S64" s="63">
        <v>41600.750999999997</v>
      </c>
      <c r="T64" s="45">
        <v>43944.930999999997</v>
      </c>
      <c r="U64" s="45">
        <v>39640.565000000002</v>
      </c>
      <c r="V64" s="45">
        <v>56546.906999999999</v>
      </c>
      <c r="W64" s="45">
        <v>68162.516000000003</v>
      </c>
      <c r="X64" s="45">
        <v>71705.478000000003</v>
      </c>
      <c r="Y64" s="45">
        <v>68018.736999999994</v>
      </c>
      <c r="Z64" s="45">
        <v>71857.926999999996</v>
      </c>
      <c r="AA64" s="45">
        <v>70835.985000000001</v>
      </c>
    </row>
    <row r="65" spans="1:45">
      <c r="A65" s="88" t="s">
        <v>90</v>
      </c>
      <c r="B65" s="84"/>
      <c r="C65" s="84"/>
      <c r="D65" s="84"/>
      <c r="E65" s="84"/>
      <c r="F65" s="85">
        <v>6984.8029999999999</v>
      </c>
      <c r="G65" s="84"/>
      <c r="H65" s="84"/>
      <c r="I65" s="86">
        <v>10109.201999999999</v>
      </c>
      <c r="J65" s="86"/>
      <c r="K65" s="86">
        <v>11342.840199999999</v>
      </c>
      <c r="L65" s="86">
        <v>5068.4250000000002</v>
      </c>
      <c r="M65" s="86">
        <v>4870.0519999999997</v>
      </c>
      <c r="N65" s="86">
        <v>6626.4</v>
      </c>
      <c r="O65" s="86">
        <v>5113.03</v>
      </c>
      <c r="P65" s="86">
        <v>8247.6509999999998</v>
      </c>
      <c r="Q65" s="86">
        <v>2898.8510000000001</v>
      </c>
      <c r="R65" s="86">
        <v>2918.8029999999999</v>
      </c>
      <c r="S65" s="86">
        <v>3717.27</v>
      </c>
      <c r="T65" s="87">
        <v>3375.1889999999999</v>
      </c>
      <c r="U65" s="87">
        <v>3689.317</v>
      </c>
      <c r="V65" s="87">
        <v>4342</v>
      </c>
      <c r="W65" s="87">
        <v>4396.7139999999999</v>
      </c>
      <c r="X65" s="45">
        <v>4559.9790000000003</v>
      </c>
      <c r="Y65" s="45">
        <v>3229.779</v>
      </c>
      <c r="Z65" s="45">
        <v>2758.9059999999999</v>
      </c>
      <c r="AA65" s="45">
        <v>2371.6</v>
      </c>
      <c r="AB65" s="23"/>
      <c r="AC65" s="23"/>
      <c r="AD65" s="23"/>
      <c r="AE65" s="23"/>
      <c r="AF65" s="23"/>
      <c r="AG65" s="23"/>
      <c r="AH65" s="23"/>
      <c r="AI65" s="23"/>
      <c r="AJ65" s="23"/>
      <c r="AK65" s="23"/>
      <c r="AL65" s="23"/>
      <c r="AM65" s="23"/>
      <c r="AN65" s="23"/>
      <c r="AO65" s="23"/>
      <c r="AP65" s="23"/>
      <c r="AQ65" s="23"/>
      <c r="AR65" s="23"/>
      <c r="AS65" s="23"/>
    </row>
    <row r="66" spans="1:45">
      <c r="F66" s="27"/>
    </row>
    <row r="67" spans="1:45">
      <c r="I67" s="34" t="s">
        <v>78</v>
      </c>
      <c r="J67" s="34" t="s">
        <v>76</v>
      </c>
      <c r="K67" s="34"/>
      <c r="L67" s="34" t="s">
        <v>69</v>
      </c>
      <c r="M67" s="34"/>
      <c r="N67" s="34"/>
      <c r="O67" s="34" t="s">
        <v>78</v>
      </c>
      <c r="P67" s="34" t="s">
        <v>78</v>
      </c>
      <c r="Q67" s="34" t="s">
        <v>78</v>
      </c>
      <c r="R67" s="34" t="s">
        <v>78</v>
      </c>
      <c r="S67" s="34"/>
      <c r="T67" s="34"/>
      <c r="U67" s="34"/>
      <c r="V67" s="34"/>
      <c r="W67" s="34"/>
    </row>
    <row r="68" spans="1:45">
      <c r="I68" s="14" t="s">
        <v>79</v>
      </c>
      <c r="J68" s="14" t="s">
        <v>72</v>
      </c>
      <c r="L68" s="14" t="s">
        <v>70</v>
      </c>
      <c r="O68" s="14" t="s">
        <v>79</v>
      </c>
      <c r="P68" s="14" t="s">
        <v>79</v>
      </c>
      <c r="Q68" s="14" t="s">
        <v>79</v>
      </c>
      <c r="R68" s="14" t="s">
        <v>79</v>
      </c>
    </row>
    <row r="69" spans="1:45">
      <c r="I69" s="14" t="s">
        <v>80</v>
      </c>
      <c r="J69" s="14" t="s">
        <v>73</v>
      </c>
      <c r="O69" s="14" t="s">
        <v>80</v>
      </c>
      <c r="P69" s="14" t="s">
        <v>80</v>
      </c>
      <c r="Q69" s="14" t="s">
        <v>80</v>
      </c>
      <c r="R69" s="14" t="s">
        <v>80</v>
      </c>
    </row>
    <row r="70" spans="1:45">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5</vt:i4>
      </vt:variant>
    </vt:vector>
  </HeadingPairs>
  <TitlesOfParts>
    <vt:vector size="29" baseType="lpstr">
      <vt:lpstr>TABLE 97 (98)</vt:lpstr>
      <vt:lpstr>TABLE 98 (99)</vt:lpstr>
      <vt:lpstr>T E&amp;G 4YR</vt:lpstr>
      <vt:lpstr>T E&amp;G 2YR</vt:lpstr>
      <vt:lpstr>Instruction-4YR</vt:lpstr>
      <vt:lpstr>INSTRUCTION-2YR</vt:lpstr>
      <vt:lpstr>RESEARCH 4yr</vt:lpstr>
      <vt:lpstr>RESEARCH 2yr</vt:lpstr>
      <vt:lpstr>PUBLIC SERVICE 4yr</vt:lpstr>
      <vt:lpstr>PUBLIC SERVICE 2yr</vt:lpstr>
      <vt:lpstr>ASptISptSSv 4yr</vt:lpstr>
      <vt:lpstr>ASptISptSSv 2yr</vt:lpstr>
      <vt:lpstr>ACADEMIC SUPP 4yr</vt:lpstr>
      <vt:lpstr>ACADEMIC SUPP 2yr</vt:lpstr>
      <vt:lpstr>STU SERVICES 4yr</vt:lpstr>
      <vt:lpstr>STU SERVICES 2yr</vt:lpstr>
      <vt:lpstr>INST SUPPORT 4yr</vt:lpstr>
      <vt:lpstr>INST SUPPORT 2yr</vt:lpstr>
      <vt:lpstr>SCHOLAR FELLOW 4yr</vt:lpstr>
      <vt:lpstr>SCHOLAR FELLOW 2yr</vt:lpstr>
      <vt:lpstr>All Other 4yr</vt:lpstr>
      <vt:lpstr>All Other 2yr</vt:lpstr>
      <vt:lpstr>PLANT OPER MAIN 4yr</vt:lpstr>
      <vt:lpstr>PLANT OPER MAIN 2yr</vt:lpstr>
      <vt:lpstr>DATA</vt:lpstr>
      <vt:lpstr>'TABLE 97 (98)'!Print_Area</vt:lpstr>
      <vt:lpstr>'TABLE 98 (99)'!Print_Area</vt:lpstr>
      <vt:lpstr>T_80</vt:lpstr>
      <vt:lpstr>T_81</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jmarks</dc:creator>
  <cp:lastModifiedBy>Christiana Datubo-Brown</cp:lastModifiedBy>
  <cp:lastPrinted>2013-05-06T15:10:53Z</cp:lastPrinted>
  <dcterms:created xsi:type="dcterms:W3CDTF">1999-02-08T20:50:59Z</dcterms:created>
  <dcterms:modified xsi:type="dcterms:W3CDTF">2017-11-03T23:34:58Z</dcterms:modified>
</cp:coreProperties>
</file>