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hidePivotFieldList="1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18A353F6-BA44-4A99-9E4E-FB5F532926E4}" xr6:coauthVersionLast="36" xr6:coauthVersionMax="36" xr10:uidLastSave="{00000000-0000-0000-0000-000000000000}"/>
  <bookViews>
    <workbookView xWindow="150" yWindow="60" windowWidth="13770" windowHeight="12855" activeTab="1" xr2:uid="{00000000-000D-0000-FFFF-FFFF00000000}"/>
  </bookViews>
  <sheets>
    <sheet name="Table 2" sheetId="23" r:id="rId1"/>
    <sheet name="Table 7" sheetId="10" r:id="rId2"/>
    <sheet name="Pop 25+ by race &amp; gender" sheetId="19" r:id="rId3"/>
    <sheet name="Attainment 25+ by race &amp; gender" sheetId="9" r:id="rId4"/>
    <sheet name="Attainment by Race Trends" sheetId="31" r:id="rId5"/>
    <sheet name="Historical Attainment Rates" sheetId="24" r:id="rId6"/>
    <sheet name="Sheet1" sheetId="32" r:id="rId7"/>
  </sheets>
  <definedNames>
    <definedName name="_xlnm.Print_Area" localSheetId="0">'Table 2'!$A$1:$J$69</definedName>
    <definedName name="_xlnm.Print_Area" localSheetId="1">'Table 7'!$A$1:$N$71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65" i="31" l="1"/>
  <c r="BE64" i="31"/>
  <c r="BE63" i="31"/>
  <c r="BE62" i="31"/>
  <c r="BE61" i="31"/>
  <c r="BE60" i="31"/>
  <c r="BE59" i="31"/>
  <c r="BE58" i="31"/>
  <c r="BE57" i="31"/>
  <c r="BE56" i="31"/>
  <c r="BE53" i="31"/>
  <c r="BE52" i="31"/>
  <c r="BE51" i="31"/>
  <c r="BE50" i="31"/>
  <c r="BE49" i="31"/>
  <c r="BE48" i="31"/>
  <c r="BE47" i="31"/>
  <c r="BE46" i="31"/>
  <c r="BE45" i="31"/>
  <c r="BE44" i="31"/>
  <c r="BE43" i="31"/>
  <c r="BE42" i="31"/>
  <c r="BE39" i="31"/>
  <c r="BE38" i="31"/>
  <c r="BE37" i="31"/>
  <c r="BE36" i="31"/>
  <c r="BE35" i="31"/>
  <c r="BE34" i="31"/>
  <c r="BE33" i="31"/>
  <c r="BE32" i="31"/>
  <c r="BE31" i="31"/>
  <c r="BE30" i="31"/>
  <c r="BE29" i="31"/>
  <c r="BE28" i="31"/>
  <c r="BE27" i="31"/>
  <c r="BE24" i="31"/>
  <c r="BE23" i="31"/>
  <c r="BE22" i="31"/>
  <c r="BE21" i="31"/>
  <c r="BE20" i="31"/>
  <c r="BE19" i="31"/>
  <c r="BE18" i="31"/>
  <c r="BE17" i="31"/>
  <c r="BE16" i="31"/>
  <c r="BE15" i="31"/>
  <c r="BE14" i="31"/>
  <c r="BE13" i="31"/>
  <c r="BE12" i="31"/>
  <c r="BE11" i="31"/>
  <c r="BE10" i="31"/>
  <c r="BE9" i="31"/>
  <c r="BA65" i="31" l="1"/>
  <c r="BA64" i="31"/>
  <c r="BA63" i="31"/>
  <c r="BA62" i="31"/>
  <c r="BA61" i="31"/>
  <c r="BA60" i="31"/>
  <c r="BA59" i="31"/>
  <c r="BA58" i="31"/>
  <c r="BA57" i="31"/>
  <c r="BA56" i="31"/>
  <c r="BA53" i="31"/>
  <c r="D54" i="10" s="1"/>
  <c r="BA52" i="31"/>
  <c r="BA51" i="31"/>
  <c r="BA50" i="31"/>
  <c r="J51" i="10" s="1"/>
  <c r="BA49" i="31"/>
  <c r="BA48" i="31"/>
  <c r="BA47" i="31"/>
  <c r="BA46" i="31"/>
  <c r="BA45" i="31"/>
  <c r="D46" i="10" s="1"/>
  <c r="BA44" i="31"/>
  <c r="BA43" i="31"/>
  <c r="BA42" i="31"/>
  <c r="BA39" i="31"/>
  <c r="J40" i="10" s="1"/>
  <c r="BA38" i="31"/>
  <c r="BA37" i="31"/>
  <c r="BA36" i="31"/>
  <c r="D37" i="10" s="1"/>
  <c r="BA35" i="31"/>
  <c r="BA34" i="31"/>
  <c r="BA33" i="31"/>
  <c r="J34" i="10" s="1"/>
  <c r="BA32" i="31"/>
  <c r="J33" i="10" s="1"/>
  <c r="BA31" i="31"/>
  <c r="BA30" i="31"/>
  <c r="BA29" i="31"/>
  <c r="BA28" i="31"/>
  <c r="D29" i="10" s="1"/>
  <c r="BA27" i="31"/>
  <c r="BA24" i="31"/>
  <c r="BA23" i="31"/>
  <c r="BA22" i="31"/>
  <c r="BA21" i="31"/>
  <c r="BA20" i="31"/>
  <c r="BA19" i="31"/>
  <c r="D20" i="10" s="1"/>
  <c r="BA18" i="31"/>
  <c r="BA17" i="31"/>
  <c r="BA16" i="31"/>
  <c r="BA15" i="31"/>
  <c r="BA14" i="31"/>
  <c r="BA13" i="31"/>
  <c r="BA12" i="31"/>
  <c r="BA11" i="31"/>
  <c r="D12" i="10" s="1"/>
  <c r="BA10" i="31"/>
  <c r="BA9" i="31"/>
  <c r="F66" i="10"/>
  <c r="F65" i="10"/>
  <c r="F64" i="10"/>
  <c r="F63" i="10"/>
  <c r="F62" i="10"/>
  <c r="F61" i="10"/>
  <c r="F60" i="10"/>
  <c r="F59" i="10"/>
  <c r="F58" i="10"/>
  <c r="F57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D66" i="10"/>
  <c r="D65" i="10"/>
  <c r="D64" i="10"/>
  <c r="D63" i="10"/>
  <c r="D62" i="10"/>
  <c r="D61" i="10"/>
  <c r="D60" i="10"/>
  <c r="D59" i="10"/>
  <c r="D58" i="10"/>
  <c r="D57" i="10"/>
  <c r="D53" i="10"/>
  <c r="D52" i="10"/>
  <c r="D51" i="10"/>
  <c r="D50" i="10"/>
  <c r="D49" i="10"/>
  <c r="D48" i="10"/>
  <c r="D47" i="10"/>
  <c r="D45" i="10"/>
  <c r="D44" i="10"/>
  <c r="D43" i="10"/>
  <c r="D40" i="10"/>
  <c r="D39" i="10"/>
  <c r="D38" i="10"/>
  <c r="D36" i="10"/>
  <c r="D35" i="10"/>
  <c r="D34" i="10"/>
  <c r="D33" i="10"/>
  <c r="D32" i="10"/>
  <c r="D31" i="10"/>
  <c r="D30" i="10"/>
  <c r="D28" i="10"/>
  <c r="D25" i="10"/>
  <c r="D24" i="10"/>
  <c r="D23" i="10"/>
  <c r="D22" i="10"/>
  <c r="D21" i="10"/>
  <c r="D19" i="10"/>
  <c r="D18" i="10"/>
  <c r="D17" i="10"/>
  <c r="D16" i="10"/>
  <c r="D15" i="10"/>
  <c r="D14" i="10"/>
  <c r="D13" i="10"/>
  <c r="D11" i="10"/>
  <c r="D10" i="10"/>
  <c r="I65" i="23"/>
  <c r="I64" i="23"/>
  <c r="I63" i="23"/>
  <c r="I62" i="23"/>
  <c r="I61" i="23"/>
  <c r="I60" i="23"/>
  <c r="I59" i="23"/>
  <c r="I58" i="23"/>
  <c r="I57" i="23"/>
  <c r="I56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H65" i="23"/>
  <c r="H64" i="23"/>
  <c r="H63" i="23"/>
  <c r="H62" i="23"/>
  <c r="H61" i="23"/>
  <c r="H60" i="23"/>
  <c r="H59" i="23"/>
  <c r="H58" i="23"/>
  <c r="H57" i="23"/>
  <c r="H56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E65" i="23"/>
  <c r="E64" i="23"/>
  <c r="E63" i="23"/>
  <c r="E62" i="23"/>
  <c r="E61" i="23"/>
  <c r="E60" i="23"/>
  <c r="E59" i="23"/>
  <c r="E58" i="23"/>
  <c r="E57" i="23"/>
  <c r="E56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D65" i="23"/>
  <c r="D64" i="23"/>
  <c r="D63" i="23"/>
  <c r="D62" i="23"/>
  <c r="D61" i="23"/>
  <c r="D60" i="23"/>
  <c r="D59" i="23"/>
  <c r="D58" i="23"/>
  <c r="D57" i="23"/>
  <c r="D56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J18" i="10" l="1"/>
  <c r="J12" i="10"/>
  <c r="J20" i="10"/>
  <c r="J37" i="10"/>
  <c r="J14" i="10"/>
  <c r="J22" i="10"/>
  <c r="J31" i="10"/>
  <c r="J49" i="10"/>
  <c r="J59" i="10"/>
  <c r="J17" i="10"/>
  <c r="J43" i="10"/>
  <c r="J52" i="10"/>
  <c r="J19" i="10"/>
  <c r="J28" i="10"/>
  <c r="AZ32" i="31"/>
  <c r="AZ33" i="31"/>
  <c r="AZ39" i="31"/>
  <c r="BB50" i="31"/>
  <c r="K51" i="10" s="1"/>
  <c r="BB57" i="31"/>
  <c r="K58" i="10" s="1"/>
  <c r="AZ50" i="31"/>
  <c r="AZ52" i="31"/>
  <c r="J53" i="10" s="1"/>
  <c r="AZ57" i="31"/>
  <c r="J58" i="10" s="1"/>
  <c r="AZ59" i="31"/>
  <c r="J60" i="10" s="1"/>
  <c r="AZ64" i="31"/>
  <c r="J65" i="10" s="1"/>
  <c r="BB64" i="31"/>
  <c r="K65" i="10" s="1"/>
  <c r="BG64" i="31"/>
  <c r="G65" i="10" s="1"/>
  <c r="BH64" i="31"/>
  <c r="N65" i="10" s="1"/>
  <c r="BH57" i="31"/>
  <c r="N58" i="10" s="1"/>
  <c r="BF64" i="31"/>
  <c r="M65" i="10" s="1"/>
  <c r="BF59" i="31"/>
  <c r="M60" i="10" s="1"/>
  <c r="BF57" i="31"/>
  <c r="M58" i="10" s="1"/>
  <c r="BH50" i="31"/>
  <c r="N51" i="10" s="1"/>
  <c r="BG50" i="31"/>
  <c r="G51" i="10" s="1"/>
  <c r="BF52" i="31"/>
  <c r="M53" i="10" s="1"/>
  <c r="BF50" i="31"/>
  <c r="M51" i="10" s="1"/>
  <c r="BF39" i="31"/>
  <c r="BF33" i="31"/>
  <c r="BF32" i="31"/>
  <c r="BG65" i="31"/>
  <c r="BG63" i="31"/>
  <c r="BG62" i="31"/>
  <c r="BG61" i="31"/>
  <c r="BG60" i="31"/>
  <c r="BG59" i="31"/>
  <c r="G60" i="10" s="1"/>
  <c r="BG58" i="31"/>
  <c r="BG57" i="31"/>
  <c r="G58" i="10" s="1"/>
  <c r="BG56" i="31"/>
  <c r="BG53" i="31"/>
  <c r="BG52" i="31"/>
  <c r="G53" i="10" s="1"/>
  <c r="BG51" i="31"/>
  <c r="BG49" i="31"/>
  <c r="BG48" i="31"/>
  <c r="BG47" i="31"/>
  <c r="BG46" i="31"/>
  <c r="BG45" i="31"/>
  <c r="BG44" i="31"/>
  <c r="BG43" i="31"/>
  <c r="BG42" i="31"/>
  <c r="BG39" i="31"/>
  <c r="BG38" i="31"/>
  <c r="BG37" i="31"/>
  <c r="BG36" i="31"/>
  <c r="BG35" i="31"/>
  <c r="BG34" i="31"/>
  <c r="BG33" i="31"/>
  <c r="BG32" i="31"/>
  <c r="BG31" i="31"/>
  <c r="BG30" i="31"/>
  <c r="BG29" i="31"/>
  <c r="BG28" i="31"/>
  <c r="BG27" i="31"/>
  <c r="BG24" i="31"/>
  <c r="BG23" i="31"/>
  <c r="BG22" i="31"/>
  <c r="BG21" i="31"/>
  <c r="BG20" i="31"/>
  <c r="BG19" i="31"/>
  <c r="BG18" i="31"/>
  <c r="BG17" i="31"/>
  <c r="BG16" i="31"/>
  <c r="BG15" i="31"/>
  <c r="BG14" i="31"/>
  <c r="BG13" i="31"/>
  <c r="BG12" i="31"/>
  <c r="BG11" i="31"/>
  <c r="BG10" i="31"/>
  <c r="BG9" i="31"/>
  <c r="BF65" i="31"/>
  <c r="BF63" i="31"/>
  <c r="BF62" i="31"/>
  <c r="BF61" i="31"/>
  <c r="BF60" i="31"/>
  <c r="BF58" i="31"/>
  <c r="BF56" i="31"/>
  <c r="BF53" i="31"/>
  <c r="BF51" i="31"/>
  <c r="BF49" i="31"/>
  <c r="BF48" i="31"/>
  <c r="BF47" i="31"/>
  <c r="BF46" i="31"/>
  <c r="BF45" i="31"/>
  <c r="BF44" i="31"/>
  <c r="BF43" i="31"/>
  <c r="BF42" i="31"/>
  <c r="BF38" i="31"/>
  <c r="BF37" i="31"/>
  <c r="BF36" i="31"/>
  <c r="BF35" i="31"/>
  <c r="BF34" i="31"/>
  <c r="BF31" i="31"/>
  <c r="BF30" i="31"/>
  <c r="BF29" i="31"/>
  <c r="BF28" i="31"/>
  <c r="BF27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D65" i="31"/>
  <c r="L66" i="10" s="1"/>
  <c r="BD64" i="31"/>
  <c r="L65" i="10" s="1"/>
  <c r="BD63" i="31"/>
  <c r="L64" i="10" s="1"/>
  <c r="BD62" i="31"/>
  <c r="L63" i="10" s="1"/>
  <c r="BD61" i="31"/>
  <c r="L62" i="10" s="1"/>
  <c r="BD60" i="31"/>
  <c r="L61" i="10" s="1"/>
  <c r="BD59" i="31"/>
  <c r="L60" i="10" s="1"/>
  <c r="BD58" i="31"/>
  <c r="L59" i="10" s="1"/>
  <c r="BD57" i="31"/>
  <c r="L58" i="10" s="1"/>
  <c r="BD56" i="31"/>
  <c r="L57" i="10" s="1"/>
  <c r="BD53" i="31"/>
  <c r="L54" i="10" s="1"/>
  <c r="BD52" i="31"/>
  <c r="L53" i="10" s="1"/>
  <c r="BD51" i="31"/>
  <c r="L52" i="10" s="1"/>
  <c r="BD50" i="31"/>
  <c r="L51" i="10" s="1"/>
  <c r="BD49" i="31"/>
  <c r="L50" i="10" s="1"/>
  <c r="BD48" i="31"/>
  <c r="L49" i="10" s="1"/>
  <c r="BD47" i="31"/>
  <c r="L48" i="10" s="1"/>
  <c r="BD46" i="31"/>
  <c r="L47" i="10" s="1"/>
  <c r="BD45" i="31"/>
  <c r="L46" i="10" s="1"/>
  <c r="BD44" i="31"/>
  <c r="L45" i="10" s="1"/>
  <c r="BD43" i="31"/>
  <c r="L44" i="10" s="1"/>
  <c r="BD42" i="31"/>
  <c r="L43" i="10" s="1"/>
  <c r="BD39" i="31"/>
  <c r="L40" i="10" s="1"/>
  <c r="BD38" i="31"/>
  <c r="L39" i="10" s="1"/>
  <c r="BD37" i="31"/>
  <c r="L38" i="10" s="1"/>
  <c r="BD36" i="31"/>
  <c r="L37" i="10" s="1"/>
  <c r="BD35" i="31"/>
  <c r="L36" i="10" s="1"/>
  <c r="BD34" i="31"/>
  <c r="L35" i="10" s="1"/>
  <c r="BD33" i="31"/>
  <c r="L34" i="10" s="1"/>
  <c r="BD32" i="31"/>
  <c r="L33" i="10" s="1"/>
  <c r="BD31" i="31"/>
  <c r="L32" i="10" s="1"/>
  <c r="BD30" i="31"/>
  <c r="L31" i="10" s="1"/>
  <c r="BD29" i="31"/>
  <c r="L30" i="10" s="1"/>
  <c r="BD28" i="31"/>
  <c r="L29" i="10" s="1"/>
  <c r="BD27" i="31"/>
  <c r="L28" i="10" s="1"/>
  <c r="BD24" i="31"/>
  <c r="L25" i="10" s="1"/>
  <c r="BD23" i="31"/>
  <c r="L24" i="10" s="1"/>
  <c r="BD22" i="31"/>
  <c r="L23" i="10" s="1"/>
  <c r="BD21" i="31"/>
  <c r="L22" i="10" s="1"/>
  <c r="BD20" i="31"/>
  <c r="L21" i="10" s="1"/>
  <c r="BD19" i="31"/>
  <c r="L20" i="10" s="1"/>
  <c r="BD18" i="31"/>
  <c r="L19" i="10" s="1"/>
  <c r="BD17" i="31"/>
  <c r="L18" i="10" s="1"/>
  <c r="BD16" i="31"/>
  <c r="L17" i="10" s="1"/>
  <c r="BD15" i="31"/>
  <c r="L16" i="10" s="1"/>
  <c r="BD14" i="31"/>
  <c r="L15" i="10" s="1"/>
  <c r="BD13" i="31"/>
  <c r="L14" i="10" s="1"/>
  <c r="BD12" i="31"/>
  <c r="L13" i="10" s="1"/>
  <c r="BD11" i="31"/>
  <c r="L12" i="10" s="1"/>
  <c r="BD10" i="31"/>
  <c r="L11" i="10" s="1"/>
  <c r="BD9" i="31"/>
  <c r="L10" i="10" s="1"/>
  <c r="BI65" i="31"/>
  <c r="BI64" i="31"/>
  <c r="H65" i="10" s="1"/>
  <c r="BI63" i="31"/>
  <c r="BI62" i="31"/>
  <c r="BI61" i="31"/>
  <c r="BI60" i="31"/>
  <c r="BI59" i="31"/>
  <c r="BI58" i="31"/>
  <c r="BI57" i="31"/>
  <c r="H58" i="10" s="1"/>
  <c r="BI56" i="31"/>
  <c r="BI54" i="31"/>
  <c r="BI53" i="31"/>
  <c r="BI52" i="31"/>
  <c r="BI51" i="31"/>
  <c r="BI50" i="31"/>
  <c r="H51" i="10" s="1"/>
  <c r="BI49" i="31"/>
  <c r="BI48" i="31"/>
  <c r="BI47" i="31"/>
  <c r="BI46" i="31"/>
  <c r="BI45" i="31"/>
  <c r="BI44" i="31"/>
  <c r="BI43" i="31"/>
  <c r="BI42" i="31"/>
  <c r="BI39" i="31"/>
  <c r="BI38" i="31"/>
  <c r="BI37" i="31"/>
  <c r="BI36" i="31"/>
  <c r="BI35" i="31"/>
  <c r="BI34" i="31"/>
  <c r="BI33" i="31"/>
  <c r="BI32" i="31"/>
  <c r="BI31" i="31"/>
  <c r="BI30" i="31"/>
  <c r="BI29" i="31"/>
  <c r="BI28" i="31"/>
  <c r="BI27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H65" i="31"/>
  <c r="BH63" i="31"/>
  <c r="BH62" i="31"/>
  <c r="BH61" i="31"/>
  <c r="BH60" i="31"/>
  <c r="BH59" i="31"/>
  <c r="BH58" i="31"/>
  <c r="BH56" i="31"/>
  <c r="BH53" i="31"/>
  <c r="BH52" i="31"/>
  <c r="BH51" i="31"/>
  <c r="BH49" i="31"/>
  <c r="BH48" i="31"/>
  <c r="BH47" i="31"/>
  <c r="BH46" i="31"/>
  <c r="BH45" i="31"/>
  <c r="BH44" i="31"/>
  <c r="BH43" i="31"/>
  <c r="BH42" i="31"/>
  <c r="BH39" i="31"/>
  <c r="BH38" i="31"/>
  <c r="BH37" i="31"/>
  <c r="BH36" i="31"/>
  <c r="BH35" i="31"/>
  <c r="BH34" i="31"/>
  <c r="BH33" i="31"/>
  <c r="BH32" i="31"/>
  <c r="BH31" i="31"/>
  <c r="BH30" i="31"/>
  <c r="BH29" i="31"/>
  <c r="BH28" i="31"/>
  <c r="BH27" i="31"/>
  <c r="BH24" i="31"/>
  <c r="BH23" i="31"/>
  <c r="BH22" i="31"/>
  <c r="BH21" i="31"/>
  <c r="BH20" i="31"/>
  <c r="BH19" i="31"/>
  <c r="BH18" i="31"/>
  <c r="BH17" i="31"/>
  <c r="BH16" i="31"/>
  <c r="BH15" i="31"/>
  <c r="BH14" i="31"/>
  <c r="BH13" i="31"/>
  <c r="BH12" i="31"/>
  <c r="BH11" i="31"/>
  <c r="BH10" i="31"/>
  <c r="BH9" i="31"/>
  <c r="BC65" i="31"/>
  <c r="BC64" i="31"/>
  <c r="E65" i="10" s="1"/>
  <c r="BC63" i="31"/>
  <c r="BC62" i="31"/>
  <c r="BC61" i="31"/>
  <c r="BC60" i="31"/>
  <c r="BC59" i="31"/>
  <c r="BC58" i="31"/>
  <c r="BC57" i="31"/>
  <c r="E58" i="10" s="1"/>
  <c r="BC56" i="31"/>
  <c r="BC53" i="31"/>
  <c r="BC52" i="31"/>
  <c r="BC51" i="31"/>
  <c r="BC50" i="31"/>
  <c r="E51" i="10" s="1"/>
  <c r="BC49" i="31"/>
  <c r="BC48" i="31"/>
  <c r="BC47" i="31"/>
  <c r="BC46" i="31"/>
  <c r="BC45" i="31"/>
  <c r="BC44" i="31"/>
  <c r="BC43" i="31"/>
  <c r="BC42" i="31"/>
  <c r="BC39" i="31"/>
  <c r="BC38" i="31"/>
  <c r="BC37" i="31"/>
  <c r="BC36" i="31"/>
  <c r="BC35" i="31"/>
  <c r="BC34" i="31"/>
  <c r="BC33" i="31"/>
  <c r="BC32" i="31"/>
  <c r="BC31" i="31"/>
  <c r="BC30" i="31"/>
  <c r="BC29" i="31"/>
  <c r="BC28" i="31"/>
  <c r="BC27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B65" i="31"/>
  <c r="BB63" i="31"/>
  <c r="BB62" i="31"/>
  <c r="BB61" i="31"/>
  <c r="BB60" i="31"/>
  <c r="BB59" i="31"/>
  <c r="BB58" i="31"/>
  <c r="BB56" i="31"/>
  <c r="BB53" i="31"/>
  <c r="BB52" i="31"/>
  <c r="BB51" i="31"/>
  <c r="BB49" i="31"/>
  <c r="BB48" i="31"/>
  <c r="BB47" i="31"/>
  <c r="BB46" i="31"/>
  <c r="BB45" i="31"/>
  <c r="BB44" i="31"/>
  <c r="BB43" i="31"/>
  <c r="BB42" i="31"/>
  <c r="BB39" i="31"/>
  <c r="BB38" i="31"/>
  <c r="BB37" i="31"/>
  <c r="BB36" i="31"/>
  <c r="BB35" i="31"/>
  <c r="BB34" i="31"/>
  <c r="BB33" i="31"/>
  <c r="BB32" i="31"/>
  <c r="BB31" i="31"/>
  <c r="BB30" i="31"/>
  <c r="BB29" i="31"/>
  <c r="BB28" i="31"/>
  <c r="BB27" i="31"/>
  <c r="BB24" i="31"/>
  <c r="BB23" i="31"/>
  <c r="BB22" i="31"/>
  <c r="BB21" i="31"/>
  <c r="BB20" i="31"/>
  <c r="BB19" i="31"/>
  <c r="BB18" i="31"/>
  <c r="BB17" i="31"/>
  <c r="BB16" i="31"/>
  <c r="BB15" i="31"/>
  <c r="BB14" i="31"/>
  <c r="BB13" i="31"/>
  <c r="BB12" i="31"/>
  <c r="BB11" i="31"/>
  <c r="BB10" i="31"/>
  <c r="BB9" i="31"/>
  <c r="AZ65" i="31"/>
  <c r="J66" i="10" s="1"/>
  <c r="AZ63" i="31"/>
  <c r="J64" i="10" s="1"/>
  <c r="AZ62" i="31"/>
  <c r="J63" i="10" s="1"/>
  <c r="AZ61" i="31"/>
  <c r="J62" i="10" s="1"/>
  <c r="AZ60" i="31"/>
  <c r="J61" i="10" s="1"/>
  <c r="AZ58" i="31"/>
  <c r="AZ56" i="31"/>
  <c r="J57" i="10" s="1"/>
  <c r="AZ53" i="31"/>
  <c r="J54" i="10" s="1"/>
  <c r="AZ51" i="31"/>
  <c r="AZ49" i="31"/>
  <c r="J50" i="10" s="1"/>
  <c r="AZ48" i="31"/>
  <c r="AZ47" i="31"/>
  <c r="J48" i="10" s="1"/>
  <c r="AZ46" i="31"/>
  <c r="J47" i="10" s="1"/>
  <c r="AZ45" i="31"/>
  <c r="J46" i="10" s="1"/>
  <c r="AZ44" i="31"/>
  <c r="J45" i="10" s="1"/>
  <c r="AZ43" i="31"/>
  <c r="J44" i="10" s="1"/>
  <c r="AZ42" i="31"/>
  <c r="AZ38" i="31"/>
  <c r="J39" i="10" s="1"/>
  <c r="AZ37" i="31"/>
  <c r="J38" i="10" s="1"/>
  <c r="AZ36" i="31"/>
  <c r="AZ35" i="31"/>
  <c r="J36" i="10" s="1"/>
  <c r="AZ34" i="31"/>
  <c r="J35" i="10" s="1"/>
  <c r="AZ31" i="31"/>
  <c r="J32" i="10" s="1"/>
  <c r="AZ30" i="31"/>
  <c r="AZ29" i="31"/>
  <c r="J30" i="10" s="1"/>
  <c r="AZ28" i="31"/>
  <c r="J29" i="10" s="1"/>
  <c r="AZ27" i="31"/>
  <c r="AZ24" i="31"/>
  <c r="J25" i="10" s="1"/>
  <c r="AZ23" i="31"/>
  <c r="J24" i="10" s="1"/>
  <c r="AZ22" i="31"/>
  <c r="J23" i="10" s="1"/>
  <c r="AZ21" i="31"/>
  <c r="AZ20" i="31"/>
  <c r="J21" i="10" s="1"/>
  <c r="AZ19" i="31"/>
  <c r="AZ18" i="31"/>
  <c r="AZ17" i="31"/>
  <c r="AZ16" i="31"/>
  <c r="AZ15" i="31"/>
  <c r="J16" i="10" s="1"/>
  <c r="AZ14" i="31"/>
  <c r="J15" i="10" s="1"/>
  <c r="AZ13" i="31"/>
  <c r="AZ12" i="31"/>
  <c r="J13" i="10" s="1"/>
  <c r="AZ11" i="31"/>
  <c r="AZ10" i="31"/>
  <c r="J11" i="10" s="1"/>
  <c r="AZ9" i="31"/>
  <c r="J10" i="10" s="1"/>
  <c r="AY65" i="31"/>
  <c r="AY64" i="31"/>
  <c r="AY63" i="31"/>
  <c r="AY62" i="31"/>
  <c r="AY61" i="31"/>
  <c r="AY60" i="31"/>
  <c r="AY59" i="31"/>
  <c r="AY58" i="31"/>
  <c r="AY57" i="31"/>
  <c r="AY56" i="31"/>
  <c r="AY53" i="31"/>
  <c r="AY52" i="31"/>
  <c r="AY51" i="31"/>
  <c r="AY50" i="31"/>
  <c r="AY49" i="31"/>
  <c r="AY48" i="31"/>
  <c r="AY47" i="31"/>
  <c r="AY46" i="31"/>
  <c r="AY45" i="31"/>
  <c r="AY44" i="31"/>
  <c r="AY43" i="31"/>
  <c r="AY42" i="31"/>
  <c r="AY39" i="31"/>
  <c r="AY38" i="31"/>
  <c r="AY37" i="31"/>
  <c r="AY36" i="31"/>
  <c r="AY35" i="31"/>
  <c r="AY34" i="31"/>
  <c r="AY33" i="31"/>
  <c r="AY32" i="31"/>
  <c r="AY31" i="31"/>
  <c r="AY30" i="31"/>
  <c r="AY29" i="31"/>
  <c r="AY28" i="31"/>
  <c r="AY27" i="31"/>
  <c r="AY24" i="31"/>
  <c r="AY23" i="31"/>
  <c r="AY22" i="31"/>
  <c r="AY21" i="31"/>
  <c r="AY20" i="31"/>
  <c r="AY19" i="31"/>
  <c r="AY18" i="31"/>
  <c r="AY17" i="31"/>
  <c r="AY16" i="31"/>
  <c r="AY15" i="31"/>
  <c r="AY14" i="31"/>
  <c r="AY13" i="31"/>
  <c r="AY12" i="31"/>
  <c r="AY11" i="31"/>
  <c r="AY10" i="31"/>
  <c r="AY9" i="31"/>
  <c r="AY7" i="31"/>
  <c r="AX65" i="31"/>
  <c r="AX64" i="31"/>
  <c r="AX63" i="31"/>
  <c r="AX62" i="31"/>
  <c r="AX61" i="31"/>
  <c r="AX60" i="31"/>
  <c r="AX59" i="31"/>
  <c r="AX58" i="31"/>
  <c r="AX57" i="31"/>
  <c r="AX56" i="31"/>
  <c r="AX53" i="31"/>
  <c r="AX52" i="31"/>
  <c r="AX51" i="31"/>
  <c r="AX50" i="31"/>
  <c r="AX49" i="31"/>
  <c r="AX48" i="31"/>
  <c r="AX47" i="31"/>
  <c r="AX46" i="31"/>
  <c r="AX45" i="31"/>
  <c r="AX44" i="31"/>
  <c r="AX43" i="31"/>
  <c r="AX42" i="31"/>
  <c r="AX39" i="31"/>
  <c r="AX38" i="31"/>
  <c r="AX37" i="31"/>
  <c r="AX36" i="31"/>
  <c r="AX35" i="31"/>
  <c r="AX34" i="31"/>
  <c r="AX33" i="31"/>
  <c r="AX32" i="31"/>
  <c r="AX31" i="31"/>
  <c r="AX30" i="31"/>
  <c r="AX29" i="31"/>
  <c r="AX28" i="31"/>
  <c r="AX27" i="31"/>
  <c r="AX24" i="31"/>
  <c r="AX23" i="31"/>
  <c r="AX22" i="31"/>
  <c r="AX21" i="31"/>
  <c r="AX20" i="31"/>
  <c r="AX19" i="31"/>
  <c r="AX18" i="31"/>
  <c r="AX17" i="31"/>
  <c r="AX16" i="31"/>
  <c r="AX15" i="31"/>
  <c r="AX14" i="31"/>
  <c r="AX13" i="31"/>
  <c r="AX12" i="31"/>
  <c r="AX11" i="31"/>
  <c r="AX10" i="31"/>
  <c r="AX9" i="31"/>
  <c r="RO53" i="9"/>
  <c r="RN53" i="9"/>
  <c r="RM53" i="9"/>
  <c r="RL53" i="9"/>
  <c r="RK53" i="9"/>
  <c r="RO39" i="9"/>
  <c r="RN39" i="9"/>
  <c r="RM39" i="9"/>
  <c r="RL39" i="9"/>
  <c r="RK39" i="9"/>
  <c r="RO24" i="9"/>
  <c r="RN24" i="9"/>
  <c r="RM24" i="9"/>
  <c r="RL24" i="9"/>
  <c r="RK24" i="9"/>
  <c r="RO6" i="9"/>
  <c r="RO5" i="9" s="1"/>
  <c r="RN6" i="9"/>
  <c r="RM6" i="9"/>
  <c r="RL6" i="9"/>
  <c r="RK6" i="9"/>
  <c r="QA53" i="9"/>
  <c r="PZ53" i="9"/>
  <c r="PY53" i="9"/>
  <c r="PX53" i="9"/>
  <c r="BE54" i="31" s="1"/>
  <c r="PW53" i="9"/>
  <c r="QA39" i="9"/>
  <c r="PZ39" i="9"/>
  <c r="BI40" i="31" s="1"/>
  <c r="PY39" i="9"/>
  <c r="PX39" i="9"/>
  <c r="PW39" i="9"/>
  <c r="QA24" i="9"/>
  <c r="PZ24" i="9"/>
  <c r="PZ5" i="9" s="1"/>
  <c r="BI6" i="31" s="1"/>
  <c r="PY24" i="9"/>
  <c r="PX24" i="9"/>
  <c r="BE25" i="31" s="1"/>
  <c r="PW24" i="9"/>
  <c r="QA6" i="9"/>
  <c r="QA5" i="9" s="1"/>
  <c r="PZ6" i="9"/>
  <c r="PY6" i="9"/>
  <c r="BG7" i="31" s="1"/>
  <c r="PX6" i="9"/>
  <c r="BE7" i="31" s="1"/>
  <c r="PW6" i="9"/>
  <c r="I7" i="23" s="1"/>
  <c r="KS53" i="9"/>
  <c r="KR53" i="9"/>
  <c r="KQ53" i="9"/>
  <c r="KP53" i="9"/>
  <c r="KO53" i="9"/>
  <c r="KS39" i="9"/>
  <c r="KR39" i="9"/>
  <c r="KQ39" i="9"/>
  <c r="KP39" i="9"/>
  <c r="KO39" i="9"/>
  <c r="KS24" i="9"/>
  <c r="KR24" i="9"/>
  <c r="KQ24" i="9"/>
  <c r="KP24" i="9"/>
  <c r="KO24" i="9"/>
  <c r="KS6" i="9"/>
  <c r="KR6" i="9"/>
  <c r="KQ6" i="9"/>
  <c r="KP6" i="9"/>
  <c r="KO6" i="9"/>
  <c r="JJ53" i="9"/>
  <c r="JI53" i="9"/>
  <c r="JH53" i="9"/>
  <c r="JG53" i="9"/>
  <c r="JF53" i="9"/>
  <c r="JJ39" i="9"/>
  <c r="JI39" i="9"/>
  <c r="JH39" i="9"/>
  <c r="JG39" i="9"/>
  <c r="JF39" i="9"/>
  <c r="JJ24" i="9"/>
  <c r="JI24" i="9"/>
  <c r="JH24" i="9"/>
  <c r="JG24" i="9"/>
  <c r="JF24" i="9"/>
  <c r="JJ6" i="9"/>
  <c r="JI6" i="9"/>
  <c r="JH6" i="9"/>
  <c r="JG6" i="9"/>
  <c r="JF6" i="9"/>
  <c r="HV53" i="9"/>
  <c r="HU53" i="9"/>
  <c r="HT53" i="9"/>
  <c r="HS53" i="9"/>
  <c r="HR53" i="9"/>
  <c r="HV39" i="9"/>
  <c r="HU39" i="9"/>
  <c r="HT39" i="9"/>
  <c r="HS39" i="9"/>
  <c r="HR39" i="9"/>
  <c r="HV24" i="9"/>
  <c r="HU24" i="9"/>
  <c r="HT24" i="9"/>
  <c r="HS24" i="9"/>
  <c r="HR24" i="9"/>
  <c r="HV6" i="9"/>
  <c r="HU6" i="9"/>
  <c r="HT6" i="9"/>
  <c r="HS6" i="9"/>
  <c r="HR6" i="9"/>
  <c r="GH24" i="9"/>
  <c r="GG24" i="9"/>
  <c r="GF24" i="9"/>
  <c r="GE24" i="9"/>
  <c r="GD24" i="9"/>
  <c r="GH39" i="9"/>
  <c r="GG39" i="9"/>
  <c r="GF39" i="9"/>
  <c r="GE39" i="9"/>
  <c r="GD39" i="9"/>
  <c r="GH53" i="9"/>
  <c r="GG53" i="9"/>
  <c r="GF53" i="9"/>
  <c r="GE53" i="9"/>
  <c r="GD53" i="9"/>
  <c r="GH6" i="9"/>
  <c r="GG6" i="9"/>
  <c r="GF6" i="9"/>
  <c r="GE6" i="9"/>
  <c r="GD6" i="9"/>
  <c r="EO53" i="9"/>
  <c r="EN53" i="9"/>
  <c r="BC54" i="31" s="1"/>
  <c r="EM53" i="9"/>
  <c r="EL53" i="9"/>
  <c r="EK53" i="9"/>
  <c r="E54" i="23" s="1"/>
  <c r="EO39" i="9"/>
  <c r="EN39" i="9"/>
  <c r="EM39" i="9"/>
  <c r="BA40" i="31" s="1"/>
  <c r="EL39" i="9"/>
  <c r="EK39" i="9"/>
  <c r="EO24" i="9"/>
  <c r="EN24" i="9"/>
  <c r="EM24" i="9"/>
  <c r="BA25" i="31" s="1"/>
  <c r="EL24" i="9"/>
  <c r="AY25" i="31" s="1"/>
  <c r="EK24" i="9"/>
  <c r="EO6" i="9"/>
  <c r="EN6" i="9"/>
  <c r="BC7" i="31" s="1"/>
  <c r="EM6" i="9"/>
  <c r="EL6" i="9"/>
  <c r="EK6" i="9"/>
  <c r="BX53" i="9"/>
  <c r="BW53" i="9"/>
  <c r="BV53" i="9"/>
  <c r="BU53" i="9"/>
  <c r="BT53" i="9"/>
  <c r="BX39" i="9"/>
  <c r="BW39" i="9"/>
  <c r="BV39" i="9"/>
  <c r="BU39" i="9"/>
  <c r="BT39" i="9"/>
  <c r="BX24" i="9"/>
  <c r="BW24" i="9"/>
  <c r="BV24" i="9"/>
  <c r="BU24" i="9"/>
  <c r="BT24" i="9"/>
  <c r="BX6" i="9"/>
  <c r="BW6" i="9"/>
  <c r="BV6" i="9"/>
  <c r="BU6" i="9"/>
  <c r="BT6" i="9"/>
  <c r="AO53" i="9"/>
  <c r="AN53" i="9"/>
  <c r="AM53" i="9"/>
  <c r="AL53" i="9"/>
  <c r="AK53" i="9"/>
  <c r="AO39" i="9"/>
  <c r="AN39" i="9"/>
  <c r="AM39" i="9"/>
  <c r="AL39" i="9"/>
  <c r="AK39" i="9"/>
  <c r="AO24" i="9"/>
  <c r="AN24" i="9"/>
  <c r="AM24" i="9"/>
  <c r="AL24" i="9"/>
  <c r="AK24" i="9"/>
  <c r="AO6" i="9"/>
  <c r="AN6" i="9"/>
  <c r="AM6" i="9"/>
  <c r="AL6" i="9"/>
  <c r="AK6" i="9"/>
  <c r="DS52" i="19"/>
  <c r="DR52" i="19"/>
  <c r="DQ52" i="19"/>
  <c r="DP52" i="19"/>
  <c r="AY54" i="31" s="1"/>
  <c r="DO52" i="19"/>
  <c r="DS38" i="19"/>
  <c r="BC40" i="31" s="1"/>
  <c r="DR38" i="19"/>
  <c r="DQ38" i="19"/>
  <c r="DP38" i="19"/>
  <c r="AY40" i="31" s="1"/>
  <c r="DO38" i="19"/>
  <c r="DS23" i="19"/>
  <c r="DR23" i="19"/>
  <c r="DQ23" i="19"/>
  <c r="DP23" i="19"/>
  <c r="DO23" i="19"/>
  <c r="DS5" i="19"/>
  <c r="DS4" i="19" s="1"/>
  <c r="DR5" i="19"/>
  <c r="DQ5" i="19"/>
  <c r="DP5" i="19"/>
  <c r="DO5" i="19"/>
  <c r="DO4" i="19" s="1"/>
  <c r="E41" i="10" l="1"/>
  <c r="E8" i="10"/>
  <c r="C55" i="10"/>
  <c r="H7" i="10"/>
  <c r="C26" i="10"/>
  <c r="G8" i="10"/>
  <c r="H41" i="10"/>
  <c r="E55" i="10"/>
  <c r="C41" i="10"/>
  <c r="F55" i="10"/>
  <c r="I15" i="10"/>
  <c r="C15" i="10"/>
  <c r="I49" i="10"/>
  <c r="C49" i="10"/>
  <c r="K10" i="10"/>
  <c r="E10" i="10"/>
  <c r="K35" i="10"/>
  <c r="E35" i="10"/>
  <c r="K52" i="10"/>
  <c r="E52" i="10"/>
  <c r="N21" i="10"/>
  <c r="H21" i="10"/>
  <c r="N38" i="10"/>
  <c r="H38" i="10"/>
  <c r="N47" i="10"/>
  <c r="H47" i="10"/>
  <c r="N64" i="10"/>
  <c r="H64" i="10"/>
  <c r="M32" i="10"/>
  <c r="G32" i="10"/>
  <c r="F8" i="10"/>
  <c r="I24" i="10"/>
  <c r="C24" i="10"/>
  <c r="K28" i="10"/>
  <c r="E28" i="10"/>
  <c r="K45" i="10"/>
  <c r="E45" i="10"/>
  <c r="K62" i="10"/>
  <c r="E62" i="10"/>
  <c r="N57" i="10"/>
  <c r="H57" i="10"/>
  <c r="E7" i="23"/>
  <c r="I40" i="23"/>
  <c r="C8" i="10"/>
  <c r="I17" i="10"/>
  <c r="C17" i="10"/>
  <c r="I25" i="10"/>
  <c r="C25" i="10"/>
  <c r="I34" i="10"/>
  <c r="C34" i="10"/>
  <c r="I43" i="10"/>
  <c r="C43" i="10"/>
  <c r="I51" i="10"/>
  <c r="C51" i="10"/>
  <c r="I60" i="10"/>
  <c r="C60" i="10"/>
  <c r="K12" i="10"/>
  <c r="E12" i="10"/>
  <c r="K20" i="10"/>
  <c r="E20" i="10"/>
  <c r="K29" i="10"/>
  <c r="E29" i="10"/>
  <c r="K37" i="10"/>
  <c r="E37" i="10"/>
  <c r="K46" i="10"/>
  <c r="E46" i="10"/>
  <c r="K54" i="10"/>
  <c r="E54" i="10"/>
  <c r="K63" i="10"/>
  <c r="E63" i="10"/>
  <c r="N15" i="10"/>
  <c r="H15" i="10"/>
  <c r="N23" i="10"/>
  <c r="H23" i="10"/>
  <c r="N32" i="10"/>
  <c r="H32" i="10"/>
  <c r="N40" i="10"/>
  <c r="H40" i="10"/>
  <c r="N49" i="10"/>
  <c r="H49" i="10"/>
  <c r="N66" i="10"/>
  <c r="H66" i="10"/>
  <c r="M16" i="10"/>
  <c r="G16" i="10"/>
  <c r="M24" i="10"/>
  <c r="G24" i="10"/>
  <c r="M34" i="10"/>
  <c r="G34" i="10"/>
  <c r="M44" i="10"/>
  <c r="G44" i="10"/>
  <c r="M63" i="10"/>
  <c r="G63" i="10"/>
  <c r="BA54" i="31"/>
  <c r="BE40" i="31"/>
  <c r="I10" i="10"/>
  <c r="C10" i="10"/>
  <c r="I18" i="10"/>
  <c r="C18" i="10"/>
  <c r="I35" i="10"/>
  <c r="C35" i="10"/>
  <c r="I44" i="10"/>
  <c r="C44" i="10"/>
  <c r="I52" i="10"/>
  <c r="C52" i="10"/>
  <c r="I61" i="10"/>
  <c r="C61" i="10"/>
  <c r="K13" i="10"/>
  <c r="E13" i="10"/>
  <c r="K21" i="10"/>
  <c r="E21" i="10"/>
  <c r="K30" i="10"/>
  <c r="E30" i="10"/>
  <c r="K38" i="10"/>
  <c r="E38" i="10"/>
  <c r="K47" i="10"/>
  <c r="E47" i="10"/>
  <c r="K64" i="10"/>
  <c r="E64" i="10"/>
  <c r="N16" i="10"/>
  <c r="H16" i="10"/>
  <c r="N24" i="10"/>
  <c r="H24" i="10"/>
  <c r="N33" i="10"/>
  <c r="H33" i="10"/>
  <c r="N50" i="10"/>
  <c r="H50" i="10"/>
  <c r="N59" i="10"/>
  <c r="H59" i="10"/>
  <c r="M17" i="10"/>
  <c r="G17" i="10"/>
  <c r="M25" i="10"/>
  <c r="G25" i="10"/>
  <c r="M35" i="10"/>
  <c r="G35" i="10"/>
  <c r="M45" i="10"/>
  <c r="G45" i="10"/>
  <c r="M54" i="10"/>
  <c r="G54" i="10"/>
  <c r="M64" i="10"/>
  <c r="G64" i="10"/>
  <c r="I32" i="10"/>
  <c r="C32" i="10"/>
  <c r="I58" i="10"/>
  <c r="C58" i="10"/>
  <c r="K18" i="10"/>
  <c r="E18" i="10"/>
  <c r="K44" i="10"/>
  <c r="E44" i="10"/>
  <c r="K61" i="10"/>
  <c r="E61" i="10"/>
  <c r="N13" i="10"/>
  <c r="H13" i="10"/>
  <c r="N30" i="10"/>
  <c r="H30" i="10"/>
  <c r="H55" i="10"/>
  <c r="M14" i="10"/>
  <c r="G14" i="10"/>
  <c r="M22" i="10"/>
  <c r="G22" i="10"/>
  <c r="M40" i="10"/>
  <c r="G40" i="10"/>
  <c r="M50" i="10"/>
  <c r="G50" i="10"/>
  <c r="M61" i="10"/>
  <c r="G61" i="10"/>
  <c r="D26" i="10"/>
  <c r="KQ5" i="9"/>
  <c r="I16" i="10"/>
  <c r="C16" i="10"/>
  <c r="I33" i="10"/>
  <c r="C33" i="10"/>
  <c r="I50" i="10"/>
  <c r="C50" i="10"/>
  <c r="I59" i="10"/>
  <c r="C59" i="10"/>
  <c r="K11" i="10"/>
  <c r="E11" i="10"/>
  <c r="K19" i="10"/>
  <c r="E19" i="10"/>
  <c r="K36" i="10"/>
  <c r="E36" i="10"/>
  <c r="K53" i="10"/>
  <c r="E53" i="10"/>
  <c r="N14" i="10"/>
  <c r="H14" i="10"/>
  <c r="N22" i="10"/>
  <c r="H22" i="10"/>
  <c r="N31" i="10"/>
  <c r="H31" i="10"/>
  <c r="N39" i="10"/>
  <c r="H39" i="10"/>
  <c r="N48" i="10"/>
  <c r="H48" i="10"/>
  <c r="M15" i="10"/>
  <c r="G15" i="10"/>
  <c r="M23" i="10"/>
  <c r="G23" i="10"/>
  <c r="M33" i="10"/>
  <c r="G33" i="10"/>
  <c r="M43" i="10"/>
  <c r="G43" i="10"/>
  <c r="M52" i="10"/>
  <c r="G52" i="10"/>
  <c r="M62" i="10"/>
  <c r="G62" i="10"/>
  <c r="BA7" i="31"/>
  <c r="E40" i="23"/>
  <c r="I11" i="10"/>
  <c r="C11" i="10"/>
  <c r="I19" i="10"/>
  <c r="C19" i="10"/>
  <c r="I28" i="10"/>
  <c r="C28" i="10"/>
  <c r="I36" i="10"/>
  <c r="C36" i="10"/>
  <c r="I45" i="10"/>
  <c r="C45" i="10"/>
  <c r="I53" i="10"/>
  <c r="C53" i="10"/>
  <c r="I62" i="10"/>
  <c r="C62" i="10"/>
  <c r="K14" i="10"/>
  <c r="E14" i="10"/>
  <c r="K22" i="10"/>
  <c r="E22" i="10"/>
  <c r="K31" i="10"/>
  <c r="E31" i="10"/>
  <c r="K39" i="10"/>
  <c r="E39" i="10"/>
  <c r="K48" i="10"/>
  <c r="E48" i="10"/>
  <c r="K57" i="10"/>
  <c r="E57" i="10"/>
  <c r="BI7" i="31"/>
  <c r="N17" i="10"/>
  <c r="H17" i="10"/>
  <c r="N25" i="10"/>
  <c r="H25" i="10"/>
  <c r="N34" i="10"/>
  <c r="H34" i="10"/>
  <c r="N43" i="10"/>
  <c r="H43" i="10"/>
  <c r="N60" i="10"/>
  <c r="H60" i="10"/>
  <c r="M10" i="10"/>
  <c r="G10" i="10"/>
  <c r="M18" i="10"/>
  <c r="G18" i="10"/>
  <c r="M28" i="10"/>
  <c r="G28" i="10"/>
  <c r="M36" i="10"/>
  <c r="G36" i="10"/>
  <c r="M46" i="10"/>
  <c r="G46" i="10"/>
  <c r="M57" i="10"/>
  <c r="G57" i="10"/>
  <c r="M66" i="10"/>
  <c r="G66" i="10"/>
  <c r="DQ4" i="19"/>
  <c r="I25" i="23"/>
  <c r="RK5" i="9"/>
  <c r="I12" i="10"/>
  <c r="C12" i="10"/>
  <c r="I20" i="10"/>
  <c r="C20" i="10"/>
  <c r="I29" i="10"/>
  <c r="C29" i="10"/>
  <c r="I37" i="10"/>
  <c r="C37" i="10"/>
  <c r="I46" i="10"/>
  <c r="C46" i="10"/>
  <c r="I54" i="10"/>
  <c r="C54" i="10"/>
  <c r="I63" i="10"/>
  <c r="C63" i="10"/>
  <c r="K15" i="10"/>
  <c r="E15" i="10"/>
  <c r="K23" i="10"/>
  <c r="E23" i="10"/>
  <c r="K32" i="10"/>
  <c r="E32" i="10"/>
  <c r="K40" i="10"/>
  <c r="E40" i="10"/>
  <c r="K49" i="10"/>
  <c r="E49" i="10"/>
  <c r="K66" i="10"/>
  <c r="E66" i="10"/>
  <c r="N10" i="10"/>
  <c r="H10" i="10"/>
  <c r="N18" i="10"/>
  <c r="H18" i="10"/>
  <c r="BI25" i="31"/>
  <c r="N35" i="10"/>
  <c r="H35" i="10"/>
  <c r="N44" i="10"/>
  <c r="H44" i="10"/>
  <c r="N52" i="10"/>
  <c r="H52" i="10"/>
  <c r="N61" i="10"/>
  <c r="H61" i="10"/>
  <c r="M11" i="10"/>
  <c r="G11" i="10"/>
  <c r="M19" i="10"/>
  <c r="G19" i="10"/>
  <c r="M29" i="10"/>
  <c r="G29" i="10"/>
  <c r="M37" i="10"/>
  <c r="G37" i="10"/>
  <c r="M47" i="10"/>
  <c r="G47" i="10"/>
  <c r="I23" i="10"/>
  <c r="C23" i="10"/>
  <c r="I40" i="10"/>
  <c r="C40" i="10"/>
  <c r="I66" i="10"/>
  <c r="C66" i="10"/>
  <c r="E26" i="10"/>
  <c r="D41" i="10"/>
  <c r="F26" i="10"/>
  <c r="I13" i="10"/>
  <c r="C13" i="10"/>
  <c r="I21" i="10"/>
  <c r="C21" i="10"/>
  <c r="I30" i="10"/>
  <c r="C30" i="10"/>
  <c r="I38" i="10"/>
  <c r="C38" i="10"/>
  <c r="I47" i="10"/>
  <c r="C47" i="10"/>
  <c r="I64" i="10"/>
  <c r="C64" i="10"/>
  <c r="K16" i="10"/>
  <c r="E16" i="10"/>
  <c r="K24" i="10"/>
  <c r="E24" i="10"/>
  <c r="K33" i="10"/>
  <c r="E33" i="10"/>
  <c r="K50" i="10"/>
  <c r="E50" i="10"/>
  <c r="K59" i="10"/>
  <c r="E59" i="10"/>
  <c r="N11" i="10"/>
  <c r="H11" i="10"/>
  <c r="N19" i="10"/>
  <c r="H19" i="10"/>
  <c r="N28" i="10"/>
  <c r="H28" i="10"/>
  <c r="N36" i="10"/>
  <c r="H36" i="10"/>
  <c r="N45" i="10"/>
  <c r="H45" i="10"/>
  <c r="N53" i="10"/>
  <c r="H53" i="10"/>
  <c r="N62" i="10"/>
  <c r="H62" i="10"/>
  <c r="M12" i="10"/>
  <c r="G12" i="10"/>
  <c r="M20" i="10"/>
  <c r="G20" i="10"/>
  <c r="M30" i="10"/>
  <c r="G30" i="10"/>
  <c r="M38" i="10"/>
  <c r="G38" i="10"/>
  <c r="M48" i="10"/>
  <c r="G48" i="10"/>
  <c r="M59" i="10"/>
  <c r="G59" i="10"/>
  <c r="BG54" i="31"/>
  <c r="E25" i="23"/>
  <c r="I54" i="23"/>
  <c r="I14" i="10"/>
  <c r="C14" i="10"/>
  <c r="I22" i="10"/>
  <c r="C22" i="10"/>
  <c r="I31" i="10"/>
  <c r="C31" i="10"/>
  <c r="I39" i="10"/>
  <c r="C39" i="10"/>
  <c r="I48" i="10"/>
  <c r="C48" i="10"/>
  <c r="I57" i="10"/>
  <c r="C57" i="10"/>
  <c r="I65" i="10"/>
  <c r="C65" i="10"/>
  <c r="K17" i="10"/>
  <c r="E17" i="10"/>
  <c r="K25" i="10"/>
  <c r="E25" i="10"/>
  <c r="K34" i="10"/>
  <c r="E34" i="10"/>
  <c r="K43" i="10"/>
  <c r="E43" i="10"/>
  <c r="K60" i="10"/>
  <c r="E60" i="10"/>
  <c r="N12" i="10"/>
  <c r="H12" i="10"/>
  <c r="N20" i="10"/>
  <c r="H20" i="10"/>
  <c r="N29" i="10"/>
  <c r="H29" i="10"/>
  <c r="N37" i="10"/>
  <c r="H37" i="10"/>
  <c r="N46" i="10"/>
  <c r="H46" i="10"/>
  <c r="N54" i="10"/>
  <c r="H54" i="10"/>
  <c r="N63" i="10"/>
  <c r="H63" i="10"/>
  <c r="M13" i="10"/>
  <c r="G13" i="10"/>
  <c r="M21" i="10"/>
  <c r="G21" i="10"/>
  <c r="M31" i="10"/>
  <c r="G31" i="10"/>
  <c r="M39" i="10"/>
  <c r="G39" i="10"/>
  <c r="M49" i="10"/>
  <c r="G49" i="10"/>
  <c r="RM5" i="9"/>
  <c r="BG40" i="31"/>
  <c r="BG25" i="31"/>
  <c r="RN5" i="9"/>
  <c r="RL5" i="9"/>
  <c r="PY5" i="9"/>
  <c r="PW5" i="9"/>
  <c r="I6" i="23" s="1"/>
  <c r="PX5" i="9"/>
  <c r="JJ5" i="9"/>
  <c r="JI5" i="9"/>
  <c r="KR5" i="9"/>
  <c r="KS5" i="9"/>
  <c r="KO5" i="9"/>
  <c r="KP5" i="9"/>
  <c r="HV5" i="9"/>
  <c r="JH5" i="9"/>
  <c r="HT5" i="9"/>
  <c r="HU5" i="9"/>
  <c r="JF5" i="9"/>
  <c r="JG5" i="9"/>
  <c r="GH5" i="9"/>
  <c r="GF5" i="9"/>
  <c r="GG5" i="9"/>
  <c r="HR5" i="9"/>
  <c r="HS5" i="9"/>
  <c r="GD5" i="9"/>
  <c r="GE5" i="9"/>
  <c r="BX5" i="9"/>
  <c r="EN5" i="9"/>
  <c r="BC6" i="31" s="1"/>
  <c r="EO5" i="9"/>
  <c r="EL5" i="9"/>
  <c r="EK5" i="9"/>
  <c r="E6" i="23" s="1"/>
  <c r="EM5" i="9"/>
  <c r="BA6" i="31" s="1"/>
  <c r="BW5" i="9"/>
  <c r="AO5" i="9"/>
  <c r="BT5" i="9"/>
  <c r="BV5" i="9"/>
  <c r="BU5" i="9"/>
  <c r="AM5" i="9"/>
  <c r="AN5" i="9"/>
  <c r="AK5" i="9"/>
  <c r="AL5" i="9"/>
  <c r="DR4" i="19"/>
  <c r="DP4" i="19"/>
  <c r="G57" i="23"/>
  <c r="G58" i="23"/>
  <c r="G59" i="23"/>
  <c r="G60" i="23"/>
  <c r="G61" i="23"/>
  <c r="G62" i="23"/>
  <c r="G63" i="23"/>
  <c r="G64" i="23"/>
  <c r="G65" i="23"/>
  <c r="G56" i="23"/>
  <c r="G43" i="23"/>
  <c r="G44" i="23"/>
  <c r="G45" i="23"/>
  <c r="G46" i="23"/>
  <c r="G47" i="23"/>
  <c r="G48" i="23"/>
  <c r="G49" i="23"/>
  <c r="G50" i="23"/>
  <c r="G51" i="23"/>
  <c r="G52" i="23"/>
  <c r="G53" i="23"/>
  <c r="G42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27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9" i="23"/>
  <c r="C57" i="23"/>
  <c r="C58" i="23"/>
  <c r="C59" i="23"/>
  <c r="C60" i="23"/>
  <c r="C61" i="23"/>
  <c r="C62" i="23"/>
  <c r="C63" i="23"/>
  <c r="C64" i="23"/>
  <c r="C65" i="23"/>
  <c r="C56" i="23"/>
  <c r="C53" i="23"/>
  <c r="C43" i="23"/>
  <c r="C44" i="23"/>
  <c r="C45" i="23"/>
  <c r="C46" i="23"/>
  <c r="C47" i="23"/>
  <c r="C48" i="23"/>
  <c r="C49" i="23"/>
  <c r="C50" i="23"/>
  <c r="C51" i="23"/>
  <c r="C52" i="23"/>
  <c r="C42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27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9" i="23"/>
  <c r="G26" i="10" l="1"/>
  <c r="G41" i="10"/>
  <c r="D7" i="10"/>
  <c r="D8" i="10"/>
  <c r="BE6" i="31"/>
  <c r="E7" i="10"/>
  <c r="H8" i="10"/>
  <c r="AY6" i="31"/>
  <c r="H26" i="10"/>
  <c r="F41" i="10"/>
  <c r="G55" i="10"/>
  <c r="D55" i="10"/>
  <c r="BG6" i="31"/>
  <c r="EJ53" i="9"/>
  <c r="EI53" i="9"/>
  <c r="EH53" i="9"/>
  <c r="EG53" i="9"/>
  <c r="EF53" i="9"/>
  <c r="EF39" i="9"/>
  <c r="IV6" i="9"/>
  <c r="G7" i="10" l="1"/>
  <c r="C7" i="10"/>
  <c r="F7" i="10"/>
  <c r="AU34" i="31"/>
  <c r="AU35" i="31"/>
  <c r="AU36" i="31"/>
  <c r="AU37" i="31"/>
  <c r="AU38" i="31"/>
  <c r="AU39" i="31"/>
  <c r="AU33" i="31"/>
  <c r="AU32" i="31"/>
  <c r="AO34" i="31"/>
  <c r="AO35" i="31"/>
  <c r="AO36" i="31"/>
  <c r="AO37" i="31"/>
  <c r="AO38" i="31"/>
  <c r="AO39" i="31"/>
  <c r="AO33" i="31"/>
  <c r="AO32" i="31"/>
  <c r="AW9" i="31"/>
  <c r="AW10" i="31"/>
  <c r="AW11" i="31"/>
  <c r="AW12" i="31"/>
  <c r="AW13" i="31"/>
  <c r="AW14" i="31"/>
  <c r="AW15" i="31"/>
  <c r="AW16" i="31"/>
  <c r="AW17" i="31"/>
  <c r="AW18" i="31"/>
  <c r="AW19" i="31"/>
  <c r="AW20" i="31"/>
  <c r="AW21" i="31"/>
  <c r="AW22" i="31"/>
  <c r="AW23" i="31"/>
  <c r="AW24" i="31"/>
  <c r="AW27" i="31"/>
  <c r="AW28" i="31"/>
  <c r="AW29" i="31"/>
  <c r="AW30" i="31"/>
  <c r="AW31" i="31"/>
  <c r="AW32" i="31"/>
  <c r="AW33" i="31"/>
  <c r="AW34" i="31"/>
  <c r="AW35" i="31"/>
  <c r="AW36" i="31"/>
  <c r="AW37" i="31"/>
  <c r="AW38" i="31"/>
  <c r="AW39" i="31"/>
  <c r="AW42" i="31"/>
  <c r="AW43" i="31"/>
  <c r="AW44" i="31"/>
  <c r="AW45" i="31"/>
  <c r="AW46" i="31"/>
  <c r="AW47" i="31"/>
  <c r="AW48" i="31"/>
  <c r="AW49" i="31"/>
  <c r="AW50" i="31"/>
  <c r="AW51" i="31"/>
  <c r="AW52" i="31"/>
  <c r="AW53" i="31"/>
  <c r="AW56" i="31"/>
  <c r="AW57" i="31"/>
  <c r="AW58" i="31"/>
  <c r="AW59" i="31"/>
  <c r="AW60" i="31"/>
  <c r="AW61" i="31"/>
  <c r="AW62" i="31"/>
  <c r="AW63" i="31"/>
  <c r="AW64" i="31"/>
  <c r="AW65" i="31"/>
  <c r="AU9" i="31"/>
  <c r="AU10" i="31"/>
  <c r="AU11" i="31"/>
  <c r="AU12" i="31"/>
  <c r="AU13" i="31"/>
  <c r="AU14" i="31"/>
  <c r="AU15" i="31"/>
  <c r="AU16" i="31"/>
  <c r="AU17" i="31"/>
  <c r="AU18" i="31"/>
  <c r="AU19" i="31"/>
  <c r="AU20" i="31"/>
  <c r="AU21" i="31"/>
  <c r="AU22" i="31"/>
  <c r="AU23" i="31"/>
  <c r="AU24" i="31"/>
  <c r="AU27" i="31"/>
  <c r="AU28" i="31"/>
  <c r="AU29" i="31"/>
  <c r="AU30" i="31"/>
  <c r="AU31" i="31"/>
  <c r="AU42" i="31"/>
  <c r="AU43" i="31"/>
  <c r="AU44" i="31"/>
  <c r="AU45" i="31"/>
  <c r="AU46" i="31"/>
  <c r="AU47" i="31"/>
  <c r="AU48" i="31"/>
  <c r="AU49" i="31"/>
  <c r="AU50" i="31"/>
  <c r="AU51" i="31"/>
  <c r="AU52" i="31"/>
  <c r="AU53" i="31"/>
  <c r="AU56" i="31"/>
  <c r="AU57" i="31"/>
  <c r="AU58" i="31"/>
  <c r="AU59" i="31"/>
  <c r="AU60" i="31"/>
  <c r="AU61" i="31"/>
  <c r="AU62" i="31"/>
  <c r="AU63" i="31"/>
  <c r="AU64" i="31"/>
  <c r="AU65" i="31"/>
  <c r="AS9" i="31"/>
  <c r="AS10" i="31"/>
  <c r="AS11" i="31"/>
  <c r="AS12" i="31"/>
  <c r="AS13" i="31"/>
  <c r="AS14" i="31"/>
  <c r="AS15" i="31"/>
  <c r="AS16" i="31"/>
  <c r="AS17" i="31"/>
  <c r="AS18" i="31"/>
  <c r="AS19" i="31"/>
  <c r="AS20" i="31"/>
  <c r="AS21" i="31"/>
  <c r="AS22" i="31"/>
  <c r="AS23" i="31"/>
  <c r="AS24" i="31"/>
  <c r="AS27" i="31"/>
  <c r="AS28" i="31"/>
  <c r="AS29" i="31"/>
  <c r="AS30" i="31"/>
  <c r="AS31" i="31"/>
  <c r="AS32" i="31"/>
  <c r="AS33" i="31"/>
  <c r="AS34" i="31"/>
  <c r="AS35" i="31"/>
  <c r="AS36" i="31"/>
  <c r="AS37" i="31"/>
  <c r="AS38" i="31"/>
  <c r="AS39" i="31"/>
  <c r="AS42" i="31"/>
  <c r="AS43" i="31"/>
  <c r="AS44" i="31"/>
  <c r="AS45" i="31"/>
  <c r="AS46" i="31"/>
  <c r="AS47" i="31"/>
  <c r="AS48" i="31"/>
  <c r="AS49" i="31"/>
  <c r="AS50" i="31"/>
  <c r="AS51" i="31"/>
  <c r="AS52" i="31"/>
  <c r="AS53" i="31"/>
  <c r="AS56" i="31"/>
  <c r="AS57" i="31"/>
  <c r="AS58" i="31"/>
  <c r="AS59" i="31"/>
  <c r="AS60" i="31"/>
  <c r="AS61" i="31"/>
  <c r="AS62" i="31"/>
  <c r="AS63" i="31"/>
  <c r="AS64" i="31"/>
  <c r="AS65" i="31"/>
  <c r="AQ9" i="31"/>
  <c r="AQ10" i="31"/>
  <c r="AQ11" i="31"/>
  <c r="AQ12" i="31"/>
  <c r="AQ13" i="31"/>
  <c r="AQ14" i="31"/>
  <c r="AQ15" i="31"/>
  <c r="AQ16" i="31"/>
  <c r="AQ17" i="31"/>
  <c r="AQ18" i="31"/>
  <c r="AQ19" i="31"/>
  <c r="AQ20" i="31"/>
  <c r="AQ21" i="31"/>
  <c r="AQ22" i="31"/>
  <c r="AQ23" i="31"/>
  <c r="AQ24" i="31"/>
  <c r="AQ27" i="31"/>
  <c r="AQ28" i="31"/>
  <c r="AQ29" i="31"/>
  <c r="AQ30" i="31"/>
  <c r="AQ31" i="31"/>
  <c r="AQ32" i="31"/>
  <c r="AQ33" i="31"/>
  <c r="AQ34" i="31"/>
  <c r="AQ35" i="31"/>
  <c r="AQ36" i="31"/>
  <c r="AQ37" i="31"/>
  <c r="AQ38" i="31"/>
  <c r="AQ39" i="31"/>
  <c r="AQ42" i="31"/>
  <c r="AQ43" i="31"/>
  <c r="AQ44" i="31"/>
  <c r="AQ45" i="31"/>
  <c r="AQ46" i="31"/>
  <c r="AQ47" i="31"/>
  <c r="AQ48" i="31"/>
  <c r="AQ49" i="31"/>
  <c r="AQ50" i="31"/>
  <c r="AQ51" i="31"/>
  <c r="AQ52" i="31"/>
  <c r="AQ53" i="31"/>
  <c r="AQ56" i="31"/>
  <c r="AQ57" i="31"/>
  <c r="AQ58" i="31"/>
  <c r="AQ59" i="31"/>
  <c r="AQ60" i="31"/>
  <c r="AQ61" i="31"/>
  <c r="AQ62" i="31"/>
  <c r="AQ63" i="31"/>
  <c r="AQ64" i="31"/>
  <c r="AQ65" i="31"/>
  <c r="AO9" i="31"/>
  <c r="AO10" i="31"/>
  <c r="AO11" i="31"/>
  <c r="AO12" i="31"/>
  <c r="AO13" i="31"/>
  <c r="AO14" i="31"/>
  <c r="AO15" i="31"/>
  <c r="AO16" i="31"/>
  <c r="AO17" i="31"/>
  <c r="AO18" i="31"/>
  <c r="AO19" i="31"/>
  <c r="AO20" i="31"/>
  <c r="AO21" i="31"/>
  <c r="AO22" i="31"/>
  <c r="AO23" i="31"/>
  <c r="AO24" i="31"/>
  <c r="AO27" i="31"/>
  <c r="AO28" i="31"/>
  <c r="AO29" i="31"/>
  <c r="AO30" i="31"/>
  <c r="AO31" i="31"/>
  <c r="AO42" i="31"/>
  <c r="AO43" i="31"/>
  <c r="AO44" i="31"/>
  <c r="AO45" i="31"/>
  <c r="AO46" i="31"/>
  <c r="AO47" i="31"/>
  <c r="AO48" i="31"/>
  <c r="AO49" i="31"/>
  <c r="AO50" i="31"/>
  <c r="AO51" i="31"/>
  <c r="AO52" i="31"/>
  <c r="AO53" i="31"/>
  <c r="AO56" i="31"/>
  <c r="AO57" i="31"/>
  <c r="AO58" i="31"/>
  <c r="AO59" i="31"/>
  <c r="AO60" i="31"/>
  <c r="AO61" i="31"/>
  <c r="AO62" i="31"/>
  <c r="AO63" i="31"/>
  <c r="AO64" i="31"/>
  <c r="AO65" i="31"/>
  <c r="AP9" i="31"/>
  <c r="AP10" i="31"/>
  <c r="AP11" i="31"/>
  <c r="AP12" i="31"/>
  <c r="AP13" i="31"/>
  <c r="AP14" i="31"/>
  <c r="AP15" i="31"/>
  <c r="AP16" i="31"/>
  <c r="AP17" i="31"/>
  <c r="AP18" i="31"/>
  <c r="AP19" i="31"/>
  <c r="AP20" i="31"/>
  <c r="AP21" i="31"/>
  <c r="AP22" i="31"/>
  <c r="AP23" i="31"/>
  <c r="AP24" i="31"/>
  <c r="AP27" i="31"/>
  <c r="AP28" i="31"/>
  <c r="AP29" i="31"/>
  <c r="AP30" i="31"/>
  <c r="AP31" i="31"/>
  <c r="AP32" i="31"/>
  <c r="AP33" i="31"/>
  <c r="AP34" i="31"/>
  <c r="AP35" i="31"/>
  <c r="AP36" i="31"/>
  <c r="AP37" i="31"/>
  <c r="AP38" i="31"/>
  <c r="AP39" i="31"/>
  <c r="AP42" i="31"/>
  <c r="AP43" i="31"/>
  <c r="AP44" i="31"/>
  <c r="AP45" i="31"/>
  <c r="AP46" i="31"/>
  <c r="AP47" i="31"/>
  <c r="AP48" i="31"/>
  <c r="AP49" i="31"/>
  <c r="AP50" i="31"/>
  <c r="AP51" i="31"/>
  <c r="AP52" i="31"/>
  <c r="AP53" i="31"/>
  <c r="AP56" i="31"/>
  <c r="AP57" i="31"/>
  <c r="AP58" i="31"/>
  <c r="AP59" i="31"/>
  <c r="AP60" i="31"/>
  <c r="AP61" i="31"/>
  <c r="AP62" i="31"/>
  <c r="AP63" i="31"/>
  <c r="AP64" i="31"/>
  <c r="AP65" i="31"/>
  <c r="AL9" i="31"/>
  <c r="AL10" i="31"/>
  <c r="AL11" i="31"/>
  <c r="AL12" i="31"/>
  <c r="AL13" i="31"/>
  <c r="AL14" i="31"/>
  <c r="AL15" i="31"/>
  <c r="AL16" i="31"/>
  <c r="AL17" i="31"/>
  <c r="AL18" i="31"/>
  <c r="AL19" i="31"/>
  <c r="AL20" i="31"/>
  <c r="AL21" i="31"/>
  <c r="AL22" i="31"/>
  <c r="AL23" i="31"/>
  <c r="AL24" i="31"/>
  <c r="AL27" i="31"/>
  <c r="AL28" i="31"/>
  <c r="AL29" i="31"/>
  <c r="AL30" i="31"/>
  <c r="AL31" i="31"/>
  <c r="AL32" i="31"/>
  <c r="AL33" i="31"/>
  <c r="AL34" i="31"/>
  <c r="AL35" i="31"/>
  <c r="AL36" i="31"/>
  <c r="AL37" i="31"/>
  <c r="AL38" i="31"/>
  <c r="AL39" i="31"/>
  <c r="AL42" i="31"/>
  <c r="AL43" i="31"/>
  <c r="AL44" i="31"/>
  <c r="AL45" i="31"/>
  <c r="AL46" i="31"/>
  <c r="AL47" i="31"/>
  <c r="AL48" i="31"/>
  <c r="AL49" i="31"/>
  <c r="AL50" i="31"/>
  <c r="AL51" i="31"/>
  <c r="AL52" i="31"/>
  <c r="AL53" i="31"/>
  <c r="AL56" i="31"/>
  <c r="AL57" i="31"/>
  <c r="AL58" i="31"/>
  <c r="AL59" i="31"/>
  <c r="AL60" i="31"/>
  <c r="AL61" i="31"/>
  <c r="AL62" i="31"/>
  <c r="AL63" i="31"/>
  <c r="AL64" i="31"/>
  <c r="AL65" i="31"/>
  <c r="AM9" i="31"/>
  <c r="AM10" i="31"/>
  <c r="AM11" i="31"/>
  <c r="AM12" i="31"/>
  <c r="AM13" i="31"/>
  <c r="AM14" i="31"/>
  <c r="AM15" i="31"/>
  <c r="AM16" i="31"/>
  <c r="AM17" i="31"/>
  <c r="AM18" i="31"/>
  <c r="AM19" i="31"/>
  <c r="AM20" i="31"/>
  <c r="AM21" i="31"/>
  <c r="AM22" i="31"/>
  <c r="AM23" i="31"/>
  <c r="AM24" i="31"/>
  <c r="AM27" i="31"/>
  <c r="AM28" i="31"/>
  <c r="AM29" i="31"/>
  <c r="AM30" i="31"/>
  <c r="AM31" i="31"/>
  <c r="AM32" i="31"/>
  <c r="AM33" i="31"/>
  <c r="AM34" i="31"/>
  <c r="AM35" i="31"/>
  <c r="AM36" i="31"/>
  <c r="AM37" i="31"/>
  <c r="AM38" i="31"/>
  <c r="AM39" i="31"/>
  <c r="AM42" i="31"/>
  <c r="AM43" i="31"/>
  <c r="AM44" i="31"/>
  <c r="AM45" i="31"/>
  <c r="AM46" i="31"/>
  <c r="AM47" i="31"/>
  <c r="AM48" i="31"/>
  <c r="AM49" i="31"/>
  <c r="AM50" i="31"/>
  <c r="AM51" i="31"/>
  <c r="AM52" i="31"/>
  <c r="AM53" i="31"/>
  <c r="AM56" i="31"/>
  <c r="AM57" i="31"/>
  <c r="AM58" i="31"/>
  <c r="AM59" i="31"/>
  <c r="AM60" i="31"/>
  <c r="AM61" i="31"/>
  <c r="AM62" i="31"/>
  <c r="AM63" i="31"/>
  <c r="AM64" i="31"/>
  <c r="AM65" i="31"/>
  <c r="DL52" i="19" l="1"/>
  <c r="AO54" i="31" s="1"/>
  <c r="DM52" i="19"/>
  <c r="DN52" i="19"/>
  <c r="DL38" i="19"/>
  <c r="DM38" i="19"/>
  <c r="DN38" i="19"/>
  <c r="DM23" i="19"/>
  <c r="DN23" i="19"/>
  <c r="DM5" i="19"/>
  <c r="DN5" i="19"/>
  <c r="DL23" i="19"/>
  <c r="DJ23" i="19"/>
  <c r="DJ52" i="19"/>
  <c r="DJ38" i="19"/>
  <c r="DJ5" i="19"/>
  <c r="DK5" i="19"/>
  <c r="DK52" i="19"/>
  <c r="AM54" i="31" s="1"/>
  <c r="DK38" i="19"/>
  <c r="DK23" i="19"/>
  <c r="DL5" i="19"/>
  <c r="RF53" i="9"/>
  <c r="RG53" i="9"/>
  <c r="RH53" i="9"/>
  <c r="RI53" i="9"/>
  <c r="RJ53" i="9"/>
  <c r="RF39" i="9"/>
  <c r="RG39" i="9"/>
  <c r="RH39" i="9"/>
  <c r="RI39" i="9"/>
  <c r="RJ39" i="9"/>
  <c r="RF24" i="9"/>
  <c r="RG24" i="9"/>
  <c r="RH24" i="9"/>
  <c r="RI24" i="9"/>
  <c r="RJ24" i="9"/>
  <c r="RF6" i="9"/>
  <c r="RG6" i="9"/>
  <c r="RH6" i="9"/>
  <c r="RI6" i="9"/>
  <c r="RJ6" i="9"/>
  <c r="PR53" i="9"/>
  <c r="PS53" i="9"/>
  <c r="PT53" i="9"/>
  <c r="PU53" i="9"/>
  <c r="AW54" i="31" s="1"/>
  <c r="PV53" i="9"/>
  <c r="PR39" i="9"/>
  <c r="PS39" i="9"/>
  <c r="PT39" i="9"/>
  <c r="AU40" i="31" s="1"/>
  <c r="PU39" i="9"/>
  <c r="PV39" i="9"/>
  <c r="PR24" i="9"/>
  <c r="PS24" i="9"/>
  <c r="AS25" i="31" s="1"/>
  <c r="PT24" i="9"/>
  <c r="AU25" i="31" s="1"/>
  <c r="PU24" i="9"/>
  <c r="PV24" i="9"/>
  <c r="PR6" i="9"/>
  <c r="PS6" i="9"/>
  <c r="PT6" i="9"/>
  <c r="AU7" i="31" s="1"/>
  <c r="PU6" i="9"/>
  <c r="PV6" i="9"/>
  <c r="KJ53" i="9"/>
  <c r="KK53" i="9"/>
  <c r="KL53" i="9"/>
  <c r="KM53" i="9"/>
  <c r="KN53" i="9"/>
  <c r="KI39" i="9"/>
  <c r="KJ39" i="9"/>
  <c r="KK39" i="9"/>
  <c r="KL39" i="9"/>
  <c r="KM39" i="9"/>
  <c r="KN39" i="9"/>
  <c r="KI24" i="9"/>
  <c r="KJ24" i="9"/>
  <c r="KK24" i="9"/>
  <c r="KL24" i="9"/>
  <c r="KM24" i="9"/>
  <c r="KN24" i="9"/>
  <c r="KJ6" i="9"/>
  <c r="KK6" i="9"/>
  <c r="KL6" i="9"/>
  <c r="KM6" i="9"/>
  <c r="KN6" i="9"/>
  <c r="JA53" i="9"/>
  <c r="JB53" i="9"/>
  <c r="JC53" i="9"/>
  <c r="JD53" i="9"/>
  <c r="JE53" i="9"/>
  <c r="JA39" i="9"/>
  <c r="JB39" i="9"/>
  <c r="JC39" i="9"/>
  <c r="JD39" i="9"/>
  <c r="JE39" i="9"/>
  <c r="JA24" i="9"/>
  <c r="JB24" i="9"/>
  <c r="JC24" i="9"/>
  <c r="JD24" i="9"/>
  <c r="JE24" i="9"/>
  <c r="JA6" i="9"/>
  <c r="JB6" i="9"/>
  <c r="JC6" i="9"/>
  <c r="JD6" i="9"/>
  <c r="JE6" i="9"/>
  <c r="HM53" i="9"/>
  <c r="HN53" i="9"/>
  <c r="HO53" i="9"/>
  <c r="HP53" i="9"/>
  <c r="HQ53" i="9"/>
  <c r="HM39" i="9"/>
  <c r="HN39" i="9"/>
  <c r="HO39" i="9"/>
  <c r="HP39" i="9"/>
  <c r="HQ39" i="9"/>
  <c r="HM24" i="9"/>
  <c r="HN24" i="9"/>
  <c r="HO24" i="9"/>
  <c r="HP24" i="9"/>
  <c r="HQ24" i="9"/>
  <c r="HP6" i="9"/>
  <c r="HM6" i="9"/>
  <c r="HN6" i="9"/>
  <c r="HO6" i="9"/>
  <c r="HQ6" i="9"/>
  <c r="FY53" i="9"/>
  <c r="FZ53" i="9"/>
  <c r="GA53" i="9"/>
  <c r="GB53" i="9"/>
  <c r="GC53" i="9"/>
  <c r="FY39" i="9"/>
  <c r="FZ39" i="9"/>
  <c r="GA39" i="9"/>
  <c r="GB39" i="9"/>
  <c r="GC39" i="9"/>
  <c r="FY24" i="9"/>
  <c r="FZ24" i="9"/>
  <c r="GA24" i="9"/>
  <c r="GB24" i="9"/>
  <c r="GC24" i="9"/>
  <c r="HW8" i="9"/>
  <c r="HX8" i="9"/>
  <c r="HY8" i="9"/>
  <c r="HZ8" i="9"/>
  <c r="IA8" i="9"/>
  <c r="IB8" i="9"/>
  <c r="IC8" i="9"/>
  <c r="ID8" i="9"/>
  <c r="IE8" i="9"/>
  <c r="IF8" i="9"/>
  <c r="FY6" i="9"/>
  <c r="FZ6" i="9"/>
  <c r="GA6" i="9"/>
  <c r="GB6" i="9"/>
  <c r="GC6" i="9"/>
  <c r="EG39" i="9"/>
  <c r="EH39" i="9"/>
  <c r="EI39" i="9"/>
  <c r="EJ39" i="9"/>
  <c r="EF24" i="9"/>
  <c r="EG24" i="9"/>
  <c r="AM25" i="31" s="1"/>
  <c r="EH24" i="9"/>
  <c r="AO25" i="31" s="1"/>
  <c r="EI24" i="9"/>
  <c r="AQ25" i="31" s="1"/>
  <c r="EJ24" i="9"/>
  <c r="EF6" i="9"/>
  <c r="EG6" i="9"/>
  <c r="EH6" i="9"/>
  <c r="AO7" i="31" s="1"/>
  <c r="EI6" i="9"/>
  <c r="EJ6" i="9"/>
  <c r="RH5" i="9" l="1"/>
  <c r="AS7" i="31"/>
  <c r="AW40" i="31"/>
  <c r="FY5" i="9"/>
  <c r="AW25" i="31"/>
  <c r="AM7" i="31"/>
  <c r="AO40" i="31"/>
  <c r="AQ40" i="31"/>
  <c r="PR5" i="9"/>
  <c r="RF5" i="9"/>
  <c r="AW7" i="31"/>
  <c r="AS40" i="31"/>
  <c r="AU54" i="31"/>
  <c r="DL4" i="19"/>
  <c r="DK4" i="19"/>
  <c r="AQ7" i="31"/>
  <c r="AM40" i="31"/>
  <c r="KJ5" i="9"/>
  <c r="AS54" i="31"/>
  <c r="DN4" i="19"/>
  <c r="AQ54" i="31"/>
  <c r="JA5" i="9"/>
  <c r="EF5" i="9"/>
  <c r="DM4" i="19"/>
  <c r="DJ4" i="19"/>
  <c r="RG5" i="9"/>
  <c r="RJ5" i="9"/>
  <c r="RI5" i="9"/>
  <c r="PS5" i="9"/>
  <c r="PT5" i="9"/>
  <c r="PV5" i="9"/>
  <c r="PU5" i="9"/>
  <c r="KK5" i="9"/>
  <c r="KN5" i="9"/>
  <c r="KM5" i="9"/>
  <c r="KL5" i="9"/>
  <c r="JB5" i="9"/>
  <c r="JC5" i="9"/>
  <c r="JE5" i="9"/>
  <c r="JD5" i="9"/>
  <c r="HN5" i="9"/>
  <c r="HM5" i="9"/>
  <c r="HQ5" i="9"/>
  <c r="HP5" i="9"/>
  <c r="HO5" i="9"/>
  <c r="FZ5" i="9"/>
  <c r="GB5" i="9"/>
  <c r="GC5" i="9"/>
  <c r="GA5" i="9"/>
  <c r="EI5" i="9"/>
  <c r="AQ6" i="31" s="1"/>
  <c r="EJ5" i="9"/>
  <c r="EH5" i="9"/>
  <c r="EG5" i="9"/>
  <c r="BO53" i="9"/>
  <c r="BP53" i="9"/>
  <c r="BQ53" i="9"/>
  <c r="BR53" i="9"/>
  <c r="BS53" i="9"/>
  <c r="BP39" i="9"/>
  <c r="BQ39" i="9"/>
  <c r="BR39" i="9"/>
  <c r="BS39" i="9"/>
  <c r="BP24" i="9"/>
  <c r="BQ24" i="9"/>
  <c r="BR24" i="9"/>
  <c r="BS24" i="9"/>
  <c r="AG53" i="9"/>
  <c r="AH53" i="9"/>
  <c r="AI53" i="9"/>
  <c r="AJ53" i="9"/>
  <c r="AG39" i="9"/>
  <c r="AH39" i="9"/>
  <c r="AI39" i="9"/>
  <c r="AJ39" i="9"/>
  <c r="AG24" i="9"/>
  <c r="AH24" i="9"/>
  <c r="AI24" i="9"/>
  <c r="AJ24" i="9"/>
  <c r="AO6" i="31" l="1"/>
  <c r="AU6" i="31"/>
  <c r="E8" i="23"/>
  <c r="AM6" i="31"/>
  <c r="AS6" i="31"/>
  <c r="AW6" i="31"/>
  <c r="BO39" i="9"/>
  <c r="BO24" i="9"/>
  <c r="BP6" i="9"/>
  <c r="BP5" i="9" s="1"/>
  <c r="BQ6" i="9"/>
  <c r="BQ5" i="9" s="1"/>
  <c r="BR6" i="9"/>
  <c r="BR5" i="9" s="1"/>
  <c r="BS6" i="9"/>
  <c r="BS5" i="9" s="1"/>
  <c r="AF53" i="9"/>
  <c r="AF39" i="9"/>
  <c r="AF24" i="9"/>
  <c r="CC8" i="9"/>
  <c r="CC9" i="9"/>
  <c r="CC10" i="9"/>
  <c r="CC11" i="9"/>
  <c r="CH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J24" i="9"/>
  <c r="BK24" i="9"/>
  <c r="BL24" i="9"/>
  <c r="BM24" i="9"/>
  <c r="BN24" i="9"/>
  <c r="BY24" i="9"/>
  <c r="BZ24" i="9"/>
  <c r="CA24" i="9"/>
  <c r="CB24" i="9"/>
  <c r="CM24" i="9"/>
  <c r="CN24" i="9"/>
  <c r="CO24" i="9"/>
  <c r="CP24" i="9"/>
  <c r="CQ24" i="9"/>
  <c r="CR24" i="9"/>
  <c r="CS24" i="9"/>
  <c r="CT24" i="9"/>
  <c r="CU24" i="9"/>
  <c r="CV24" i="9"/>
  <c r="CW24" i="9"/>
  <c r="CX24" i="9"/>
  <c r="CY24" i="9"/>
  <c r="CZ24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Y39" i="9"/>
  <c r="BZ39" i="9"/>
  <c r="CA39" i="9"/>
  <c r="CB39" i="9"/>
  <c r="CM39" i="9"/>
  <c r="CN39" i="9"/>
  <c r="CO39" i="9"/>
  <c r="CP39" i="9"/>
  <c r="CQ39" i="9"/>
  <c r="CR39" i="9"/>
  <c r="CS39" i="9"/>
  <c r="CT39" i="9"/>
  <c r="CU39" i="9"/>
  <c r="CV39" i="9"/>
  <c r="CW39" i="9"/>
  <c r="CX39" i="9"/>
  <c r="CY39" i="9"/>
  <c r="CZ39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K53" i="9"/>
  <c r="BL53" i="9"/>
  <c r="BM53" i="9"/>
  <c r="BN53" i="9"/>
  <c r="BY53" i="9"/>
  <c r="BZ53" i="9"/>
  <c r="CA53" i="9"/>
  <c r="CB53" i="9"/>
  <c r="CM53" i="9"/>
  <c r="CN53" i="9"/>
  <c r="CO53" i="9"/>
  <c r="CP53" i="9"/>
  <c r="CQ53" i="9"/>
  <c r="CR53" i="9"/>
  <c r="CS53" i="9"/>
  <c r="CT53" i="9"/>
  <c r="CU53" i="9"/>
  <c r="CV53" i="9"/>
  <c r="CW53" i="9"/>
  <c r="CX53" i="9"/>
  <c r="CY53" i="9"/>
  <c r="CZ53" i="9"/>
  <c r="CC55" i="9"/>
  <c r="CC56" i="9"/>
  <c r="CC57" i="9"/>
  <c r="CC58" i="9"/>
  <c r="CC59" i="9"/>
  <c r="CC60" i="9"/>
  <c r="CC61" i="9"/>
  <c r="CC62" i="9"/>
  <c r="CC63" i="9"/>
  <c r="CC64" i="9"/>
  <c r="AJ6" i="9"/>
  <c r="AJ5" i="9" s="1"/>
  <c r="AI6" i="9"/>
  <c r="AI5" i="9" s="1"/>
  <c r="AH6" i="9"/>
  <c r="AH5" i="9" s="1"/>
  <c r="AG6" i="9"/>
  <c r="AG5" i="9" s="1"/>
  <c r="CC24" i="9" l="1"/>
  <c r="CC39" i="9"/>
  <c r="CC53" i="9"/>
  <c r="BO6" i="9"/>
  <c r="BO5" i="9" s="1"/>
  <c r="AF6" i="9"/>
  <c r="AF5" i="9" s="1"/>
  <c r="Z57" i="31"/>
  <c r="Z58" i="31"/>
  <c r="Z59" i="31"/>
  <c r="Z60" i="31"/>
  <c r="Z61" i="31"/>
  <c r="Z62" i="31"/>
  <c r="Z63" i="31"/>
  <c r="Z64" i="31"/>
  <c r="Z65" i="31"/>
  <c r="Z56" i="31"/>
  <c r="Z43" i="31"/>
  <c r="Z44" i="31"/>
  <c r="Z45" i="31"/>
  <c r="Z46" i="31"/>
  <c r="Z47" i="31"/>
  <c r="Z48" i="31"/>
  <c r="Z49" i="31"/>
  <c r="Z50" i="31"/>
  <c r="Z51" i="31"/>
  <c r="Z52" i="31"/>
  <c r="Z53" i="31"/>
  <c r="Z42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27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9" i="31"/>
  <c r="AB57" i="31"/>
  <c r="AB58" i="31"/>
  <c r="AB59" i="31"/>
  <c r="AB60" i="31"/>
  <c r="AB61" i="31"/>
  <c r="AB62" i="31"/>
  <c r="AB63" i="31"/>
  <c r="AB64" i="31"/>
  <c r="AB65" i="31"/>
  <c r="AB56" i="31"/>
  <c r="AB43" i="31"/>
  <c r="AB44" i="31"/>
  <c r="AB45" i="31"/>
  <c r="AB46" i="31"/>
  <c r="AB47" i="31"/>
  <c r="AB48" i="31"/>
  <c r="AB49" i="31"/>
  <c r="AB50" i="31"/>
  <c r="AB51" i="31"/>
  <c r="AB52" i="31"/>
  <c r="AB53" i="31"/>
  <c r="AB42" i="31"/>
  <c r="AB28" i="31"/>
  <c r="AB29" i="31"/>
  <c r="AB30" i="31"/>
  <c r="AB31" i="31"/>
  <c r="AB32" i="31"/>
  <c r="AB33" i="31"/>
  <c r="AB34" i="31"/>
  <c r="AB35" i="31"/>
  <c r="AB36" i="31"/>
  <c r="AB37" i="31"/>
  <c r="AB38" i="31"/>
  <c r="AB39" i="31"/>
  <c r="AB27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9" i="31"/>
  <c r="AD57" i="31"/>
  <c r="AD58" i="31"/>
  <c r="AD59" i="31"/>
  <c r="AD60" i="31"/>
  <c r="AD61" i="31"/>
  <c r="AD62" i="31"/>
  <c r="AD63" i="31"/>
  <c r="AD64" i="31"/>
  <c r="AD65" i="31"/>
  <c r="AD56" i="31"/>
  <c r="AD43" i="31"/>
  <c r="AD44" i="31"/>
  <c r="AD45" i="31"/>
  <c r="AD46" i="31"/>
  <c r="AD47" i="31"/>
  <c r="AD48" i="31"/>
  <c r="AD49" i="31"/>
  <c r="AD50" i="31"/>
  <c r="AD51" i="31"/>
  <c r="AD52" i="31"/>
  <c r="AD53" i="31"/>
  <c r="AD42" i="31"/>
  <c r="AD28" i="31"/>
  <c r="AD29" i="31"/>
  <c r="AD30" i="31"/>
  <c r="AD31" i="31"/>
  <c r="AD32" i="31"/>
  <c r="AD33" i="31"/>
  <c r="AD34" i="31"/>
  <c r="AD35" i="31"/>
  <c r="AD36" i="31"/>
  <c r="AD37" i="31"/>
  <c r="AD38" i="31"/>
  <c r="AD39" i="31"/>
  <c r="AD27" i="31"/>
  <c r="AD10" i="31"/>
  <c r="AD11" i="31"/>
  <c r="AD12" i="31"/>
  <c r="AD13" i="31"/>
  <c r="AD14" i="31"/>
  <c r="AD15" i="31"/>
  <c r="AD16" i="31"/>
  <c r="AD17" i="31"/>
  <c r="AD18" i="31"/>
  <c r="AD19" i="31"/>
  <c r="AD20" i="31"/>
  <c r="AD21" i="31"/>
  <c r="AD22" i="31"/>
  <c r="AD23" i="31"/>
  <c r="AD24" i="31"/>
  <c r="AD9" i="31"/>
  <c r="AK57" i="31" l="1"/>
  <c r="AK58" i="31"/>
  <c r="AK59" i="31"/>
  <c r="AK60" i="31"/>
  <c r="AK61" i="31"/>
  <c r="AK62" i="31"/>
  <c r="AK63" i="31"/>
  <c r="AK64" i="31"/>
  <c r="AK65" i="31"/>
  <c r="AK56" i="31"/>
  <c r="AK43" i="31"/>
  <c r="AK44" i="31"/>
  <c r="AK45" i="31"/>
  <c r="AK46" i="31"/>
  <c r="AK47" i="31"/>
  <c r="AK48" i="31"/>
  <c r="AK49" i="31"/>
  <c r="AK50" i="31"/>
  <c r="AK51" i="31"/>
  <c r="AK52" i="31"/>
  <c r="AK53" i="31"/>
  <c r="AK42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27" i="31"/>
  <c r="AK10" i="31"/>
  <c r="AK11" i="31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9" i="31"/>
  <c r="AI57" i="31"/>
  <c r="AI58" i="31"/>
  <c r="AI59" i="31"/>
  <c r="AI60" i="31"/>
  <c r="AI61" i="31"/>
  <c r="AI62" i="31"/>
  <c r="AI63" i="31"/>
  <c r="AI64" i="31"/>
  <c r="AI65" i="31"/>
  <c r="AI56" i="31"/>
  <c r="AI43" i="31"/>
  <c r="AI44" i="31"/>
  <c r="AI45" i="31"/>
  <c r="AI46" i="31"/>
  <c r="AI47" i="31"/>
  <c r="AI48" i="31"/>
  <c r="AI49" i="31"/>
  <c r="AI50" i="31"/>
  <c r="AI51" i="31"/>
  <c r="AI52" i="31"/>
  <c r="AI53" i="31"/>
  <c r="AI42" i="31"/>
  <c r="AI28" i="31"/>
  <c r="AI29" i="31"/>
  <c r="AI30" i="31"/>
  <c r="AI31" i="31"/>
  <c r="AI32" i="31"/>
  <c r="AI33" i="31"/>
  <c r="AI34" i="31"/>
  <c r="AI35" i="31"/>
  <c r="AI36" i="31"/>
  <c r="AI37" i="31"/>
  <c r="AI38" i="31"/>
  <c r="AI39" i="31"/>
  <c r="AI27" i="31"/>
  <c r="AI10" i="31"/>
  <c r="AI11" i="31"/>
  <c r="AI12" i="31"/>
  <c r="AI13" i="31"/>
  <c r="AI14" i="31"/>
  <c r="AI15" i="31"/>
  <c r="AI16" i="31"/>
  <c r="AI17" i="31"/>
  <c r="AI18" i="31"/>
  <c r="AI19" i="31"/>
  <c r="AI20" i="31"/>
  <c r="AI21" i="31"/>
  <c r="AI22" i="31"/>
  <c r="AI23" i="31"/>
  <c r="AI24" i="31"/>
  <c r="AI9" i="31"/>
  <c r="AG57" i="31"/>
  <c r="AG58" i="31"/>
  <c r="AG59" i="31"/>
  <c r="AG60" i="31"/>
  <c r="AG61" i="31"/>
  <c r="AG62" i="31"/>
  <c r="AG63" i="31"/>
  <c r="AG64" i="31"/>
  <c r="AG65" i="31"/>
  <c r="AG56" i="31"/>
  <c r="AG43" i="31"/>
  <c r="AG44" i="31"/>
  <c r="AG45" i="31"/>
  <c r="AG46" i="31"/>
  <c r="AG47" i="31"/>
  <c r="AG48" i="31"/>
  <c r="AG49" i="31"/>
  <c r="AG50" i="31"/>
  <c r="AG51" i="31"/>
  <c r="AG52" i="31"/>
  <c r="AG53" i="31"/>
  <c r="AG42" i="31"/>
  <c r="AG28" i="31"/>
  <c r="AG29" i="31"/>
  <c r="AG30" i="31"/>
  <c r="AG31" i="31"/>
  <c r="AG32" i="31"/>
  <c r="AG33" i="31"/>
  <c r="AG34" i="31"/>
  <c r="AG35" i="31"/>
  <c r="AG36" i="31"/>
  <c r="AG37" i="31"/>
  <c r="AG38" i="31"/>
  <c r="AG39" i="31"/>
  <c r="AG27" i="31"/>
  <c r="AG10" i="31"/>
  <c r="AG11" i="31"/>
  <c r="AG12" i="31"/>
  <c r="AG13" i="31"/>
  <c r="AG14" i="31"/>
  <c r="AG15" i="31"/>
  <c r="AG16" i="31"/>
  <c r="AG17" i="31"/>
  <c r="AG18" i="31"/>
  <c r="AG19" i="31"/>
  <c r="AG20" i="31"/>
  <c r="AG21" i="31"/>
  <c r="AG22" i="31"/>
  <c r="AG23" i="31"/>
  <c r="AG24" i="31"/>
  <c r="AG9" i="31"/>
  <c r="AE57" i="31"/>
  <c r="AE58" i="31"/>
  <c r="AE59" i="31"/>
  <c r="AE60" i="31"/>
  <c r="AE61" i="31"/>
  <c r="AE62" i="31"/>
  <c r="AE63" i="31"/>
  <c r="AE64" i="31"/>
  <c r="AE65" i="31"/>
  <c r="AE56" i="31"/>
  <c r="AE43" i="31"/>
  <c r="AE44" i="31"/>
  <c r="AE45" i="31"/>
  <c r="AE46" i="31"/>
  <c r="AE47" i="31"/>
  <c r="AE48" i="31"/>
  <c r="AE49" i="31"/>
  <c r="AE50" i="31"/>
  <c r="AE51" i="31"/>
  <c r="AE52" i="31"/>
  <c r="AE53" i="31"/>
  <c r="AE42" i="31"/>
  <c r="AE28" i="31"/>
  <c r="AE29" i="31"/>
  <c r="AE30" i="31"/>
  <c r="AE31" i="31"/>
  <c r="AE32" i="31"/>
  <c r="AE33" i="31"/>
  <c r="AE34" i="31"/>
  <c r="AE35" i="31"/>
  <c r="AE36" i="31"/>
  <c r="AE37" i="31"/>
  <c r="AE38" i="31"/>
  <c r="AE39" i="31"/>
  <c r="AE27" i="31"/>
  <c r="AE10" i="31"/>
  <c r="AE11" i="31"/>
  <c r="AE12" i="31"/>
  <c r="AE13" i="31"/>
  <c r="AE14" i="31"/>
  <c r="AE15" i="31"/>
  <c r="AE16" i="31"/>
  <c r="AE17" i="31"/>
  <c r="AE18" i="31"/>
  <c r="AE19" i="31"/>
  <c r="AE20" i="31"/>
  <c r="AE21" i="31"/>
  <c r="AE22" i="31"/>
  <c r="AE23" i="31"/>
  <c r="AE24" i="31"/>
  <c r="AE9" i="31"/>
  <c r="AC57" i="31"/>
  <c r="AC58" i="31"/>
  <c r="AC59" i="31"/>
  <c r="AC60" i="31"/>
  <c r="AC61" i="31"/>
  <c r="AC62" i="31"/>
  <c r="AC63" i="31"/>
  <c r="AC64" i="31"/>
  <c r="AC65" i="31"/>
  <c r="AC56" i="31"/>
  <c r="AC43" i="31"/>
  <c r="AC44" i="31"/>
  <c r="AC45" i="31"/>
  <c r="AC46" i="31"/>
  <c r="AC47" i="31"/>
  <c r="AC48" i="31"/>
  <c r="AC49" i="31"/>
  <c r="AC50" i="31"/>
  <c r="AC51" i="31"/>
  <c r="AC52" i="31"/>
  <c r="AC53" i="31"/>
  <c r="AC42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27" i="31"/>
  <c r="AC10" i="31"/>
  <c r="AC11" i="31"/>
  <c r="AC12" i="31"/>
  <c r="AC13" i="31"/>
  <c r="AC14" i="31"/>
  <c r="AC15" i="31"/>
  <c r="AC16" i="31"/>
  <c r="AC17" i="31"/>
  <c r="AC18" i="31"/>
  <c r="AC19" i="31"/>
  <c r="AC20" i="31"/>
  <c r="AC21" i="31"/>
  <c r="AC22" i="31"/>
  <c r="AC23" i="31"/>
  <c r="AC24" i="31"/>
  <c r="AC9" i="31"/>
  <c r="AA57" i="31"/>
  <c r="AA58" i="31"/>
  <c r="AA59" i="31"/>
  <c r="AA60" i="31"/>
  <c r="AA61" i="31"/>
  <c r="AA62" i="31"/>
  <c r="AA63" i="31"/>
  <c r="AA64" i="31"/>
  <c r="AA65" i="31"/>
  <c r="AA56" i="31"/>
  <c r="AA43" i="31"/>
  <c r="AA44" i="31"/>
  <c r="AA45" i="31"/>
  <c r="AA46" i="31"/>
  <c r="AA47" i="31"/>
  <c r="AA48" i="31"/>
  <c r="AA49" i="31"/>
  <c r="AA50" i="31"/>
  <c r="AA51" i="31"/>
  <c r="AA52" i="31"/>
  <c r="AA53" i="31"/>
  <c r="AA42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27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9" i="31"/>
  <c r="FT53" i="9" l="1"/>
  <c r="FT39" i="9"/>
  <c r="FT24" i="9"/>
  <c r="DH52" i="19"/>
  <c r="DI52" i="19"/>
  <c r="DH38" i="19"/>
  <c r="DI38" i="19"/>
  <c r="DH23" i="19"/>
  <c r="DI23" i="19"/>
  <c r="DH5" i="19"/>
  <c r="DI5" i="19"/>
  <c r="DG5" i="19"/>
  <c r="DG52" i="19"/>
  <c r="DG38" i="19"/>
  <c r="DG23" i="19"/>
  <c r="DF52" i="19"/>
  <c r="DF38" i="19"/>
  <c r="DF23" i="19"/>
  <c r="DF5" i="19"/>
  <c r="DE5" i="19"/>
  <c r="DE23" i="19"/>
  <c r="DE38" i="19"/>
  <c r="DE52" i="19"/>
  <c r="DG4" i="19" l="1"/>
  <c r="DE4" i="19"/>
  <c r="DH4" i="19"/>
  <c r="DI4" i="19"/>
  <c r="DF4" i="19"/>
  <c r="RE6" i="9"/>
  <c r="RE24" i="9"/>
  <c r="RE39" i="9"/>
  <c r="RE53" i="9"/>
  <c r="PQ6" i="9"/>
  <c r="PQ24" i="9"/>
  <c r="PQ39" i="9"/>
  <c r="PQ53" i="9"/>
  <c r="KI6" i="9"/>
  <c r="KI53" i="9"/>
  <c r="IZ6" i="9"/>
  <c r="IZ24" i="9"/>
  <c r="IZ39" i="9"/>
  <c r="IZ53" i="9"/>
  <c r="HL6" i="9"/>
  <c r="HL24" i="9"/>
  <c r="HL39" i="9"/>
  <c r="HL53" i="9"/>
  <c r="FX6" i="9"/>
  <c r="FX24" i="9"/>
  <c r="FX39" i="9"/>
  <c r="FX53" i="9"/>
  <c r="AE53" i="9"/>
  <c r="AE39" i="9"/>
  <c r="AE24" i="9"/>
  <c r="EE53" i="9"/>
  <c r="EE6" i="9"/>
  <c r="EE39" i="9"/>
  <c r="EE24" i="9"/>
  <c r="EE5" i="9" l="1"/>
  <c r="FX5" i="9"/>
  <c r="HL5" i="9"/>
  <c r="IZ5" i="9"/>
  <c r="KI5" i="9"/>
  <c r="PQ5" i="9"/>
  <c r="RE5" i="9"/>
  <c r="BN6" i="9"/>
  <c r="BN5" i="9" s="1"/>
  <c r="AE6" i="9"/>
  <c r="AE5" i="9" s="1"/>
  <c r="RD6" i="9"/>
  <c r="RD24" i="9"/>
  <c r="RD39" i="9"/>
  <c r="RD53" i="9"/>
  <c r="PP6" i="9"/>
  <c r="PP24" i="9"/>
  <c r="AK25" i="31" s="1"/>
  <c r="PP39" i="9"/>
  <c r="AK40" i="31" s="1"/>
  <c r="PP53" i="9"/>
  <c r="AK54" i="31" s="1"/>
  <c r="KH6" i="9"/>
  <c r="KH24" i="9"/>
  <c r="KH39" i="9"/>
  <c r="KH53" i="9"/>
  <c r="IY6" i="9"/>
  <c r="IY24" i="9"/>
  <c r="IY39" i="9"/>
  <c r="IY53" i="9"/>
  <c r="HK6" i="9"/>
  <c r="HK24" i="9"/>
  <c r="HK39" i="9"/>
  <c r="HK53" i="9"/>
  <c r="FW53" i="9"/>
  <c r="FW39" i="9"/>
  <c r="FW24" i="9"/>
  <c r="FW6" i="9"/>
  <c r="ED6" i="9"/>
  <c r="ED24" i="9"/>
  <c r="AE25" i="31" s="1"/>
  <c r="ED39" i="9"/>
  <c r="AE40" i="31" s="1"/>
  <c r="ED53" i="9"/>
  <c r="AE54" i="31" s="1"/>
  <c r="BM6" i="9"/>
  <c r="AD6" i="9"/>
  <c r="AD24" i="9"/>
  <c r="AD39" i="9"/>
  <c r="AD53" i="9"/>
  <c r="AD5" i="9" l="1"/>
  <c r="ED5" i="9"/>
  <c r="AE6" i="31" s="1"/>
  <c r="AE7" i="31"/>
  <c r="HK5" i="9"/>
  <c r="KH5" i="9"/>
  <c r="PP5" i="9"/>
  <c r="AK6" i="31" s="1"/>
  <c r="AK7" i="31"/>
  <c r="RD5" i="9"/>
  <c r="IY5" i="9"/>
  <c r="FW5" i="9"/>
  <c r="BM5" i="9"/>
  <c r="RC6" i="9"/>
  <c r="RC24" i="9"/>
  <c r="RC39" i="9"/>
  <c r="RC53" i="9"/>
  <c r="PO6" i="9"/>
  <c r="PO24" i="9"/>
  <c r="AI25" i="31" s="1"/>
  <c r="PO39" i="9"/>
  <c r="AI40" i="31" s="1"/>
  <c r="PO53" i="9"/>
  <c r="AI54" i="31" s="1"/>
  <c r="KG6" i="9"/>
  <c r="KG24" i="9"/>
  <c r="KG39" i="9"/>
  <c r="KG53" i="9"/>
  <c r="HJ6" i="9"/>
  <c r="HJ24" i="9"/>
  <c r="HJ39" i="9"/>
  <c r="HJ53" i="9"/>
  <c r="IX6" i="9"/>
  <c r="IX24" i="9"/>
  <c r="IX39" i="9"/>
  <c r="IX53" i="9"/>
  <c r="FV6" i="9"/>
  <c r="FV24" i="9"/>
  <c r="FV39" i="9"/>
  <c r="FV53" i="9"/>
  <c r="EC6" i="9"/>
  <c r="EC24" i="9"/>
  <c r="AC25" i="31" s="1"/>
  <c r="EC39" i="9"/>
  <c r="AC40" i="31" s="1"/>
  <c r="EC53" i="9"/>
  <c r="AC54" i="31" s="1"/>
  <c r="BL6" i="9"/>
  <c r="AC6" i="9"/>
  <c r="AC24" i="9"/>
  <c r="AC39" i="9"/>
  <c r="AC53" i="9"/>
  <c r="AC5" i="9" l="1"/>
  <c r="EC5" i="9"/>
  <c r="AC6" i="31" s="1"/>
  <c r="AC7" i="31"/>
  <c r="RC5" i="9"/>
  <c r="BL5" i="9"/>
  <c r="IX5" i="9"/>
  <c r="KG5" i="9"/>
  <c r="PO5" i="9"/>
  <c r="AI6" i="31" s="1"/>
  <c r="AI7" i="31"/>
  <c r="H56" i="10"/>
  <c r="FV5" i="9"/>
  <c r="HJ5" i="9"/>
  <c r="FU6" i="9"/>
  <c r="FU24" i="9"/>
  <c r="FU39" i="9"/>
  <c r="FU53" i="9"/>
  <c r="FU5" i="9" l="1"/>
  <c r="H27" i="10"/>
  <c r="H42" i="10"/>
  <c r="KF6" i="9"/>
  <c r="KF24" i="9"/>
  <c r="KF39" i="9"/>
  <c r="KF53" i="9"/>
  <c r="RB6" i="9"/>
  <c r="RA24" i="9"/>
  <c r="RB24" i="9"/>
  <c r="RB39" i="9"/>
  <c r="RB53" i="9"/>
  <c r="PN6" i="9"/>
  <c r="PN24" i="9"/>
  <c r="AG25" i="31" s="1"/>
  <c r="PN39" i="9"/>
  <c r="AG40" i="31" s="1"/>
  <c r="PN53" i="9"/>
  <c r="AG54" i="31" s="1"/>
  <c r="IW6" i="9"/>
  <c r="IW24" i="9"/>
  <c r="IW39" i="9"/>
  <c r="IW53" i="9"/>
  <c r="HI6" i="9"/>
  <c r="HI24" i="9"/>
  <c r="HI39" i="9"/>
  <c r="HI53" i="9"/>
  <c r="EA53" i="9"/>
  <c r="EB53" i="9"/>
  <c r="AA54" i="31" s="1"/>
  <c r="EA39" i="9"/>
  <c r="EB39" i="9"/>
  <c r="AA40" i="31" s="1"/>
  <c r="EB24" i="9"/>
  <c r="AA25" i="31" s="1"/>
  <c r="EB6" i="9"/>
  <c r="AA7" i="31" s="1"/>
  <c r="BK6" i="9"/>
  <c r="AB6" i="9"/>
  <c r="AB53" i="9"/>
  <c r="AB39" i="9"/>
  <c r="AB24" i="9"/>
  <c r="HI5" i="9" l="1"/>
  <c r="PN5" i="9"/>
  <c r="AG6" i="31" s="1"/>
  <c r="AG7" i="31"/>
  <c r="AB5" i="9"/>
  <c r="BK5" i="9"/>
  <c r="RB5" i="9"/>
  <c r="KF5" i="9"/>
  <c r="IW5" i="9"/>
  <c r="EB5" i="9"/>
  <c r="AA6" i="31" s="1"/>
  <c r="RA6" i="9"/>
  <c r="RA39" i="9"/>
  <c r="RA53" i="9"/>
  <c r="PM53" i="9"/>
  <c r="PM39" i="9"/>
  <c r="PM24" i="9"/>
  <c r="PM6" i="9"/>
  <c r="KE53" i="9"/>
  <c r="KE39" i="9"/>
  <c r="KE24" i="9"/>
  <c r="KE6" i="9"/>
  <c r="IV53" i="9"/>
  <c r="IV39" i="9"/>
  <c r="IV24" i="9"/>
  <c r="HH53" i="9"/>
  <c r="HH39" i="9"/>
  <c r="HH24" i="9"/>
  <c r="HH6" i="9"/>
  <c r="FT6" i="9"/>
  <c r="EA24" i="9"/>
  <c r="EA6" i="9"/>
  <c r="BJ6" i="9"/>
  <c r="AA53" i="9"/>
  <c r="AA39" i="9"/>
  <c r="AA24" i="9"/>
  <c r="AA6" i="9"/>
  <c r="RA5" i="9" l="1"/>
  <c r="EA5" i="9"/>
  <c r="PM5" i="9"/>
  <c r="KE5" i="9"/>
  <c r="IV5" i="9"/>
  <c r="HH5" i="9"/>
  <c r="FT5" i="9"/>
  <c r="BJ5" i="9"/>
  <c r="AA5" i="9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7" i="31"/>
  <c r="Y28" i="31"/>
  <c r="Y29" i="31"/>
  <c r="Y30" i="31"/>
  <c r="Y31" i="31"/>
  <c r="Y32" i="31"/>
  <c r="Y33" i="31"/>
  <c r="Y34" i="31"/>
  <c r="Y35" i="31"/>
  <c r="Y36" i="31"/>
  <c r="Y37" i="31"/>
  <c r="Y38" i="31"/>
  <c r="Y39" i="31"/>
  <c r="Y42" i="31"/>
  <c r="Y43" i="31"/>
  <c r="Y44" i="31"/>
  <c r="Y45" i="31"/>
  <c r="Y46" i="31"/>
  <c r="Y47" i="31"/>
  <c r="Y48" i="31"/>
  <c r="Y49" i="31"/>
  <c r="Y50" i="31"/>
  <c r="Y51" i="31"/>
  <c r="Y52" i="31"/>
  <c r="Y53" i="31"/>
  <c r="Y56" i="31"/>
  <c r="Y57" i="31"/>
  <c r="Y58" i="31"/>
  <c r="Y59" i="31"/>
  <c r="Y60" i="31"/>
  <c r="Y61" i="31"/>
  <c r="Y62" i="31"/>
  <c r="Y63" i="31"/>
  <c r="Y64" i="31"/>
  <c r="Y65" i="31"/>
  <c r="Y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7" i="31"/>
  <c r="W28" i="31"/>
  <c r="W29" i="31"/>
  <c r="W30" i="31"/>
  <c r="W31" i="31"/>
  <c r="W32" i="31"/>
  <c r="W33" i="31"/>
  <c r="W34" i="31"/>
  <c r="W35" i="31"/>
  <c r="W36" i="31"/>
  <c r="W37" i="31"/>
  <c r="W38" i="31"/>
  <c r="W39" i="31"/>
  <c r="W42" i="31"/>
  <c r="W43" i="31"/>
  <c r="W44" i="31"/>
  <c r="W45" i="31"/>
  <c r="W46" i="31"/>
  <c r="W47" i="31"/>
  <c r="W48" i="31"/>
  <c r="W49" i="31"/>
  <c r="W50" i="31"/>
  <c r="W51" i="31"/>
  <c r="W52" i="31"/>
  <c r="W53" i="31"/>
  <c r="W56" i="31"/>
  <c r="W57" i="31"/>
  <c r="W58" i="31"/>
  <c r="W59" i="31"/>
  <c r="W60" i="31"/>
  <c r="W61" i="31"/>
  <c r="W62" i="31"/>
  <c r="W63" i="31"/>
  <c r="W64" i="31"/>
  <c r="W65" i="31"/>
  <c r="W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7" i="31"/>
  <c r="U28" i="31"/>
  <c r="U29" i="31"/>
  <c r="U30" i="31"/>
  <c r="U31" i="31"/>
  <c r="U32" i="31"/>
  <c r="U33" i="31"/>
  <c r="U34" i="31"/>
  <c r="U35" i="31"/>
  <c r="U36" i="31"/>
  <c r="U37" i="31"/>
  <c r="U38" i="31"/>
  <c r="U39" i="31"/>
  <c r="U42" i="31"/>
  <c r="U43" i="31"/>
  <c r="U44" i="31"/>
  <c r="U45" i="31"/>
  <c r="U46" i="31"/>
  <c r="U47" i="31"/>
  <c r="U48" i="31"/>
  <c r="U49" i="31"/>
  <c r="U50" i="31"/>
  <c r="U51" i="31"/>
  <c r="U52" i="31"/>
  <c r="U53" i="31"/>
  <c r="U56" i="31"/>
  <c r="U57" i="31"/>
  <c r="U58" i="31"/>
  <c r="U59" i="31"/>
  <c r="U60" i="31"/>
  <c r="U61" i="31"/>
  <c r="U62" i="31"/>
  <c r="U63" i="31"/>
  <c r="U64" i="31"/>
  <c r="U65" i="31"/>
  <c r="U9" i="31"/>
  <c r="DV6" i="9"/>
  <c r="DV24" i="9"/>
  <c r="DV39" i="9"/>
  <c r="DV53" i="9"/>
  <c r="DZ6" i="9"/>
  <c r="DZ24" i="9"/>
  <c r="DZ39" i="9"/>
  <c r="DZ53" i="9"/>
  <c r="DY6" i="9"/>
  <c r="DY24" i="9"/>
  <c r="DY39" i="9"/>
  <c r="DY53" i="9"/>
  <c r="DX6" i="9"/>
  <c r="DX24" i="9"/>
  <c r="DX39" i="9"/>
  <c r="DX53" i="9"/>
  <c r="DW6" i="9"/>
  <c r="DW24" i="9"/>
  <c r="DW39" i="9"/>
  <c r="DW53" i="9"/>
  <c r="DX5" i="9" l="1"/>
  <c r="DZ5" i="9"/>
  <c r="DW5" i="9"/>
  <c r="DV5" i="9"/>
  <c r="DY5" i="9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6" i="31"/>
  <c r="C57" i="31"/>
  <c r="C58" i="31"/>
  <c r="C59" i="31"/>
  <c r="C60" i="31"/>
  <c r="C61" i="31"/>
  <c r="C62" i="31"/>
  <c r="C63" i="31"/>
  <c r="C64" i="31"/>
  <c r="C65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6" i="31"/>
  <c r="E57" i="31"/>
  <c r="E58" i="31"/>
  <c r="E59" i="31"/>
  <c r="E60" i="31"/>
  <c r="E61" i="31"/>
  <c r="E62" i="31"/>
  <c r="E63" i="31"/>
  <c r="E64" i="31"/>
  <c r="E65" i="31"/>
  <c r="HC6" i="9"/>
  <c r="HD6" i="9"/>
  <c r="HE6" i="9"/>
  <c r="HF6" i="9"/>
  <c r="HG6" i="9"/>
  <c r="HC24" i="9"/>
  <c r="HD24" i="9"/>
  <c r="HE24" i="9"/>
  <c r="HF24" i="9"/>
  <c r="HG24" i="9"/>
  <c r="HC39" i="9"/>
  <c r="HD39" i="9"/>
  <c r="HE39" i="9"/>
  <c r="HF39" i="9"/>
  <c r="HG39" i="9"/>
  <c r="HC53" i="9"/>
  <c r="HD53" i="9"/>
  <c r="HE53" i="9"/>
  <c r="HF53" i="9"/>
  <c r="HG53" i="9"/>
  <c r="IR6" i="9"/>
  <c r="IS6" i="9"/>
  <c r="IT6" i="9"/>
  <c r="IU6" i="9"/>
  <c r="IR24" i="9"/>
  <c r="IS24" i="9"/>
  <c r="IT24" i="9"/>
  <c r="IU24" i="9"/>
  <c r="IR39" i="9"/>
  <c r="IS39" i="9"/>
  <c r="IT39" i="9"/>
  <c r="IU39" i="9"/>
  <c r="IR53" i="9"/>
  <c r="IS53" i="9"/>
  <c r="IT53" i="9"/>
  <c r="IU53" i="9"/>
  <c r="IQ6" i="9"/>
  <c r="IQ24" i="9"/>
  <c r="IQ39" i="9"/>
  <c r="IQ53" i="9"/>
  <c r="FS6" i="9"/>
  <c r="FS53" i="9"/>
  <c r="FS39" i="9"/>
  <c r="FS24" i="9"/>
  <c r="FR6" i="9"/>
  <c r="FR24" i="9"/>
  <c r="FR39" i="9"/>
  <c r="FR53" i="9"/>
  <c r="FQ6" i="9"/>
  <c r="FQ24" i="9"/>
  <c r="FQ39" i="9"/>
  <c r="FQ53" i="9"/>
  <c r="FP6" i="9"/>
  <c r="FP24" i="9"/>
  <c r="FP39" i="9"/>
  <c r="FP53" i="9"/>
  <c r="FO6" i="9"/>
  <c r="FO24" i="9"/>
  <c r="FO39" i="9"/>
  <c r="FO53" i="9"/>
  <c r="HC5" i="9" l="1"/>
  <c r="HG5" i="9"/>
  <c r="HF5" i="9"/>
  <c r="HE5" i="9"/>
  <c r="HD5" i="9"/>
  <c r="IU5" i="9"/>
  <c r="IT5" i="9"/>
  <c r="IS5" i="9"/>
  <c r="IQ5" i="9"/>
  <c r="IR5" i="9"/>
  <c r="FP5" i="9"/>
  <c r="FO5" i="9"/>
  <c r="FQ5" i="9"/>
  <c r="FS5" i="9"/>
  <c r="FR5" i="9"/>
  <c r="DA38" i="19" l="1"/>
  <c r="S10" i="31" l="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2" i="31"/>
  <c r="S43" i="31"/>
  <c r="S44" i="31"/>
  <c r="S45" i="31"/>
  <c r="S46" i="31"/>
  <c r="S47" i="31"/>
  <c r="S48" i="31"/>
  <c r="S49" i="31"/>
  <c r="S50" i="31"/>
  <c r="S51" i="31"/>
  <c r="S52" i="31"/>
  <c r="S53" i="31"/>
  <c r="S56" i="31"/>
  <c r="S57" i="31"/>
  <c r="S58" i="31"/>
  <c r="S59" i="31"/>
  <c r="S60" i="31"/>
  <c r="S61" i="31"/>
  <c r="S62" i="31"/>
  <c r="S63" i="31"/>
  <c r="S64" i="31"/>
  <c r="S65" i="31"/>
  <c r="S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6" i="31"/>
  <c r="Q57" i="31"/>
  <c r="Q58" i="31"/>
  <c r="Q59" i="31"/>
  <c r="Q60" i="31"/>
  <c r="Q61" i="31"/>
  <c r="Q62" i="31"/>
  <c r="Q63" i="31"/>
  <c r="Q64" i="31"/>
  <c r="Q65" i="31"/>
  <c r="Q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6" i="31"/>
  <c r="O57" i="31"/>
  <c r="O58" i="31"/>
  <c r="O59" i="31"/>
  <c r="O60" i="31"/>
  <c r="O61" i="31"/>
  <c r="O62" i="31"/>
  <c r="O63" i="31"/>
  <c r="O64" i="31"/>
  <c r="O65" i="31"/>
  <c r="O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6" i="31"/>
  <c r="R57" i="31"/>
  <c r="R58" i="31"/>
  <c r="R59" i="31"/>
  <c r="R60" i="31"/>
  <c r="R61" i="31"/>
  <c r="R62" i="31"/>
  <c r="R63" i="31"/>
  <c r="R64" i="31"/>
  <c r="R65" i="31"/>
  <c r="R9" i="31"/>
  <c r="P65" i="31"/>
  <c r="P64" i="31"/>
  <c r="P63" i="31"/>
  <c r="P62" i="31"/>
  <c r="P61" i="31"/>
  <c r="P60" i="31"/>
  <c r="P59" i="31"/>
  <c r="P58" i="31"/>
  <c r="P57" i="31"/>
  <c r="P56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N65" i="31"/>
  <c r="N64" i="31"/>
  <c r="N63" i="31"/>
  <c r="N62" i="31"/>
  <c r="N61" i="31"/>
  <c r="N60" i="31"/>
  <c r="N59" i="31"/>
  <c r="N58" i="31"/>
  <c r="N57" i="31"/>
  <c r="N56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CZ5" i="19" l="1"/>
  <c r="DA5" i="19"/>
  <c r="DB5" i="19"/>
  <c r="DC5" i="19"/>
  <c r="DD5" i="19"/>
  <c r="CZ52" i="19"/>
  <c r="DA52" i="19"/>
  <c r="DB52" i="19"/>
  <c r="DC52" i="19"/>
  <c r="DD52" i="19"/>
  <c r="CZ38" i="19"/>
  <c r="DB38" i="19"/>
  <c r="DC38" i="19"/>
  <c r="DD38" i="19"/>
  <c r="CZ23" i="19"/>
  <c r="DA23" i="19"/>
  <c r="DB23" i="19"/>
  <c r="DC23" i="19"/>
  <c r="DD23" i="19"/>
  <c r="DC4" i="19" l="1"/>
  <c r="CZ4" i="19"/>
  <c r="DD4" i="19"/>
  <c r="DB4" i="19"/>
  <c r="DA4" i="19"/>
  <c r="QZ6" i="9"/>
  <c r="QZ24" i="9"/>
  <c r="QZ39" i="9"/>
  <c r="QZ53" i="9"/>
  <c r="QX6" i="9"/>
  <c r="QY6" i="9"/>
  <c r="QX24" i="9"/>
  <c r="QY24" i="9"/>
  <c r="QX39" i="9"/>
  <c r="QY39" i="9"/>
  <c r="QX53" i="9"/>
  <c r="QY53" i="9"/>
  <c r="QW6" i="9"/>
  <c r="QW24" i="9"/>
  <c r="QW39" i="9"/>
  <c r="QW53" i="9"/>
  <c r="QV6" i="9"/>
  <c r="QV53" i="9"/>
  <c r="QV39" i="9"/>
  <c r="QV24" i="9"/>
  <c r="QV5" i="9" l="1"/>
  <c r="QZ5" i="9"/>
  <c r="QX5" i="9"/>
  <c r="QW5" i="9"/>
  <c r="QY5" i="9"/>
  <c r="PH6" i="9" l="1"/>
  <c r="PI6" i="9"/>
  <c r="U7" i="31" s="1"/>
  <c r="PJ6" i="9"/>
  <c r="W7" i="31" s="1"/>
  <c r="PK6" i="9"/>
  <c r="Y7" i="31" s="1"/>
  <c r="PL6" i="9"/>
  <c r="PH53" i="9"/>
  <c r="PI53" i="9"/>
  <c r="U54" i="31" s="1"/>
  <c r="PJ53" i="9"/>
  <c r="W54" i="31" s="1"/>
  <c r="PK53" i="9"/>
  <c r="Y54" i="31" s="1"/>
  <c r="PL53" i="9"/>
  <c r="PH39" i="9"/>
  <c r="PI39" i="9"/>
  <c r="U40" i="31" s="1"/>
  <c r="PJ39" i="9"/>
  <c r="W40" i="31" s="1"/>
  <c r="PK39" i="9"/>
  <c r="Y40" i="31" s="1"/>
  <c r="PL39" i="9"/>
  <c r="PL24" i="9"/>
  <c r="PH24" i="9"/>
  <c r="PI24" i="9"/>
  <c r="U25" i="31" s="1"/>
  <c r="PJ24" i="9"/>
  <c r="W25" i="31" s="1"/>
  <c r="PK24" i="9"/>
  <c r="Y25" i="31" s="1"/>
  <c r="O7" i="31"/>
  <c r="Q7" i="31"/>
  <c r="S7" i="31"/>
  <c r="O54" i="31"/>
  <c r="Q54" i="31"/>
  <c r="S54" i="31"/>
  <c r="O40" i="31"/>
  <c r="Q40" i="31"/>
  <c r="S40" i="31"/>
  <c r="O25" i="31"/>
  <c r="Q25" i="31"/>
  <c r="S25" i="31"/>
  <c r="BI6" i="9"/>
  <c r="BH6" i="9"/>
  <c r="DU8" i="9"/>
  <c r="EP8" i="9"/>
  <c r="EQ8" i="9"/>
  <c r="ER8" i="9"/>
  <c r="ES8" i="9"/>
  <c r="ET8" i="9"/>
  <c r="DU9" i="9"/>
  <c r="EP9" i="9"/>
  <c r="EQ9" i="9"/>
  <c r="ER9" i="9"/>
  <c r="ES9" i="9"/>
  <c r="ET9" i="9"/>
  <c r="DU10" i="9"/>
  <c r="DU11" i="9"/>
  <c r="EP11" i="9"/>
  <c r="EQ11" i="9"/>
  <c r="ER11" i="9"/>
  <c r="ES11" i="9"/>
  <c r="ET11" i="9"/>
  <c r="DU12" i="9"/>
  <c r="EP12" i="9"/>
  <c r="EQ12" i="9"/>
  <c r="ER12" i="9"/>
  <c r="ES12" i="9"/>
  <c r="ET12" i="9"/>
  <c r="DU13" i="9"/>
  <c r="EP13" i="9"/>
  <c r="EQ13" i="9"/>
  <c r="ER13" i="9"/>
  <c r="ES13" i="9"/>
  <c r="ET13" i="9"/>
  <c r="DU14" i="9"/>
  <c r="EP14" i="9"/>
  <c r="EQ14" i="9"/>
  <c r="ER14" i="9"/>
  <c r="ES14" i="9"/>
  <c r="ET14" i="9"/>
  <c r="DU15" i="9"/>
  <c r="EP15" i="9"/>
  <c r="EQ15" i="9"/>
  <c r="ER15" i="9"/>
  <c r="ES15" i="9"/>
  <c r="ET15" i="9"/>
  <c r="DU16" i="9"/>
  <c r="EP16" i="9"/>
  <c r="EQ16" i="9"/>
  <c r="ER16" i="9"/>
  <c r="ES16" i="9"/>
  <c r="ET16" i="9"/>
  <c r="DU17" i="9"/>
  <c r="EP17" i="9"/>
  <c r="EQ17" i="9"/>
  <c r="ER17" i="9"/>
  <c r="ES17" i="9"/>
  <c r="ET17" i="9"/>
  <c r="DU18" i="9"/>
  <c r="EP18" i="9"/>
  <c r="EQ18" i="9"/>
  <c r="ER18" i="9"/>
  <c r="ES18" i="9"/>
  <c r="ET18" i="9"/>
  <c r="DU19" i="9"/>
  <c r="EP19" i="9"/>
  <c r="EQ19" i="9"/>
  <c r="ER19" i="9"/>
  <c r="ES19" i="9"/>
  <c r="ET19" i="9"/>
  <c r="DU20" i="9"/>
  <c r="EP20" i="9"/>
  <c r="EQ20" i="9"/>
  <c r="ER20" i="9"/>
  <c r="ES20" i="9"/>
  <c r="ET20" i="9"/>
  <c r="DU21" i="9"/>
  <c r="EP21" i="9"/>
  <c r="EQ21" i="9"/>
  <c r="ER21" i="9"/>
  <c r="ES21" i="9"/>
  <c r="ET21" i="9"/>
  <c r="DU22" i="9"/>
  <c r="EP22" i="9"/>
  <c r="EQ22" i="9"/>
  <c r="ER22" i="9"/>
  <c r="ES22" i="9"/>
  <c r="ET22" i="9"/>
  <c r="DU23" i="9"/>
  <c r="EP23" i="9"/>
  <c r="EQ23" i="9"/>
  <c r="ER23" i="9"/>
  <c r="ES23" i="9"/>
  <c r="ET23" i="9"/>
  <c r="DA24" i="9"/>
  <c r="DB24" i="9"/>
  <c r="DC24" i="9"/>
  <c r="DD24" i="9"/>
  <c r="DE24" i="9"/>
  <c r="DF24" i="9"/>
  <c r="DG24" i="9"/>
  <c r="DH24" i="9"/>
  <c r="DI24" i="9"/>
  <c r="DJ24" i="9"/>
  <c r="DK24" i="9"/>
  <c r="DL24" i="9"/>
  <c r="DM24" i="9"/>
  <c r="DN24" i="9"/>
  <c r="DO24" i="9"/>
  <c r="DP24" i="9"/>
  <c r="DQ24" i="9"/>
  <c r="DR24" i="9"/>
  <c r="DS24" i="9"/>
  <c r="DT24" i="9"/>
  <c r="EU24" i="9"/>
  <c r="DU26" i="9"/>
  <c r="DU27" i="9"/>
  <c r="DU28" i="9"/>
  <c r="DU29" i="9"/>
  <c r="DU30" i="9"/>
  <c r="DU31" i="9"/>
  <c r="DU32" i="9"/>
  <c r="DU33" i="9"/>
  <c r="DU34" i="9"/>
  <c r="DU35" i="9"/>
  <c r="DU36" i="9"/>
  <c r="DU37" i="9"/>
  <c r="DU38" i="9"/>
  <c r="DA39" i="9"/>
  <c r="DB39" i="9"/>
  <c r="DC39" i="9"/>
  <c r="DD39" i="9"/>
  <c r="DE39" i="9"/>
  <c r="DF39" i="9"/>
  <c r="DG39" i="9"/>
  <c r="DH39" i="9"/>
  <c r="DI39" i="9"/>
  <c r="DJ39" i="9"/>
  <c r="DK39" i="9"/>
  <c r="DL39" i="9"/>
  <c r="DM39" i="9"/>
  <c r="DN39" i="9"/>
  <c r="DO39" i="9"/>
  <c r="DP39" i="9"/>
  <c r="DQ39" i="9"/>
  <c r="DR39" i="9"/>
  <c r="DS39" i="9"/>
  <c r="DT39" i="9"/>
  <c r="EU39" i="9"/>
  <c r="DU41" i="9"/>
  <c r="DU42" i="9"/>
  <c r="DU43" i="9"/>
  <c r="DU44" i="9"/>
  <c r="DU45" i="9"/>
  <c r="DU46" i="9"/>
  <c r="DU47" i="9"/>
  <c r="DU48" i="9"/>
  <c r="DU49" i="9"/>
  <c r="DU50" i="9"/>
  <c r="DU51" i="9"/>
  <c r="DU52" i="9"/>
  <c r="DA53" i="9"/>
  <c r="DB53" i="9"/>
  <c r="DC53" i="9"/>
  <c r="DD53" i="9"/>
  <c r="DE53" i="9"/>
  <c r="DF53" i="9"/>
  <c r="DG53" i="9"/>
  <c r="DH53" i="9"/>
  <c r="DI53" i="9"/>
  <c r="DJ53" i="9"/>
  <c r="DK53" i="9"/>
  <c r="DL53" i="9"/>
  <c r="DM53" i="9"/>
  <c r="DN53" i="9"/>
  <c r="DO53" i="9"/>
  <c r="DP53" i="9"/>
  <c r="DQ53" i="9"/>
  <c r="DR53" i="9"/>
  <c r="DS53" i="9"/>
  <c r="DT53" i="9"/>
  <c r="EU53" i="9"/>
  <c r="DU55" i="9"/>
  <c r="DU56" i="9"/>
  <c r="DU57" i="9"/>
  <c r="DU58" i="9"/>
  <c r="DU59" i="9"/>
  <c r="DU60" i="9"/>
  <c r="DU61" i="9"/>
  <c r="DU62" i="9"/>
  <c r="DU63" i="9"/>
  <c r="DU64" i="9"/>
  <c r="BG6" i="9"/>
  <c r="BF6" i="9"/>
  <c r="BE6" i="9"/>
  <c r="V6" i="9"/>
  <c r="V24" i="9"/>
  <c r="V39" i="9"/>
  <c r="V53" i="9"/>
  <c r="DU53" i="9" l="1"/>
  <c r="DU24" i="9"/>
  <c r="PL5" i="9"/>
  <c r="DU39" i="9"/>
  <c r="PK5" i="9"/>
  <c r="Y6" i="31" s="1"/>
  <c r="PJ5" i="9"/>
  <c r="W6" i="31" s="1"/>
  <c r="PI5" i="9"/>
  <c r="U6" i="31" s="1"/>
  <c r="PH5" i="9"/>
  <c r="BG5" i="9"/>
  <c r="S6" i="31"/>
  <c r="Q6" i="31"/>
  <c r="O6" i="31"/>
  <c r="BH5" i="9"/>
  <c r="BI5" i="9"/>
  <c r="V5" i="9"/>
  <c r="BF5" i="9"/>
  <c r="BE5" i="9"/>
  <c r="W6" i="9" l="1"/>
  <c r="W53" i="9"/>
  <c r="W39" i="9"/>
  <c r="W24" i="9"/>
  <c r="X6" i="9"/>
  <c r="X53" i="9"/>
  <c r="X39" i="9"/>
  <c r="X24" i="9"/>
  <c r="Y6" i="9"/>
  <c r="Y24" i="9"/>
  <c r="Y39" i="9"/>
  <c r="Y53" i="9"/>
  <c r="Z53" i="9"/>
  <c r="Z39" i="9"/>
  <c r="Z24" i="9"/>
  <c r="Z6" i="9"/>
  <c r="X5" i="9" l="1"/>
  <c r="W5" i="9"/>
  <c r="Y5" i="9"/>
  <c r="Z5" i="9"/>
  <c r="M64" i="31" l="1"/>
  <c r="M57" i="31"/>
  <c r="M50" i="31"/>
  <c r="K50" i="31"/>
  <c r="G64" i="31"/>
  <c r="G57" i="31"/>
  <c r="G50" i="31"/>
  <c r="K34" i="31" l="1"/>
  <c r="K35" i="31"/>
  <c r="K36" i="31"/>
  <c r="K37" i="31"/>
  <c r="K38" i="31"/>
  <c r="K39" i="31"/>
  <c r="K42" i="31"/>
  <c r="K43" i="31"/>
  <c r="K44" i="31"/>
  <c r="K45" i="31"/>
  <c r="K46" i="31"/>
  <c r="K47" i="31"/>
  <c r="K48" i="31"/>
  <c r="K49" i="31"/>
  <c r="K51" i="31"/>
  <c r="K52" i="31"/>
  <c r="K53" i="31"/>
  <c r="K56" i="31"/>
  <c r="K57" i="31"/>
  <c r="K58" i="31"/>
  <c r="K59" i="31"/>
  <c r="K60" i="31"/>
  <c r="K61" i="31"/>
  <c r="K62" i="31"/>
  <c r="K63" i="31"/>
  <c r="K64" i="31"/>
  <c r="K65" i="31"/>
  <c r="K32" i="31"/>
  <c r="M65" i="31"/>
  <c r="M63" i="31"/>
  <c r="M62" i="31"/>
  <c r="M61" i="31"/>
  <c r="M60" i="31"/>
  <c r="M59" i="31"/>
  <c r="M58" i="31"/>
  <c r="M56" i="31"/>
  <c r="M53" i="31"/>
  <c r="M52" i="31"/>
  <c r="M51" i="31"/>
  <c r="M49" i="31"/>
  <c r="M48" i="31"/>
  <c r="M47" i="31"/>
  <c r="M46" i="31"/>
  <c r="M45" i="31"/>
  <c r="M44" i="31"/>
  <c r="M43" i="31"/>
  <c r="M42" i="31"/>
  <c r="M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K33" i="31"/>
  <c r="K31" i="31"/>
  <c r="K30" i="31"/>
  <c r="K29" i="31"/>
  <c r="K28" i="31"/>
  <c r="K27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I65" i="31"/>
  <c r="I64" i="31"/>
  <c r="I63" i="31"/>
  <c r="I62" i="31"/>
  <c r="I61" i="31"/>
  <c r="I60" i="31"/>
  <c r="I59" i="31"/>
  <c r="I58" i="31"/>
  <c r="I57" i="31"/>
  <c r="I56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G65" i="31"/>
  <c r="G63" i="31"/>
  <c r="G62" i="31"/>
  <c r="G61" i="31"/>
  <c r="G60" i="31"/>
  <c r="G59" i="31"/>
  <c r="G58" i="31"/>
  <c r="G56" i="31"/>
  <c r="G53" i="31"/>
  <c r="G52" i="31"/>
  <c r="G51" i="31"/>
  <c r="G49" i="31"/>
  <c r="G48" i="31"/>
  <c r="G47" i="31"/>
  <c r="G46" i="31"/>
  <c r="G45" i="31"/>
  <c r="G44" i="31"/>
  <c r="G43" i="31"/>
  <c r="G42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HW56" i="9"/>
  <c r="HX56" i="9"/>
  <c r="HY56" i="9"/>
  <c r="HZ56" i="9"/>
  <c r="IA56" i="9"/>
  <c r="IB56" i="9"/>
  <c r="IC56" i="9"/>
  <c r="ID56" i="9"/>
  <c r="IE56" i="9"/>
  <c r="IF56" i="9"/>
  <c r="HW57" i="9"/>
  <c r="HX57" i="9"/>
  <c r="HY57" i="9"/>
  <c r="HZ57" i="9"/>
  <c r="IA57" i="9"/>
  <c r="IB57" i="9"/>
  <c r="IC57" i="9"/>
  <c r="ID57" i="9"/>
  <c r="IE57" i="9"/>
  <c r="IF57" i="9"/>
  <c r="HW58" i="9"/>
  <c r="HX58" i="9"/>
  <c r="HY58" i="9"/>
  <c r="HZ58" i="9"/>
  <c r="IA58" i="9"/>
  <c r="IB58" i="9"/>
  <c r="IC58" i="9"/>
  <c r="ID58" i="9"/>
  <c r="IE58" i="9"/>
  <c r="IF58" i="9"/>
  <c r="HW59" i="9"/>
  <c r="HX59" i="9"/>
  <c r="HY59" i="9"/>
  <c r="HZ59" i="9"/>
  <c r="IA59" i="9"/>
  <c r="IB59" i="9"/>
  <c r="IC59" i="9"/>
  <c r="ID59" i="9"/>
  <c r="IE59" i="9"/>
  <c r="IF59" i="9"/>
  <c r="HW60" i="9"/>
  <c r="HX60" i="9"/>
  <c r="HY60" i="9"/>
  <c r="HZ60" i="9"/>
  <c r="IA60" i="9"/>
  <c r="IB60" i="9"/>
  <c r="IC60" i="9"/>
  <c r="ID60" i="9"/>
  <c r="IE60" i="9"/>
  <c r="IF60" i="9"/>
  <c r="HW61" i="9"/>
  <c r="HX61" i="9"/>
  <c r="HY61" i="9"/>
  <c r="HZ61" i="9"/>
  <c r="IA61" i="9"/>
  <c r="IB61" i="9"/>
  <c r="IC61" i="9"/>
  <c r="ID61" i="9"/>
  <c r="IE61" i="9"/>
  <c r="IF61" i="9"/>
  <c r="HW62" i="9"/>
  <c r="HX62" i="9"/>
  <c r="HY62" i="9"/>
  <c r="HZ62" i="9"/>
  <c r="IA62" i="9"/>
  <c r="IB62" i="9"/>
  <c r="IC62" i="9"/>
  <c r="ID62" i="9"/>
  <c r="IE62" i="9"/>
  <c r="IF62" i="9"/>
  <c r="HW63" i="9"/>
  <c r="HX63" i="9"/>
  <c r="HY63" i="9"/>
  <c r="HZ63" i="9"/>
  <c r="IA63" i="9"/>
  <c r="IB63" i="9"/>
  <c r="IC63" i="9"/>
  <c r="ID63" i="9"/>
  <c r="IE63" i="9"/>
  <c r="IF63" i="9"/>
  <c r="HW64" i="9"/>
  <c r="HX64" i="9"/>
  <c r="HY64" i="9"/>
  <c r="HZ64" i="9"/>
  <c r="IA64" i="9"/>
  <c r="IB64" i="9"/>
  <c r="IC64" i="9"/>
  <c r="ID64" i="9"/>
  <c r="IE64" i="9"/>
  <c r="IF64" i="9"/>
  <c r="IF55" i="9"/>
  <c r="IE55" i="9"/>
  <c r="ID55" i="9"/>
  <c r="IC55" i="9"/>
  <c r="IB55" i="9"/>
  <c r="IA55" i="9"/>
  <c r="HZ55" i="9"/>
  <c r="HY55" i="9"/>
  <c r="HX55" i="9"/>
  <c r="HW55" i="9"/>
  <c r="HW42" i="9"/>
  <c r="HX42" i="9"/>
  <c r="HY42" i="9"/>
  <c r="HZ42" i="9"/>
  <c r="IA42" i="9"/>
  <c r="IB42" i="9"/>
  <c r="IC42" i="9"/>
  <c r="ID42" i="9"/>
  <c r="IE42" i="9"/>
  <c r="IF42" i="9"/>
  <c r="HW43" i="9"/>
  <c r="HX43" i="9"/>
  <c r="HY43" i="9"/>
  <c r="HZ43" i="9"/>
  <c r="IA43" i="9"/>
  <c r="IB43" i="9"/>
  <c r="IC43" i="9"/>
  <c r="ID43" i="9"/>
  <c r="IE43" i="9"/>
  <c r="IF43" i="9"/>
  <c r="HW44" i="9"/>
  <c r="HX44" i="9"/>
  <c r="HY44" i="9"/>
  <c r="HZ44" i="9"/>
  <c r="IA44" i="9"/>
  <c r="IB44" i="9"/>
  <c r="IC44" i="9"/>
  <c r="ID44" i="9"/>
  <c r="IE44" i="9"/>
  <c r="IF44" i="9"/>
  <c r="HW45" i="9"/>
  <c r="HX45" i="9"/>
  <c r="HY45" i="9"/>
  <c r="HZ45" i="9"/>
  <c r="IA45" i="9"/>
  <c r="IB45" i="9"/>
  <c r="IC45" i="9"/>
  <c r="ID45" i="9"/>
  <c r="IE45" i="9"/>
  <c r="IF45" i="9"/>
  <c r="HW46" i="9"/>
  <c r="HX46" i="9"/>
  <c r="HY46" i="9"/>
  <c r="HZ46" i="9"/>
  <c r="IA46" i="9"/>
  <c r="IB46" i="9"/>
  <c r="IC46" i="9"/>
  <c r="ID46" i="9"/>
  <c r="IE46" i="9"/>
  <c r="IF46" i="9"/>
  <c r="HW47" i="9"/>
  <c r="HX47" i="9"/>
  <c r="HY47" i="9"/>
  <c r="HZ47" i="9"/>
  <c r="IA47" i="9"/>
  <c r="IB47" i="9"/>
  <c r="IC47" i="9"/>
  <c r="ID47" i="9"/>
  <c r="IE47" i="9"/>
  <c r="IF47" i="9"/>
  <c r="HW48" i="9"/>
  <c r="HX48" i="9"/>
  <c r="HY48" i="9"/>
  <c r="HZ48" i="9"/>
  <c r="IA48" i="9"/>
  <c r="IB48" i="9"/>
  <c r="IC48" i="9"/>
  <c r="ID48" i="9"/>
  <c r="IE48" i="9"/>
  <c r="IF48" i="9"/>
  <c r="HW49" i="9"/>
  <c r="HX49" i="9"/>
  <c r="HY49" i="9"/>
  <c r="HZ49" i="9"/>
  <c r="IA49" i="9"/>
  <c r="IB49" i="9"/>
  <c r="IC49" i="9"/>
  <c r="ID49" i="9"/>
  <c r="IE49" i="9"/>
  <c r="IF49" i="9"/>
  <c r="HW50" i="9"/>
  <c r="HX50" i="9"/>
  <c r="HY50" i="9"/>
  <c r="HZ50" i="9"/>
  <c r="IA50" i="9"/>
  <c r="IB50" i="9"/>
  <c r="IC50" i="9"/>
  <c r="ID50" i="9"/>
  <c r="IE50" i="9"/>
  <c r="IF50" i="9"/>
  <c r="HW51" i="9"/>
  <c r="HX51" i="9"/>
  <c r="HY51" i="9"/>
  <c r="HZ51" i="9"/>
  <c r="IA51" i="9"/>
  <c r="IB51" i="9"/>
  <c r="IC51" i="9"/>
  <c r="ID51" i="9"/>
  <c r="IE51" i="9"/>
  <c r="IF51" i="9"/>
  <c r="HW52" i="9"/>
  <c r="HX52" i="9"/>
  <c r="HY52" i="9"/>
  <c r="HZ52" i="9"/>
  <c r="IA52" i="9"/>
  <c r="IB52" i="9"/>
  <c r="IC52" i="9"/>
  <c r="ID52" i="9"/>
  <c r="IE52" i="9"/>
  <c r="IF52" i="9"/>
  <c r="IF41" i="9"/>
  <c r="IE41" i="9"/>
  <c r="ID41" i="9"/>
  <c r="IC41" i="9"/>
  <c r="IB41" i="9"/>
  <c r="IA41" i="9"/>
  <c r="HZ41" i="9"/>
  <c r="HY41" i="9"/>
  <c r="HX41" i="9"/>
  <c r="HW41" i="9"/>
  <c r="HW27" i="9"/>
  <c r="HX27" i="9"/>
  <c r="HY27" i="9"/>
  <c r="HZ27" i="9"/>
  <c r="IA27" i="9"/>
  <c r="IB27" i="9"/>
  <c r="IC27" i="9"/>
  <c r="ID27" i="9"/>
  <c r="IE27" i="9"/>
  <c r="IF27" i="9"/>
  <c r="HW28" i="9"/>
  <c r="HX28" i="9"/>
  <c r="HY28" i="9"/>
  <c r="HZ28" i="9"/>
  <c r="IA28" i="9"/>
  <c r="IB28" i="9"/>
  <c r="IC28" i="9"/>
  <c r="ID28" i="9"/>
  <c r="IE28" i="9"/>
  <c r="IF28" i="9"/>
  <c r="HW29" i="9"/>
  <c r="HX29" i="9"/>
  <c r="HY29" i="9"/>
  <c r="HZ29" i="9"/>
  <c r="IA29" i="9"/>
  <c r="IB29" i="9"/>
  <c r="IC29" i="9"/>
  <c r="ID29" i="9"/>
  <c r="IE29" i="9"/>
  <c r="IF29" i="9"/>
  <c r="HW30" i="9"/>
  <c r="HX30" i="9"/>
  <c r="HY30" i="9"/>
  <c r="HZ30" i="9"/>
  <c r="IA30" i="9"/>
  <c r="IB30" i="9"/>
  <c r="IC30" i="9"/>
  <c r="ID30" i="9"/>
  <c r="IE30" i="9"/>
  <c r="IF30" i="9"/>
  <c r="HW31" i="9"/>
  <c r="HX31" i="9"/>
  <c r="HY31" i="9"/>
  <c r="HZ31" i="9"/>
  <c r="IA31" i="9"/>
  <c r="IB31" i="9"/>
  <c r="IC31" i="9"/>
  <c r="ID31" i="9"/>
  <c r="IE31" i="9"/>
  <c r="IF31" i="9"/>
  <c r="HW32" i="9"/>
  <c r="HX32" i="9"/>
  <c r="HY32" i="9"/>
  <c r="HZ32" i="9"/>
  <c r="IA32" i="9"/>
  <c r="IB32" i="9"/>
  <c r="IC32" i="9"/>
  <c r="ID32" i="9"/>
  <c r="IE32" i="9"/>
  <c r="IF32" i="9"/>
  <c r="HW33" i="9"/>
  <c r="HX33" i="9"/>
  <c r="HY33" i="9"/>
  <c r="HZ33" i="9"/>
  <c r="IA33" i="9"/>
  <c r="IB33" i="9"/>
  <c r="IC33" i="9"/>
  <c r="ID33" i="9"/>
  <c r="IE33" i="9"/>
  <c r="IF33" i="9"/>
  <c r="HW34" i="9"/>
  <c r="HX34" i="9"/>
  <c r="HY34" i="9"/>
  <c r="HZ34" i="9"/>
  <c r="IA34" i="9"/>
  <c r="IB34" i="9"/>
  <c r="IC34" i="9"/>
  <c r="ID34" i="9"/>
  <c r="IE34" i="9"/>
  <c r="IF34" i="9"/>
  <c r="HW35" i="9"/>
  <c r="HX35" i="9"/>
  <c r="HY35" i="9"/>
  <c r="HZ35" i="9"/>
  <c r="IA35" i="9"/>
  <c r="IB35" i="9"/>
  <c r="IC35" i="9"/>
  <c r="ID35" i="9"/>
  <c r="IE35" i="9"/>
  <c r="IF35" i="9"/>
  <c r="HW36" i="9"/>
  <c r="HX36" i="9"/>
  <c r="HY36" i="9"/>
  <c r="HZ36" i="9"/>
  <c r="IA36" i="9"/>
  <c r="IB36" i="9"/>
  <c r="IC36" i="9"/>
  <c r="ID36" i="9"/>
  <c r="IE36" i="9"/>
  <c r="IF36" i="9"/>
  <c r="HW37" i="9"/>
  <c r="HX37" i="9"/>
  <c r="HY37" i="9"/>
  <c r="HZ37" i="9"/>
  <c r="IA37" i="9"/>
  <c r="IB37" i="9"/>
  <c r="IC37" i="9"/>
  <c r="ID37" i="9"/>
  <c r="IE37" i="9"/>
  <c r="IF37" i="9"/>
  <c r="HW38" i="9"/>
  <c r="HX38" i="9"/>
  <c r="HY38" i="9"/>
  <c r="HZ38" i="9"/>
  <c r="IA38" i="9"/>
  <c r="IB38" i="9"/>
  <c r="IC38" i="9"/>
  <c r="ID38" i="9"/>
  <c r="IE38" i="9"/>
  <c r="IF38" i="9"/>
  <c r="IF26" i="9"/>
  <c r="IE26" i="9"/>
  <c r="ID26" i="9"/>
  <c r="IC26" i="9"/>
  <c r="IB26" i="9"/>
  <c r="IA26" i="9"/>
  <c r="HZ26" i="9"/>
  <c r="HY26" i="9"/>
  <c r="HX26" i="9"/>
  <c r="HW26" i="9"/>
  <c r="HW9" i="9"/>
  <c r="HX9" i="9"/>
  <c r="HY9" i="9"/>
  <c r="HZ9" i="9"/>
  <c r="IA9" i="9"/>
  <c r="IB9" i="9"/>
  <c r="IC9" i="9"/>
  <c r="ID9" i="9"/>
  <c r="IE9" i="9"/>
  <c r="IF9" i="9"/>
  <c r="HW10" i="9"/>
  <c r="HX10" i="9"/>
  <c r="HY10" i="9"/>
  <c r="HZ10" i="9"/>
  <c r="IA10" i="9"/>
  <c r="IB10" i="9"/>
  <c r="IC10" i="9"/>
  <c r="ID10" i="9"/>
  <c r="IE10" i="9"/>
  <c r="IF10" i="9"/>
  <c r="HW11" i="9"/>
  <c r="HX11" i="9"/>
  <c r="HY11" i="9"/>
  <c r="HZ11" i="9"/>
  <c r="IA11" i="9"/>
  <c r="IB11" i="9"/>
  <c r="IC11" i="9"/>
  <c r="ID11" i="9"/>
  <c r="IE11" i="9"/>
  <c r="IF11" i="9"/>
  <c r="HW12" i="9"/>
  <c r="HX12" i="9"/>
  <c r="HY12" i="9"/>
  <c r="HZ12" i="9"/>
  <c r="IA12" i="9"/>
  <c r="IB12" i="9"/>
  <c r="IC12" i="9"/>
  <c r="ID12" i="9"/>
  <c r="IE12" i="9"/>
  <c r="IF12" i="9"/>
  <c r="HW13" i="9"/>
  <c r="HX13" i="9"/>
  <c r="HY13" i="9"/>
  <c r="HZ13" i="9"/>
  <c r="IA13" i="9"/>
  <c r="IB13" i="9"/>
  <c r="IC13" i="9"/>
  <c r="ID13" i="9"/>
  <c r="IE13" i="9"/>
  <c r="IF13" i="9"/>
  <c r="HW14" i="9"/>
  <c r="HX14" i="9"/>
  <c r="HY14" i="9"/>
  <c r="HZ14" i="9"/>
  <c r="IA14" i="9"/>
  <c r="IB14" i="9"/>
  <c r="IC14" i="9"/>
  <c r="ID14" i="9"/>
  <c r="IE14" i="9"/>
  <c r="IF14" i="9"/>
  <c r="HW15" i="9"/>
  <c r="HX15" i="9"/>
  <c r="HY15" i="9"/>
  <c r="HZ15" i="9"/>
  <c r="IA15" i="9"/>
  <c r="IB15" i="9"/>
  <c r="IC15" i="9"/>
  <c r="ID15" i="9"/>
  <c r="IE15" i="9"/>
  <c r="IF15" i="9"/>
  <c r="HW16" i="9"/>
  <c r="HX16" i="9"/>
  <c r="HY16" i="9"/>
  <c r="HZ16" i="9"/>
  <c r="IA16" i="9"/>
  <c r="IB16" i="9"/>
  <c r="IC16" i="9"/>
  <c r="ID16" i="9"/>
  <c r="IE16" i="9"/>
  <c r="IF16" i="9"/>
  <c r="HW17" i="9"/>
  <c r="HX17" i="9"/>
  <c r="HY17" i="9"/>
  <c r="HZ17" i="9"/>
  <c r="IA17" i="9"/>
  <c r="IB17" i="9"/>
  <c r="IC17" i="9"/>
  <c r="ID17" i="9"/>
  <c r="IE17" i="9"/>
  <c r="IF17" i="9"/>
  <c r="HW18" i="9"/>
  <c r="HX18" i="9"/>
  <c r="HY18" i="9"/>
  <c r="HZ18" i="9"/>
  <c r="IA18" i="9"/>
  <c r="IB18" i="9"/>
  <c r="IC18" i="9"/>
  <c r="ID18" i="9"/>
  <c r="IE18" i="9"/>
  <c r="IF18" i="9"/>
  <c r="HW19" i="9"/>
  <c r="HX19" i="9"/>
  <c r="HY19" i="9"/>
  <c r="HZ19" i="9"/>
  <c r="IA19" i="9"/>
  <c r="IB19" i="9"/>
  <c r="IC19" i="9"/>
  <c r="ID19" i="9"/>
  <c r="IE19" i="9"/>
  <c r="IF19" i="9"/>
  <c r="HW20" i="9"/>
  <c r="HX20" i="9"/>
  <c r="HY20" i="9"/>
  <c r="HZ20" i="9"/>
  <c r="IA20" i="9"/>
  <c r="IB20" i="9"/>
  <c r="IC20" i="9"/>
  <c r="ID20" i="9"/>
  <c r="IE20" i="9"/>
  <c r="IF20" i="9"/>
  <c r="HW21" i="9"/>
  <c r="HX21" i="9"/>
  <c r="HY21" i="9"/>
  <c r="HZ21" i="9"/>
  <c r="IA21" i="9"/>
  <c r="IB21" i="9"/>
  <c r="IC21" i="9"/>
  <c r="ID21" i="9"/>
  <c r="IE21" i="9"/>
  <c r="IF21" i="9"/>
  <c r="HW22" i="9"/>
  <c r="HX22" i="9"/>
  <c r="HY22" i="9"/>
  <c r="HZ22" i="9"/>
  <c r="IA22" i="9"/>
  <c r="IB22" i="9"/>
  <c r="IC22" i="9"/>
  <c r="ID22" i="9"/>
  <c r="IE22" i="9"/>
  <c r="IF22" i="9"/>
  <c r="HW23" i="9"/>
  <c r="HX23" i="9"/>
  <c r="HY23" i="9"/>
  <c r="HZ23" i="9"/>
  <c r="IA23" i="9"/>
  <c r="IB23" i="9"/>
  <c r="IC23" i="9"/>
  <c r="ID23" i="9"/>
  <c r="IE23" i="9"/>
  <c r="IF23" i="9"/>
  <c r="GX53" i="9"/>
  <c r="GY53" i="9"/>
  <c r="GZ53" i="9"/>
  <c r="HA53" i="9"/>
  <c r="HB53" i="9"/>
  <c r="GX39" i="9"/>
  <c r="GY39" i="9"/>
  <c r="GZ39" i="9"/>
  <c r="HA39" i="9"/>
  <c r="HB39" i="9"/>
  <c r="GX24" i="9"/>
  <c r="GY24" i="9"/>
  <c r="GZ24" i="9"/>
  <c r="HA24" i="9"/>
  <c r="HB24" i="9"/>
  <c r="GX6" i="9"/>
  <c r="GY6" i="9"/>
  <c r="GZ6" i="9"/>
  <c r="HA6" i="9"/>
  <c r="HB6" i="9"/>
  <c r="HW39" i="9" l="1"/>
  <c r="HY39" i="9"/>
  <c r="GX5" i="9"/>
  <c r="IF24" i="9"/>
  <c r="ID39" i="9"/>
  <c r="IC53" i="9"/>
  <c r="IA53" i="9"/>
  <c r="IE6" i="9"/>
  <c r="ID53" i="9"/>
  <c r="HX53" i="9"/>
  <c r="HZ53" i="9"/>
  <c r="IF6" i="9"/>
  <c r="HZ24" i="9"/>
  <c r="HY24" i="9"/>
  <c r="ID6" i="9"/>
  <c r="IC39" i="9"/>
  <c r="HW6" i="9"/>
  <c r="ID24" i="9"/>
  <c r="IF53" i="9"/>
  <c r="IE53" i="9"/>
  <c r="HZ6" i="9"/>
  <c r="IA24" i="9"/>
  <c r="IE24" i="9"/>
  <c r="IE39" i="9"/>
  <c r="HW53" i="9"/>
  <c r="IB53" i="9"/>
  <c r="HY53" i="9"/>
  <c r="HZ39" i="9"/>
  <c r="IA39" i="9"/>
  <c r="HX39" i="9"/>
  <c r="IF39" i="9"/>
  <c r="IB39" i="9"/>
  <c r="IB24" i="9"/>
  <c r="IC24" i="9"/>
  <c r="IC6" i="9"/>
  <c r="IB6" i="9"/>
  <c r="HW24" i="9"/>
  <c r="HX24" i="9"/>
  <c r="HX6" i="9"/>
  <c r="IA6" i="9"/>
  <c r="HY6" i="9"/>
  <c r="GY5" i="9"/>
  <c r="GZ5" i="9"/>
  <c r="HB5" i="9"/>
  <c r="HA5" i="9"/>
  <c r="IL53" i="9"/>
  <c r="IM53" i="9"/>
  <c r="IN53" i="9"/>
  <c r="IO53" i="9"/>
  <c r="IP53" i="9"/>
  <c r="IL39" i="9"/>
  <c r="IM39" i="9"/>
  <c r="IN39" i="9"/>
  <c r="IO39" i="9"/>
  <c r="IP39" i="9"/>
  <c r="IL24" i="9"/>
  <c r="IM24" i="9"/>
  <c r="IN24" i="9"/>
  <c r="IO24" i="9"/>
  <c r="IP24" i="9"/>
  <c r="IL6" i="9"/>
  <c r="IM6" i="9"/>
  <c r="IN6" i="9"/>
  <c r="IO6" i="9"/>
  <c r="IP6" i="9"/>
  <c r="QQ53" i="9"/>
  <c r="QR53" i="9"/>
  <c r="QS53" i="9"/>
  <c r="QT53" i="9"/>
  <c r="QU53" i="9"/>
  <c r="QQ39" i="9"/>
  <c r="QR39" i="9"/>
  <c r="QS39" i="9"/>
  <c r="QT39" i="9"/>
  <c r="QU39" i="9"/>
  <c r="QQ24" i="9"/>
  <c r="QR24" i="9"/>
  <c r="QS24" i="9"/>
  <c r="QT24" i="9"/>
  <c r="QU24" i="9"/>
  <c r="QQ6" i="9"/>
  <c r="QR6" i="9"/>
  <c r="QS6" i="9"/>
  <c r="QT6" i="9"/>
  <c r="QU6" i="9"/>
  <c r="PC53" i="9"/>
  <c r="PD53" i="9"/>
  <c r="PE53" i="9"/>
  <c r="PF53" i="9"/>
  <c r="PG53" i="9"/>
  <c r="PC39" i="9"/>
  <c r="PD39" i="9"/>
  <c r="PE39" i="9"/>
  <c r="PF39" i="9"/>
  <c r="PG39" i="9"/>
  <c r="PC24" i="9"/>
  <c r="PD24" i="9"/>
  <c r="PE24" i="9"/>
  <c r="PF24" i="9"/>
  <c r="PG24" i="9"/>
  <c r="PC6" i="9"/>
  <c r="PD6" i="9"/>
  <c r="PE6" i="9"/>
  <c r="PF6" i="9"/>
  <c r="PG6" i="9"/>
  <c r="JZ53" i="9"/>
  <c r="KA53" i="9"/>
  <c r="KB53" i="9"/>
  <c r="KC53" i="9"/>
  <c r="KD53" i="9"/>
  <c r="JZ39" i="9"/>
  <c r="KA39" i="9"/>
  <c r="KB39" i="9"/>
  <c r="KC39" i="9"/>
  <c r="KD39" i="9"/>
  <c r="JZ24" i="9"/>
  <c r="KA24" i="9"/>
  <c r="KB24" i="9"/>
  <c r="KC24" i="9"/>
  <c r="KD24" i="9"/>
  <c r="JZ6" i="9"/>
  <c r="KA6" i="9"/>
  <c r="KB6" i="9"/>
  <c r="KC6" i="9"/>
  <c r="KD6" i="9"/>
  <c r="FJ53" i="9"/>
  <c r="FK53" i="9"/>
  <c r="FL53" i="9"/>
  <c r="FM53" i="9"/>
  <c r="FN53" i="9"/>
  <c r="FJ39" i="9"/>
  <c r="FK39" i="9"/>
  <c r="FL39" i="9"/>
  <c r="FM39" i="9"/>
  <c r="FN39" i="9"/>
  <c r="FJ24" i="9"/>
  <c r="FK24" i="9"/>
  <c r="FL24" i="9"/>
  <c r="FM24" i="9"/>
  <c r="FN24" i="9"/>
  <c r="FJ6" i="9"/>
  <c r="FK6" i="9"/>
  <c r="FL6" i="9"/>
  <c r="FM6" i="9"/>
  <c r="FN6" i="9"/>
  <c r="DQ6" i="9"/>
  <c r="DR6" i="9"/>
  <c r="DS6" i="9"/>
  <c r="DT6" i="9"/>
  <c r="BD40" i="31" l="1"/>
  <c r="L41" i="10" s="1"/>
  <c r="BH25" i="31"/>
  <c r="N26" i="10" s="1"/>
  <c r="BF54" i="31"/>
  <c r="M55" i="10" s="1"/>
  <c r="BD54" i="31"/>
  <c r="L55" i="10" s="1"/>
  <c r="BD25" i="31"/>
  <c r="L26" i="10" s="1"/>
  <c r="BH54" i="31"/>
  <c r="N55" i="10" s="1"/>
  <c r="IE5" i="9"/>
  <c r="ID5" i="9"/>
  <c r="HW5" i="9"/>
  <c r="HZ5" i="9"/>
  <c r="HY5" i="9"/>
  <c r="IA5" i="9"/>
  <c r="IF5" i="9"/>
  <c r="DU6" i="9"/>
  <c r="DU5" i="9" s="1"/>
  <c r="IC5" i="9"/>
  <c r="IB5" i="9"/>
  <c r="HX5" i="9"/>
  <c r="IN5" i="9"/>
  <c r="IP5" i="9"/>
  <c r="IM5" i="9"/>
  <c r="IL5" i="9"/>
  <c r="IO5" i="9"/>
  <c r="QU5" i="9"/>
  <c r="QQ5" i="9"/>
  <c r="QS5" i="9"/>
  <c r="QR5" i="9"/>
  <c r="QT5" i="9"/>
  <c r="PD5" i="9"/>
  <c r="PC5" i="9"/>
  <c r="PE5" i="9"/>
  <c r="PG5" i="9"/>
  <c r="PF5" i="9"/>
  <c r="JZ5" i="9"/>
  <c r="KB5" i="9"/>
  <c r="KC5" i="9"/>
  <c r="KA5" i="9"/>
  <c r="KD5" i="9"/>
  <c r="FL5" i="9"/>
  <c r="FM5" i="9"/>
  <c r="FN5" i="9"/>
  <c r="FJ5" i="9"/>
  <c r="FK5" i="9"/>
  <c r="DS5" i="9"/>
  <c r="DQ5" i="9"/>
  <c r="DR5" i="9"/>
  <c r="DT5" i="9"/>
  <c r="CB6" i="9"/>
  <c r="CA6" i="9"/>
  <c r="BZ6" i="9"/>
  <c r="BY6" i="9"/>
  <c r="CX55" i="19"/>
  <c r="CX56" i="19"/>
  <c r="CX57" i="19"/>
  <c r="CX58" i="19"/>
  <c r="CX59" i="19"/>
  <c r="CX60" i="19"/>
  <c r="CX61" i="19"/>
  <c r="CX62" i="19"/>
  <c r="CX63" i="19"/>
  <c r="CX54" i="19"/>
  <c r="CX41" i="19"/>
  <c r="CX42" i="19"/>
  <c r="CX43" i="19"/>
  <c r="CX44" i="19"/>
  <c r="CX45" i="19"/>
  <c r="CX46" i="19"/>
  <c r="CX47" i="19"/>
  <c r="CX48" i="19"/>
  <c r="CX49" i="19"/>
  <c r="CX50" i="19"/>
  <c r="CX51" i="19"/>
  <c r="CX40" i="19"/>
  <c r="CX26" i="19"/>
  <c r="CX27" i="19"/>
  <c r="CX28" i="19"/>
  <c r="CX29" i="19"/>
  <c r="CX30" i="19"/>
  <c r="CX31" i="19"/>
  <c r="CX32" i="19"/>
  <c r="CX33" i="19"/>
  <c r="CX34" i="19"/>
  <c r="CX35" i="19"/>
  <c r="CX36" i="19"/>
  <c r="CX37" i="19"/>
  <c r="CX25" i="19"/>
  <c r="CX8" i="19"/>
  <c r="CX9" i="19"/>
  <c r="CX10" i="19"/>
  <c r="CX11" i="19"/>
  <c r="CX12" i="19"/>
  <c r="CX13" i="19"/>
  <c r="CX14" i="19"/>
  <c r="CX15" i="19"/>
  <c r="CX16" i="19"/>
  <c r="CX17" i="19"/>
  <c r="CX18" i="19"/>
  <c r="CX19" i="19"/>
  <c r="CX20" i="19"/>
  <c r="CX21" i="19"/>
  <c r="CX22" i="19"/>
  <c r="CX7" i="19"/>
  <c r="CU52" i="19"/>
  <c r="D54" i="23" s="1"/>
  <c r="CV52" i="19"/>
  <c r="CW52" i="19"/>
  <c r="CY52" i="19"/>
  <c r="CU38" i="19"/>
  <c r="D40" i="23" s="1"/>
  <c r="CV38" i="19"/>
  <c r="CW38" i="19"/>
  <c r="BF40" i="31" s="1"/>
  <c r="M41" i="10" s="1"/>
  <c r="CY38" i="19"/>
  <c r="CU23" i="19"/>
  <c r="D25" i="23" s="1"/>
  <c r="CV23" i="19"/>
  <c r="CW23" i="19"/>
  <c r="CY23" i="19"/>
  <c r="G25" i="31" l="1"/>
  <c r="BB25" i="31"/>
  <c r="K26" i="10" s="1"/>
  <c r="G54" i="31"/>
  <c r="BB54" i="31"/>
  <c r="K55" i="10" s="1"/>
  <c r="E25" i="31"/>
  <c r="AZ25" i="31"/>
  <c r="J26" i="10" s="1"/>
  <c r="E54" i="31"/>
  <c r="AZ54" i="31"/>
  <c r="J55" i="10" s="1"/>
  <c r="H54" i="23"/>
  <c r="C25" i="31"/>
  <c r="AX25" i="31"/>
  <c r="I26" i="10" s="1"/>
  <c r="C54" i="31"/>
  <c r="AX54" i="31"/>
  <c r="I55" i="10" s="1"/>
  <c r="G40" i="31"/>
  <c r="BB40" i="31"/>
  <c r="K41" i="10" s="1"/>
  <c r="BH40" i="31"/>
  <c r="N41" i="10" s="1"/>
  <c r="E40" i="31"/>
  <c r="AZ40" i="31"/>
  <c r="J41" i="10" s="1"/>
  <c r="BF25" i="31"/>
  <c r="M26" i="10" s="1"/>
  <c r="C40" i="31"/>
  <c r="AX40" i="31"/>
  <c r="I41" i="10" s="1"/>
  <c r="H40" i="23"/>
  <c r="H25" i="23"/>
  <c r="I40" i="31"/>
  <c r="K40" i="31"/>
  <c r="K54" i="31"/>
  <c r="M25" i="31"/>
  <c r="M54" i="31"/>
  <c r="CX52" i="19"/>
  <c r="M40" i="31"/>
  <c r="I25" i="31"/>
  <c r="I54" i="31"/>
  <c r="K25" i="31"/>
  <c r="CC6" i="9"/>
  <c r="CC5" i="9" s="1"/>
  <c r="BY5" i="9"/>
  <c r="BZ5" i="9"/>
  <c r="CA5" i="9"/>
  <c r="CB5" i="9"/>
  <c r="CX38" i="19"/>
  <c r="CX23" i="19"/>
  <c r="CU5" i="19"/>
  <c r="CV5" i="19"/>
  <c r="CW5" i="19"/>
  <c r="CY5" i="19"/>
  <c r="CX5" i="19"/>
  <c r="BH7" i="31" l="1"/>
  <c r="N8" i="10" s="1"/>
  <c r="BB7" i="31"/>
  <c r="K8" i="10" s="1"/>
  <c r="E7" i="31"/>
  <c r="BF7" i="31"/>
  <c r="M8" i="10" s="1"/>
  <c r="AZ7" i="31"/>
  <c r="J8" i="10" s="1"/>
  <c r="C7" i="31"/>
  <c r="BD7" i="31"/>
  <c r="L8" i="10" s="1"/>
  <c r="AX7" i="31"/>
  <c r="I8" i="10" s="1"/>
  <c r="D7" i="23"/>
  <c r="H7" i="23"/>
  <c r="CU4" i="19"/>
  <c r="CY4" i="19"/>
  <c r="G7" i="31"/>
  <c r="M7" i="31"/>
  <c r="CW4" i="19"/>
  <c r="K7" i="31"/>
  <c r="CV4" i="19"/>
  <c r="I7" i="31"/>
  <c r="CX4" i="19"/>
  <c r="BH6" i="31" l="1"/>
  <c r="N7" i="10" s="1"/>
  <c r="BB6" i="31"/>
  <c r="K7" i="10" s="1"/>
  <c r="D6" i="23"/>
  <c r="H6" i="23"/>
  <c r="C6" i="31"/>
  <c r="BD6" i="31"/>
  <c r="L7" i="10" s="1"/>
  <c r="AX6" i="31"/>
  <c r="I7" i="10" s="1"/>
  <c r="E6" i="31"/>
  <c r="AZ6" i="31"/>
  <c r="J7" i="10" s="1"/>
  <c r="BF6" i="31"/>
  <c r="M7" i="10" s="1"/>
  <c r="K6" i="31"/>
  <c r="M6" i="31"/>
  <c r="G6" i="31"/>
  <c r="I6" i="31"/>
  <c r="BY52" i="19"/>
  <c r="BZ52" i="19"/>
  <c r="BY38" i="19"/>
  <c r="BZ38" i="19"/>
  <c r="BY23" i="19"/>
  <c r="BZ23" i="19"/>
  <c r="BY5" i="19"/>
  <c r="BZ5" i="19"/>
  <c r="BX63" i="19"/>
  <c r="BX62" i="19"/>
  <c r="BX61" i="19"/>
  <c r="BX60" i="19"/>
  <c r="BX59" i="19"/>
  <c r="BX58" i="19"/>
  <c r="BX57" i="19"/>
  <c r="BX56" i="19"/>
  <c r="BX55" i="19"/>
  <c r="BX54" i="19"/>
  <c r="BX51" i="19"/>
  <c r="BX50" i="19"/>
  <c r="BX49" i="19"/>
  <c r="BX48" i="19"/>
  <c r="BX47" i="19"/>
  <c r="BX46" i="19"/>
  <c r="BX45" i="19"/>
  <c r="BX44" i="19"/>
  <c r="BX43" i="19"/>
  <c r="BX42" i="19"/>
  <c r="BX41" i="19"/>
  <c r="BX40" i="19"/>
  <c r="BX37" i="19"/>
  <c r="BX36" i="19"/>
  <c r="BX35" i="19"/>
  <c r="BX34" i="19"/>
  <c r="BX33" i="19"/>
  <c r="BX32" i="19"/>
  <c r="BX31" i="19"/>
  <c r="BX30" i="19"/>
  <c r="BX29" i="19"/>
  <c r="BX28" i="19"/>
  <c r="BX27" i="19"/>
  <c r="BX26" i="19"/>
  <c r="BX25" i="19"/>
  <c r="BX22" i="19"/>
  <c r="BX21" i="19"/>
  <c r="BX20" i="19"/>
  <c r="BX19" i="19"/>
  <c r="BX18" i="19"/>
  <c r="BX17" i="19"/>
  <c r="BX16" i="19"/>
  <c r="BX15" i="19"/>
  <c r="BX14" i="19"/>
  <c r="BX13" i="19"/>
  <c r="BX12" i="19"/>
  <c r="BX11" i="19"/>
  <c r="BX10" i="19"/>
  <c r="BX9" i="19"/>
  <c r="BX8" i="19"/>
  <c r="BX7" i="19"/>
  <c r="BK52" i="19"/>
  <c r="BJ52" i="19"/>
  <c r="BK38" i="19"/>
  <c r="BJ38" i="19"/>
  <c r="BK23" i="19"/>
  <c r="BJ23" i="19"/>
  <c r="BK5" i="19"/>
  <c r="BJ5" i="19"/>
  <c r="BX38" i="19" l="1"/>
  <c r="BX5" i="19"/>
  <c r="BX23" i="19"/>
  <c r="BX52" i="19"/>
  <c r="BZ4" i="19"/>
  <c r="BY4" i="19"/>
  <c r="BJ4" i="19"/>
  <c r="BK4" i="19"/>
  <c r="FF24" i="9"/>
  <c r="FG24" i="9"/>
  <c r="FE53" i="9"/>
  <c r="FF53" i="9"/>
  <c r="FG53" i="9"/>
  <c r="FH53" i="9"/>
  <c r="FI53" i="9"/>
  <c r="FE39" i="9"/>
  <c r="FF39" i="9"/>
  <c r="FG39" i="9"/>
  <c r="FH39" i="9"/>
  <c r="FI39" i="9"/>
  <c r="FE24" i="9"/>
  <c r="FH24" i="9"/>
  <c r="FI24" i="9"/>
  <c r="FE6" i="9"/>
  <c r="FF6" i="9"/>
  <c r="FG6" i="9"/>
  <c r="FH6" i="9"/>
  <c r="FI6" i="9"/>
  <c r="BX4" i="19" l="1"/>
  <c r="FH5" i="9"/>
  <c r="FI5" i="9"/>
  <c r="FG5" i="9"/>
  <c r="FF5" i="9"/>
  <c r="FE5" i="9"/>
  <c r="QO53" i="9"/>
  <c r="QM53" i="9"/>
  <c r="QN53" i="9"/>
  <c r="QP53" i="9"/>
  <c r="QM39" i="9"/>
  <c r="QN39" i="9"/>
  <c r="QO39" i="9"/>
  <c r="QP39" i="9"/>
  <c r="QM24" i="9"/>
  <c r="QN24" i="9"/>
  <c r="QO24" i="9"/>
  <c r="QP24" i="9"/>
  <c r="QM6" i="9"/>
  <c r="QN6" i="9"/>
  <c r="QO6" i="9"/>
  <c r="QP6" i="9"/>
  <c r="OY53" i="9"/>
  <c r="OZ53" i="9"/>
  <c r="PA53" i="9"/>
  <c r="PB53" i="9"/>
  <c r="OY39" i="9"/>
  <c r="OZ39" i="9"/>
  <c r="PA39" i="9"/>
  <c r="PB39" i="9"/>
  <c r="OY24" i="9"/>
  <c r="OZ24" i="9"/>
  <c r="PA24" i="9"/>
  <c r="PB24" i="9"/>
  <c r="OY6" i="9"/>
  <c r="OZ6" i="9"/>
  <c r="PA6" i="9"/>
  <c r="PB6" i="9"/>
  <c r="JY53" i="9"/>
  <c r="JX53" i="9"/>
  <c r="JW53" i="9"/>
  <c r="JV53" i="9"/>
  <c r="JU53" i="9"/>
  <c r="JY39" i="9"/>
  <c r="JX39" i="9"/>
  <c r="JW39" i="9"/>
  <c r="JV39" i="9"/>
  <c r="JU39" i="9"/>
  <c r="JY24" i="9"/>
  <c r="JX24" i="9"/>
  <c r="JW24" i="9"/>
  <c r="JV24" i="9"/>
  <c r="JU24" i="9"/>
  <c r="JY6" i="9"/>
  <c r="JX6" i="9"/>
  <c r="JW6" i="9"/>
  <c r="JV6" i="9"/>
  <c r="JU6" i="9"/>
  <c r="IK53" i="9"/>
  <c r="IJ53" i="9"/>
  <c r="II53" i="9"/>
  <c r="IH53" i="9"/>
  <c r="IG53" i="9"/>
  <c r="IK39" i="9"/>
  <c r="IJ39" i="9"/>
  <c r="II39" i="9"/>
  <c r="IH39" i="9"/>
  <c r="IG39" i="9"/>
  <c r="IK24" i="9"/>
  <c r="IJ24" i="9"/>
  <c r="II24" i="9"/>
  <c r="IH24" i="9"/>
  <c r="IG24" i="9"/>
  <c r="IK6" i="9"/>
  <c r="IJ6" i="9"/>
  <c r="II6" i="9"/>
  <c r="IH6" i="9"/>
  <c r="IG6" i="9"/>
  <c r="GW53" i="9"/>
  <c r="GV53" i="9"/>
  <c r="GU53" i="9"/>
  <c r="GT53" i="9"/>
  <c r="GS53" i="9"/>
  <c r="GW39" i="9"/>
  <c r="GV39" i="9"/>
  <c r="GU39" i="9"/>
  <c r="GT39" i="9"/>
  <c r="GS39" i="9"/>
  <c r="GW24" i="9"/>
  <c r="GV24" i="9"/>
  <c r="GU24" i="9"/>
  <c r="GT24" i="9"/>
  <c r="GS24" i="9"/>
  <c r="GW6" i="9"/>
  <c r="GV6" i="9"/>
  <c r="GU6" i="9"/>
  <c r="GT6" i="9"/>
  <c r="GS6" i="9"/>
  <c r="DP6" i="9"/>
  <c r="DO6" i="9"/>
  <c r="DN6" i="9"/>
  <c r="DM6" i="9"/>
  <c r="DL6" i="9"/>
  <c r="BD6" i="9"/>
  <c r="BC6" i="9"/>
  <c r="BB6" i="9"/>
  <c r="BA6" i="9"/>
  <c r="AZ6" i="9"/>
  <c r="JY5" i="9" l="1"/>
  <c r="QP5" i="9"/>
  <c r="PA5" i="9"/>
  <c r="QO5" i="9"/>
  <c r="IG5" i="9"/>
  <c r="JV5" i="9"/>
  <c r="OZ5" i="9"/>
  <c r="QN5" i="9"/>
  <c r="JW5" i="9"/>
  <c r="OY5" i="9"/>
  <c r="QM5" i="9"/>
  <c r="PB5" i="9"/>
  <c r="JU5" i="9"/>
  <c r="DP5" i="9"/>
  <c r="JX5" i="9"/>
  <c r="AZ5" i="9"/>
  <c r="IK5" i="9"/>
  <c r="GS5" i="9"/>
  <c r="IH5" i="9"/>
  <c r="II5" i="9"/>
  <c r="IJ5" i="9"/>
  <c r="GV5" i="9"/>
  <c r="GT5" i="9"/>
  <c r="GU5" i="9"/>
  <c r="GW5" i="9"/>
  <c r="DL5" i="9"/>
  <c r="DO5" i="9"/>
  <c r="DN5" i="9"/>
  <c r="BD5" i="9"/>
  <c r="DM5" i="9"/>
  <c r="BA5" i="9"/>
  <c r="BC5" i="9"/>
  <c r="BB5" i="9"/>
  <c r="T53" i="9"/>
  <c r="U53" i="9"/>
  <c r="S53" i="9"/>
  <c r="R53" i="9"/>
  <c r="Q53" i="9"/>
  <c r="U39" i="9"/>
  <c r="T39" i="9"/>
  <c r="S39" i="9"/>
  <c r="R39" i="9"/>
  <c r="Q39" i="9"/>
  <c r="U24" i="9"/>
  <c r="T24" i="9"/>
  <c r="S24" i="9"/>
  <c r="R24" i="9"/>
  <c r="Q24" i="9"/>
  <c r="U6" i="9"/>
  <c r="T6" i="9"/>
  <c r="S6" i="9"/>
  <c r="R6" i="9"/>
  <c r="Q6" i="9"/>
  <c r="T5" i="9" l="1"/>
  <c r="S5" i="9"/>
  <c r="R5" i="9"/>
  <c r="U5" i="9"/>
  <c r="Q5" i="9"/>
  <c r="CR52" i="19"/>
  <c r="CS52" i="19"/>
  <c r="CT52" i="19"/>
  <c r="CR38" i="19"/>
  <c r="CS38" i="19"/>
  <c r="CT38" i="19"/>
  <c r="CR23" i="19"/>
  <c r="CS23" i="19"/>
  <c r="CT23" i="19"/>
  <c r="CQ52" i="19"/>
  <c r="CQ38" i="19"/>
  <c r="CQ23" i="19"/>
  <c r="CP52" i="19"/>
  <c r="CP38" i="19"/>
  <c r="CP23" i="19"/>
  <c r="CT5" i="19" l="1"/>
  <c r="CT4" i="19" l="1"/>
  <c r="BO52" i="19"/>
  <c r="BP52" i="19"/>
  <c r="BQ52" i="19"/>
  <c r="BR52" i="19"/>
  <c r="BS52" i="19"/>
  <c r="BT52" i="19"/>
  <c r="BU52" i="19"/>
  <c r="BV52" i="19"/>
  <c r="BW52" i="19"/>
  <c r="BO38" i="19"/>
  <c r="BP38" i="19"/>
  <c r="BQ38" i="19"/>
  <c r="BR38" i="19"/>
  <c r="BS38" i="19"/>
  <c r="BT38" i="19"/>
  <c r="BU38" i="19"/>
  <c r="BV38" i="19"/>
  <c r="BW38" i="19"/>
  <c r="BO23" i="19"/>
  <c r="BP23" i="19"/>
  <c r="BQ23" i="19"/>
  <c r="BR23" i="19"/>
  <c r="BS23" i="19"/>
  <c r="BT23" i="19"/>
  <c r="BU23" i="19"/>
  <c r="BV23" i="19"/>
  <c r="BW23" i="19"/>
  <c r="BO5" i="19"/>
  <c r="BP5" i="19"/>
  <c r="BQ5" i="19"/>
  <c r="BR5" i="19"/>
  <c r="BS5" i="19"/>
  <c r="BT5" i="19"/>
  <c r="BU5" i="19"/>
  <c r="BV5" i="19"/>
  <c r="BW5" i="19"/>
  <c r="BN52" i="19"/>
  <c r="BN38" i="19"/>
  <c r="BN23" i="19"/>
  <c r="BN5" i="19"/>
  <c r="BM52" i="19"/>
  <c r="BM38" i="19"/>
  <c r="BM23" i="19"/>
  <c r="BM5" i="19"/>
  <c r="BL52" i="19"/>
  <c r="BL38" i="19"/>
  <c r="BL23" i="19"/>
  <c r="BL5" i="19"/>
  <c r="BI52" i="19"/>
  <c r="BI38" i="19"/>
  <c r="BI23" i="19"/>
  <c r="BI5" i="19"/>
  <c r="CQ5" i="19"/>
  <c r="CR5" i="19"/>
  <c r="CS5" i="19"/>
  <c r="F65" i="31"/>
  <c r="D65" i="31"/>
  <c r="B65" i="31"/>
  <c r="F64" i="31"/>
  <c r="D64" i="31"/>
  <c r="B64" i="31"/>
  <c r="F63" i="31"/>
  <c r="D63" i="31"/>
  <c r="B63" i="31"/>
  <c r="F62" i="31"/>
  <c r="D62" i="31"/>
  <c r="B62" i="31"/>
  <c r="F61" i="31"/>
  <c r="D61" i="31"/>
  <c r="B61" i="31"/>
  <c r="F60" i="31"/>
  <c r="D60" i="31"/>
  <c r="B60" i="31"/>
  <c r="F59" i="31"/>
  <c r="D59" i="31"/>
  <c r="B59" i="31"/>
  <c r="F58" i="31"/>
  <c r="D58" i="31"/>
  <c r="B58" i="31"/>
  <c r="F57" i="31"/>
  <c r="D57" i="31"/>
  <c r="B57" i="31"/>
  <c r="F56" i="31"/>
  <c r="D56" i="31"/>
  <c r="B56" i="31"/>
  <c r="F53" i="31"/>
  <c r="D53" i="31"/>
  <c r="B53" i="31"/>
  <c r="F52" i="31"/>
  <c r="D52" i="31"/>
  <c r="B52" i="31"/>
  <c r="F51" i="31"/>
  <c r="D51" i="31"/>
  <c r="B51" i="31"/>
  <c r="F50" i="31"/>
  <c r="D50" i="31"/>
  <c r="B50" i="31"/>
  <c r="F49" i="31"/>
  <c r="D49" i="31"/>
  <c r="B49" i="31"/>
  <c r="F48" i="31"/>
  <c r="D48" i="31"/>
  <c r="B48" i="31"/>
  <c r="F47" i="31"/>
  <c r="D47" i="31"/>
  <c r="B47" i="31"/>
  <c r="F46" i="31"/>
  <c r="D46" i="31"/>
  <c r="B46" i="31"/>
  <c r="F45" i="31"/>
  <c r="D45" i="31"/>
  <c r="B45" i="31"/>
  <c r="F44" i="31"/>
  <c r="D44" i="31"/>
  <c r="B44" i="31"/>
  <c r="F43" i="31"/>
  <c r="D43" i="31"/>
  <c r="B43" i="31"/>
  <c r="F42" i="31"/>
  <c r="D42" i="31"/>
  <c r="B42" i="31"/>
  <c r="F39" i="31"/>
  <c r="D39" i="31"/>
  <c r="B39" i="31"/>
  <c r="F38" i="31"/>
  <c r="D38" i="31"/>
  <c r="B38" i="31"/>
  <c r="F37" i="31"/>
  <c r="D37" i="31"/>
  <c r="B37" i="31"/>
  <c r="F36" i="31"/>
  <c r="D36" i="31"/>
  <c r="B36" i="31"/>
  <c r="F35" i="31"/>
  <c r="D35" i="31"/>
  <c r="B35" i="31"/>
  <c r="F34" i="31"/>
  <c r="D34" i="31"/>
  <c r="B34" i="31"/>
  <c r="F33" i="31"/>
  <c r="D33" i="31"/>
  <c r="B33" i="31"/>
  <c r="F32" i="31"/>
  <c r="D32" i="31"/>
  <c r="B32" i="31"/>
  <c r="F31" i="31"/>
  <c r="D31" i="31"/>
  <c r="B31" i="31"/>
  <c r="F30" i="31"/>
  <c r="D30" i="31"/>
  <c r="B30" i="31"/>
  <c r="F29" i="31"/>
  <c r="D29" i="31"/>
  <c r="B29" i="31"/>
  <c r="F28" i="31"/>
  <c r="D28" i="31"/>
  <c r="B28" i="31"/>
  <c r="F27" i="31"/>
  <c r="D27" i="31"/>
  <c r="B27" i="31"/>
  <c r="F24" i="31"/>
  <c r="D24" i="31"/>
  <c r="B24" i="31"/>
  <c r="F23" i="31"/>
  <c r="D23" i="31"/>
  <c r="B23" i="31"/>
  <c r="F22" i="31"/>
  <c r="D22" i="31"/>
  <c r="B22" i="31"/>
  <c r="F21" i="31"/>
  <c r="D21" i="31"/>
  <c r="B21" i="31"/>
  <c r="F20" i="31"/>
  <c r="D20" i="31"/>
  <c r="B20" i="31"/>
  <c r="F19" i="31"/>
  <c r="D19" i="31"/>
  <c r="B19" i="31"/>
  <c r="F18" i="31"/>
  <c r="D18" i="31"/>
  <c r="B18" i="31"/>
  <c r="F17" i="31"/>
  <c r="D17" i="31"/>
  <c r="B17" i="31"/>
  <c r="F16" i="31"/>
  <c r="D16" i="31"/>
  <c r="B16" i="31"/>
  <c r="F15" i="31"/>
  <c r="D15" i="31"/>
  <c r="B15" i="31"/>
  <c r="F14" i="31"/>
  <c r="D14" i="31"/>
  <c r="B14" i="31"/>
  <c r="F13" i="31"/>
  <c r="D13" i="31"/>
  <c r="B13" i="31"/>
  <c r="F12" i="31"/>
  <c r="D12" i="31"/>
  <c r="B12" i="31"/>
  <c r="F11" i="31"/>
  <c r="D11" i="31"/>
  <c r="B11" i="31"/>
  <c r="F10" i="31"/>
  <c r="D10" i="31"/>
  <c r="B10" i="31"/>
  <c r="F9" i="31"/>
  <c r="D9" i="31"/>
  <c r="B9" i="31"/>
  <c r="BP4" i="19" l="1"/>
  <c r="BL4" i="19"/>
  <c r="BI4" i="19"/>
  <c r="BO4" i="19"/>
  <c r="BV4" i="19"/>
  <c r="BS4" i="19"/>
  <c r="BR4" i="19"/>
  <c r="BQ4" i="19"/>
  <c r="BW4" i="19"/>
  <c r="BU4" i="19"/>
  <c r="BT4" i="19"/>
  <c r="BM4" i="19"/>
  <c r="BN4" i="19"/>
  <c r="CQ4" i="19"/>
  <c r="CS4" i="19"/>
  <c r="CR4" i="19"/>
  <c r="CP5" i="19" l="1"/>
  <c r="QL6" i="9"/>
  <c r="QL24" i="9"/>
  <c r="QL39" i="9"/>
  <c r="QL53" i="9"/>
  <c r="OX53" i="9"/>
  <c r="OX39" i="9"/>
  <c r="OX24" i="9"/>
  <c r="OX6" i="9"/>
  <c r="CO52" i="19"/>
  <c r="CN52" i="19"/>
  <c r="CM52" i="19"/>
  <c r="CL52" i="19"/>
  <c r="CK52" i="19"/>
  <c r="CJ52" i="19"/>
  <c r="CI52" i="19"/>
  <c r="CH52" i="19"/>
  <c r="CG52" i="19"/>
  <c r="CF52" i="19"/>
  <c r="CE52" i="19"/>
  <c r="CD52" i="19"/>
  <c r="CC52" i="19"/>
  <c r="CB52" i="19"/>
  <c r="CA52" i="19"/>
  <c r="BH52" i="19"/>
  <c r="BG52" i="19"/>
  <c r="BF52" i="19"/>
  <c r="BE52" i="19"/>
  <c r="BD52" i="19"/>
  <c r="BC52" i="19"/>
  <c r="BB52" i="19"/>
  <c r="BA52" i="19"/>
  <c r="AZ52" i="19"/>
  <c r="AB54" i="31" s="1"/>
  <c r="AY52" i="19"/>
  <c r="AX52" i="19"/>
  <c r="AV52" i="19"/>
  <c r="AU52" i="19"/>
  <c r="AT52" i="19"/>
  <c r="AS52" i="19"/>
  <c r="C54" i="23" s="1"/>
  <c r="AQ52" i="19"/>
  <c r="AP52" i="19"/>
  <c r="AO52" i="19"/>
  <c r="AN52" i="19"/>
  <c r="AM52" i="19"/>
  <c r="AK52" i="19"/>
  <c r="AJ52" i="19"/>
  <c r="AI52" i="19"/>
  <c r="AG52" i="19"/>
  <c r="AF52" i="19"/>
  <c r="AE52" i="19"/>
  <c r="AD52" i="19"/>
  <c r="AC52" i="19"/>
  <c r="AB52" i="19"/>
  <c r="AA52" i="19"/>
  <c r="Y52" i="19"/>
  <c r="X52" i="19"/>
  <c r="V52" i="19"/>
  <c r="U52" i="19"/>
  <c r="S52" i="19"/>
  <c r="R52" i="19"/>
  <c r="Q52" i="19"/>
  <c r="O52" i="19"/>
  <c r="N52" i="19"/>
  <c r="L52" i="19"/>
  <c r="K52" i="19"/>
  <c r="I52" i="19"/>
  <c r="H52" i="19"/>
  <c r="G52" i="19"/>
  <c r="F52" i="19"/>
  <c r="E52" i="19"/>
  <c r="D52" i="19"/>
  <c r="C52" i="19"/>
  <c r="B52" i="19"/>
  <c r="CO38" i="19"/>
  <c r="CN38" i="19"/>
  <c r="CM38" i="19"/>
  <c r="CL38" i="19"/>
  <c r="CK38" i="19"/>
  <c r="CJ38" i="19"/>
  <c r="CI38" i="19"/>
  <c r="CH38" i="19"/>
  <c r="CG38" i="19"/>
  <c r="CF38" i="19"/>
  <c r="CE38" i="19"/>
  <c r="CD38" i="19"/>
  <c r="CC38" i="19"/>
  <c r="CB38" i="19"/>
  <c r="CA38" i="19"/>
  <c r="BH38" i="19"/>
  <c r="BG38" i="19"/>
  <c r="BF38" i="19"/>
  <c r="BE38" i="19"/>
  <c r="BD38" i="19"/>
  <c r="BC38" i="19"/>
  <c r="BB38" i="19"/>
  <c r="BA38" i="19"/>
  <c r="AZ38" i="19"/>
  <c r="AB40" i="31" s="1"/>
  <c r="AY38" i="19"/>
  <c r="AX38" i="19"/>
  <c r="AV38" i="19"/>
  <c r="AU38" i="19"/>
  <c r="AT38" i="19"/>
  <c r="AS38" i="19"/>
  <c r="C40" i="23" s="1"/>
  <c r="AQ38" i="19"/>
  <c r="AP38" i="19"/>
  <c r="AO38" i="19"/>
  <c r="AN38" i="19"/>
  <c r="AM38" i="19"/>
  <c r="AK38" i="19"/>
  <c r="AJ38" i="19"/>
  <c r="AI38" i="19"/>
  <c r="AG38" i="19"/>
  <c r="AF38" i="19"/>
  <c r="AE38" i="19"/>
  <c r="AD38" i="19"/>
  <c r="AC38" i="19"/>
  <c r="AB38" i="19"/>
  <c r="AA38" i="19"/>
  <c r="Y38" i="19"/>
  <c r="X38" i="19"/>
  <c r="V38" i="19"/>
  <c r="U38" i="19"/>
  <c r="S38" i="19"/>
  <c r="R38" i="19"/>
  <c r="Q38" i="19"/>
  <c r="O38" i="19"/>
  <c r="N38" i="19"/>
  <c r="L38" i="19"/>
  <c r="K38" i="19"/>
  <c r="I38" i="19"/>
  <c r="H38" i="19"/>
  <c r="G38" i="19"/>
  <c r="F38" i="19"/>
  <c r="E38" i="19"/>
  <c r="D38" i="19"/>
  <c r="C38" i="19"/>
  <c r="B38" i="19"/>
  <c r="CO23" i="19"/>
  <c r="CN23" i="19"/>
  <c r="CM23" i="19"/>
  <c r="CL23" i="19"/>
  <c r="CK23" i="19"/>
  <c r="CJ23" i="19"/>
  <c r="CI23" i="19"/>
  <c r="CH23" i="19"/>
  <c r="CG23" i="19"/>
  <c r="CF23" i="19"/>
  <c r="CE23" i="19"/>
  <c r="CD23" i="19"/>
  <c r="CC23" i="19"/>
  <c r="CB23" i="19"/>
  <c r="CA23" i="19"/>
  <c r="BH23" i="19"/>
  <c r="BG23" i="19"/>
  <c r="BF23" i="19"/>
  <c r="BE23" i="19"/>
  <c r="BD23" i="19"/>
  <c r="BC23" i="19"/>
  <c r="BB23" i="19"/>
  <c r="BA23" i="19"/>
  <c r="AZ23" i="19"/>
  <c r="AB25" i="31" s="1"/>
  <c r="AY23" i="19"/>
  <c r="AX23" i="19"/>
  <c r="AV23" i="19"/>
  <c r="AU23" i="19"/>
  <c r="AT23" i="19"/>
  <c r="AS23" i="19"/>
  <c r="C25" i="23" s="1"/>
  <c r="AQ23" i="19"/>
  <c r="AP23" i="19"/>
  <c r="AO23" i="19"/>
  <c r="AN23" i="19"/>
  <c r="AM23" i="19"/>
  <c r="AK23" i="19"/>
  <c r="AJ23" i="19"/>
  <c r="AI23" i="19"/>
  <c r="AG23" i="19"/>
  <c r="AF23" i="19"/>
  <c r="AE23" i="19"/>
  <c r="AD23" i="19"/>
  <c r="AC23" i="19"/>
  <c r="AB23" i="19"/>
  <c r="AA23" i="19"/>
  <c r="Y23" i="19"/>
  <c r="X23" i="19"/>
  <c r="V23" i="19"/>
  <c r="U23" i="19"/>
  <c r="S23" i="19"/>
  <c r="R23" i="19"/>
  <c r="Q23" i="19"/>
  <c r="O23" i="19"/>
  <c r="N23" i="19"/>
  <c r="L23" i="19"/>
  <c r="K23" i="19"/>
  <c r="I23" i="19"/>
  <c r="H23" i="19"/>
  <c r="G23" i="19"/>
  <c r="F23" i="19"/>
  <c r="E23" i="19"/>
  <c r="D23" i="19"/>
  <c r="C23" i="19"/>
  <c r="B23" i="19"/>
  <c r="CO5" i="19"/>
  <c r="CN5" i="19"/>
  <c r="CN4" i="19" s="1"/>
  <c r="CM5" i="19"/>
  <c r="CL5" i="19"/>
  <c r="CK5" i="19"/>
  <c r="CK4" i="19" s="1"/>
  <c r="CJ5" i="19"/>
  <c r="CI5" i="19"/>
  <c r="CH5" i="19"/>
  <c r="CG5" i="19"/>
  <c r="CF5" i="19"/>
  <c r="CE5" i="19"/>
  <c r="CD5" i="19"/>
  <c r="CC5" i="19"/>
  <c r="CB5" i="19"/>
  <c r="CB4" i="19" s="1"/>
  <c r="CA5" i="19"/>
  <c r="BH5" i="19"/>
  <c r="BH4" i="19" s="1"/>
  <c r="BG5" i="19"/>
  <c r="BF5" i="19"/>
  <c r="BF4" i="19" s="1"/>
  <c r="BE5" i="19"/>
  <c r="BD5" i="19"/>
  <c r="BD4" i="19" s="1"/>
  <c r="BC5" i="19"/>
  <c r="BB5" i="19"/>
  <c r="BA5" i="19"/>
  <c r="BA4" i="19" s="1"/>
  <c r="AZ5" i="19"/>
  <c r="AY5" i="19"/>
  <c r="AX5" i="19"/>
  <c r="AV5" i="19"/>
  <c r="AU5" i="19"/>
  <c r="AT5" i="19"/>
  <c r="AS5" i="19"/>
  <c r="AQ5" i="19"/>
  <c r="AP5" i="19"/>
  <c r="AO5" i="19"/>
  <c r="AO4" i="19" s="1"/>
  <c r="AN5" i="19"/>
  <c r="AN4" i="19" s="1"/>
  <c r="AM5" i="19"/>
  <c r="AM4" i="19" s="1"/>
  <c r="AK5" i="19"/>
  <c r="AK4" i="19" s="1"/>
  <c r="AJ5" i="19"/>
  <c r="AI5" i="19"/>
  <c r="AG5" i="19"/>
  <c r="AF5" i="19"/>
  <c r="AE5" i="19"/>
  <c r="AD5" i="19"/>
  <c r="AC5" i="19"/>
  <c r="AB5" i="19"/>
  <c r="AB4" i="19" s="1"/>
  <c r="AA5" i="19"/>
  <c r="AA4" i="19" s="1"/>
  <c r="Y5" i="19"/>
  <c r="Y4" i="19" s="1"/>
  <c r="X5" i="19"/>
  <c r="V5" i="19"/>
  <c r="V4" i="19" s="1"/>
  <c r="U5" i="19"/>
  <c r="U4" i="19" s="1"/>
  <c r="S5" i="19"/>
  <c r="R5" i="19"/>
  <c r="R4" i="19" s="1"/>
  <c r="Q5" i="19"/>
  <c r="Q4" i="19" s="1"/>
  <c r="O5" i="19"/>
  <c r="O4" i="19" s="1"/>
  <c r="N5" i="19"/>
  <c r="N4" i="19" s="1"/>
  <c r="L5" i="19"/>
  <c r="L4" i="19" s="1"/>
  <c r="K5" i="19"/>
  <c r="I5" i="19"/>
  <c r="H5" i="19"/>
  <c r="H4" i="19" s="1"/>
  <c r="G5" i="19"/>
  <c r="F5" i="19"/>
  <c r="E5" i="19"/>
  <c r="D5" i="19"/>
  <c r="D4" i="19" s="1"/>
  <c r="C5" i="19"/>
  <c r="B5" i="19"/>
  <c r="Z25" i="31" l="1"/>
  <c r="AL25" i="31"/>
  <c r="AD25" i="31"/>
  <c r="AP25" i="31"/>
  <c r="Z40" i="31"/>
  <c r="AL40" i="31"/>
  <c r="AD40" i="31"/>
  <c r="AP40" i="31"/>
  <c r="Z54" i="31"/>
  <c r="AL54" i="31"/>
  <c r="AD54" i="31"/>
  <c r="AP54" i="31"/>
  <c r="R25" i="31"/>
  <c r="N40" i="31"/>
  <c r="R40" i="31"/>
  <c r="N54" i="31"/>
  <c r="R54" i="31"/>
  <c r="N25" i="31"/>
  <c r="P25" i="31"/>
  <c r="P40" i="31"/>
  <c r="P54" i="31"/>
  <c r="AS4" i="19"/>
  <c r="AI4" i="19"/>
  <c r="QL5" i="9"/>
  <c r="S4" i="19"/>
  <c r="BG4" i="19"/>
  <c r="AE4" i="19"/>
  <c r="CJ4" i="19"/>
  <c r="X4" i="19"/>
  <c r="CH4" i="19"/>
  <c r="CG4" i="19"/>
  <c r="AY4" i="19"/>
  <c r="AP4" i="19"/>
  <c r="F4" i="19"/>
  <c r="AC4" i="19"/>
  <c r="AX4" i="19"/>
  <c r="AQ4" i="19"/>
  <c r="AV4" i="19"/>
  <c r="CC4" i="19"/>
  <c r="CD4" i="19"/>
  <c r="I4" i="19"/>
  <c r="AU4" i="19"/>
  <c r="G4" i="19"/>
  <c r="AD4" i="19"/>
  <c r="AF4" i="19"/>
  <c r="CF4" i="19"/>
  <c r="K4" i="19"/>
  <c r="CI4" i="19"/>
  <c r="BB4" i="19"/>
  <c r="AJ4" i="19"/>
  <c r="CA4" i="19"/>
  <c r="AG4" i="19"/>
  <c r="BE4" i="19"/>
  <c r="E4" i="19"/>
  <c r="CE4" i="19"/>
  <c r="CL4" i="19"/>
  <c r="AT4" i="19"/>
  <c r="CM4" i="19"/>
  <c r="AZ4" i="19"/>
  <c r="BC4" i="19"/>
  <c r="CO4" i="19"/>
  <c r="CP4" i="19"/>
  <c r="OX5" i="9"/>
  <c r="OW53" i="9"/>
  <c r="OV53" i="9"/>
  <c r="OU53" i="9"/>
  <c r="OT53" i="9"/>
  <c r="OS53" i="9"/>
  <c r="OR53" i="9"/>
  <c r="OQ53" i="9"/>
  <c r="OP53" i="9"/>
  <c r="OO53" i="9"/>
  <c r="ON53" i="9"/>
  <c r="OM53" i="9"/>
  <c r="OL53" i="9"/>
  <c r="OK53" i="9"/>
  <c r="OJ53" i="9"/>
  <c r="OI53" i="9"/>
  <c r="OE53" i="9"/>
  <c r="OD53" i="9"/>
  <c r="OB53" i="9"/>
  <c r="OA53" i="9"/>
  <c r="NY53" i="9"/>
  <c r="NX53" i="9"/>
  <c r="NV53" i="9"/>
  <c r="NU53" i="9"/>
  <c r="NS53" i="9"/>
  <c r="NR53" i="9"/>
  <c r="NQ53" i="9"/>
  <c r="G54" i="23" s="1"/>
  <c r="NP53" i="9"/>
  <c r="NO53" i="9"/>
  <c r="NN53" i="9"/>
  <c r="NM53" i="9"/>
  <c r="NC53" i="9"/>
  <c r="NB53" i="9"/>
  <c r="MZ53" i="9"/>
  <c r="MY53" i="9"/>
  <c r="MV53" i="9"/>
  <c r="MU53" i="9"/>
  <c r="MT53" i="9"/>
  <c r="MS53" i="9"/>
  <c r="OW39" i="9"/>
  <c r="OV39" i="9"/>
  <c r="OU39" i="9"/>
  <c r="OT39" i="9"/>
  <c r="OS39" i="9"/>
  <c r="OR39" i="9"/>
  <c r="OQ39" i="9"/>
  <c r="OP39" i="9"/>
  <c r="OO39" i="9"/>
  <c r="ON39" i="9"/>
  <c r="OM39" i="9"/>
  <c r="OL39" i="9"/>
  <c r="OK39" i="9"/>
  <c r="OJ39" i="9"/>
  <c r="OI39" i="9"/>
  <c r="OE39" i="9"/>
  <c r="OD39" i="9"/>
  <c r="OB39" i="9"/>
  <c r="OA39" i="9"/>
  <c r="NY39" i="9"/>
  <c r="NX39" i="9"/>
  <c r="NV39" i="9"/>
  <c r="NU39" i="9"/>
  <c r="NS39" i="9"/>
  <c r="NR39" i="9"/>
  <c r="NQ39" i="9"/>
  <c r="G40" i="23" s="1"/>
  <c r="NP39" i="9"/>
  <c r="NO39" i="9"/>
  <c r="NN39" i="9"/>
  <c r="NM39" i="9"/>
  <c r="NC39" i="9"/>
  <c r="NB39" i="9"/>
  <c r="MZ39" i="9"/>
  <c r="MY39" i="9"/>
  <c r="MV39" i="9"/>
  <c r="MU39" i="9"/>
  <c r="MT39" i="9"/>
  <c r="MS39" i="9"/>
  <c r="OW24" i="9"/>
  <c r="OV24" i="9"/>
  <c r="OU24" i="9"/>
  <c r="OT24" i="9"/>
  <c r="OS24" i="9"/>
  <c r="OR24" i="9"/>
  <c r="OQ24" i="9"/>
  <c r="OP24" i="9"/>
  <c r="OO24" i="9"/>
  <c r="ON24" i="9"/>
  <c r="OM24" i="9"/>
  <c r="OL24" i="9"/>
  <c r="OK24" i="9"/>
  <c r="OJ24" i="9"/>
  <c r="OI24" i="9"/>
  <c r="OE24" i="9"/>
  <c r="OD24" i="9"/>
  <c r="OB24" i="9"/>
  <c r="OA24" i="9"/>
  <c r="NY24" i="9"/>
  <c r="NX24" i="9"/>
  <c r="NV24" i="9"/>
  <c r="NU24" i="9"/>
  <c r="NS24" i="9"/>
  <c r="NR24" i="9"/>
  <c r="NQ24" i="9"/>
  <c r="G25" i="23" s="1"/>
  <c r="NP24" i="9"/>
  <c r="NO24" i="9"/>
  <c r="NN24" i="9"/>
  <c r="NM24" i="9"/>
  <c r="NC24" i="9"/>
  <c r="NB24" i="9"/>
  <c r="MZ24" i="9"/>
  <c r="MY24" i="9"/>
  <c r="MV24" i="9"/>
  <c r="MU24" i="9"/>
  <c r="MT24" i="9"/>
  <c r="MS24" i="9"/>
  <c r="OW6" i="9"/>
  <c r="OV6" i="9"/>
  <c r="OU6" i="9"/>
  <c r="OT6" i="9"/>
  <c r="OS6" i="9"/>
  <c r="OR6" i="9"/>
  <c r="OQ6" i="9"/>
  <c r="OP6" i="9"/>
  <c r="OO6" i="9"/>
  <c r="ON6" i="9"/>
  <c r="OM6" i="9"/>
  <c r="OL6" i="9"/>
  <c r="OK6" i="9"/>
  <c r="OJ6" i="9"/>
  <c r="OI6" i="9"/>
  <c r="OE6" i="9"/>
  <c r="OD6" i="9"/>
  <c r="OB6" i="9"/>
  <c r="OA6" i="9"/>
  <c r="NY6" i="9"/>
  <c r="NX6" i="9"/>
  <c r="NV6" i="9"/>
  <c r="NU6" i="9"/>
  <c r="NS6" i="9"/>
  <c r="NR6" i="9"/>
  <c r="NQ6" i="9"/>
  <c r="G7" i="23" s="1"/>
  <c r="NP6" i="9"/>
  <c r="NO6" i="9"/>
  <c r="NN6" i="9"/>
  <c r="NM6" i="9"/>
  <c r="NC6" i="9"/>
  <c r="NB6" i="9"/>
  <c r="MZ6" i="9"/>
  <c r="MY6" i="9"/>
  <c r="MV6" i="9"/>
  <c r="MU6" i="9"/>
  <c r="MT6" i="9"/>
  <c r="MS6" i="9"/>
  <c r="MM53" i="9"/>
  <c r="ML53" i="9"/>
  <c r="MK53" i="9"/>
  <c r="MD53" i="9"/>
  <c r="MC53" i="9"/>
  <c r="MA53" i="9"/>
  <c r="LZ53" i="9"/>
  <c r="LX53" i="9"/>
  <c r="LW53" i="9"/>
  <c r="LV53" i="9"/>
  <c r="LU53" i="9"/>
  <c r="LQ53" i="9"/>
  <c r="MM39" i="9"/>
  <c r="ML39" i="9"/>
  <c r="MK39" i="9"/>
  <c r="MD39" i="9"/>
  <c r="MC39" i="9"/>
  <c r="MA39" i="9"/>
  <c r="LZ39" i="9"/>
  <c r="LX39" i="9"/>
  <c r="LW39" i="9"/>
  <c r="LV39" i="9"/>
  <c r="LU39" i="9"/>
  <c r="LQ39" i="9"/>
  <c r="MM24" i="9"/>
  <c r="ML24" i="9"/>
  <c r="MK24" i="9"/>
  <c r="MD24" i="9"/>
  <c r="MC24" i="9"/>
  <c r="MA24" i="9"/>
  <c r="LZ24" i="9"/>
  <c r="LX24" i="9"/>
  <c r="LW24" i="9"/>
  <c r="LV24" i="9"/>
  <c r="LU24" i="9"/>
  <c r="LQ24" i="9"/>
  <c r="MM6" i="9"/>
  <c r="ML6" i="9"/>
  <c r="MK6" i="9"/>
  <c r="MD6" i="9"/>
  <c r="MC6" i="9"/>
  <c r="MA6" i="9"/>
  <c r="LZ6" i="9"/>
  <c r="LX6" i="9"/>
  <c r="LW6" i="9"/>
  <c r="LV6" i="9"/>
  <c r="LU6" i="9"/>
  <c r="LQ6" i="9"/>
  <c r="LP53" i="9"/>
  <c r="LO53" i="9"/>
  <c r="LM53" i="9"/>
  <c r="LL53" i="9"/>
  <c r="LJ53" i="9"/>
  <c r="LI53" i="9"/>
  <c r="LE53" i="9"/>
  <c r="LP39" i="9"/>
  <c r="LO39" i="9"/>
  <c r="LM39" i="9"/>
  <c r="LL39" i="9"/>
  <c r="LJ39" i="9"/>
  <c r="LI39" i="9"/>
  <c r="LE39" i="9"/>
  <c r="LP24" i="9"/>
  <c r="LO24" i="9"/>
  <c r="LM24" i="9"/>
  <c r="LL24" i="9"/>
  <c r="LJ24" i="9"/>
  <c r="LI24" i="9"/>
  <c r="LE24" i="9"/>
  <c r="LO6" i="9"/>
  <c r="LP6" i="9"/>
  <c r="LM6" i="9"/>
  <c r="LL6" i="9"/>
  <c r="LJ6" i="9"/>
  <c r="LI6" i="9"/>
  <c r="LE6" i="9"/>
  <c r="LD53" i="9"/>
  <c r="LC53" i="9"/>
  <c r="LA53" i="9"/>
  <c r="KZ53" i="9"/>
  <c r="KV53" i="9"/>
  <c r="LD39" i="9"/>
  <c r="LC39" i="9"/>
  <c r="LA39" i="9"/>
  <c r="KZ39" i="9"/>
  <c r="KV39" i="9"/>
  <c r="LD24" i="9"/>
  <c r="LC24" i="9"/>
  <c r="LA24" i="9"/>
  <c r="KZ24" i="9"/>
  <c r="KV24" i="9"/>
  <c r="LD6" i="9"/>
  <c r="LC6" i="9"/>
  <c r="LA6" i="9"/>
  <c r="KZ6" i="9"/>
  <c r="KV6" i="9"/>
  <c r="KU6" i="9"/>
  <c r="KT6" i="9"/>
  <c r="QK53" i="9"/>
  <c r="QJ53" i="9"/>
  <c r="QI53" i="9"/>
  <c r="QH53" i="9"/>
  <c r="QG53" i="9"/>
  <c r="QF53" i="9"/>
  <c r="QE53" i="9"/>
  <c r="QD53" i="9"/>
  <c r="QC53" i="9"/>
  <c r="QB53" i="9"/>
  <c r="QK39" i="9"/>
  <c r="QJ39" i="9"/>
  <c r="QI39" i="9"/>
  <c r="QH39" i="9"/>
  <c r="QG39" i="9"/>
  <c r="QF39" i="9"/>
  <c r="QE39" i="9"/>
  <c r="QD39" i="9"/>
  <c r="QC39" i="9"/>
  <c r="QB39" i="9"/>
  <c r="QK24" i="9"/>
  <c r="QJ24" i="9"/>
  <c r="QI24" i="9"/>
  <c r="QH24" i="9"/>
  <c r="QG24" i="9"/>
  <c r="QF24" i="9"/>
  <c r="QE24" i="9"/>
  <c r="QD24" i="9"/>
  <c r="QC24" i="9"/>
  <c r="QB24" i="9"/>
  <c r="QK6" i="9"/>
  <c r="QJ6" i="9"/>
  <c r="QI6" i="9"/>
  <c r="QH6" i="9"/>
  <c r="QG6" i="9"/>
  <c r="QF6" i="9"/>
  <c r="QE6" i="9"/>
  <c r="QD6" i="9"/>
  <c r="QC6" i="9"/>
  <c r="QB6" i="9"/>
  <c r="JT53" i="9"/>
  <c r="JS53" i="9"/>
  <c r="JR53" i="9"/>
  <c r="JQ53" i="9"/>
  <c r="JP53" i="9"/>
  <c r="JO53" i="9"/>
  <c r="JN53" i="9"/>
  <c r="JM53" i="9"/>
  <c r="JL53" i="9"/>
  <c r="JK53" i="9"/>
  <c r="GR53" i="9"/>
  <c r="GQ53" i="9"/>
  <c r="GP53" i="9"/>
  <c r="GO53" i="9"/>
  <c r="GN53" i="9"/>
  <c r="GM53" i="9"/>
  <c r="GL53" i="9"/>
  <c r="GK53" i="9"/>
  <c r="GJ53" i="9"/>
  <c r="GI53" i="9"/>
  <c r="JT39" i="9"/>
  <c r="JS39" i="9"/>
  <c r="JR39" i="9"/>
  <c r="JQ39" i="9"/>
  <c r="JP39" i="9"/>
  <c r="JO39" i="9"/>
  <c r="JN39" i="9"/>
  <c r="JM39" i="9"/>
  <c r="JL39" i="9"/>
  <c r="JK39" i="9"/>
  <c r="GR39" i="9"/>
  <c r="GQ39" i="9"/>
  <c r="GP39" i="9"/>
  <c r="GO39" i="9"/>
  <c r="GN39" i="9"/>
  <c r="GM39" i="9"/>
  <c r="GL39" i="9"/>
  <c r="GK39" i="9"/>
  <c r="GJ39" i="9"/>
  <c r="GI39" i="9"/>
  <c r="JT24" i="9"/>
  <c r="JS24" i="9"/>
  <c r="JR24" i="9"/>
  <c r="JQ24" i="9"/>
  <c r="JP24" i="9"/>
  <c r="JO24" i="9"/>
  <c r="JN24" i="9"/>
  <c r="JM24" i="9"/>
  <c r="JL24" i="9"/>
  <c r="JK24" i="9"/>
  <c r="GR24" i="9"/>
  <c r="GQ24" i="9"/>
  <c r="GP24" i="9"/>
  <c r="GO24" i="9"/>
  <c r="GN24" i="9"/>
  <c r="GM24" i="9"/>
  <c r="GL24" i="9"/>
  <c r="GK24" i="9"/>
  <c r="GJ24" i="9"/>
  <c r="GI24" i="9"/>
  <c r="JT6" i="9"/>
  <c r="JS6" i="9"/>
  <c r="JR6" i="9"/>
  <c r="JQ6" i="9"/>
  <c r="JP6" i="9"/>
  <c r="JO6" i="9"/>
  <c r="JN6" i="9"/>
  <c r="JM6" i="9"/>
  <c r="JL6" i="9"/>
  <c r="JK6" i="9"/>
  <c r="GR6" i="9"/>
  <c r="GQ6" i="9"/>
  <c r="GP6" i="9"/>
  <c r="GO6" i="9"/>
  <c r="GN6" i="9"/>
  <c r="GM6" i="9"/>
  <c r="GL6" i="9"/>
  <c r="GK6" i="9"/>
  <c r="GJ6" i="9"/>
  <c r="GI6" i="9"/>
  <c r="FD53" i="9"/>
  <c r="FC53" i="9"/>
  <c r="FB53" i="9"/>
  <c r="FA53" i="9"/>
  <c r="EZ53" i="9"/>
  <c r="EY53" i="9"/>
  <c r="EX53" i="9"/>
  <c r="EW53" i="9"/>
  <c r="EV53" i="9"/>
  <c r="FD39" i="9"/>
  <c r="FC39" i="9"/>
  <c r="FB39" i="9"/>
  <c r="FA39" i="9"/>
  <c r="EZ39" i="9"/>
  <c r="EY39" i="9"/>
  <c r="EX39" i="9"/>
  <c r="EW39" i="9"/>
  <c r="EV39" i="9"/>
  <c r="FD24" i="9"/>
  <c r="FC24" i="9"/>
  <c r="FB24" i="9"/>
  <c r="FA24" i="9"/>
  <c r="EZ24" i="9"/>
  <c r="EY24" i="9"/>
  <c r="EX24" i="9"/>
  <c r="EW24" i="9"/>
  <c r="EV24" i="9"/>
  <c r="FD6" i="9"/>
  <c r="FC6" i="9"/>
  <c r="FB6" i="9"/>
  <c r="FA6" i="9"/>
  <c r="EZ6" i="9"/>
  <c r="EY6" i="9"/>
  <c r="EX6" i="9"/>
  <c r="EW6" i="9"/>
  <c r="EV6" i="9"/>
  <c r="EU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F54" i="31"/>
  <c r="D54" i="31"/>
  <c r="B54" i="31"/>
  <c r="F40" i="31"/>
  <c r="D40" i="31"/>
  <c r="B40" i="31"/>
  <c r="F25" i="31"/>
  <c r="D25" i="31"/>
  <c r="B25" i="31"/>
  <c r="CV6" i="9"/>
  <c r="CU6" i="9"/>
  <c r="AP7" i="31" s="1"/>
  <c r="CT6" i="9"/>
  <c r="CS6" i="9"/>
  <c r="AL7" i="31" s="1"/>
  <c r="CR6" i="9"/>
  <c r="C7" i="23" s="1"/>
  <c r="CQ6" i="9"/>
  <c r="CP6" i="9"/>
  <c r="CO6" i="9"/>
  <c r="CN6" i="9"/>
  <c r="CM6" i="9"/>
  <c r="CL6" i="9"/>
  <c r="CK6" i="9"/>
  <c r="CJ6" i="9"/>
  <c r="CI6" i="9"/>
  <c r="CG6" i="9"/>
  <c r="CF6" i="9"/>
  <c r="CE6" i="9"/>
  <c r="CD6" i="9"/>
  <c r="AY6" i="9"/>
  <c r="AX6" i="9"/>
  <c r="AW6" i="9"/>
  <c r="AV6" i="9"/>
  <c r="AU6" i="9"/>
  <c r="AT6" i="9"/>
  <c r="AS6" i="9"/>
  <c r="AR6" i="9"/>
  <c r="AQ6" i="9"/>
  <c r="AP6" i="9"/>
  <c r="P53" i="9"/>
  <c r="O53" i="9"/>
  <c r="N53" i="9"/>
  <c r="M53" i="9"/>
  <c r="L53" i="9"/>
  <c r="P39" i="9"/>
  <c r="O39" i="9"/>
  <c r="N39" i="9"/>
  <c r="M39" i="9"/>
  <c r="L39" i="9"/>
  <c r="P24" i="9"/>
  <c r="O24" i="9"/>
  <c r="N24" i="9"/>
  <c r="M24" i="9"/>
  <c r="L24" i="9"/>
  <c r="P6" i="9"/>
  <c r="O6" i="9"/>
  <c r="N6" i="9"/>
  <c r="M6" i="9"/>
  <c r="L6" i="9"/>
  <c r="K53" i="9"/>
  <c r="J53" i="9"/>
  <c r="I53" i="9"/>
  <c r="H53" i="9"/>
  <c r="G53" i="9"/>
  <c r="K39" i="9"/>
  <c r="J39" i="9"/>
  <c r="I39" i="9"/>
  <c r="H39" i="9"/>
  <c r="G39" i="9"/>
  <c r="K24" i="9"/>
  <c r="J24" i="9"/>
  <c r="I24" i="9"/>
  <c r="H24" i="9"/>
  <c r="G24" i="9"/>
  <c r="K6" i="9"/>
  <c r="J6" i="9"/>
  <c r="I6" i="9"/>
  <c r="H6" i="9"/>
  <c r="G6" i="9"/>
  <c r="B8" i="9"/>
  <c r="C8" i="9"/>
  <c r="D8" i="9"/>
  <c r="E8" i="9"/>
  <c r="F8" i="9"/>
  <c r="KW8" i="9"/>
  <c r="KX8" i="9"/>
  <c r="KY8" i="9"/>
  <c r="LB8" i="9"/>
  <c r="LF8" i="9"/>
  <c r="LG8" i="9"/>
  <c r="LH8" i="9"/>
  <c r="LK8" i="9"/>
  <c r="LN8" i="9"/>
  <c r="LT8" i="9"/>
  <c r="LY8" i="9"/>
  <c r="MB8" i="9"/>
  <c r="MI8" i="9"/>
  <c r="MJ8" i="9"/>
  <c r="MG8" i="9" s="1"/>
  <c r="LS8" i="9" s="1"/>
  <c r="MN8" i="9"/>
  <c r="MQ8" i="9"/>
  <c r="MR8" i="9"/>
  <c r="MW8" i="9"/>
  <c r="MX8" i="9"/>
  <c r="NA8" i="9"/>
  <c r="ND8" i="9"/>
  <c r="NK8" i="9"/>
  <c r="NH8" i="9" s="1"/>
  <c r="NL8" i="9"/>
  <c r="NI8" i="9" s="1"/>
  <c r="NF8" i="9" s="1"/>
  <c r="MP8" i="9" s="1"/>
  <c r="NT8" i="9"/>
  <c r="NW8" i="9"/>
  <c r="NZ8" i="9"/>
  <c r="OC8" i="9"/>
  <c r="OG8" i="9"/>
  <c r="OH8" i="9"/>
  <c r="B9" i="9"/>
  <c r="C9" i="9"/>
  <c r="D9" i="9"/>
  <c r="E9" i="9"/>
  <c r="F9" i="9"/>
  <c r="KW9" i="9"/>
  <c r="KX9" i="9"/>
  <c r="KY9" i="9"/>
  <c r="LB9" i="9"/>
  <c r="LF9" i="9"/>
  <c r="LG9" i="9"/>
  <c r="LH9" i="9"/>
  <c r="LK9" i="9"/>
  <c r="LN9" i="9"/>
  <c r="LT9" i="9"/>
  <c r="LY9" i="9"/>
  <c r="MB9" i="9"/>
  <c r="MI9" i="9"/>
  <c r="MJ9" i="9"/>
  <c r="MG9" i="9" s="1"/>
  <c r="LS9" i="9" s="1"/>
  <c r="MN9" i="9"/>
  <c r="MQ9" i="9"/>
  <c r="MR9" i="9"/>
  <c r="MW9" i="9"/>
  <c r="MX9" i="9"/>
  <c r="NA9" i="9"/>
  <c r="ND9" i="9"/>
  <c r="NK9" i="9"/>
  <c r="NH9" i="9" s="1"/>
  <c r="NL9" i="9"/>
  <c r="NI9" i="9" s="1"/>
  <c r="NF9" i="9" s="1"/>
  <c r="MP9" i="9" s="1"/>
  <c r="NT9" i="9"/>
  <c r="NW9" i="9"/>
  <c r="NZ9" i="9"/>
  <c r="OC9" i="9"/>
  <c r="OG9" i="9"/>
  <c r="OH9" i="9"/>
  <c r="KW10" i="9"/>
  <c r="KX10" i="9"/>
  <c r="KY10" i="9"/>
  <c r="LB10" i="9"/>
  <c r="LF10" i="9"/>
  <c r="LG10" i="9"/>
  <c r="LH10" i="9"/>
  <c r="LK10" i="9"/>
  <c r="LN10" i="9"/>
  <c r="LT10" i="9"/>
  <c r="LY10" i="9"/>
  <c r="MB10" i="9"/>
  <c r="MI10" i="9"/>
  <c r="MJ10" i="9"/>
  <c r="MG10" i="9" s="1"/>
  <c r="LS10" i="9" s="1"/>
  <c r="MN10" i="9"/>
  <c r="MQ10" i="9"/>
  <c r="MR10" i="9"/>
  <c r="MW10" i="9"/>
  <c r="MX10" i="9"/>
  <c r="NA10" i="9"/>
  <c r="ND10" i="9"/>
  <c r="NK10" i="9"/>
  <c r="NH10" i="9" s="1"/>
  <c r="NL10" i="9"/>
  <c r="NI10" i="9" s="1"/>
  <c r="NF10" i="9" s="1"/>
  <c r="MP10" i="9" s="1"/>
  <c r="NT10" i="9"/>
  <c r="NW10" i="9"/>
  <c r="NZ10" i="9"/>
  <c r="OC10" i="9"/>
  <c r="OG10" i="9"/>
  <c r="OH10" i="9"/>
  <c r="B11" i="9"/>
  <c r="C11" i="9"/>
  <c r="D11" i="9"/>
  <c r="E11" i="9"/>
  <c r="F11" i="9"/>
  <c r="KW11" i="9"/>
  <c r="KX11" i="9"/>
  <c r="KY11" i="9"/>
  <c r="LB11" i="9"/>
  <c r="LF11" i="9"/>
  <c r="LG11" i="9"/>
  <c r="LH11" i="9"/>
  <c r="LK11" i="9"/>
  <c r="LN11" i="9"/>
  <c r="LT11" i="9"/>
  <c r="LY11" i="9"/>
  <c r="MB11" i="9"/>
  <c r="MI11" i="9"/>
  <c r="MF11" i="9" s="1"/>
  <c r="MJ11" i="9"/>
  <c r="MG11" i="9" s="1"/>
  <c r="LS11" i="9" s="1"/>
  <c r="MN11" i="9"/>
  <c r="MQ11" i="9"/>
  <c r="MR11" i="9"/>
  <c r="MW11" i="9"/>
  <c r="MX11" i="9"/>
  <c r="NA11" i="9"/>
  <c r="ND11" i="9"/>
  <c r="NK11" i="9"/>
  <c r="NL11" i="9"/>
  <c r="NI11" i="9" s="1"/>
  <c r="NF11" i="9" s="1"/>
  <c r="MP11" i="9" s="1"/>
  <c r="NT11" i="9"/>
  <c r="NW11" i="9"/>
  <c r="NZ11" i="9"/>
  <c r="OC11" i="9"/>
  <c r="OG11" i="9"/>
  <c r="OH11" i="9"/>
  <c r="B12" i="9"/>
  <c r="C12" i="9"/>
  <c r="D12" i="9"/>
  <c r="E12" i="9"/>
  <c r="F12" i="9"/>
  <c r="KW12" i="9"/>
  <c r="KX12" i="9"/>
  <c r="KY12" i="9"/>
  <c r="LB12" i="9"/>
  <c r="LF12" i="9"/>
  <c r="LG12" i="9"/>
  <c r="LH12" i="9"/>
  <c r="LK12" i="9"/>
  <c r="LN12" i="9"/>
  <c r="LT12" i="9"/>
  <c r="LY12" i="9"/>
  <c r="MB12" i="9"/>
  <c r="MI12" i="9"/>
  <c r="MF12" i="9" s="1"/>
  <c r="MJ12" i="9"/>
  <c r="MG12" i="9" s="1"/>
  <c r="LS12" i="9" s="1"/>
  <c r="MN12" i="9"/>
  <c r="MQ12" i="9"/>
  <c r="MR12" i="9"/>
  <c r="MW12" i="9"/>
  <c r="MX12" i="9"/>
  <c r="NA12" i="9"/>
  <c r="ND12" i="9"/>
  <c r="NK12" i="9"/>
  <c r="NL12" i="9"/>
  <c r="NI12" i="9" s="1"/>
  <c r="NF12" i="9" s="1"/>
  <c r="MP12" i="9" s="1"/>
  <c r="NT12" i="9"/>
  <c r="NW12" i="9"/>
  <c r="NZ12" i="9"/>
  <c r="OC12" i="9"/>
  <c r="OG12" i="9"/>
  <c r="OH12" i="9"/>
  <c r="B13" i="9"/>
  <c r="C13" i="9"/>
  <c r="D13" i="9"/>
  <c r="E13" i="9"/>
  <c r="F13" i="9"/>
  <c r="KW13" i="9"/>
  <c r="KX13" i="9"/>
  <c r="KY13" i="9"/>
  <c r="LB13" i="9"/>
  <c r="LF13" i="9"/>
  <c r="LG13" i="9"/>
  <c r="LH13" i="9"/>
  <c r="LK13" i="9"/>
  <c r="LN13" i="9"/>
  <c r="LT13" i="9"/>
  <c r="LY13" i="9"/>
  <c r="MB13" i="9"/>
  <c r="MI13" i="9"/>
  <c r="MF13" i="9" s="1"/>
  <c r="MJ13" i="9"/>
  <c r="MG13" i="9" s="1"/>
  <c r="LS13" i="9" s="1"/>
  <c r="MN13" i="9"/>
  <c r="MQ13" i="9"/>
  <c r="MR13" i="9"/>
  <c r="MW13" i="9"/>
  <c r="MX13" i="9"/>
  <c r="NA13" i="9"/>
  <c r="ND13" i="9"/>
  <c r="NK13" i="9"/>
  <c r="NL13" i="9"/>
  <c r="NI13" i="9" s="1"/>
  <c r="NF13" i="9" s="1"/>
  <c r="MP13" i="9" s="1"/>
  <c r="NT13" i="9"/>
  <c r="NW13" i="9"/>
  <c r="NZ13" i="9"/>
  <c r="OC13" i="9"/>
  <c r="OG13" i="9"/>
  <c r="OH13" i="9"/>
  <c r="B14" i="9"/>
  <c r="C14" i="9"/>
  <c r="D14" i="9"/>
  <c r="E14" i="9"/>
  <c r="F14" i="9"/>
  <c r="KW14" i="9"/>
  <c r="KX14" i="9"/>
  <c r="KY14" i="9"/>
  <c r="LB14" i="9"/>
  <c r="LF14" i="9"/>
  <c r="LG14" i="9"/>
  <c r="LH14" i="9"/>
  <c r="LK14" i="9"/>
  <c r="LN14" i="9"/>
  <c r="LT14" i="9"/>
  <c r="LY14" i="9"/>
  <c r="MB14" i="9"/>
  <c r="MI14" i="9"/>
  <c r="MF14" i="9" s="1"/>
  <c r="LR14" i="9" s="1"/>
  <c r="MJ14" i="9"/>
  <c r="MN14" i="9"/>
  <c r="MQ14" i="9"/>
  <c r="MR14" i="9"/>
  <c r="MW14" i="9"/>
  <c r="MX14" i="9"/>
  <c r="NA14" i="9"/>
  <c r="ND14" i="9"/>
  <c r="NK14" i="9"/>
  <c r="NH14" i="9" s="1"/>
  <c r="NL14" i="9"/>
  <c r="NI14" i="9" s="1"/>
  <c r="NF14" i="9" s="1"/>
  <c r="MP14" i="9" s="1"/>
  <c r="NT14" i="9"/>
  <c r="NW14" i="9"/>
  <c r="NZ14" i="9"/>
  <c r="OC14" i="9"/>
  <c r="OG14" i="9"/>
  <c r="OH14" i="9"/>
  <c r="B15" i="9"/>
  <c r="C15" i="9"/>
  <c r="D15" i="9"/>
  <c r="E15" i="9"/>
  <c r="F15" i="9"/>
  <c r="KW15" i="9"/>
  <c r="KX15" i="9"/>
  <c r="KY15" i="9"/>
  <c r="LB15" i="9"/>
  <c r="LF15" i="9"/>
  <c r="LG15" i="9"/>
  <c r="LH15" i="9"/>
  <c r="LK15" i="9"/>
  <c r="LN15" i="9"/>
  <c r="LT15" i="9"/>
  <c r="LY15" i="9"/>
  <c r="MB15" i="9"/>
  <c r="MI15" i="9"/>
  <c r="MF15" i="9" s="1"/>
  <c r="LR15" i="9" s="1"/>
  <c r="MJ15" i="9"/>
  <c r="MN15" i="9"/>
  <c r="MQ15" i="9"/>
  <c r="MR15" i="9"/>
  <c r="MW15" i="9"/>
  <c r="MX15" i="9"/>
  <c r="NA15" i="9"/>
  <c r="ND15" i="9"/>
  <c r="NK15" i="9"/>
  <c r="NH15" i="9" s="1"/>
  <c r="NL15" i="9"/>
  <c r="NI15" i="9" s="1"/>
  <c r="NF15" i="9" s="1"/>
  <c r="MP15" i="9" s="1"/>
  <c r="NT15" i="9"/>
  <c r="NW15" i="9"/>
  <c r="NZ15" i="9"/>
  <c r="OC15" i="9"/>
  <c r="OG15" i="9"/>
  <c r="OH15" i="9"/>
  <c r="B16" i="9"/>
  <c r="C16" i="9"/>
  <c r="D16" i="9"/>
  <c r="E16" i="9"/>
  <c r="F16" i="9"/>
  <c r="KW16" i="9"/>
  <c r="KX16" i="9"/>
  <c r="KY16" i="9"/>
  <c r="LB16" i="9"/>
  <c r="LF16" i="9"/>
  <c r="LG16" i="9"/>
  <c r="LH16" i="9"/>
  <c r="LK16" i="9"/>
  <c r="LN16" i="9"/>
  <c r="LT16" i="9"/>
  <c r="LY16" i="9"/>
  <c r="MB16" i="9"/>
  <c r="MI16" i="9"/>
  <c r="MF16" i="9" s="1"/>
  <c r="LR16" i="9" s="1"/>
  <c r="MJ16" i="9"/>
  <c r="MN16" i="9"/>
  <c r="MQ16" i="9"/>
  <c r="MR16" i="9"/>
  <c r="MW16" i="9"/>
  <c r="MX16" i="9"/>
  <c r="NA16" i="9"/>
  <c r="ND16" i="9"/>
  <c r="NK16" i="9"/>
  <c r="NH16" i="9" s="1"/>
  <c r="NL16" i="9"/>
  <c r="NI16" i="9" s="1"/>
  <c r="NF16" i="9" s="1"/>
  <c r="MP16" i="9" s="1"/>
  <c r="NT16" i="9"/>
  <c r="NW16" i="9"/>
  <c r="NZ16" i="9"/>
  <c r="OC16" i="9"/>
  <c r="OG16" i="9"/>
  <c r="OH16" i="9"/>
  <c r="B17" i="9"/>
  <c r="C17" i="9"/>
  <c r="D17" i="9"/>
  <c r="E17" i="9"/>
  <c r="F17" i="9"/>
  <c r="KW17" i="9"/>
  <c r="KX17" i="9"/>
  <c r="KY17" i="9"/>
  <c r="LB17" i="9"/>
  <c r="LF17" i="9"/>
  <c r="LG17" i="9"/>
  <c r="LH17" i="9"/>
  <c r="LK17" i="9"/>
  <c r="LN17" i="9"/>
  <c r="LT17" i="9"/>
  <c r="LY17" i="9"/>
  <c r="MB17" i="9"/>
  <c r="MI17" i="9"/>
  <c r="MF17" i="9" s="1"/>
  <c r="LR17" i="9" s="1"/>
  <c r="MJ17" i="9"/>
  <c r="MN17" i="9"/>
  <c r="MQ17" i="9"/>
  <c r="MR17" i="9"/>
  <c r="MW17" i="9"/>
  <c r="MX17" i="9"/>
  <c r="NA17" i="9"/>
  <c r="ND17" i="9"/>
  <c r="NK17" i="9"/>
  <c r="NH17" i="9" s="1"/>
  <c r="NL17" i="9"/>
  <c r="NI17" i="9" s="1"/>
  <c r="NF17" i="9" s="1"/>
  <c r="MP17" i="9" s="1"/>
  <c r="NT17" i="9"/>
  <c r="NW17" i="9"/>
  <c r="NZ17" i="9"/>
  <c r="OC17" i="9"/>
  <c r="OG17" i="9"/>
  <c r="OH17" i="9"/>
  <c r="B18" i="9"/>
  <c r="C18" i="9"/>
  <c r="D18" i="9"/>
  <c r="E18" i="9"/>
  <c r="F18" i="9"/>
  <c r="KW18" i="9"/>
  <c r="KX18" i="9"/>
  <c r="KY18" i="9"/>
  <c r="LB18" i="9"/>
  <c r="LF18" i="9"/>
  <c r="LG18" i="9"/>
  <c r="LH18" i="9"/>
  <c r="LK18" i="9"/>
  <c r="LN18" i="9"/>
  <c r="LT18" i="9"/>
  <c r="LY18" i="9"/>
  <c r="MB18" i="9"/>
  <c r="MI18" i="9"/>
  <c r="MF18" i="9" s="1"/>
  <c r="LR18" i="9" s="1"/>
  <c r="MJ18" i="9"/>
  <c r="MN18" i="9"/>
  <c r="MQ18" i="9"/>
  <c r="MR18" i="9"/>
  <c r="MW18" i="9"/>
  <c r="MX18" i="9"/>
  <c r="NA18" i="9"/>
  <c r="ND18" i="9"/>
  <c r="NK18" i="9"/>
  <c r="NH18" i="9" s="1"/>
  <c r="NL18" i="9"/>
  <c r="NI18" i="9" s="1"/>
  <c r="NF18" i="9" s="1"/>
  <c r="MP18" i="9" s="1"/>
  <c r="NT18" i="9"/>
  <c r="NW18" i="9"/>
  <c r="NZ18" i="9"/>
  <c r="OC18" i="9"/>
  <c r="OG18" i="9"/>
  <c r="OH18" i="9"/>
  <c r="B19" i="9"/>
  <c r="C19" i="9"/>
  <c r="D19" i="9"/>
  <c r="E19" i="9"/>
  <c r="F19" i="9"/>
  <c r="KW19" i="9"/>
  <c r="KX19" i="9"/>
  <c r="KY19" i="9"/>
  <c r="LB19" i="9"/>
  <c r="LF19" i="9"/>
  <c r="LG19" i="9"/>
  <c r="LH19" i="9"/>
  <c r="LK19" i="9"/>
  <c r="LN19" i="9"/>
  <c r="LT19" i="9"/>
  <c r="LY19" i="9"/>
  <c r="MB19" i="9"/>
  <c r="MI19" i="9"/>
  <c r="MF19" i="9" s="1"/>
  <c r="LR19" i="9" s="1"/>
  <c r="MJ19" i="9"/>
  <c r="MN19" i="9"/>
  <c r="MQ19" i="9"/>
  <c r="MR19" i="9"/>
  <c r="MW19" i="9"/>
  <c r="MX19" i="9"/>
  <c r="NA19" i="9"/>
  <c r="ND19" i="9"/>
  <c r="NK19" i="9"/>
  <c r="NH19" i="9" s="1"/>
  <c r="NL19" i="9"/>
  <c r="NI19" i="9" s="1"/>
  <c r="NF19" i="9" s="1"/>
  <c r="MP19" i="9" s="1"/>
  <c r="NT19" i="9"/>
  <c r="NW19" i="9"/>
  <c r="NZ19" i="9"/>
  <c r="OC19" i="9"/>
  <c r="OG19" i="9"/>
  <c r="OH19" i="9"/>
  <c r="B20" i="9"/>
  <c r="C20" i="9"/>
  <c r="D20" i="9"/>
  <c r="E20" i="9"/>
  <c r="F20" i="9"/>
  <c r="KW20" i="9"/>
  <c r="KX20" i="9"/>
  <c r="KY20" i="9"/>
  <c r="LB20" i="9"/>
  <c r="LF20" i="9"/>
  <c r="LG20" i="9"/>
  <c r="LH20" i="9"/>
  <c r="LK20" i="9"/>
  <c r="LN20" i="9"/>
  <c r="LT20" i="9"/>
  <c r="LY20" i="9"/>
  <c r="MB20" i="9"/>
  <c r="MI20" i="9"/>
  <c r="MF20" i="9" s="1"/>
  <c r="LR20" i="9" s="1"/>
  <c r="MJ20" i="9"/>
  <c r="MN20" i="9"/>
  <c r="MQ20" i="9"/>
  <c r="MR20" i="9"/>
  <c r="MW20" i="9"/>
  <c r="MX20" i="9"/>
  <c r="NA20" i="9"/>
  <c r="ND20" i="9"/>
  <c r="NK20" i="9"/>
  <c r="NH20" i="9" s="1"/>
  <c r="NL20" i="9"/>
  <c r="NI20" i="9" s="1"/>
  <c r="NF20" i="9" s="1"/>
  <c r="MP20" i="9" s="1"/>
  <c r="NT20" i="9"/>
  <c r="NW20" i="9"/>
  <c r="NZ20" i="9"/>
  <c r="OC20" i="9"/>
  <c r="OG20" i="9"/>
  <c r="OH20" i="9"/>
  <c r="B21" i="9"/>
  <c r="C21" i="9"/>
  <c r="D21" i="9"/>
  <c r="E21" i="9"/>
  <c r="F21" i="9"/>
  <c r="KW21" i="9"/>
  <c r="KX21" i="9"/>
  <c r="KY21" i="9"/>
  <c r="LB21" i="9"/>
  <c r="LF21" i="9"/>
  <c r="LG21" i="9"/>
  <c r="LH21" i="9"/>
  <c r="LK21" i="9"/>
  <c r="LN21" i="9"/>
  <c r="LT21" i="9"/>
  <c r="LY21" i="9"/>
  <c r="MB21" i="9"/>
  <c r="MI21" i="9"/>
  <c r="MF21" i="9" s="1"/>
  <c r="LR21" i="9" s="1"/>
  <c r="MJ21" i="9"/>
  <c r="MN21" i="9"/>
  <c r="MQ21" i="9"/>
  <c r="MR21" i="9"/>
  <c r="MW21" i="9"/>
  <c r="MX21" i="9"/>
  <c r="NA21" i="9"/>
  <c r="ND21" i="9"/>
  <c r="NK21" i="9"/>
  <c r="NH21" i="9" s="1"/>
  <c r="NL21" i="9"/>
  <c r="NI21" i="9" s="1"/>
  <c r="NF21" i="9" s="1"/>
  <c r="MP21" i="9" s="1"/>
  <c r="NT21" i="9"/>
  <c r="NW21" i="9"/>
  <c r="NZ21" i="9"/>
  <c r="OC21" i="9"/>
  <c r="OG21" i="9"/>
  <c r="OH21" i="9"/>
  <c r="B22" i="9"/>
  <c r="C22" i="9"/>
  <c r="D22" i="9"/>
  <c r="E22" i="9"/>
  <c r="F22" i="9"/>
  <c r="KW22" i="9"/>
  <c r="KX22" i="9"/>
  <c r="KY22" i="9"/>
  <c r="LB22" i="9"/>
  <c r="LF22" i="9"/>
  <c r="LG22" i="9"/>
  <c r="LH22" i="9"/>
  <c r="LK22" i="9"/>
  <c r="LN22" i="9"/>
  <c r="LT22" i="9"/>
  <c r="LY22" i="9"/>
  <c r="MB22" i="9"/>
  <c r="MI22" i="9"/>
  <c r="MF22" i="9" s="1"/>
  <c r="LR22" i="9" s="1"/>
  <c r="MJ22" i="9"/>
  <c r="MN22" i="9"/>
  <c r="MQ22" i="9"/>
  <c r="MR22" i="9"/>
  <c r="MW22" i="9"/>
  <c r="MX22" i="9"/>
  <c r="NA22" i="9"/>
  <c r="ND22" i="9"/>
  <c r="NK22" i="9"/>
  <c r="NH22" i="9" s="1"/>
  <c r="NL22" i="9"/>
  <c r="NI22" i="9" s="1"/>
  <c r="NF22" i="9" s="1"/>
  <c r="MP22" i="9" s="1"/>
  <c r="NT22" i="9"/>
  <c r="NW22" i="9"/>
  <c r="NZ22" i="9"/>
  <c r="OC22" i="9"/>
  <c r="OG22" i="9"/>
  <c r="OH22" i="9"/>
  <c r="B23" i="9"/>
  <c r="C23" i="9"/>
  <c r="D23" i="9"/>
  <c r="E23" i="9"/>
  <c r="F23" i="9"/>
  <c r="KW23" i="9"/>
  <c r="KX23" i="9"/>
  <c r="KY23" i="9"/>
  <c r="LB23" i="9"/>
  <c r="LF23" i="9"/>
  <c r="LG23" i="9"/>
  <c r="LH23" i="9"/>
  <c r="LK23" i="9"/>
  <c r="LN23" i="9"/>
  <c r="LT23" i="9"/>
  <c r="LY23" i="9"/>
  <c r="MB23" i="9"/>
  <c r="MI23" i="9"/>
  <c r="MF23" i="9" s="1"/>
  <c r="LR23" i="9" s="1"/>
  <c r="MJ23" i="9"/>
  <c r="MN23" i="9"/>
  <c r="MQ23" i="9"/>
  <c r="MR23" i="9"/>
  <c r="MW23" i="9"/>
  <c r="MX23" i="9"/>
  <c r="NA23" i="9"/>
  <c r="ND23" i="9"/>
  <c r="NK23" i="9"/>
  <c r="NH23" i="9" s="1"/>
  <c r="NL23" i="9"/>
  <c r="NI23" i="9" s="1"/>
  <c r="NF23" i="9" s="1"/>
  <c r="MP23" i="9" s="1"/>
  <c r="NT23" i="9"/>
  <c r="NW23" i="9"/>
  <c r="NZ23" i="9"/>
  <c r="OC23" i="9"/>
  <c r="OG23" i="9"/>
  <c r="OH23" i="9"/>
  <c r="KW26" i="9"/>
  <c r="KX26" i="9"/>
  <c r="KY26" i="9"/>
  <c r="LB26" i="9"/>
  <c r="LF26" i="9"/>
  <c r="LG26" i="9"/>
  <c r="LH26" i="9"/>
  <c r="LK26" i="9"/>
  <c r="LN26" i="9"/>
  <c r="LT26" i="9"/>
  <c r="LY26" i="9"/>
  <c r="MB26" i="9"/>
  <c r="MI26" i="9"/>
  <c r="MF26" i="9" s="1"/>
  <c r="MJ26" i="9"/>
  <c r="MG26" i="9" s="1"/>
  <c r="LS26" i="9" s="1"/>
  <c r="MN26" i="9"/>
  <c r="MQ26" i="9"/>
  <c r="MR26" i="9"/>
  <c r="MW26" i="9"/>
  <c r="MX26" i="9"/>
  <c r="NA26" i="9"/>
  <c r="ND26" i="9"/>
  <c r="NK26" i="9"/>
  <c r="NH26" i="9" s="1"/>
  <c r="NE26" i="9" s="1"/>
  <c r="MO26" i="9" s="1"/>
  <c r="NL26" i="9"/>
  <c r="NT26" i="9"/>
  <c r="NW26" i="9"/>
  <c r="NZ26" i="9"/>
  <c r="OC26" i="9"/>
  <c r="OG26" i="9"/>
  <c r="OH26" i="9"/>
  <c r="KW27" i="9"/>
  <c r="KX27" i="9"/>
  <c r="KY27" i="9"/>
  <c r="LB27" i="9"/>
  <c r="LF27" i="9"/>
  <c r="LG27" i="9"/>
  <c r="LH27" i="9"/>
  <c r="LK27" i="9"/>
  <c r="LN27" i="9"/>
  <c r="LT27" i="9"/>
  <c r="LY27" i="9"/>
  <c r="MB27" i="9"/>
  <c r="MI27" i="9"/>
  <c r="MF27" i="9" s="1"/>
  <c r="MJ27" i="9"/>
  <c r="MG27" i="9" s="1"/>
  <c r="LS27" i="9" s="1"/>
  <c r="MN27" i="9"/>
  <c r="MQ27" i="9"/>
  <c r="MR27" i="9"/>
  <c r="MW27" i="9"/>
  <c r="MX27" i="9"/>
  <c r="NA27" i="9"/>
  <c r="ND27" i="9"/>
  <c r="NK27" i="9"/>
  <c r="NH27" i="9" s="1"/>
  <c r="NE27" i="9" s="1"/>
  <c r="MO27" i="9" s="1"/>
  <c r="NL27" i="9"/>
  <c r="NT27" i="9"/>
  <c r="NW27" i="9"/>
  <c r="NZ27" i="9"/>
  <c r="OC27" i="9"/>
  <c r="OG27" i="9"/>
  <c r="OH27" i="9"/>
  <c r="KW28" i="9"/>
  <c r="KX28" i="9"/>
  <c r="KY28" i="9"/>
  <c r="LB28" i="9"/>
  <c r="LF28" i="9"/>
  <c r="LG28" i="9"/>
  <c r="LH28" i="9"/>
  <c r="LK28" i="9"/>
  <c r="LN28" i="9"/>
  <c r="LT28" i="9"/>
  <c r="LY28" i="9"/>
  <c r="MB28" i="9"/>
  <c r="MI28" i="9"/>
  <c r="MF28" i="9" s="1"/>
  <c r="MJ28" i="9"/>
  <c r="MG28" i="9" s="1"/>
  <c r="LS28" i="9" s="1"/>
  <c r="MN28" i="9"/>
  <c r="MQ28" i="9"/>
  <c r="MR28" i="9"/>
  <c r="MW28" i="9"/>
  <c r="MX28" i="9"/>
  <c r="NA28" i="9"/>
  <c r="ND28" i="9"/>
  <c r="NK28" i="9"/>
  <c r="NH28" i="9" s="1"/>
  <c r="NE28" i="9" s="1"/>
  <c r="MO28" i="9" s="1"/>
  <c r="NL28" i="9"/>
  <c r="NT28" i="9"/>
  <c r="NW28" i="9"/>
  <c r="NZ28" i="9"/>
  <c r="OC28" i="9"/>
  <c r="OG28" i="9"/>
  <c r="OH28" i="9"/>
  <c r="KW29" i="9"/>
  <c r="KX29" i="9"/>
  <c r="KY29" i="9"/>
  <c r="LB29" i="9"/>
  <c r="LF29" i="9"/>
  <c r="LG29" i="9"/>
  <c r="LH29" i="9"/>
  <c r="LK29" i="9"/>
  <c r="LN29" i="9"/>
  <c r="LT29" i="9"/>
  <c r="LY29" i="9"/>
  <c r="MB29" i="9"/>
  <c r="MI29" i="9"/>
  <c r="MF29" i="9" s="1"/>
  <c r="MJ29" i="9"/>
  <c r="MG29" i="9" s="1"/>
  <c r="LS29" i="9" s="1"/>
  <c r="MN29" i="9"/>
  <c r="MQ29" i="9"/>
  <c r="MR29" i="9"/>
  <c r="MW29" i="9"/>
  <c r="MX29" i="9"/>
  <c r="NA29" i="9"/>
  <c r="ND29" i="9"/>
  <c r="NK29" i="9"/>
  <c r="NH29" i="9" s="1"/>
  <c r="NE29" i="9" s="1"/>
  <c r="MO29" i="9" s="1"/>
  <c r="NL29" i="9"/>
  <c r="NT29" i="9"/>
  <c r="NW29" i="9"/>
  <c r="NZ29" i="9"/>
  <c r="OC29" i="9"/>
  <c r="OG29" i="9"/>
  <c r="OH29" i="9"/>
  <c r="KW55" i="9"/>
  <c r="KX55" i="9"/>
  <c r="KY55" i="9"/>
  <c r="LB55" i="9"/>
  <c r="LF55" i="9"/>
  <c r="LG55" i="9"/>
  <c r="LH55" i="9"/>
  <c r="LK55" i="9"/>
  <c r="LN55" i="9"/>
  <c r="LT55" i="9"/>
  <c r="LY55" i="9"/>
  <c r="MB55" i="9"/>
  <c r="MI55" i="9"/>
  <c r="MF55" i="9" s="1"/>
  <c r="MJ55" i="9"/>
  <c r="MG55" i="9" s="1"/>
  <c r="LS55" i="9" s="1"/>
  <c r="MN55" i="9"/>
  <c r="MQ55" i="9"/>
  <c r="MR55" i="9"/>
  <c r="MW55" i="9"/>
  <c r="MX55" i="9"/>
  <c r="NA55" i="9"/>
  <c r="ND55" i="9"/>
  <c r="NK55" i="9"/>
  <c r="NH55" i="9" s="1"/>
  <c r="NE55" i="9" s="1"/>
  <c r="MO55" i="9" s="1"/>
  <c r="NL55" i="9"/>
  <c r="NT55" i="9"/>
  <c r="NW55" i="9"/>
  <c r="NZ55" i="9"/>
  <c r="OC55" i="9"/>
  <c r="OG55" i="9"/>
  <c r="OH55" i="9"/>
  <c r="KW30" i="9"/>
  <c r="KX30" i="9"/>
  <c r="KY30" i="9"/>
  <c r="LB30" i="9"/>
  <c r="LF30" i="9"/>
  <c r="LG30" i="9"/>
  <c r="LH30" i="9"/>
  <c r="LK30" i="9"/>
  <c r="LN30" i="9"/>
  <c r="LT30" i="9"/>
  <c r="LY30" i="9"/>
  <c r="MB30" i="9"/>
  <c r="MI30" i="9"/>
  <c r="MF30" i="9" s="1"/>
  <c r="MJ30" i="9"/>
  <c r="MG30" i="9" s="1"/>
  <c r="LS30" i="9" s="1"/>
  <c r="MN30" i="9"/>
  <c r="MQ30" i="9"/>
  <c r="MR30" i="9"/>
  <c r="MW30" i="9"/>
  <c r="MX30" i="9"/>
  <c r="NA30" i="9"/>
  <c r="ND30" i="9"/>
  <c r="NK30" i="9"/>
  <c r="NH30" i="9" s="1"/>
  <c r="NE30" i="9" s="1"/>
  <c r="MO30" i="9" s="1"/>
  <c r="NL30" i="9"/>
  <c r="NT30" i="9"/>
  <c r="NW30" i="9"/>
  <c r="NZ30" i="9"/>
  <c r="OC30" i="9"/>
  <c r="OG30" i="9"/>
  <c r="OH30" i="9"/>
  <c r="KW31" i="9"/>
  <c r="KX31" i="9"/>
  <c r="KY31" i="9"/>
  <c r="LB31" i="9"/>
  <c r="LF31" i="9"/>
  <c r="LG31" i="9"/>
  <c r="LH31" i="9"/>
  <c r="LK31" i="9"/>
  <c r="LN31" i="9"/>
  <c r="LT31" i="9"/>
  <c r="LY31" i="9"/>
  <c r="MB31" i="9"/>
  <c r="MI31" i="9"/>
  <c r="MF31" i="9" s="1"/>
  <c r="MJ31" i="9"/>
  <c r="MG31" i="9" s="1"/>
  <c r="LS31" i="9" s="1"/>
  <c r="MN31" i="9"/>
  <c r="MQ31" i="9"/>
  <c r="MR31" i="9"/>
  <c r="MW31" i="9"/>
  <c r="MX31" i="9"/>
  <c r="NA31" i="9"/>
  <c r="ND31" i="9"/>
  <c r="NK31" i="9"/>
  <c r="NH31" i="9" s="1"/>
  <c r="NE31" i="9" s="1"/>
  <c r="MO31" i="9" s="1"/>
  <c r="NL31" i="9"/>
  <c r="NT31" i="9"/>
  <c r="NW31" i="9"/>
  <c r="NZ31" i="9"/>
  <c r="OC31" i="9"/>
  <c r="OG31" i="9"/>
  <c r="OH31" i="9"/>
  <c r="KW41" i="9"/>
  <c r="KX41" i="9"/>
  <c r="KY41" i="9"/>
  <c r="LB41" i="9"/>
  <c r="LF41" i="9"/>
  <c r="LG41" i="9"/>
  <c r="LH41" i="9"/>
  <c r="LK41" i="9"/>
  <c r="LN41" i="9"/>
  <c r="LT41" i="9"/>
  <c r="LY41" i="9"/>
  <c r="MB41" i="9"/>
  <c r="MI41" i="9"/>
  <c r="MF41" i="9" s="1"/>
  <c r="MJ41" i="9"/>
  <c r="MG41" i="9" s="1"/>
  <c r="LS41" i="9" s="1"/>
  <c r="MN41" i="9"/>
  <c r="MQ41" i="9"/>
  <c r="MR41" i="9"/>
  <c r="MW41" i="9"/>
  <c r="MX41" i="9"/>
  <c r="NA41" i="9"/>
  <c r="ND41" i="9"/>
  <c r="NK41" i="9"/>
  <c r="NH41" i="9" s="1"/>
  <c r="NE41" i="9" s="1"/>
  <c r="MO41" i="9" s="1"/>
  <c r="NL41" i="9"/>
  <c r="NT41" i="9"/>
  <c r="NW41" i="9"/>
  <c r="NZ41" i="9"/>
  <c r="OC41" i="9"/>
  <c r="OG41" i="9"/>
  <c r="OH41" i="9"/>
  <c r="KW42" i="9"/>
  <c r="KX42" i="9"/>
  <c r="KY42" i="9"/>
  <c r="LB42" i="9"/>
  <c r="LF42" i="9"/>
  <c r="LG42" i="9"/>
  <c r="LH42" i="9"/>
  <c r="LK42" i="9"/>
  <c r="LN42" i="9"/>
  <c r="LT42" i="9"/>
  <c r="LY42" i="9"/>
  <c r="MB42" i="9"/>
  <c r="MI42" i="9"/>
  <c r="MF42" i="9" s="1"/>
  <c r="MJ42" i="9"/>
  <c r="MG42" i="9" s="1"/>
  <c r="LS42" i="9" s="1"/>
  <c r="MN42" i="9"/>
  <c r="MQ42" i="9"/>
  <c r="MR42" i="9"/>
  <c r="MW42" i="9"/>
  <c r="MX42" i="9"/>
  <c r="NA42" i="9"/>
  <c r="ND42" i="9"/>
  <c r="NK42" i="9"/>
  <c r="NH42" i="9" s="1"/>
  <c r="NE42" i="9" s="1"/>
  <c r="MO42" i="9" s="1"/>
  <c r="NL42" i="9"/>
  <c r="NT42" i="9"/>
  <c r="NW42" i="9"/>
  <c r="NZ42" i="9"/>
  <c r="OC42" i="9"/>
  <c r="OG42" i="9"/>
  <c r="OH42" i="9"/>
  <c r="KW43" i="9"/>
  <c r="KX43" i="9"/>
  <c r="KY43" i="9"/>
  <c r="LB43" i="9"/>
  <c r="LF43" i="9"/>
  <c r="LG43" i="9"/>
  <c r="LH43" i="9"/>
  <c r="LK43" i="9"/>
  <c r="LN43" i="9"/>
  <c r="LT43" i="9"/>
  <c r="LY43" i="9"/>
  <c r="MB43" i="9"/>
  <c r="MI43" i="9"/>
  <c r="MF43" i="9" s="1"/>
  <c r="MJ43" i="9"/>
  <c r="MG43" i="9" s="1"/>
  <c r="LS43" i="9" s="1"/>
  <c r="MN43" i="9"/>
  <c r="MQ43" i="9"/>
  <c r="MR43" i="9"/>
  <c r="MW43" i="9"/>
  <c r="MX43" i="9"/>
  <c r="NA43" i="9"/>
  <c r="ND43" i="9"/>
  <c r="NK43" i="9"/>
  <c r="NH43" i="9" s="1"/>
  <c r="NE43" i="9" s="1"/>
  <c r="MO43" i="9" s="1"/>
  <c r="NL43" i="9"/>
  <c r="NT43" i="9"/>
  <c r="NW43" i="9"/>
  <c r="NZ43" i="9"/>
  <c r="OC43" i="9"/>
  <c r="OG43" i="9"/>
  <c r="OH43" i="9"/>
  <c r="KW44" i="9"/>
  <c r="KX44" i="9"/>
  <c r="KY44" i="9"/>
  <c r="LB44" i="9"/>
  <c r="LF44" i="9"/>
  <c r="LG44" i="9"/>
  <c r="LH44" i="9"/>
  <c r="LK44" i="9"/>
  <c r="LN44" i="9"/>
  <c r="LT44" i="9"/>
  <c r="LY44" i="9"/>
  <c r="MB44" i="9"/>
  <c r="MI44" i="9"/>
  <c r="MF44" i="9" s="1"/>
  <c r="MJ44" i="9"/>
  <c r="MG44" i="9" s="1"/>
  <c r="LS44" i="9" s="1"/>
  <c r="MN44" i="9"/>
  <c r="MQ44" i="9"/>
  <c r="MR44" i="9"/>
  <c r="MW44" i="9"/>
  <c r="MX44" i="9"/>
  <c r="NA44" i="9"/>
  <c r="ND44" i="9"/>
  <c r="NK44" i="9"/>
  <c r="NH44" i="9" s="1"/>
  <c r="NE44" i="9" s="1"/>
  <c r="MO44" i="9" s="1"/>
  <c r="NL44" i="9"/>
  <c r="NT44" i="9"/>
  <c r="NW44" i="9"/>
  <c r="NZ44" i="9"/>
  <c r="OC44" i="9"/>
  <c r="OG44" i="9"/>
  <c r="OH44" i="9"/>
  <c r="KW56" i="9"/>
  <c r="KX56" i="9"/>
  <c r="KY56" i="9"/>
  <c r="LB56" i="9"/>
  <c r="LF56" i="9"/>
  <c r="LG56" i="9"/>
  <c r="LH56" i="9"/>
  <c r="LK56" i="9"/>
  <c r="LN56" i="9"/>
  <c r="LT56" i="9"/>
  <c r="LY56" i="9"/>
  <c r="MB56" i="9"/>
  <c r="MI56" i="9"/>
  <c r="MF56" i="9" s="1"/>
  <c r="MJ56" i="9"/>
  <c r="MG56" i="9" s="1"/>
  <c r="LS56" i="9" s="1"/>
  <c r="MN56" i="9"/>
  <c r="MQ56" i="9"/>
  <c r="MR56" i="9"/>
  <c r="MW56" i="9"/>
  <c r="MX56" i="9"/>
  <c r="NA56" i="9"/>
  <c r="ND56" i="9"/>
  <c r="NK56" i="9"/>
  <c r="NH56" i="9" s="1"/>
  <c r="NE56" i="9" s="1"/>
  <c r="MO56" i="9" s="1"/>
  <c r="NL56" i="9"/>
  <c r="NT56" i="9"/>
  <c r="NW56" i="9"/>
  <c r="NZ56" i="9"/>
  <c r="OC56" i="9"/>
  <c r="OG56" i="9"/>
  <c r="OH56" i="9"/>
  <c r="KW57" i="9"/>
  <c r="KX57" i="9"/>
  <c r="KY57" i="9"/>
  <c r="LB57" i="9"/>
  <c r="LF57" i="9"/>
  <c r="LG57" i="9"/>
  <c r="LH57" i="9"/>
  <c r="LK57" i="9"/>
  <c r="LN57" i="9"/>
  <c r="LT57" i="9"/>
  <c r="LY57" i="9"/>
  <c r="MB57" i="9"/>
  <c r="MI57" i="9"/>
  <c r="MF57" i="9" s="1"/>
  <c r="MJ57" i="9"/>
  <c r="MG57" i="9" s="1"/>
  <c r="LS57" i="9" s="1"/>
  <c r="MN57" i="9"/>
  <c r="MQ57" i="9"/>
  <c r="MR57" i="9"/>
  <c r="MW57" i="9"/>
  <c r="MX57" i="9"/>
  <c r="NA57" i="9"/>
  <c r="ND57" i="9"/>
  <c r="NK57" i="9"/>
  <c r="NH57" i="9" s="1"/>
  <c r="NE57" i="9" s="1"/>
  <c r="MO57" i="9" s="1"/>
  <c r="NL57" i="9"/>
  <c r="NT57" i="9"/>
  <c r="NW57" i="9"/>
  <c r="NZ57" i="9"/>
  <c r="OC57" i="9"/>
  <c r="OG57" i="9"/>
  <c r="OH57" i="9"/>
  <c r="KW45" i="9"/>
  <c r="KX45" i="9"/>
  <c r="KY45" i="9"/>
  <c r="LB45" i="9"/>
  <c r="LF45" i="9"/>
  <c r="LG45" i="9"/>
  <c r="LH45" i="9"/>
  <c r="LK45" i="9"/>
  <c r="LN45" i="9"/>
  <c r="LT45" i="9"/>
  <c r="LY45" i="9"/>
  <c r="MB45" i="9"/>
  <c r="MI45" i="9"/>
  <c r="MF45" i="9" s="1"/>
  <c r="MJ45" i="9"/>
  <c r="MG45" i="9" s="1"/>
  <c r="LS45" i="9" s="1"/>
  <c r="MN45" i="9"/>
  <c r="MQ45" i="9"/>
  <c r="MR45" i="9"/>
  <c r="MW45" i="9"/>
  <c r="MX45" i="9"/>
  <c r="NA45" i="9"/>
  <c r="ND45" i="9"/>
  <c r="NK45" i="9"/>
  <c r="NH45" i="9" s="1"/>
  <c r="NE45" i="9" s="1"/>
  <c r="MO45" i="9" s="1"/>
  <c r="NL45" i="9"/>
  <c r="NT45" i="9"/>
  <c r="NW45" i="9"/>
  <c r="NZ45" i="9"/>
  <c r="OC45" i="9"/>
  <c r="OG45" i="9"/>
  <c r="OH45" i="9"/>
  <c r="KW46" i="9"/>
  <c r="KX46" i="9"/>
  <c r="KY46" i="9"/>
  <c r="LB46" i="9"/>
  <c r="LF46" i="9"/>
  <c r="LG46" i="9"/>
  <c r="LH46" i="9"/>
  <c r="LK46" i="9"/>
  <c r="LN46" i="9"/>
  <c r="LT46" i="9"/>
  <c r="LY46" i="9"/>
  <c r="MB46" i="9"/>
  <c r="MI46" i="9"/>
  <c r="MF46" i="9" s="1"/>
  <c r="MJ46" i="9"/>
  <c r="MG46" i="9" s="1"/>
  <c r="LS46" i="9" s="1"/>
  <c r="MN46" i="9"/>
  <c r="MQ46" i="9"/>
  <c r="MR46" i="9"/>
  <c r="MW46" i="9"/>
  <c r="MX46" i="9"/>
  <c r="NA46" i="9"/>
  <c r="ND46" i="9"/>
  <c r="NK46" i="9"/>
  <c r="NH46" i="9" s="1"/>
  <c r="NE46" i="9" s="1"/>
  <c r="MO46" i="9" s="1"/>
  <c r="NL46" i="9"/>
  <c r="NT46" i="9"/>
  <c r="NW46" i="9"/>
  <c r="NZ46" i="9"/>
  <c r="OC46" i="9"/>
  <c r="OG46" i="9"/>
  <c r="OH46" i="9"/>
  <c r="KW47" i="9"/>
  <c r="KX47" i="9"/>
  <c r="KY47" i="9"/>
  <c r="LB47" i="9"/>
  <c r="LF47" i="9"/>
  <c r="LG47" i="9"/>
  <c r="LH47" i="9"/>
  <c r="LK47" i="9"/>
  <c r="LN47" i="9"/>
  <c r="LT47" i="9"/>
  <c r="LY47" i="9"/>
  <c r="MB47" i="9"/>
  <c r="MI47" i="9"/>
  <c r="MF47" i="9" s="1"/>
  <c r="MJ47" i="9"/>
  <c r="MG47" i="9" s="1"/>
  <c r="LS47" i="9" s="1"/>
  <c r="MN47" i="9"/>
  <c r="MQ47" i="9"/>
  <c r="MR47" i="9"/>
  <c r="MW47" i="9"/>
  <c r="MX47" i="9"/>
  <c r="NA47" i="9"/>
  <c r="ND47" i="9"/>
  <c r="NK47" i="9"/>
  <c r="NH47" i="9" s="1"/>
  <c r="NE47" i="9" s="1"/>
  <c r="MO47" i="9" s="1"/>
  <c r="NL47" i="9"/>
  <c r="NT47" i="9"/>
  <c r="NW47" i="9"/>
  <c r="NZ47" i="9"/>
  <c r="OC47" i="9"/>
  <c r="OG47" i="9"/>
  <c r="OH47" i="9"/>
  <c r="KW32" i="9"/>
  <c r="KX32" i="9"/>
  <c r="KY32" i="9"/>
  <c r="LB32" i="9"/>
  <c r="LF32" i="9"/>
  <c r="LG32" i="9"/>
  <c r="LH32" i="9"/>
  <c r="LK32" i="9"/>
  <c r="LN32" i="9"/>
  <c r="LT32" i="9"/>
  <c r="LY32" i="9"/>
  <c r="MB32" i="9"/>
  <c r="MI32" i="9"/>
  <c r="MF32" i="9" s="1"/>
  <c r="MJ32" i="9"/>
  <c r="MG32" i="9" s="1"/>
  <c r="LS32" i="9" s="1"/>
  <c r="MN32" i="9"/>
  <c r="MQ32" i="9"/>
  <c r="MR32" i="9"/>
  <c r="MW32" i="9"/>
  <c r="MX32" i="9"/>
  <c r="NA32" i="9"/>
  <c r="ND32" i="9"/>
  <c r="NK32" i="9"/>
  <c r="NH32" i="9" s="1"/>
  <c r="NE32" i="9" s="1"/>
  <c r="MO32" i="9" s="1"/>
  <c r="NL32" i="9"/>
  <c r="NT32" i="9"/>
  <c r="NW32" i="9"/>
  <c r="NZ32" i="9"/>
  <c r="OC32" i="9"/>
  <c r="OG32" i="9"/>
  <c r="OH32" i="9"/>
  <c r="KW48" i="9"/>
  <c r="KX48" i="9"/>
  <c r="KY48" i="9"/>
  <c r="LB48" i="9"/>
  <c r="LF48" i="9"/>
  <c r="LG48" i="9"/>
  <c r="LH48" i="9"/>
  <c r="LK48" i="9"/>
  <c r="LN48" i="9"/>
  <c r="LT48" i="9"/>
  <c r="LY48" i="9"/>
  <c r="MB48" i="9"/>
  <c r="MI48" i="9"/>
  <c r="MF48" i="9" s="1"/>
  <c r="MJ48" i="9"/>
  <c r="MG48" i="9" s="1"/>
  <c r="LS48" i="9" s="1"/>
  <c r="MN48" i="9"/>
  <c r="MQ48" i="9"/>
  <c r="MR48" i="9"/>
  <c r="MW48" i="9"/>
  <c r="MX48" i="9"/>
  <c r="NA48" i="9"/>
  <c r="ND48" i="9"/>
  <c r="NK48" i="9"/>
  <c r="NH48" i="9" s="1"/>
  <c r="NE48" i="9" s="1"/>
  <c r="MO48" i="9" s="1"/>
  <c r="NL48" i="9"/>
  <c r="NT48" i="9"/>
  <c r="NW48" i="9"/>
  <c r="NZ48" i="9"/>
  <c r="OC48" i="9"/>
  <c r="OG48" i="9"/>
  <c r="OH48" i="9"/>
  <c r="KW33" i="9"/>
  <c r="KX33" i="9"/>
  <c r="KY33" i="9"/>
  <c r="LB33" i="9"/>
  <c r="LF33" i="9"/>
  <c r="LG33" i="9"/>
  <c r="LH33" i="9"/>
  <c r="LK33" i="9"/>
  <c r="LN33" i="9"/>
  <c r="LT33" i="9"/>
  <c r="LY33" i="9"/>
  <c r="MB33" i="9"/>
  <c r="MI33" i="9"/>
  <c r="MF33" i="9" s="1"/>
  <c r="MJ33" i="9"/>
  <c r="MG33" i="9" s="1"/>
  <c r="LS33" i="9" s="1"/>
  <c r="MN33" i="9"/>
  <c r="MQ33" i="9"/>
  <c r="MR33" i="9"/>
  <c r="MW33" i="9"/>
  <c r="MX33" i="9"/>
  <c r="NA33" i="9"/>
  <c r="ND33" i="9"/>
  <c r="NK33" i="9"/>
  <c r="NH33" i="9" s="1"/>
  <c r="NE33" i="9" s="1"/>
  <c r="MO33" i="9" s="1"/>
  <c r="NL33" i="9"/>
  <c r="NT33" i="9"/>
  <c r="NW33" i="9"/>
  <c r="NZ33" i="9"/>
  <c r="OC33" i="9"/>
  <c r="OG33" i="9"/>
  <c r="OH33" i="9"/>
  <c r="KW58" i="9"/>
  <c r="KX58" i="9"/>
  <c r="KY58" i="9"/>
  <c r="LB58" i="9"/>
  <c r="LF58" i="9"/>
  <c r="LG58" i="9"/>
  <c r="LH58" i="9"/>
  <c r="LK58" i="9"/>
  <c r="LN58" i="9"/>
  <c r="LT58" i="9"/>
  <c r="LY58" i="9"/>
  <c r="MB58" i="9"/>
  <c r="MI58" i="9"/>
  <c r="MF58" i="9" s="1"/>
  <c r="MJ58" i="9"/>
  <c r="MG58" i="9" s="1"/>
  <c r="LS58" i="9" s="1"/>
  <c r="MN58" i="9"/>
  <c r="MQ58" i="9"/>
  <c r="MR58" i="9"/>
  <c r="MW58" i="9"/>
  <c r="MX58" i="9"/>
  <c r="NA58" i="9"/>
  <c r="ND58" i="9"/>
  <c r="NK58" i="9"/>
  <c r="NH58" i="9" s="1"/>
  <c r="NE58" i="9" s="1"/>
  <c r="MO58" i="9" s="1"/>
  <c r="NL58" i="9"/>
  <c r="NT58" i="9"/>
  <c r="NW58" i="9"/>
  <c r="NZ58" i="9"/>
  <c r="OC58" i="9"/>
  <c r="OG58" i="9"/>
  <c r="OH58" i="9"/>
  <c r="KW59" i="9"/>
  <c r="KX59" i="9"/>
  <c r="KY59" i="9"/>
  <c r="LB59" i="9"/>
  <c r="LF59" i="9"/>
  <c r="LG59" i="9"/>
  <c r="LH59" i="9"/>
  <c r="LK59" i="9"/>
  <c r="LN59" i="9"/>
  <c r="LT59" i="9"/>
  <c r="LY59" i="9"/>
  <c r="MB59" i="9"/>
  <c r="MI59" i="9"/>
  <c r="MF59" i="9" s="1"/>
  <c r="MJ59" i="9"/>
  <c r="MG59" i="9" s="1"/>
  <c r="LS59" i="9" s="1"/>
  <c r="MN59" i="9"/>
  <c r="MQ59" i="9"/>
  <c r="MR59" i="9"/>
  <c r="MW59" i="9"/>
  <c r="MX59" i="9"/>
  <c r="NA59" i="9"/>
  <c r="ND59" i="9"/>
  <c r="NK59" i="9"/>
  <c r="NH59" i="9" s="1"/>
  <c r="NE59" i="9" s="1"/>
  <c r="MO59" i="9" s="1"/>
  <c r="NL59" i="9"/>
  <c r="NT59" i="9"/>
  <c r="NW59" i="9"/>
  <c r="NZ59" i="9"/>
  <c r="OC59" i="9"/>
  <c r="OG59" i="9"/>
  <c r="OH59" i="9"/>
  <c r="KW34" i="9"/>
  <c r="KX34" i="9"/>
  <c r="KY34" i="9"/>
  <c r="LB34" i="9"/>
  <c r="LF34" i="9"/>
  <c r="LG34" i="9"/>
  <c r="LH34" i="9"/>
  <c r="LK34" i="9"/>
  <c r="LN34" i="9"/>
  <c r="LT34" i="9"/>
  <c r="LY34" i="9"/>
  <c r="MB34" i="9"/>
  <c r="MI34" i="9"/>
  <c r="MF34" i="9" s="1"/>
  <c r="MJ34" i="9"/>
  <c r="MG34" i="9" s="1"/>
  <c r="LS34" i="9" s="1"/>
  <c r="MN34" i="9"/>
  <c r="MQ34" i="9"/>
  <c r="MR34" i="9"/>
  <c r="MW34" i="9"/>
  <c r="MX34" i="9"/>
  <c r="NA34" i="9"/>
  <c r="ND34" i="9"/>
  <c r="NK34" i="9"/>
  <c r="NH34" i="9" s="1"/>
  <c r="NE34" i="9" s="1"/>
  <c r="MO34" i="9" s="1"/>
  <c r="NL34" i="9"/>
  <c r="NT34" i="9"/>
  <c r="NW34" i="9"/>
  <c r="NZ34" i="9"/>
  <c r="OC34" i="9"/>
  <c r="OG34" i="9"/>
  <c r="OH34" i="9"/>
  <c r="KW60" i="9"/>
  <c r="KX60" i="9"/>
  <c r="KY60" i="9"/>
  <c r="LB60" i="9"/>
  <c r="LF60" i="9"/>
  <c r="LG60" i="9"/>
  <c r="LH60" i="9"/>
  <c r="LK60" i="9"/>
  <c r="LN60" i="9"/>
  <c r="LT60" i="9"/>
  <c r="LY60" i="9"/>
  <c r="MB60" i="9"/>
  <c r="MI60" i="9"/>
  <c r="MF60" i="9" s="1"/>
  <c r="MJ60" i="9"/>
  <c r="MG60" i="9" s="1"/>
  <c r="LS60" i="9" s="1"/>
  <c r="MN60" i="9"/>
  <c r="MQ60" i="9"/>
  <c r="MR60" i="9"/>
  <c r="MW60" i="9"/>
  <c r="MX60" i="9"/>
  <c r="NA60" i="9"/>
  <c r="ND60" i="9"/>
  <c r="NK60" i="9"/>
  <c r="NH60" i="9" s="1"/>
  <c r="NE60" i="9" s="1"/>
  <c r="MO60" i="9" s="1"/>
  <c r="NL60" i="9"/>
  <c r="NT60" i="9"/>
  <c r="NW60" i="9"/>
  <c r="NZ60" i="9"/>
  <c r="OC60" i="9"/>
  <c r="OG60" i="9"/>
  <c r="OH60" i="9"/>
  <c r="KW49" i="9"/>
  <c r="KX49" i="9"/>
  <c r="KY49" i="9"/>
  <c r="LB49" i="9"/>
  <c r="LF49" i="9"/>
  <c r="LG49" i="9"/>
  <c r="LH49" i="9"/>
  <c r="LK49" i="9"/>
  <c r="LN49" i="9"/>
  <c r="LT49" i="9"/>
  <c r="LY49" i="9"/>
  <c r="MB49" i="9"/>
  <c r="MI49" i="9"/>
  <c r="MF49" i="9" s="1"/>
  <c r="MJ49" i="9"/>
  <c r="MG49" i="9" s="1"/>
  <c r="LS49" i="9" s="1"/>
  <c r="MN49" i="9"/>
  <c r="MQ49" i="9"/>
  <c r="MR49" i="9"/>
  <c r="MW49" i="9"/>
  <c r="MX49" i="9"/>
  <c r="NA49" i="9"/>
  <c r="ND49" i="9"/>
  <c r="NK49" i="9"/>
  <c r="NH49" i="9" s="1"/>
  <c r="NE49" i="9" s="1"/>
  <c r="MO49" i="9" s="1"/>
  <c r="NL49" i="9"/>
  <c r="NT49" i="9"/>
  <c r="NW49" i="9"/>
  <c r="NZ49" i="9"/>
  <c r="OC49" i="9"/>
  <c r="OG49" i="9"/>
  <c r="OH49" i="9"/>
  <c r="KW50" i="9"/>
  <c r="KX50" i="9"/>
  <c r="KY50" i="9"/>
  <c r="LB50" i="9"/>
  <c r="LF50" i="9"/>
  <c r="LG50" i="9"/>
  <c r="LH50" i="9"/>
  <c r="LK50" i="9"/>
  <c r="LN50" i="9"/>
  <c r="LT50" i="9"/>
  <c r="LY50" i="9"/>
  <c r="MB50" i="9"/>
  <c r="MI50" i="9"/>
  <c r="MF50" i="9" s="1"/>
  <c r="MJ50" i="9"/>
  <c r="MG50" i="9" s="1"/>
  <c r="LS50" i="9" s="1"/>
  <c r="MN50" i="9"/>
  <c r="MQ50" i="9"/>
  <c r="MR50" i="9"/>
  <c r="MW50" i="9"/>
  <c r="MX50" i="9"/>
  <c r="NA50" i="9"/>
  <c r="ND50" i="9"/>
  <c r="NK50" i="9"/>
  <c r="NH50" i="9" s="1"/>
  <c r="NE50" i="9" s="1"/>
  <c r="MO50" i="9" s="1"/>
  <c r="NL50" i="9"/>
  <c r="NT50" i="9"/>
  <c r="NW50" i="9"/>
  <c r="NZ50" i="9"/>
  <c r="OC50" i="9"/>
  <c r="OG50" i="9"/>
  <c r="OH50" i="9"/>
  <c r="KW35" i="9"/>
  <c r="KX35" i="9"/>
  <c r="KY35" i="9"/>
  <c r="LB35" i="9"/>
  <c r="LF35" i="9"/>
  <c r="LG35" i="9"/>
  <c r="LH35" i="9"/>
  <c r="LK35" i="9"/>
  <c r="LN35" i="9"/>
  <c r="LT35" i="9"/>
  <c r="LY35" i="9"/>
  <c r="MB35" i="9"/>
  <c r="MI35" i="9"/>
  <c r="MF35" i="9" s="1"/>
  <c r="MJ35" i="9"/>
  <c r="MG35" i="9" s="1"/>
  <c r="LS35" i="9" s="1"/>
  <c r="MN35" i="9"/>
  <c r="MQ35" i="9"/>
  <c r="MR35" i="9"/>
  <c r="MW35" i="9"/>
  <c r="MX35" i="9"/>
  <c r="NA35" i="9"/>
  <c r="ND35" i="9"/>
  <c r="NK35" i="9"/>
  <c r="NH35" i="9" s="1"/>
  <c r="NE35" i="9" s="1"/>
  <c r="MO35" i="9" s="1"/>
  <c r="NL35" i="9"/>
  <c r="NT35" i="9"/>
  <c r="NW35" i="9"/>
  <c r="NZ35" i="9"/>
  <c r="OC35" i="9"/>
  <c r="OG35" i="9"/>
  <c r="OH35" i="9"/>
  <c r="KW61" i="9"/>
  <c r="KX61" i="9"/>
  <c r="KY61" i="9"/>
  <c r="LB61" i="9"/>
  <c r="LF61" i="9"/>
  <c r="LG61" i="9"/>
  <c r="LH61" i="9"/>
  <c r="LK61" i="9"/>
  <c r="LN61" i="9"/>
  <c r="LT61" i="9"/>
  <c r="LY61" i="9"/>
  <c r="MB61" i="9"/>
  <c r="MI61" i="9"/>
  <c r="MF61" i="9" s="1"/>
  <c r="MJ61" i="9"/>
  <c r="MG61" i="9" s="1"/>
  <c r="LS61" i="9" s="1"/>
  <c r="MN61" i="9"/>
  <c r="MQ61" i="9"/>
  <c r="MR61" i="9"/>
  <c r="MW61" i="9"/>
  <c r="MX61" i="9"/>
  <c r="NA61" i="9"/>
  <c r="ND61" i="9"/>
  <c r="NK61" i="9"/>
  <c r="NH61" i="9" s="1"/>
  <c r="NE61" i="9" s="1"/>
  <c r="MO61" i="9" s="1"/>
  <c r="NL61" i="9"/>
  <c r="NT61" i="9"/>
  <c r="NW61" i="9"/>
  <c r="NZ61" i="9"/>
  <c r="OC61" i="9"/>
  <c r="OG61" i="9"/>
  <c r="OH61" i="9"/>
  <c r="KW62" i="9"/>
  <c r="KX62" i="9"/>
  <c r="KY62" i="9"/>
  <c r="LB62" i="9"/>
  <c r="LF62" i="9"/>
  <c r="LG62" i="9"/>
  <c r="LH62" i="9"/>
  <c r="LK62" i="9"/>
  <c r="LN62" i="9"/>
  <c r="LT62" i="9"/>
  <c r="LY62" i="9"/>
  <c r="MB62" i="9"/>
  <c r="MI62" i="9"/>
  <c r="MF62" i="9" s="1"/>
  <c r="MJ62" i="9"/>
  <c r="MG62" i="9" s="1"/>
  <c r="LS62" i="9" s="1"/>
  <c r="MN62" i="9"/>
  <c r="MQ62" i="9"/>
  <c r="MR62" i="9"/>
  <c r="MW62" i="9"/>
  <c r="MX62" i="9"/>
  <c r="NA62" i="9"/>
  <c r="ND62" i="9"/>
  <c r="NK62" i="9"/>
  <c r="NH62" i="9" s="1"/>
  <c r="NE62" i="9" s="1"/>
  <c r="MO62" i="9" s="1"/>
  <c r="NL62" i="9"/>
  <c r="NT62" i="9"/>
  <c r="NW62" i="9"/>
  <c r="NZ62" i="9"/>
  <c r="OC62" i="9"/>
  <c r="OG62" i="9"/>
  <c r="OH62" i="9"/>
  <c r="KW51" i="9"/>
  <c r="KX51" i="9"/>
  <c r="KY51" i="9"/>
  <c r="LB51" i="9"/>
  <c r="LF51" i="9"/>
  <c r="LG51" i="9"/>
  <c r="LH51" i="9"/>
  <c r="LK51" i="9"/>
  <c r="LN51" i="9"/>
  <c r="LT51" i="9"/>
  <c r="LY51" i="9"/>
  <c r="MB51" i="9"/>
  <c r="MI51" i="9"/>
  <c r="MF51" i="9" s="1"/>
  <c r="MJ51" i="9"/>
  <c r="MG51" i="9" s="1"/>
  <c r="LS51" i="9" s="1"/>
  <c r="MN51" i="9"/>
  <c r="MQ51" i="9"/>
  <c r="MR51" i="9"/>
  <c r="MW51" i="9"/>
  <c r="MX51" i="9"/>
  <c r="NA51" i="9"/>
  <c r="ND51" i="9"/>
  <c r="NK51" i="9"/>
  <c r="NH51" i="9" s="1"/>
  <c r="NE51" i="9" s="1"/>
  <c r="MO51" i="9" s="1"/>
  <c r="NL51" i="9"/>
  <c r="NT51" i="9"/>
  <c r="NW51" i="9"/>
  <c r="NZ51" i="9"/>
  <c r="OC51" i="9"/>
  <c r="OG51" i="9"/>
  <c r="OH51" i="9"/>
  <c r="KW36" i="9"/>
  <c r="KX36" i="9"/>
  <c r="KY36" i="9"/>
  <c r="LB36" i="9"/>
  <c r="LF36" i="9"/>
  <c r="LG36" i="9"/>
  <c r="LH36" i="9"/>
  <c r="LK36" i="9"/>
  <c r="LN36" i="9"/>
  <c r="LT36" i="9"/>
  <c r="LY36" i="9"/>
  <c r="MB36" i="9"/>
  <c r="MI36" i="9"/>
  <c r="MF36" i="9" s="1"/>
  <c r="MJ36" i="9"/>
  <c r="MG36" i="9" s="1"/>
  <c r="LS36" i="9" s="1"/>
  <c r="MN36" i="9"/>
  <c r="MQ36" i="9"/>
  <c r="MR36" i="9"/>
  <c r="MW36" i="9"/>
  <c r="MX36" i="9"/>
  <c r="NA36" i="9"/>
  <c r="ND36" i="9"/>
  <c r="NK36" i="9"/>
  <c r="NH36" i="9" s="1"/>
  <c r="NE36" i="9" s="1"/>
  <c r="MO36" i="9" s="1"/>
  <c r="NL36" i="9"/>
  <c r="NT36" i="9"/>
  <c r="NW36" i="9"/>
  <c r="NZ36" i="9"/>
  <c r="OC36" i="9"/>
  <c r="OG36" i="9"/>
  <c r="OH36" i="9"/>
  <c r="KW63" i="9"/>
  <c r="KX63" i="9"/>
  <c r="KY63" i="9"/>
  <c r="LB63" i="9"/>
  <c r="LF63" i="9"/>
  <c r="LG63" i="9"/>
  <c r="LH63" i="9"/>
  <c r="LK63" i="9"/>
  <c r="LN63" i="9"/>
  <c r="LT63" i="9"/>
  <c r="LY63" i="9"/>
  <c r="MB63" i="9"/>
  <c r="MI63" i="9"/>
  <c r="MF63" i="9" s="1"/>
  <c r="MJ63" i="9"/>
  <c r="MG63" i="9" s="1"/>
  <c r="LS63" i="9" s="1"/>
  <c r="MN63" i="9"/>
  <c r="MQ63" i="9"/>
  <c r="MR63" i="9"/>
  <c r="MW63" i="9"/>
  <c r="MX63" i="9"/>
  <c r="NA63" i="9"/>
  <c r="ND63" i="9"/>
  <c r="NK63" i="9"/>
  <c r="NH63" i="9" s="1"/>
  <c r="NE63" i="9" s="1"/>
  <c r="MO63" i="9" s="1"/>
  <c r="NL63" i="9"/>
  <c r="NT63" i="9"/>
  <c r="NW63" i="9"/>
  <c r="NZ63" i="9"/>
  <c r="OC63" i="9"/>
  <c r="OG63" i="9"/>
  <c r="OH63" i="9"/>
  <c r="KW37" i="9"/>
  <c r="KX37" i="9"/>
  <c r="KY37" i="9"/>
  <c r="LB37" i="9"/>
  <c r="LF37" i="9"/>
  <c r="LG37" i="9"/>
  <c r="LH37" i="9"/>
  <c r="LK37" i="9"/>
  <c r="LN37" i="9"/>
  <c r="LT37" i="9"/>
  <c r="LY37" i="9"/>
  <c r="MB37" i="9"/>
  <c r="MI37" i="9"/>
  <c r="MF37" i="9" s="1"/>
  <c r="MJ37" i="9"/>
  <c r="MG37" i="9" s="1"/>
  <c r="LS37" i="9" s="1"/>
  <c r="MN37" i="9"/>
  <c r="MQ37" i="9"/>
  <c r="MR37" i="9"/>
  <c r="MW37" i="9"/>
  <c r="MX37" i="9"/>
  <c r="NA37" i="9"/>
  <c r="ND37" i="9"/>
  <c r="NK37" i="9"/>
  <c r="NH37" i="9" s="1"/>
  <c r="NE37" i="9" s="1"/>
  <c r="MO37" i="9" s="1"/>
  <c r="NL37" i="9"/>
  <c r="NT37" i="9"/>
  <c r="NW37" i="9"/>
  <c r="NZ37" i="9"/>
  <c r="OC37" i="9"/>
  <c r="OG37" i="9"/>
  <c r="OH37" i="9"/>
  <c r="KW52" i="9"/>
  <c r="KX52" i="9"/>
  <c r="KY52" i="9"/>
  <c r="LB52" i="9"/>
  <c r="LF52" i="9"/>
  <c r="LG52" i="9"/>
  <c r="LH52" i="9"/>
  <c r="LK52" i="9"/>
  <c r="LN52" i="9"/>
  <c r="LT52" i="9"/>
  <c r="LY52" i="9"/>
  <c r="MB52" i="9"/>
  <c r="MI52" i="9"/>
  <c r="MF52" i="9" s="1"/>
  <c r="MJ52" i="9"/>
  <c r="MG52" i="9" s="1"/>
  <c r="LS52" i="9" s="1"/>
  <c r="MN52" i="9"/>
  <c r="MQ52" i="9"/>
  <c r="MR52" i="9"/>
  <c r="MW52" i="9"/>
  <c r="MX52" i="9"/>
  <c r="NA52" i="9"/>
  <c r="ND52" i="9"/>
  <c r="NK52" i="9"/>
  <c r="NH52" i="9" s="1"/>
  <c r="NE52" i="9" s="1"/>
  <c r="MO52" i="9" s="1"/>
  <c r="NL52" i="9"/>
  <c r="NT52" i="9"/>
  <c r="NW52" i="9"/>
  <c r="NZ52" i="9"/>
  <c r="OC52" i="9"/>
  <c r="OG52" i="9"/>
  <c r="OH52" i="9"/>
  <c r="KW38" i="9"/>
  <c r="KX38" i="9"/>
  <c r="KY38" i="9"/>
  <c r="LB38" i="9"/>
  <c r="LF38" i="9"/>
  <c r="LG38" i="9"/>
  <c r="LH38" i="9"/>
  <c r="LK38" i="9"/>
  <c r="LN38" i="9"/>
  <c r="LT38" i="9"/>
  <c r="LY38" i="9"/>
  <c r="MB38" i="9"/>
  <c r="MI38" i="9"/>
  <c r="MF38" i="9" s="1"/>
  <c r="MJ38" i="9"/>
  <c r="MG38" i="9" s="1"/>
  <c r="LS38" i="9" s="1"/>
  <c r="MN38" i="9"/>
  <c r="MQ38" i="9"/>
  <c r="MR38" i="9"/>
  <c r="MW38" i="9"/>
  <c r="MX38" i="9"/>
  <c r="NA38" i="9"/>
  <c r="ND38" i="9"/>
  <c r="NK38" i="9"/>
  <c r="NH38" i="9" s="1"/>
  <c r="NE38" i="9" s="1"/>
  <c r="MO38" i="9" s="1"/>
  <c r="NL38" i="9"/>
  <c r="NT38" i="9"/>
  <c r="NW38" i="9"/>
  <c r="NZ38" i="9"/>
  <c r="OC38" i="9"/>
  <c r="OG38" i="9"/>
  <c r="OH38" i="9"/>
  <c r="KW64" i="9"/>
  <c r="KX64" i="9"/>
  <c r="KY64" i="9"/>
  <c r="LB64" i="9"/>
  <c r="LF64" i="9"/>
  <c r="LG64" i="9"/>
  <c r="LH64" i="9"/>
  <c r="LK64" i="9"/>
  <c r="LN64" i="9"/>
  <c r="LT64" i="9"/>
  <c r="LY64" i="9"/>
  <c r="MB64" i="9"/>
  <c r="MI64" i="9"/>
  <c r="MF64" i="9" s="1"/>
  <c r="LR64" i="9" s="1"/>
  <c r="MJ64" i="9"/>
  <c r="MN64" i="9"/>
  <c r="MQ64" i="9"/>
  <c r="MR64" i="9"/>
  <c r="MW64" i="9"/>
  <c r="MX64" i="9"/>
  <c r="NA64" i="9"/>
  <c r="ND64" i="9"/>
  <c r="NK64" i="9"/>
  <c r="NH64" i="9" s="1"/>
  <c r="NL64" i="9"/>
  <c r="NI64" i="9" s="1"/>
  <c r="NF64" i="9" s="1"/>
  <c r="MP64" i="9" s="1"/>
  <c r="NT64" i="9"/>
  <c r="NW64" i="9"/>
  <c r="NZ64" i="9"/>
  <c r="OC64" i="9"/>
  <c r="OG64" i="9"/>
  <c r="OH64" i="9"/>
  <c r="J7" i="19"/>
  <c r="M7" i="19"/>
  <c r="P7" i="19"/>
  <c r="W7" i="19"/>
  <c r="AH7" i="19"/>
  <c r="AL7" i="19"/>
  <c r="AW7" i="19"/>
  <c r="J8" i="19"/>
  <c r="M8" i="19"/>
  <c r="P8" i="19"/>
  <c r="W8" i="19"/>
  <c r="AH8" i="19"/>
  <c r="AL8" i="19"/>
  <c r="AW8" i="19"/>
  <c r="J9" i="19"/>
  <c r="M9" i="19"/>
  <c r="P9" i="19"/>
  <c r="T9" i="19"/>
  <c r="T5" i="19" s="1"/>
  <c r="W9" i="19"/>
  <c r="Z9" i="19"/>
  <c r="Z5" i="19" s="1"/>
  <c r="AH9" i="19"/>
  <c r="AL9" i="19"/>
  <c r="AW9" i="19"/>
  <c r="J10" i="19"/>
  <c r="M10" i="19"/>
  <c r="P10" i="19"/>
  <c r="W10" i="19"/>
  <c r="AH10" i="19"/>
  <c r="AL10" i="19"/>
  <c r="AW10" i="19"/>
  <c r="J11" i="19"/>
  <c r="M11" i="19"/>
  <c r="P11" i="19"/>
  <c r="W11" i="19"/>
  <c r="AH11" i="19"/>
  <c r="AL11" i="19"/>
  <c r="AW11" i="19"/>
  <c r="J12" i="19"/>
  <c r="M12" i="19"/>
  <c r="P12" i="19"/>
  <c r="W12" i="19"/>
  <c r="AH12" i="19"/>
  <c r="AL12" i="19"/>
  <c r="AW12" i="19"/>
  <c r="J13" i="19"/>
  <c r="M13" i="19"/>
  <c r="P13" i="19"/>
  <c r="W13" i="19"/>
  <c r="AH13" i="19"/>
  <c r="AL13" i="19"/>
  <c r="AW13" i="19"/>
  <c r="J14" i="19"/>
  <c r="M14" i="19"/>
  <c r="P14" i="19"/>
  <c r="W14" i="19"/>
  <c r="AH14" i="19"/>
  <c r="AL14" i="19"/>
  <c r="AW14" i="19"/>
  <c r="J15" i="19"/>
  <c r="M15" i="19"/>
  <c r="P15" i="19"/>
  <c r="W15" i="19"/>
  <c r="AH15" i="19"/>
  <c r="AL15" i="19"/>
  <c r="AW15" i="19"/>
  <c r="J16" i="19"/>
  <c r="M16" i="19"/>
  <c r="P16" i="19"/>
  <c r="W16" i="19"/>
  <c r="AH16" i="19"/>
  <c r="AL16" i="19"/>
  <c r="AW16" i="19"/>
  <c r="J17" i="19"/>
  <c r="M17" i="19"/>
  <c r="P17" i="19"/>
  <c r="W17" i="19"/>
  <c r="AH17" i="19"/>
  <c r="AL17" i="19"/>
  <c r="AW17" i="19"/>
  <c r="J18" i="19"/>
  <c r="M18" i="19"/>
  <c r="P18" i="19"/>
  <c r="W18" i="19"/>
  <c r="AH18" i="19"/>
  <c r="AL18" i="19"/>
  <c r="AW18" i="19"/>
  <c r="J19" i="19"/>
  <c r="M19" i="19"/>
  <c r="P19" i="19"/>
  <c r="W19" i="19"/>
  <c r="AH19" i="19"/>
  <c r="AL19" i="19"/>
  <c r="AW19" i="19"/>
  <c r="J20" i="19"/>
  <c r="M20" i="19"/>
  <c r="P20" i="19"/>
  <c r="W20" i="19"/>
  <c r="AH20" i="19"/>
  <c r="AL20" i="19"/>
  <c r="AW20" i="19"/>
  <c r="J21" i="19"/>
  <c r="M21" i="19"/>
  <c r="P21" i="19"/>
  <c r="W21" i="19"/>
  <c r="AH21" i="19"/>
  <c r="AL21" i="19"/>
  <c r="AW21" i="19"/>
  <c r="J22" i="19"/>
  <c r="M22" i="19"/>
  <c r="P22" i="19"/>
  <c r="W22" i="19"/>
  <c r="AH22" i="19"/>
  <c r="AL22" i="19"/>
  <c r="AW22" i="19"/>
  <c r="J25" i="19"/>
  <c r="M25" i="19"/>
  <c r="P25" i="19"/>
  <c r="T25" i="19"/>
  <c r="W25" i="19"/>
  <c r="Z25" i="19"/>
  <c r="AH25" i="19"/>
  <c r="AL25" i="19"/>
  <c r="AW25" i="19"/>
  <c r="J26" i="19"/>
  <c r="M26" i="19"/>
  <c r="P26" i="19"/>
  <c r="T26" i="19"/>
  <c r="W26" i="19"/>
  <c r="Z26" i="19"/>
  <c r="AH26" i="19"/>
  <c r="AL26" i="19"/>
  <c r="AW26" i="19"/>
  <c r="J27" i="19"/>
  <c r="M27" i="19"/>
  <c r="P27" i="19"/>
  <c r="T27" i="19"/>
  <c r="W27" i="19"/>
  <c r="Z27" i="19"/>
  <c r="AH27" i="19"/>
  <c r="AL27" i="19"/>
  <c r="AW27" i="19"/>
  <c r="J28" i="19"/>
  <c r="M28" i="19"/>
  <c r="P28" i="19"/>
  <c r="T28" i="19"/>
  <c r="W28" i="19"/>
  <c r="Z28" i="19"/>
  <c r="AH28" i="19"/>
  <c r="AL28" i="19"/>
  <c r="AW28" i="19"/>
  <c r="J54" i="19"/>
  <c r="M54" i="19"/>
  <c r="P54" i="19"/>
  <c r="T54" i="19"/>
  <c r="W54" i="19"/>
  <c r="Z54" i="19"/>
  <c r="AH54" i="19"/>
  <c r="AL54" i="19"/>
  <c r="AW54" i="19"/>
  <c r="J29" i="19"/>
  <c r="M29" i="19"/>
  <c r="P29" i="19"/>
  <c r="T29" i="19"/>
  <c r="W29" i="19"/>
  <c r="Z29" i="19"/>
  <c r="AH29" i="19"/>
  <c r="AL29" i="19"/>
  <c r="AW29" i="19"/>
  <c r="J30" i="19"/>
  <c r="M30" i="19"/>
  <c r="P30" i="19"/>
  <c r="T30" i="19"/>
  <c r="W30" i="19"/>
  <c r="Z30" i="19"/>
  <c r="AH30" i="19"/>
  <c r="AL30" i="19"/>
  <c r="AW30" i="19"/>
  <c r="J40" i="19"/>
  <c r="M40" i="19"/>
  <c r="P40" i="19"/>
  <c r="T40" i="19"/>
  <c r="W40" i="19"/>
  <c r="Z40" i="19"/>
  <c r="AH40" i="19"/>
  <c r="AL40" i="19"/>
  <c r="AW40" i="19"/>
  <c r="J41" i="19"/>
  <c r="M41" i="19"/>
  <c r="P41" i="19"/>
  <c r="T41" i="19"/>
  <c r="W41" i="19"/>
  <c r="Z41" i="19"/>
  <c r="AH41" i="19"/>
  <c r="AL41" i="19"/>
  <c r="AW41" i="19"/>
  <c r="J42" i="19"/>
  <c r="M42" i="19"/>
  <c r="P42" i="19"/>
  <c r="T42" i="19"/>
  <c r="W42" i="19"/>
  <c r="Z42" i="19"/>
  <c r="AH42" i="19"/>
  <c r="AL42" i="19"/>
  <c r="AW42" i="19"/>
  <c r="J43" i="19"/>
  <c r="M43" i="19"/>
  <c r="P43" i="19"/>
  <c r="T43" i="19"/>
  <c r="W43" i="19"/>
  <c r="Z43" i="19"/>
  <c r="AH43" i="19"/>
  <c r="AL43" i="19"/>
  <c r="AW43" i="19"/>
  <c r="J55" i="19"/>
  <c r="M55" i="19"/>
  <c r="P55" i="19"/>
  <c r="T55" i="19"/>
  <c r="W55" i="19"/>
  <c r="Z55" i="19"/>
  <c r="AH55" i="19"/>
  <c r="AL55" i="19"/>
  <c r="AW55" i="19"/>
  <c r="J56" i="19"/>
  <c r="M56" i="19"/>
  <c r="P56" i="19"/>
  <c r="T56" i="19"/>
  <c r="W56" i="19"/>
  <c r="Z56" i="19"/>
  <c r="AH56" i="19"/>
  <c r="AL56" i="19"/>
  <c r="AW56" i="19"/>
  <c r="J44" i="19"/>
  <c r="M44" i="19"/>
  <c r="P44" i="19"/>
  <c r="T44" i="19"/>
  <c r="W44" i="19"/>
  <c r="Z44" i="19"/>
  <c r="AH44" i="19"/>
  <c r="AL44" i="19"/>
  <c r="AW44" i="19"/>
  <c r="J45" i="19"/>
  <c r="M45" i="19"/>
  <c r="P45" i="19"/>
  <c r="T45" i="19"/>
  <c r="W45" i="19"/>
  <c r="Z45" i="19"/>
  <c r="AH45" i="19"/>
  <c r="AL45" i="19"/>
  <c r="AW45" i="19"/>
  <c r="J46" i="19"/>
  <c r="M46" i="19"/>
  <c r="P46" i="19"/>
  <c r="T46" i="19"/>
  <c r="W46" i="19"/>
  <c r="Z46" i="19"/>
  <c r="AH46" i="19"/>
  <c r="AL46" i="19"/>
  <c r="AW46" i="19"/>
  <c r="J31" i="19"/>
  <c r="M31" i="19"/>
  <c r="P31" i="19"/>
  <c r="T31" i="19"/>
  <c r="W31" i="19"/>
  <c r="Z31" i="19"/>
  <c r="AH31" i="19"/>
  <c r="AL31" i="19"/>
  <c r="AW31" i="19"/>
  <c r="J47" i="19"/>
  <c r="M47" i="19"/>
  <c r="P47" i="19"/>
  <c r="T47" i="19"/>
  <c r="W47" i="19"/>
  <c r="Z47" i="19"/>
  <c r="AH47" i="19"/>
  <c r="AL47" i="19"/>
  <c r="AW47" i="19"/>
  <c r="J32" i="19"/>
  <c r="M32" i="19"/>
  <c r="P32" i="19"/>
  <c r="T32" i="19"/>
  <c r="W32" i="19"/>
  <c r="Z32" i="19"/>
  <c r="AH32" i="19"/>
  <c r="AL32" i="19"/>
  <c r="AW32" i="19"/>
  <c r="J57" i="19"/>
  <c r="M57" i="19"/>
  <c r="P57" i="19"/>
  <c r="T57" i="19"/>
  <c r="W57" i="19"/>
  <c r="Z57" i="19"/>
  <c r="AH57" i="19"/>
  <c r="AL57" i="19"/>
  <c r="AW57" i="19"/>
  <c r="J58" i="19"/>
  <c r="M58" i="19"/>
  <c r="P58" i="19"/>
  <c r="T58" i="19"/>
  <c r="W58" i="19"/>
  <c r="Z58" i="19"/>
  <c r="AH58" i="19"/>
  <c r="AL58" i="19"/>
  <c r="AW58" i="19"/>
  <c r="J33" i="19"/>
  <c r="M33" i="19"/>
  <c r="P33" i="19"/>
  <c r="T33" i="19"/>
  <c r="W33" i="19"/>
  <c r="Z33" i="19"/>
  <c r="AH33" i="19"/>
  <c r="AL33" i="19"/>
  <c r="AW33" i="19"/>
  <c r="J59" i="19"/>
  <c r="M59" i="19"/>
  <c r="P59" i="19"/>
  <c r="T59" i="19"/>
  <c r="W59" i="19"/>
  <c r="Z59" i="19"/>
  <c r="AH59" i="19"/>
  <c r="AL59" i="19"/>
  <c r="AW59" i="19"/>
  <c r="J48" i="19"/>
  <c r="M48" i="19"/>
  <c r="P48" i="19"/>
  <c r="T48" i="19"/>
  <c r="W48" i="19"/>
  <c r="Z48" i="19"/>
  <c r="AH48" i="19"/>
  <c r="AL48" i="19"/>
  <c r="AW48" i="19"/>
  <c r="J49" i="19"/>
  <c r="M49" i="19"/>
  <c r="P49" i="19"/>
  <c r="T49" i="19"/>
  <c r="W49" i="19"/>
  <c r="Z49" i="19"/>
  <c r="AH49" i="19"/>
  <c r="AL49" i="19"/>
  <c r="AW49" i="19"/>
  <c r="J34" i="19"/>
  <c r="M34" i="19"/>
  <c r="P34" i="19"/>
  <c r="T34" i="19"/>
  <c r="W34" i="19"/>
  <c r="Z34" i="19"/>
  <c r="AH34" i="19"/>
  <c r="AL34" i="19"/>
  <c r="AW34" i="19"/>
  <c r="J60" i="19"/>
  <c r="M60" i="19"/>
  <c r="P60" i="19"/>
  <c r="T60" i="19"/>
  <c r="W60" i="19"/>
  <c r="Z60" i="19"/>
  <c r="AH60" i="19"/>
  <c r="AL60" i="19"/>
  <c r="AW60" i="19"/>
  <c r="J61" i="19"/>
  <c r="M61" i="19"/>
  <c r="P61" i="19"/>
  <c r="T61" i="19"/>
  <c r="W61" i="19"/>
  <c r="Z61" i="19"/>
  <c r="AH61" i="19"/>
  <c r="AL61" i="19"/>
  <c r="AW61" i="19"/>
  <c r="J50" i="19"/>
  <c r="M50" i="19"/>
  <c r="P50" i="19"/>
  <c r="T50" i="19"/>
  <c r="W50" i="19"/>
  <c r="Z50" i="19"/>
  <c r="AH50" i="19"/>
  <c r="AL50" i="19"/>
  <c r="AW50" i="19"/>
  <c r="J35" i="19"/>
  <c r="M35" i="19"/>
  <c r="P35" i="19"/>
  <c r="T35" i="19"/>
  <c r="W35" i="19"/>
  <c r="Z35" i="19"/>
  <c r="AH35" i="19"/>
  <c r="AL35" i="19"/>
  <c r="AW35" i="19"/>
  <c r="J62" i="19"/>
  <c r="M62" i="19"/>
  <c r="P62" i="19"/>
  <c r="T62" i="19"/>
  <c r="W62" i="19"/>
  <c r="Z62" i="19"/>
  <c r="AH62" i="19"/>
  <c r="AL62" i="19"/>
  <c r="AW62" i="19"/>
  <c r="J36" i="19"/>
  <c r="M36" i="19"/>
  <c r="P36" i="19"/>
  <c r="T36" i="19"/>
  <c r="W36" i="19"/>
  <c r="Z36" i="19"/>
  <c r="AH36" i="19"/>
  <c r="AL36" i="19"/>
  <c r="AW36" i="19"/>
  <c r="J51" i="19"/>
  <c r="M51" i="19"/>
  <c r="P51" i="19"/>
  <c r="T51" i="19"/>
  <c r="W51" i="19"/>
  <c r="Z51" i="19"/>
  <c r="AH51" i="19"/>
  <c r="AL51" i="19"/>
  <c r="AW51" i="19"/>
  <c r="J37" i="19"/>
  <c r="M37" i="19"/>
  <c r="P37" i="19"/>
  <c r="T37" i="19"/>
  <c r="W37" i="19"/>
  <c r="Z37" i="19"/>
  <c r="AH37" i="19"/>
  <c r="AL37" i="19"/>
  <c r="AW37" i="19"/>
  <c r="J63" i="19"/>
  <c r="M63" i="19"/>
  <c r="P63" i="19"/>
  <c r="T63" i="19"/>
  <c r="W63" i="19"/>
  <c r="Z63" i="19"/>
  <c r="AH63" i="19"/>
  <c r="AL63" i="19"/>
  <c r="AW63" i="19"/>
  <c r="AH65" i="31" l="1"/>
  <c r="AT65" i="31"/>
  <c r="AH64" i="31"/>
  <c r="AT64" i="31"/>
  <c r="AH62" i="31"/>
  <c r="AT62" i="31"/>
  <c r="AH61" i="31"/>
  <c r="AT61" i="31"/>
  <c r="AF60" i="31"/>
  <c r="AR60" i="31"/>
  <c r="AJ49" i="31"/>
  <c r="AV49" i="31"/>
  <c r="AH47" i="31"/>
  <c r="AT47" i="31"/>
  <c r="AJ44" i="31"/>
  <c r="AV44" i="31"/>
  <c r="AF43" i="31"/>
  <c r="AR43" i="31"/>
  <c r="AH32" i="31"/>
  <c r="AT32" i="31"/>
  <c r="AH29" i="31"/>
  <c r="AT29" i="31"/>
  <c r="AJ13" i="31"/>
  <c r="AV13" i="31"/>
  <c r="AH39" i="31"/>
  <c r="AT39" i="31"/>
  <c r="AJ53" i="31"/>
  <c r="AV53" i="31"/>
  <c r="AF38" i="31"/>
  <c r="AR38" i="31"/>
  <c r="AH37" i="31"/>
  <c r="AT37" i="31"/>
  <c r="AJ52" i="31"/>
  <c r="AV52" i="31"/>
  <c r="AF63" i="31"/>
  <c r="AR63" i="31"/>
  <c r="AH36" i="31"/>
  <c r="AT36" i="31"/>
  <c r="AJ51" i="31"/>
  <c r="AV51" i="31"/>
  <c r="AF50" i="31"/>
  <c r="AR50" i="31"/>
  <c r="AH35" i="31"/>
  <c r="AT35" i="31"/>
  <c r="AJ60" i="31"/>
  <c r="AV60" i="31"/>
  <c r="AF59" i="31"/>
  <c r="AR59" i="31"/>
  <c r="AH49" i="31"/>
  <c r="AT49" i="31"/>
  <c r="AJ33" i="31"/>
  <c r="AV33" i="31"/>
  <c r="AF48" i="31"/>
  <c r="AR48" i="31"/>
  <c r="AH46" i="31"/>
  <c r="AT46" i="31"/>
  <c r="AJ58" i="31"/>
  <c r="AV58" i="31"/>
  <c r="AF57" i="31"/>
  <c r="AR57" i="31"/>
  <c r="AH44" i="31"/>
  <c r="AT44" i="31"/>
  <c r="AJ43" i="31"/>
  <c r="AV43" i="31"/>
  <c r="AF42" i="31"/>
  <c r="AR42" i="31"/>
  <c r="AH31" i="31"/>
  <c r="AT31" i="31"/>
  <c r="AJ56" i="31"/>
  <c r="AV56" i="31"/>
  <c r="AF30" i="31"/>
  <c r="AR30" i="31"/>
  <c r="AH28" i="31"/>
  <c r="AT28" i="31"/>
  <c r="AJ27" i="31"/>
  <c r="AV27" i="31"/>
  <c r="AF24" i="31"/>
  <c r="AR24" i="31"/>
  <c r="AH23" i="31"/>
  <c r="AT23" i="31"/>
  <c r="AF22" i="31"/>
  <c r="AR22" i="31"/>
  <c r="AH21" i="31"/>
  <c r="AT21" i="31"/>
  <c r="AF20" i="31"/>
  <c r="AR20" i="31"/>
  <c r="AH19" i="31"/>
  <c r="AT19" i="31"/>
  <c r="AF18" i="31"/>
  <c r="AR18" i="31"/>
  <c r="AH17" i="31"/>
  <c r="AT17" i="31"/>
  <c r="AF16" i="31"/>
  <c r="AR16" i="31"/>
  <c r="AH15" i="31"/>
  <c r="AT15" i="31"/>
  <c r="AF14" i="31"/>
  <c r="AR14" i="31"/>
  <c r="AH13" i="31"/>
  <c r="AT13" i="31"/>
  <c r="AF12" i="31"/>
  <c r="AR12" i="31"/>
  <c r="AH11" i="31"/>
  <c r="AT11" i="31"/>
  <c r="AJ10" i="31"/>
  <c r="AV10" i="31"/>
  <c r="AJ39" i="31"/>
  <c r="AV39" i="31"/>
  <c r="AF52" i="31"/>
  <c r="AR52" i="31"/>
  <c r="AJ35" i="31"/>
  <c r="AV35" i="31"/>
  <c r="AF33" i="31"/>
  <c r="AR33" i="31"/>
  <c r="AJ46" i="31"/>
  <c r="AV46" i="31"/>
  <c r="AH45" i="31"/>
  <c r="AT45" i="31"/>
  <c r="AJ31" i="31"/>
  <c r="AV31" i="31"/>
  <c r="AJ28" i="31"/>
  <c r="AV28" i="31"/>
  <c r="AJ23" i="31"/>
  <c r="AV23" i="31"/>
  <c r="AJ21" i="31"/>
  <c r="AV21" i="31"/>
  <c r="AJ11" i="31"/>
  <c r="AV11" i="31"/>
  <c r="AH9" i="31"/>
  <c r="AT9" i="31"/>
  <c r="AF65" i="31"/>
  <c r="AR65" i="31"/>
  <c r="AH53" i="31"/>
  <c r="AT53" i="31"/>
  <c r="AJ38" i="31"/>
  <c r="AV38" i="31"/>
  <c r="AF64" i="31"/>
  <c r="AR64" i="31"/>
  <c r="AH52" i="31"/>
  <c r="AT52" i="31"/>
  <c r="AJ63" i="31"/>
  <c r="AV63" i="31"/>
  <c r="AF62" i="31"/>
  <c r="AR62" i="31"/>
  <c r="AH51" i="31"/>
  <c r="AT51" i="31"/>
  <c r="AJ50" i="31"/>
  <c r="AV50" i="31"/>
  <c r="AF61" i="31"/>
  <c r="AR61" i="31"/>
  <c r="AH60" i="31"/>
  <c r="AT60" i="31"/>
  <c r="AJ59" i="31"/>
  <c r="AV59" i="31"/>
  <c r="AF34" i="31"/>
  <c r="AR34" i="31"/>
  <c r="AH33" i="31"/>
  <c r="AT33" i="31"/>
  <c r="AJ48" i="31"/>
  <c r="AV48" i="31"/>
  <c r="AF47" i="31"/>
  <c r="AR47" i="31"/>
  <c r="AH58" i="31"/>
  <c r="AT58" i="31"/>
  <c r="AJ57" i="31"/>
  <c r="AV57" i="31"/>
  <c r="AF45" i="31"/>
  <c r="AR45" i="31"/>
  <c r="AH43" i="31"/>
  <c r="AT43" i="31"/>
  <c r="AJ42" i="31"/>
  <c r="AV42" i="31"/>
  <c r="AF32" i="31"/>
  <c r="AR32" i="31"/>
  <c r="AH56" i="31"/>
  <c r="AT56" i="31"/>
  <c r="AJ30" i="31"/>
  <c r="AV30" i="31"/>
  <c r="AF29" i="31"/>
  <c r="AR29" i="31"/>
  <c r="AH27" i="31"/>
  <c r="AT27" i="31"/>
  <c r="AJ24" i="31"/>
  <c r="AV24" i="31"/>
  <c r="AJ22" i="31"/>
  <c r="AV22" i="31"/>
  <c r="AJ20" i="31"/>
  <c r="AV20" i="31"/>
  <c r="AJ18" i="31"/>
  <c r="AV18" i="31"/>
  <c r="AJ16" i="31"/>
  <c r="AV16" i="31"/>
  <c r="AJ14" i="31"/>
  <c r="AV14" i="31"/>
  <c r="AJ12" i="31"/>
  <c r="AV12" i="31"/>
  <c r="AH10" i="31"/>
  <c r="AT10" i="31"/>
  <c r="AF9" i="31"/>
  <c r="AR9" i="31"/>
  <c r="AF53" i="31"/>
  <c r="AR53" i="31"/>
  <c r="AJ37" i="31"/>
  <c r="AV37" i="31"/>
  <c r="AJ36" i="31"/>
  <c r="AV36" i="31"/>
  <c r="AF51" i="31"/>
  <c r="AR51" i="31"/>
  <c r="AH34" i="31"/>
  <c r="AT34" i="31"/>
  <c r="AF58" i="31"/>
  <c r="AR58" i="31"/>
  <c r="AF56" i="31"/>
  <c r="AR56" i="31"/>
  <c r="AF27" i="31"/>
  <c r="AR27" i="31"/>
  <c r="AJ19" i="31"/>
  <c r="AV19" i="31"/>
  <c r="AJ17" i="31"/>
  <c r="AV17" i="31"/>
  <c r="AJ15" i="31"/>
  <c r="AV15" i="31"/>
  <c r="AF10" i="31"/>
  <c r="AR10" i="31"/>
  <c r="AJ65" i="31"/>
  <c r="AV65" i="31"/>
  <c r="AF39" i="31"/>
  <c r="AR39" i="31"/>
  <c r="AH38" i="31"/>
  <c r="AT38" i="31"/>
  <c r="AJ64" i="31"/>
  <c r="AV64" i="31"/>
  <c r="AF37" i="31"/>
  <c r="AR37" i="31"/>
  <c r="AH63" i="31"/>
  <c r="AT63" i="31"/>
  <c r="AJ62" i="31"/>
  <c r="AV62" i="31"/>
  <c r="AF36" i="31"/>
  <c r="AR36" i="31"/>
  <c r="AH50" i="31"/>
  <c r="AT50" i="31"/>
  <c r="AJ61" i="31"/>
  <c r="AV61" i="31"/>
  <c r="AF35" i="31"/>
  <c r="AR35" i="31"/>
  <c r="AH59" i="31"/>
  <c r="AT59" i="31"/>
  <c r="AJ34" i="31"/>
  <c r="AV34" i="31"/>
  <c r="AF49" i="31"/>
  <c r="AR49" i="31"/>
  <c r="AH48" i="31"/>
  <c r="AT48" i="31"/>
  <c r="AJ47" i="31"/>
  <c r="AV47" i="31"/>
  <c r="AF46" i="31"/>
  <c r="AR46" i="31"/>
  <c r="AH57" i="31"/>
  <c r="AT57" i="31"/>
  <c r="AJ45" i="31"/>
  <c r="AV45" i="31"/>
  <c r="AF44" i="31"/>
  <c r="AR44" i="31"/>
  <c r="AH42" i="31"/>
  <c r="AT42" i="31"/>
  <c r="AJ32" i="31"/>
  <c r="AV32" i="31"/>
  <c r="AF31" i="31"/>
  <c r="AR31" i="31"/>
  <c r="AH30" i="31"/>
  <c r="AT30" i="31"/>
  <c r="AJ29" i="31"/>
  <c r="AV29" i="31"/>
  <c r="AF28" i="31"/>
  <c r="AR28" i="31"/>
  <c r="AH24" i="31"/>
  <c r="AT24" i="31"/>
  <c r="AF23" i="31"/>
  <c r="AR23" i="31"/>
  <c r="AH22" i="31"/>
  <c r="AT22" i="31"/>
  <c r="AF21" i="31"/>
  <c r="AR21" i="31"/>
  <c r="AH20" i="31"/>
  <c r="AT20" i="31"/>
  <c r="AF19" i="31"/>
  <c r="AR19" i="31"/>
  <c r="AH18" i="31"/>
  <c r="AT18" i="31"/>
  <c r="AF17" i="31"/>
  <c r="AR17" i="31"/>
  <c r="AH16" i="31"/>
  <c r="AT16" i="31"/>
  <c r="AF15" i="31"/>
  <c r="AR15" i="31"/>
  <c r="AH14" i="31"/>
  <c r="AT14" i="31"/>
  <c r="AF13" i="31"/>
  <c r="AR13" i="31"/>
  <c r="AH12" i="31"/>
  <c r="AT12" i="31"/>
  <c r="AF11" i="31"/>
  <c r="AR11" i="31"/>
  <c r="AJ9" i="31"/>
  <c r="AV9" i="31"/>
  <c r="B7" i="31"/>
  <c r="Z7" i="31"/>
  <c r="D7" i="31"/>
  <c r="AB7" i="31"/>
  <c r="F7" i="31"/>
  <c r="AD7" i="31"/>
  <c r="R7" i="31"/>
  <c r="J37" i="31"/>
  <c r="V37" i="31"/>
  <c r="J35" i="31"/>
  <c r="V35" i="31"/>
  <c r="H42" i="31"/>
  <c r="T42" i="31"/>
  <c r="L27" i="31"/>
  <c r="X27" i="31"/>
  <c r="J23" i="31"/>
  <c r="V23" i="31"/>
  <c r="H20" i="31"/>
  <c r="T20" i="31"/>
  <c r="H16" i="31"/>
  <c r="T16" i="31"/>
  <c r="J11" i="31"/>
  <c r="V11" i="31"/>
  <c r="J53" i="31"/>
  <c r="V53" i="31"/>
  <c r="L63" i="31"/>
  <c r="X63" i="31"/>
  <c r="L59" i="31"/>
  <c r="X59" i="31"/>
  <c r="L30" i="31"/>
  <c r="X30" i="31"/>
  <c r="L14" i="31"/>
  <c r="X14" i="31"/>
  <c r="L47" i="31"/>
  <c r="X47" i="31"/>
  <c r="H46" i="31"/>
  <c r="T46" i="31"/>
  <c r="J30" i="31"/>
  <c r="V30" i="31"/>
  <c r="J18" i="31"/>
  <c r="V18" i="31"/>
  <c r="H15" i="31"/>
  <c r="T15" i="31"/>
  <c r="J47" i="31"/>
  <c r="V47" i="31"/>
  <c r="L44" i="31"/>
  <c r="X44" i="31"/>
  <c r="H43" i="31"/>
  <c r="T43" i="31"/>
  <c r="J32" i="31"/>
  <c r="V32" i="31"/>
  <c r="L28" i="31"/>
  <c r="X28" i="31"/>
  <c r="H27" i="31"/>
  <c r="T27" i="31"/>
  <c r="L21" i="31"/>
  <c r="X21" i="31"/>
  <c r="L17" i="31"/>
  <c r="X17" i="31"/>
  <c r="L13" i="31"/>
  <c r="X13" i="31"/>
  <c r="J39" i="31"/>
  <c r="V39" i="31"/>
  <c r="L52" i="31"/>
  <c r="X52" i="31"/>
  <c r="H63" i="31"/>
  <c r="T63" i="31"/>
  <c r="J36" i="31"/>
  <c r="V36" i="31"/>
  <c r="L60" i="31"/>
  <c r="X60" i="31"/>
  <c r="H59" i="31"/>
  <c r="T59" i="31"/>
  <c r="J49" i="31"/>
  <c r="V49" i="31"/>
  <c r="L58" i="31"/>
  <c r="X58" i="31"/>
  <c r="H57" i="31"/>
  <c r="T57" i="31"/>
  <c r="J44" i="31"/>
  <c r="V44" i="31"/>
  <c r="L56" i="31"/>
  <c r="X56" i="31"/>
  <c r="H30" i="31"/>
  <c r="T30" i="31"/>
  <c r="J28" i="31"/>
  <c r="V28" i="31"/>
  <c r="H22" i="31"/>
  <c r="T22" i="31"/>
  <c r="J21" i="31"/>
  <c r="V21" i="31"/>
  <c r="H18" i="31"/>
  <c r="T18" i="31"/>
  <c r="J17" i="31"/>
  <c r="V17" i="31"/>
  <c r="H14" i="31"/>
  <c r="T14" i="31"/>
  <c r="J13" i="31"/>
  <c r="V13" i="31"/>
  <c r="L10" i="31"/>
  <c r="X10" i="31"/>
  <c r="N7" i="31"/>
  <c r="H38" i="31"/>
  <c r="T38" i="31"/>
  <c r="L51" i="31"/>
  <c r="X51" i="31"/>
  <c r="H50" i="31"/>
  <c r="T50" i="31"/>
  <c r="J46" i="31"/>
  <c r="V46" i="31"/>
  <c r="J31" i="31"/>
  <c r="V31" i="31"/>
  <c r="J15" i="31"/>
  <c r="V15" i="31"/>
  <c r="H65" i="31"/>
  <c r="T65" i="31"/>
  <c r="L57" i="31"/>
  <c r="X57" i="31"/>
  <c r="H29" i="31"/>
  <c r="T29" i="31"/>
  <c r="J27" i="31"/>
  <c r="V27" i="31"/>
  <c r="H37" i="31"/>
  <c r="T37" i="31"/>
  <c r="J63" i="31"/>
  <c r="V63" i="31"/>
  <c r="H35" i="31"/>
  <c r="T35" i="31"/>
  <c r="J22" i="31"/>
  <c r="V22" i="31"/>
  <c r="H11" i="31"/>
  <c r="T11" i="31"/>
  <c r="L39" i="31"/>
  <c r="X39" i="31"/>
  <c r="J64" i="31"/>
  <c r="V64" i="31"/>
  <c r="J61" i="31"/>
  <c r="V61" i="31"/>
  <c r="L49" i="31"/>
  <c r="X49" i="31"/>
  <c r="H33" i="31"/>
  <c r="T33" i="31"/>
  <c r="J52" i="31"/>
  <c r="V52" i="31"/>
  <c r="J58" i="31"/>
  <c r="V58" i="31"/>
  <c r="J56" i="31"/>
  <c r="V56" i="31"/>
  <c r="L12" i="31"/>
  <c r="X12" i="31"/>
  <c r="J10" i="31"/>
  <c r="V10" i="31"/>
  <c r="L65" i="31"/>
  <c r="X65" i="31"/>
  <c r="H39" i="31"/>
  <c r="T39" i="31"/>
  <c r="J38" i="31"/>
  <c r="V38" i="31"/>
  <c r="L62" i="31"/>
  <c r="X62" i="31"/>
  <c r="H36" i="31"/>
  <c r="T36" i="31"/>
  <c r="J50" i="31"/>
  <c r="V50" i="31"/>
  <c r="L34" i="31"/>
  <c r="X34" i="31"/>
  <c r="H49" i="31"/>
  <c r="T49" i="31"/>
  <c r="J48" i="31"/>
  <c r="V48" i="31"/>
  <c r="L45" i="31"/>
  <c r="X45" i="31"/>
  <c r="H44" i="31"/>
  <c r="T44" i="31"/>
  <c r="J42" i="31"/>
  <c r="V42" i="31"/>
  <c r="L29" i="31"/>
  <c r="X29" i="31"/>
  <c r="H28" i="31"/>
  <c r="T28" i="31"/>
  <c r="J24" i="31"/>
  <c r="V24" i="31"/>
  <c r="H21" i="31"/>
  <c r="T21" i="31"/>
  <c r="J20" i="31"/>
  <c r="V20" i="31"/>
  <c r="H17" i="31"/>
  <c r="T17" i="31"/>
  <c r="J16" i="31"/>
  <c r="V16" i="31"/>
  <c r="H13" i="31"/>
  <c r="T13" i="31"/>
  <c r="J12" i="31"/>
  <c r="V12" i="31"/>
  <c r="L9" i="31"/>
  <c r="X9" i="31"/>
  <c r="L53" i="31"/>
  <c r="X53" i="31"/>
  <c r="L33" i="31"/>
  <c r="X33" i="31"/>
  <c r="H48" i="31"/>
  <c r="T48" i="31"/>
  <c r="L43" i="31"/>
  <c r="X43" i="31"/>
  <c r="H24" i="31"/>
  <c r="T24" i="31"/>
  <c r="J19" i="31"/>
  <c r="V19" i="31"/>
  <c r="H12" i="31"/>
  <c r="T12" i="31"/>
  <c r="H62" i="31"/>
  <c r="T62" i="31"/>
  <c r="J51" i="31"/>
  <c r="V51" i="31"/>
  <c r="H34" i="31"/>
  <c r="T34" i="31"/>
  <c r="J33" i="31"/>
  <c r="V33" i="31"/>
  <c r="H45" i="31"/>
  <c r="T45" i="31"/>
  <c r="J43" i="31"/>
  <c r="V43" i="31"/>
  <c r="L22" i="31"/>
  <c r="X22" i="31"/>
  <c r="L18" i="31"/>
  <c r="X18" i="31"/>
  <c r="H9" i="31"/>
  <c r="T9" i="31"/>
  <c r="L64" i="31"/>
  <c r="X64" i="31"/>
  <c r="L61" i="31"/>
  <c r="X61" i="31"/>
  <c r="J59" i="31"/>
  <c r="V59" i="31"/>
  <c r="J57" i="31"/>
  <c r="V57" i="31"/>
  <c r="L32" i="31"/>
  <c r="X32" i="31"/>
  <c r="H31" i="31"/>
  <c r="T31" i="31"/>
  <c r="H23" i="31"/>
  <c r="T23" i="31"/>
  <c r="H19" i="31"/>
  <c r="T19" i="31"/>
  <c r="J14" i="31"/>
  <c r="V14" i="31"/>
  <c r="H53" i="31"/>
  <c r="T53" i="31"/>
  <c r="L36" i="31"/>
  <c r="X36" i="31"/>
  <c r="H51" i="31"/>
  <c r="T51" i="31"/>
  <c r="L38" i="31"/>
  <c r="X38" i="31"/>
  <c r="H64" i="31"/>
  <c r="T64" i="31"/>
  <c r="L50" i="31"/>
  <c r="X50" i="31"/>
  <c r="H61" i="31"/>
  <c r="T61" i="31"/>
  <c r="J60" i="31"/>
  <c r="V60" i="31"/>
  <c r="L48" i="31"/>
  <c r="X48" i="31"/>
  <c r="H47" i="31"/>
  <c r="T47" i="31"/>
  <c r="L42" i="31"/>
  <c r="X42" i="31"/>
  <c r="H32" i="31"/>
  <c r="T32" i="31"/>
  <c r="L24" i="31"/>
  <c r="X24" i="31"/>
  <c r="L20" i="31"/>
  <c r="X20" i="31"/>
  <c r="L16" i="31"/>
  <c r="X16" i="31"/>
  <c r="J65" i="31"/>
  <c r="V65" i="31"/>
  <c r="L37" i="31"/>
  <c r="X37" i="31"/>
  <c r="H52" i="31"/>
  <c r="T52" i="31"/>
  <c r="J62" i="31"/>
  <c r="V62" i="31"/>
  <c r="L35" i="31"/>
  <c r="X35" i="31"/>
  <c r="H60" i="31"/>
  <c r="T60" i="31"/>
  <c r="J34" i="31"/>
  <c r="V34" i="31"/>
  <c r="L46" i="31"/>
  <c r="X46" i="31"/>
  <c r="H58" i="31"/>
  <c r="T58" i="31"/>
  <c r="J45" i="31"/>
  <c r="V45" i="31"/>
  <c r="L31" i="31"/>
  <c r="X31" i="31"/>
  <c r="H56" i="31"/>
  <c r="T56" i="31"/>
  <c r="J29" i="31"/>
  <c r="V29" i="31"/>
  <c r="L23" i="31"/>
  <c r="X23" i="31"/>
  <c r="L19" i="31"/>
  <c r="X19" i="31"/>
  <c r="L15" i="31"/>
  <c r="X15" i="31"/>
  <c r="L11" i="31"/>
  <c r="X11" i="31"/>
  <c r="H10" i="31"/>
  <c r="T10" i="31"/>
  <c r="J9" i="31"/>
  <c r="V9" i="31"/>
  <c r="P7" i="31"/>
  <c r="E41" i="23"/>
  <c r="E26" i="23"/>
  <c r="E55" i="23"/>
  <c r="DB5" i="9"/>
  <c r="MM5" i="9"/>
  <c r="OO5" i="9"/>
  <c r="FB5" i="9"/>
  <c r="LV5" i="9"/>
  <c r="MA5" i="9"/>
  <c r="MS5" i="9"/>
  <c r="NM5" i="9"/>
  <c r="NV5" i="9"/>
  <c r="GK5" i="9"/>
  <c r="OR5" i="9"/>
  <c r="EZ5" i="9"/>
  <c r="OF58" i="9"/>
  <c r="LA5" i="9"/>
  <c r="OF29" i="9"/>
  <c r="CW5" i="9"/>
  <c r="OF26" i="9"/>
  <c r="OF11" i="9"/>
  <c r="NR5" i="9"/>
  <c r="OF36" i="9"/>
  <c r="KZ5" i="9"/>
  <c r="LQ5" i="9"/>
  <c r="LW5" i="9"/>
  <c r="FC5" i="9"/>
  <c r="MC5" i="9"/>
  <c r="MZ5" i="9"/>
  <c r="OD5" i="9"/>
  <c r="MD5" i="9"/>
  <c r="LO5" i="9"/>
  <c r="ML5" i="9"/>
  <c r="OJ5" i="9"/>
  <c r="GO5" i="9"/>
  <c r="OF32" i="9"/>
  <c r="CR5" i="9"/>
  <c r="GP5" i="9"/>
  <c r="AR43" i="19"/>
  <c r="AR58" i="19"/>
  <c r="AR59" i="19"/>
  <c r="DA5" i="9"/>
  <c r="QD5" i="9"/>
  <c r="OW5" i="9"/>
  <c r="NC5" i="9"/>
  <c r="NU5" i="9"/>
  <c r="OI5" i="9"/>
  <c r="L5" i="9"/>
  <c r="CQ5" i="9"/>
  <c r="QG5" i="9"/>
  <c r="NB5" i="9"/>
  <c r="NS5" i="9"/>
  <c r="OE5" i="9"/>
  <c r="OP5" i="9"/>
  <c r="OF22" i="9"/>
  <c r="OF20" i="9"/>
  <c r="OF18" i="9"/>
  <c r="OF16" i="9"/>
  <c r="OF12" i="9"/>
  <c r="N5" i="9"/>
  <c r="GL5" i="9"/>
  <c r="QE5" i="9"/>
  <c r="OF38" i="9"/>
  <c r="OF50" i="9"/>
  <c r="OF56" i="9"/>
  <c r="OF42" i="9"/>
  <c r="JK5" i="9"/>
  <c r="LZ5" i="9"/>
  <c r="OF23" i="9"/>
  <c r="OF19" i="9"/>
  <c r="OF14" i="9"/>
  <c r="JM5" i="9"/>
  <c r="CV5" i="9"/>
  <c r="CM5" i="9"/>
  <c r="EW5" i="9"/>
  <c r="JR5" i="9"/>
  <c r="QK5" i="9"/>
  <c r="MU5" i="9"/>
  <c r="NO5" i="9"/>
  <c r="NY5" i="9"/>
  <c r="OL5" i="9"/>
  <c r="MY5" i="9"/>
  <c r="OB5" i="9"/>
  <c r="OV5" i="9"/>
  <c r="OF47" i="9"/>
  <c r="OF57" i="9"/>
  <c r="OF21" i="9"/>
  <c r="OF17" i="9"/>
  <c r="OF15" i="9"/>
  <c r="OF13" i="9"/>
  <c r="JT5" i="9"/>
  <c r="OF49" i="9"/>
  <c r="OF59" i="9"/>
  <c r="OF41" i="9"/>
  <c r="OF55" i="9"/>
  <c r="QB5" i="9"/>
  <c r="QJ5" i="9"/>
  <c r="LJ5" i="9"/>
  <c r="MT5" i="9"/>
  <c r="NN5" i="9"/>
  <c r="NX5" i="9"/>
  <c r="OK5" i="9"/>
  <c r="MV5" i="9"/>
  <c r="NP5" i="9"/>
  <c r="OA5" i="9"/>
  <c r="OM5" i="9"/>
  <c r="DJ5" i="9"/>
  <c r="EU5" i="9"/>
  <c r="GN5" i="9"/>
  <c r="LE5" i="9"/>
  <c r="OQ5" i="9"/>
  <c r="OF52" i="9"/>
  <c r="OF51" i="9"/>
  <c r="OF10" i="9"/>
  <c r="CP5" i="9"/>
  <c r="FA5" i="9"/>
  <c r="JS5" i="9"/>
  <c r="QC5" i="9"/>
  <c r="QI5" i="9"/>
  <c r="LD5" i="9"/>
  <c r="DG5" i="9"/>
  <c r="OF62" i="9"/>
  <c r="JQ5" i="9"/>
  <c r="ON5" i="9"/>
  <c r="OF61" i="9"/>
  <c r="OF60" i="9"/>
  <c r="OF33" i="9"/>
  <c r="OF46" i="9"/>
  <c r="OF44" i="9"/>
  <c r="OF31" i="9"/>
  <c r="OF28" i="9"/>
  <c r="J5" i="9"/>
  <c r="CZ5" i="9"/>
  <c r="DK5" i="9"/>
  <c r="CY5" i="9"/>
  <c r="EY5" i="9"/>
  <c r="GR5" i="9"/>
  <c r="JP5" i="9"/>
  <c r="LM5" i="9"/>
  <c r="OU5" i="9"/>
  <c r="DH5" i="9"/>
  <c r="OF9" i="9"/>
  <c r="OF8" i="9"/>
  <c r="CN5" i="9"/>
  <c r="LX5" i="9"/>
  <c r="NQ5" i="9"/>
  <c r="OF64" i="9"/>
  <c r="OF63" i="9"/>
  <c r="CO5" i="9"/>
  <c r="DF5" i="9"/>
  <c r="GJ5" i="9"/>
  <c r="GQ5" i="9"/>
  <c r="OT5" i="9"/>
  <c r="GM5" i="9"/>
  <c r="OF37" i="9"/>
  <c r="NJ62" i="9"/>
  <c r="OF35" i="9"/>
  <c r="OF34" i="9"/>
  <c r="OF48" i="9"/>
  <c r="OF45" i="9"/>
  <c r="OF43" i="9"/>
  <c r="OF30" i="9"/>
  <c r="OF27" i="9"/>
  <c r="H5" i="9"/>
  <c r="P5" i="9"/>
  <c r="CT5" i="9"/>
  <c r="CX5" i="9"/>
  <c r="FD5" i="9"/>
  <c r="GI5" i="9"/>
  <c r="JO5" i="9"/>
  <c r="QF5" i="9"/>
  <c r="LL5" i="9"/>
  <c r="LU5" i="9"/>
  <c r="MK5" i="9"/>
  <c r="OS5" i="9"/>
  <c r="AL52" i="19"/>
  <c r="Z52" i="19"/>
  <c r="T52" i="19"/>
  <c r="M52" i="19"/>
  <c r="AL38" i="19"/>
  <c r="Z38" i="19"/>
  <c r="T38" i="19"/>
  <c r="M38" i="19"/>
  <c r="AW23" i="19"/>
  <c r="AH23" i="19"/>
  <c r="W23" i="19"/>
  <c r="P23" i="19"/>
  <c r="J23" i="19"/>
  <c r="AW5" i="19"/>
  <c r="AH5" i="19"/>
  <c r="P5" i="19"/>
  <c r="J5" i="19"/>
  <c r="AW38" i="19"/>
  <c r="AR25" i="19"/>
  <c r="AL23" i="19"/>
  <c r="AW52" i="19"/>
  <c r="AH52" i="19"/>
  <c r="W52" i="19"/>
  <c r="P52" i="19"/>
  <c r="J52" i="19"/>
  <c r="AH38" i="19"/>
  <c r="W38" i="19"/>
  <c r="P38" i="19"/>
  <c r="J38" i="19"/>
  <c r="Z23" i="19"/>
  <c r="T23" i="19"/>
  <c r="M23" i="19"/>
  <c r="AL5" i="19"/>
  <c r="W5" i="19"/>
  <c r="M5" i="19"/>
  <c r="AR36" i="19"/>
  <c r="AR33" i="19"/>
  <c r="AR57" i="19"/>
  <c r="AR42" i="19"/>
  <c r="AR40" i="19"/>
  <c r="AR29" i="19"/>
  <c r="AR28" i="19"/>
  <c r="OG39" i="9"/>
  <c r="OC39" i="9"/>
  <c r="NW39" i="9"/>
  <c r="NL39" i="9"/>
  <c r="ND39" i="9"/>
  <c r="MX39" i="9"/>
  <c r="MR39" i="9"/>
  <c r="MF39" i="9"/>
  <c r="LY39" i="9"/>
  <c r="LN39" i="9"/>
  <c r="LH39" i="9"/>
  <c r="LF39" i="9"/>
  <c r="KY39" i="9"/>
  <c r="KW39" i="9"/>
  <c r="OG53" i="9"/>
  <c r="OC53" i="9"/>
  <c r="NW53" i="9"/>
  <c r="NL53" i="9"/>
  <c r="ND53" i="9"/>
  <c r="MX53" i="9"/>
  <c r="MR53" i="9"/>
  <c r="MF53" i="9"/>
  <c r="LY53" i="9"/>
  <c r="LN53" i="9"/>
  <c r="LH53" i="9"/>
  <c r="LF53" i="9"/>
  <c r="KY53" i="9"/>
  <c r="KW53" i="9"/>
  <c r="OG24" i="9"/>
  <c r="OC24" i="9"/>
  <c r="NW24" i="9"/>
  <c r="NL24" i="9"/>
  <c r="ND24" i="9"/>
  <c r="MX24" i="9"/>
  <c r="MR24" i="9"/>
  <c r="MF24" i="9"/>
  <c r="LY24" i="9"/>
  <c r="LN24" i="9"/>
  <c r="LH24" i="9"/>
  <c r="LF24" i="9"/>
  <c r="KY24" i="9"/>
  <c r="KW24" i="9"/>
  <c r="OH6" i="9"/>
  <c r="NZ6" i="9"/>
  <c r="NT6" i="9"/>
  <c r="LK6" i="9"/>
  <c r="LG6" i="9"/>
  <c r="LB6" i="9"/>
  <c r="KX6" i="9"/>
  <c r="ET6" i="9"/>
  <c r="ER6" i="9"/>
  <c r="EP6" i="9"/>
  <c r="E6" i="9"/>
  <c r="C6" i="9"/>
  <c r="AP5" i="9"/>
  <c r="AR5" i="9"/>
  <c r="AT5" i="9"/>
  <c r="OH39" i="9"/>
  <c r="NZ39" i="9"/>
  <c r="NT39" i="9"/>
  <c r="MO39" i="9"/>
  <c r="LS39" i="9"/>
  <c r="MB39" i="9"/>
  <c r="LT39" i="9"/>
  <c r="LK39" i="9"/>
  <c r="LG39" i="9"/>
  <c r="LB39" i="9"/>
  <c r="KX39" i="9"/>
  <c r="OH53" i="9"/>
  <c r="NZ53" i="9"/>
  <c r="NT53" i="9"/>
  <c r="LS53" i="9"/>
  <c r="MB53" i="9"/>
  <c r="LT53" i="9"/>
  <c r="LK53" i="9"/>
  <c r="LG53" i="9"/>
  <c r="LB53" i="9"/>
  <c r="KX53" i="9"/>
  <c r="OH24" i="9"/>
  <c r="NZ24" i="9"/>
  <c r="NT24" i="9"/>
  <c r="MO24" i="9"/>
  <c r="NA24" i="9"/>
  <c r="MW24" i="9"/>
  <c r="MQ24" i="9"/>
  <c r="LS24" i="9"/>
  <c r="MB24" i="9"/>
  <c r="LT24" i="9"/>
  <c r="LK24" i="9"/>
  <c r="LG24" i="9"/>
  <c r="LB24" i="9"/>
  <c r="KX24" i="9"/>
  <c r="OG6" i="9"/>
  <c r="OC6" i="9"/>
  <c r="NW6" i="9"/>
  <c r="MP6" i="9"/>
  <c r="ND6" i="9"/>
  <c r="MX6" i="9"/>
  <c r="MR6" i="9"/>
  <c r="MN6" i="9"/>
  <c r="MI6" i="9"/>
  <c r="LY6" i="9"/>
  <c r="LN6" i="9"/>
  <c r="LH6" i="9"/>
  <c r="LF6" i="9"/>
  <c r="KY6" i="9"/>
  <c r="KW6" i="9"/>
  <c r="ES6" i="9"/>
  <c r="EQ6" i="9"/>
  <c r="F6" i="9"/>
  <c r="D6" i="9"/>
  <c r="G5" i="9"/>
  <c r="I5" i="9"/>
  <c r="K5" i="9"/>
  <c r="M5" i="9"/>
  <c r="O5" i="9"/>
  <c r="AQ5" i="9"/>
  <c r="AS5" i="9"/>
  <c r="AW5" i="9"/>
  <c r="AU5" i="9"/>
  <c r="AY5" i="9"/>
  <c r="DC5" i="9"/>
  <c r="DE5" i="9"/>
  <c r="DD5" i="9"/>
  <c r="DI5" i="9"/>
  <c r="EV5" i="9"/>
  <c r="EX5" i="9"/>
  <c r="JL5" i="9"/>
  <c r="JN5" i="9"/>
  <c r="LC5" i="9"/>
  <c r="KV5" i="9"/>
  <c r="LI5" i="9"/>
  <c r="LP5" i="9"/>
  <c r="MO53" i="9"/>
  <c r="CS5" i="9"/>
  <c r="AL6" i="31" s="1"/>
  <c r="CU5" i="9"/>
  <c r="AP6" i="31" s="1"/>
  <c r="LT6" i="9"/>
  <c r="MB6" i="9"/>
  <c r="MJ6" i="9"/>
  <c r="MG24" i="9"/>
  <c r="MI24" i="9"/>
  <c r="MJ39" i="9"/>
  <c r="MG53" i="9"/>
  <c r="MI53" i="9"/>
  <c r="MQ6" i="9"/>
  <c r="MW6" i="9"/>
  <c r="NA6" i="9"/>
  <c r="NI6" i="9"/>
  <c r="NK6" i="9"/>
  <c r="NE24" i="9"/>
  <c r="NK24" i="9"/>
  <c r="MQ39" i="9"/>
  <c r="MW39" i="9"/>
  <c r="NA39" i="9"/>
  <c r="NE39" i="9"/>
  <c r="NK39" i="9"/>
  <c r="MQ53" i="9"/>
  <c r="MW53" i="9"/>
  <c r="NA53" i="9"/>
  <c r="NE53" i="9"/>
  <c r="NK53" i="9"/>
  <c r="NJ56" i="9"/>
  <c r="B6" i="9"/>
  <c r="AV5" i="9"/>
  <c r="AX5" i="9"/>
  <c r="CH6" i="9"/>
  <c r="QH5" i="9"/>
  <c r="MJ24" i="9"/>
  <c r="MG39" i="9"/>
  <c r="MI39" i="9"/>
  <c r="MJ53" i="9"/>
  <c r="NF6" i="9"/>
  <c r="NL6" i="9"/>
  <c r="MN24" i="9"/>
  <c r="NH24" i="9"/>
  <c r="MN39" i="9"/>
  <c r="NH39" i="9"/>
  <c r="MN53" i="9"/>
  <c r="NH53" i="9"/>
  <c r="NJ58" i="9"/>
  <c r="NJ29" i="9"/>
  <c r="NJ37" i="9"/>
  <c r="NJ49" i="9"/>
  <c r="NJ47" i="9"/>
  <c r="NJ41" i="9"/>
  <c r="NJ38" i="9"/>
  <c r="NJ36" i="9"/>
  <c r="NJ35" i="9"/>
  <c r="NJ34" i="9"/>
  <c r="NJ48" i="9"/>
  <c r="NJ45" i="9"/>
  <c r="NJ43" i="9"/>
  <c r="NJ30" i="9"/>
  <c r="NJ27" i="9"/>
  <c r="NJ52" i="9"/>
  <c r="NJ63" i="9"/>
  <c r="NJ51" i="9"/>
  <c r="NJ61" i="9"/>
  <c r="NJ50" i="9"/>
  <c r="NJ60" i="9"/>
  <c r="NJ59" i="9"/>
  <c r="NJ33" i="9"/>
  <c r="NJ32" i="9"/>
  <c r="NJ46" i="9"/>
  <c r="NJ57" i="9"/>
  <c r="NJ44" i="9"/>
  <c r="NJ42" i="9"/>
  <c r="NJ31" i="9"/>
  <c r="NJ55" i="9"/>
  <c r="NJ28" i="9"/>
  <c r="NJ26" i="9"/>
  <c r="ME13" i="9"/>
  <c r="ME11" i="9"/>
  <c r="MH64" i="9"/>
  <c r="MH23" i="9"/>
  <c r="MH22" i="9"/>
  <c r="MH21" i="9"/>
  <c r="MH20" i="9"/>
  <c r="MH19" i="9"/>
  <c r="MH18" i="9"/>
  <c r="MH17" i="9"/>
  <c r="MH16" i="9"/>
  <c r="MH15" i="9"/>
  <c r="MH14" i="9"/>
  <c r="ME38" i="9"/>
  <c r="LR38" i="9"/>
  <c r="ME52" i="9"/>
  <c r="LR52" i="9"/>
  <c r="ME37" i="9"/>
  <c r="LR37" i="9"/>
  <c r="ME63" i="9"/>
  <c r="LR63" i="9"/>
  <c r="ME36" i="9"/>
  <c r="LR36" i="9"/>
  <c r="ME51" i="9"/>
  <c r="LR51" i="9"/>
  <c r="ME62" i="9"/>
  <c r="LR62" i="9"/>
  <c r="ME61" i="9"/>
  <c r="LR61" i="9"/>
  <c r="ME35" i="9"/>
  <c r="LR35" i="9"/>
  <c r="ME50" i="9"/>
  <c r="LR50" i="9"/>
  <c r="ME49" i="9"/>
  <c r="LR49" i="9"/>
  <c r="ME60" i="9"/>
  <c r="LR60" i="9"/>
  <c r="ME34" i="9"/>
  <c r="LR34" i="9"/>
  <c r="ME59" i="9"/>
  <c r="LR59" i="9"/>
  <c r="ME58" i="9"/>
  <c r="LR58" i="9"/>
  <c r="ME33" i="9"/>
  <c r="LR33" i="9"/>
  <c r="ME48" i="9"/>
  <c r="LR48" i="9"/>
  <c r="ME32" i="9"/>
  <c r="LR32" i="9"/>
  <c r="ME47" i="9"/>
  <c r="LR47" i="9"/>
  <c r="ME46" i="9"/>
  <c r="LR46" i="9"/>
  <c r="ME45" i="9"/>
  <c r="LR45" i="9"/>
  <c r="ME57" i="9"/>
  <c r="LR57" i="9"/>
  <c r="ME56" i="9"/>
  <c r="LR56" i="9"/>
  <c r="ME44" i="9"/>
  <c r="LR44" i="9"/>
  <c r="ME43" i="9"/>
  <c r="LR43" i="9"/>
  <c r="ME42" i="9"/>
  <c r="LR42" i="9"/>
  <c r="ME41" i="9"/>
  <c r="LR41" i="9"/>
  <c r="ME31" i="9"/>
  <c r="LR31" i="9"/>
  <c r="ME30" i="9"/>
  <c r="LR30" i="9"/>
  <c r="ME55" i="9"/>
  <c r="LR55" i="9"/>
  <c r="ME29" i="9"/>
  <c r="LR29" i="9"/>
  <c r="ME28" i="9"/>
  <c r="LR28" i="9"/>
  <c r="ME27" i="9"/>
  <c r="LR27" i="9"/>
  <c r="ME26" i="9"/>
  <c r="LR26" i="9"/>
  <c r="NE64" i="9"/>
  <c r="MO64" i="9" s="1"/>
  <c r="NG64" i="9"/>
  <c r="NE23" i="9"/>
  <c r="MO23" i="9" s="1"/>
  <c r="NG23" i="9"/>
  <c r="NE22" i="9"/>
  <c r="MO22" i="9" s="1"/>
  <c r="NG22" i="9"/>
  <c r="NE21" i="9"/>
  <c r="MO21" i="9" s="1"/>
  <c r="NG21" i="9"/>
  <c r="NE20" i="9"/>
  <c r="MO20" i="9" s="1"/>
  <c r="NG20" i="9"/>
  <c r="NE19" i="9"/>
  <c r="MO19" i="9" s="1"/>
  <c r="NG19" i="9"/>
  <c r="NE18" i="9"/>
  <c r="MO18" i="9" s="1"/>
  <c r="NG18" i="9"/>
  <c r="NE17" i="9"/>
  <c r="MO17" i="9" s="1"/>
  <c r="NG17" i="9"/>
  <c r="NE16" i="9"/>
  <c r="MO16" i="9" s="1"/>
  <c r="NG16" i="9"/>
  <c r="NE15" i="9"/>
  <c r="MO15" i="9" s="1"/>
  <c r="NG15" i="9"/>
  <c r="NE14" i="9"/>
  <c r="MO14" i="9" s="1"/>
  <c r="NG14" i="9"/>
  <c r="NH13" i="9"/>
  <c r="NJ13" i="9"/>
  <c r="NH11" i="9"/>
  <c r="NJ11" i="9"/>
  <c r="NE10" i="9"/>
  <c r="MO10" i="9" s="1"/>
  <c r="NG10" i="9"/>
  <c r="MF9" i="9"/>
  <c r="MH9" i="9"/>
  <c r="NE8" i="9"/>
  <c r="NG8" i="9"/>
  <c r="NJ64" i="9"/>
  <c r="MG64" i="9"/>
  <c r="LS64" i="9" s="1"/>
  <c r="NI38" i="9"/>
  <c r="NF38" i="9" s="1"/>
  <c r="MP38" i="9" s="1"/>
  <c r="MH38" i="9"/>
  <c r="NI52" i="9"/>
  <c r="NF52" i="9" s="1"/>
  <c r="MP52" i="9" s="1"/>
  <c r="MH52" i="9"/>
  <c r="NI37" i="9"/>
  <c r="NF37" i="9" s="1"/>
  <c r="MP37" i="9" s="1"/>
  <c r="MH37" i="9"/>
  <c r="NI63" i="9"/>
  <c r="NF63" i="9" s="1"/>
  <c r="MP63" i="9" s="1"/>
  <c r="MH63" i="9"/>
  <c r="NI36" i="9"/>
  <c r="NF36" i="9" s="1"/>
  <c r="MP36" i="9" s="1"/>
  <c r="MH36" i="9"/>
  <c r="NI51" i="9"/>
  <c r="NF51" i="9" s="1"/>
  <c r="MP51" i="9" s="1"/>
  <c r="MH51" i="9"/>
  <c r="NI62" i="9"/>
  <c r="NF62" i="9" s="1"/>
  <c r="MP62" i="9" s="1"/>
  <c r="MH62" i="9"/>
  <c r="NI61" i="9"/>
  <c r="NF61" i="9" s="1"/>
  <c r="MP61" i="9" s="1"/>
  <c r="MH61" i="9"/>
  <c r="NI35" i="9"/>
  <c r="NF35" i="9" s="1"/>
  <c r="MP35" i="9" s="1"/>
  <c r="MH35" i="9"/>
  <c r="NI50" i="9"/>
  <c r="NF50" i="9" s="1"/>
  <c r="MP50" i="9" s="1"/>
  <c r="MH50" i="9"/>
  <c r="NI49" i="9"/>
  <c r="NF49" i="9" s="1"/>
  <c r="MP49" i="9" s="1"/>
  <c r="MH49" i="9"/>
  <c r="NI60" i="9"/>
  <c r="NF60" i="9" s="1"/>
  <c r="MP60" i="9" s="1"/>
  <c r="MH60" i="9"/>
  <c r="NI34" i="9"/>
  <c r="NF34" i="9" s="1"/>
  <c r="MP34" i="9" s="1"/>
  <c r="MH34" i="9"/>
  <c r="NI59" i="9"/>
  <c r="NF59" i="9" s="1"/>
  <c r="MP59" i="9" s="1"/>
  <c r="MH59" i="9"/>
  <c r="NI58" i="9"/>
  <c r="NF58" i="9" s="1"/>
  <c r="MP58" i="9" s="1"/>
  <c r="MH58" i="9"/>
  <c r="NI33" i="9"/>
  <c r="NF33" i="9" s="1"/>
  <c r="MP33" i="9" s="1"/>
  <c r="MH33" i="9"/>
  <c r="NI48" i="9"/>
  <c r="NF48" i="9" s="1"/>
  <c r="MP48" i="9" s="1"/>
  <c r="MH48" i="9"/>
  <c r="NI32" i="9"/>
  <c r="NF32" i="9" s="1"/>
  <c r="MP32" i="9" s="1"/>
  <c r="MH32" i="9"/>
  <c r="NI47" i="9"/>
  <c r="NF47" i="9" s="1"/>
  <c r="MP47" i="9" s="1"/>
  <c r="MH47" i="9"/>
  <c r="NI46" i="9"/>
  <c r="NF46" i="9" s="1"/>
  <c r="MP46" i="9" s="1"/>
  <c r="MH46" i="9"/>
  <c r="NI45" i="9"/>
  <c r="NF45" i="9" s="1"/>
  <c r="MP45" i="9" s="1"/>
  <c r="MH45" i="9"/>
  <c r="NI57" i="9"/>
  <c r="NF57" i="9" s="1"/>
  <c r="MP57" i="9" s="1"/>
  <c r="MH57" i="9"/>
  <c r="NI56" i="9"/>
  <c r="NF56" i="9" s="1"/>
  <c r="MP56" i="9" s="1"/>
  <c r="MH56" i="9"/>
  <c r="NI44" i="9"/>
  <c r="NF44" i="9" s="1"/>
  <c r="MP44" i="9" s="1"/>
  <c r="MH44" i="9"/>
  <c r="NI43" i="9"/>
  <c r="NF43" i="9" s="1"/>
  <c r="MP43" i="9" s="1"/>
  <c r="MH43" i="9"/>
  <c r="NI42" i="9"/>
  <c r="NF42" i="9" s="1"/>
  <c r="MP42" i="9" s="1"/>
  <c r="MH42" i="9"/>
  <c r="NI41" i="9"/>
  <c r="MH41" i="9"/>
  <c r="NI31" i="9"/>
  <c r="NF31" i="9" s="1"/>
  <c r="MP31" i="9" s="1"/>
  <c r="MH31" i="9"/>
  <c r="NI30" i="9"/>
  <c r="NF30" i="9" s="1"/>
  <c r="MP30" i="9" s="1"/>
  <c r="MH30" i="9"/>
  <c r="NI55" i="9"/>
  <c r="MH55" i="9"/>
  <c r="NI29" i="9"/>
  <c r="NF29" i="9" s="1"/>
  <c r="MP29" i="9" s="1"/>
  <c r="MH29" i="9"/>
  <c r="NI28" i="9"/>
  <c r="NF28" i="9" s="1"/>
  <c r="MP28" i="9" s="1"/>
  <c r="MH28" i="9"/>
  <c r="NI27" i="9"/>
  <c r="NF27" i="9" s="1"/>
  <c r="MP27" i="9" s="1"/>
  <c r="MH27" i="9"/>
  <c r="NI26" i="9"/>
  <c r="MH26" i="9"/>
  <c r="NJ23" i="9"/>
  <c r="MG23" i="9"/>
  <c r="LS23" i="9" s="1"/>
  <c r="NJ22" i="9"/>
  <c r="MG22" i="9"/>
  <c r="LS22" i="9" s="1"/>
  <c r="NJ21" i="9"/>
  <c r="MG21" i="9"/>
  <c r="LS21" i="9" s="1"/>
  <c r="NJ20" i="9"/>
  <c r="MG20" i="9"/>
  <c r="LS20" i="9" s="1"/>
  <c r="NJ19" i="9"/>
  <c r="MG19" i="9"/>
  <c r="LS19" i="9" s="1"/>
  <c r="NJ18" i="9"/>
  <c r="MG18" i="9"/>
  <c r="LS18" i="9" s="1"/>
  <c r="NJ17" i="9"/>
  <c r="MG17" i="9"/>
  <c r="LS17" i="9" s="1"/>
  <c r="NJ16" i="9"/>
  <c r="MG16" i="9"/>
  <c r="LS16" i="9" s="1"/>
  <c r="NJ15" i="9"/>
  <c r="MG15" i="9"/>
  <c r="LS15" i="9" s="1"/>
  <c r="NJ14" i="9"/>
  <c r="MG14" i="9"/>
  <c r="LS14" i="9" s="1"/>
  <c r="MH13" i="9"/>
  <c r="ME12" i="9"/>
  <c r="LR12" i="9"/>
  <c r="MH11" i="9"/>
  <c r="NJ9" i="9"/>
  <c r="NH12" i="9"/>
  <c r="NJ12" i="9"/>
  <c r="MF10" i="9"/>
  <c r="MH10" i="9"/>
  <c r="NE9" i="9"/>
  <c r="MO9" i="9" s="1"/>
  <c r="NG9" i="9"/>
  <c r="MF8" i="9"/>
  <c r="MH8" i="9"/>
  <c r="LR13" i="9"/>
  <c r="MH12" i="9"/>
  <c r="LR11" i="9"/>
  <c r="NJ10" i="9"/>
  <c r="NJ8" i="9"/>
  <c r="AR63" i="19"/>
  <c r="AR37" i="19"/>
  <c r="AR51" i="19"/>
  <c r="AR62" i="19"/>
  <c r="AR35" i="19"/>
  <c r="AR50" i="19"/>
  <c r="AR61" i="19"/>
  <c r="AR60" i="19"/>
  <c r="AR34" i="19"/>
  <c r="AR49" i="19"/>
  <c r="AR48" i="19"/>
  <c r="AR32" i="19"/>
  <c r="AR47" i="19"/>
  <c r="AR31" i="19"/>
  <c r="AR46" i="19"/>
  <c r="AR45" i="19"/>
  <c r="AR44" i="19"/>
  <c r="AR56" i="19"/>
  <c r="AR55" i="19"/>
  <c r="AR41" i="19"/>
  <c r="AR30" i="19"/>
  <c r="AR54" i="19"/>
  <c r="AR27" i="19"/>
  <c r="AR26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AF25" i="31" l="1"/>
  <c r="AR25" i="31"/>
  <c r="AF7" i="31"/>
  <c r="AR7" i="31"/>
  <c r="AH25" i="31"/>
  <c r="AT25" i="31"/>
  <c r="AF40" i="31"/>
  <c r="AR40" i="31"/>
  <c r="AH7" i="31"/>
  <c r="AT7" i="31"/>
  <c r="AJ54" i="31"/>
  <c r="AV54" i="31"/>
  <c r="D41" i="23"/>
  <c r="C6" i="23"/>
  <c r="H26" i="23"/>
  <c r="G6" i="23"/>
  <c r="AF54" i="31"/>
  <c r="AR54" i="31"/>
  <c r="AH40" i="31"/>
  <c r="AT40" i="31"/>
  <c r="AJ7" i="31"/>
  <c r="AV7" i="31"/>
  <c r="AH54" i="31"/>
  <c r="AT54" i="31"/>
  <c r="AJ25" i="31"/>
  <c r="AV25" i="31"/>
  <c r="AJ40" i="31"/>
  <c r="AV40" i="31"/>
  <c r="F6" i="31"/>
  <c r="AD6" i="31"/>
  <c r="D6" i="31"/>
  <c r="AB6" i="31"/>
  <c r="B6" i="31"/>
  <c r="Z6" i="31"/>
  <c r="N6" i="31"/>
  <c r="R6" i="31"/>
  <c r="L7" i="31"/>
  <c r="X7" i="31"/>
  <c r="J54" i="31"/>
  <c r="V54" i="31"/>
  <c r="H7" i="31"/>
  <c r="T7" i="31"/>
  <c r="P6" i="31"/>
  <c r="J7" i="31"/>
  <c r="V7" i="31"/>
  <c r="J40" i="31"/>
  <c r="V40" i="31"/>
  <c r="L40" i="31"/>
  <c r="X40" i="31"/>
  <c r="H25" i="31"/>
  <c r="T25" i="31"/>
  <c r="J25" i="31"/>
  <c r="V25" i="31"/>
  <c r="L54" i="31"/>
  <c r="X54" i="31"/>
  <c r="L25" i="31"/>
  <c r="X25" i="31"/>
  <c r="H40" i="31"/>
  <c r="T40" i="31"/>
  <c r="H54" i="31"/>
  <c r="T54" i="31"/>
  <c r="D55" i="23"/>
  <c r="H55" i="23"/>
  <c r="H8" i="23"/>
  <c r="H41" i="23"/>
  <c r="I41" i="23"/>
  <c r="I55" i="23"/>
  <c r="I26" i="23"/>
  <c r="D8" i="23"/>
  <c r="D26" i="23"/>
  <c r="I8" i="23"/>
  <c r="LG5" i="9"/>
  <c r="OF53" i="9"/>
  <c r="E42" i="10"/>
  <c r="E56" i="10"/>
  <c r="E27" i="10"/>
  <c r="KX5" i="9"/>
  <c r="E9" i="10"/>
  <c r="KY5" i="9"/>
  <c r="LH5" i="9"/>
  <c r="NT5" i="9"/>
  <c r="OF39" i="9"/>
  <c r="MH53" i="9"/>
  <c r="MH24" i="9"/>
  <c r="M4" i="19"/>
  <c r="Z4" i="19"/>
  <c r="H9" i="10"/>
  <c r="D27" i="10"/>
  <c r="F56" i="10"/>
  <c r="AR52" i="19"/>
  <c r="AL4" i="19"/>
  <c r="T4" i="19"/>
  <c r="G9" i="10"/>
  <c r="C56" i="10"/>
  <c r="OF6" i="9"/>
  <c r="LR53" i="9"/>
  <c r="MB5" i="9"/>
  <c r="OG5" i="9"/>
  <c r="LB5" i="9"/>
  <c r="OH5" i="9"/>
  <c r="LK5" i="9"/>
  <c r="MX5" i="9"/>
  <c r="LR24" i="9"/>
  <c r="LY5" i="9"/>
  <c r="MF6" i="9"/>
  <c r="MF5" i="9" s="1"/>
  <c r="NW5" i="9"/>
  <c r="ME39" i="9"/>
  <c r="KW5" i="9"/>
  <c r="MR5" i="9"/>
  <c r="MH39" i="9"/>
  <c r="LR39" i="9"/>
  <c r="NL5" i="9"/>
  <c r="LT5" i="9"/>
  <c r="NZ5" i="9"/>
  <c r="LN5" i="9"/>
  <c r="LS6" i="9"/>
  <c r="LS5" i="9" s="1"/>
  <c r="OF24" i="9"/>
  <c r="OC5" i="9"/>
  <c r="ME24" i="9"/>
  <c r="ME53" i="9"/>
  <c r="LF5" i="9"/>
  <c r="ND5" i="9"/>
  <c r="AR5" i="19"/>
  <c r="AR38" i="19"/>
  <c r="W4" i="19"/>
  <c r="J4" i="19"/>
  <c r="AH4" i="19"/>
  <c r="AR23" i="19"/>
  <c r="P4" i="19"/>
  <c r="AW4" i="19"/>
  <c r="NH6" i="9"/>
  <c r="NH5" i="9" s="1"/>
  <c r="MI5" i="9"/>
  <c r="NJ6" i="9"/>
  <c r="MH6" i="9"/>
  <c r="NJ24" i="9"/>
  <c r="NJ53" i="9"/>
  <c r="NJ39" i="9"/>
  <c r="MW5" i="9"/>
  <c r="MN5" i="9"/>
  <c r="NF26" i="9"/>
  <c r="NI24" i="9"/>
  <c r="NF55" i="9"/>
  <c r="NI53" i="9"/>
  <c r="NF41" i="9"/>
  <c r="NI39" i="9"/>
  <c r="MO8" i="9"/>
  <c r="MG6" i="9"/>
  <c r="MG5" i="9" s="1"/>
  <c r="NK5" i="9"/>
  <c r="NA5" i="9"/>
  <c r="MQ5" i="9"/>
  <c r="MJ5" i="9"/>
  <c r="ME16" i="9"/>
  <c r="ME20" i="9"/>
  <c r="NG29" i="9"/>
  <c r="NG56" i="9"/>
  <c r="NG58" i="9"/>
  <c r="NG62" i="9"/>
  <c r="NG41" i="9"/>
  <c r="NG47" i="9"/>
  <c r="NG49" i="9"/>
  <c r="NG37" i="9"/>
  <c r="ME14" i="9"/>
  <c r="ME18" i="9"/>
  <c r="ME22" i="9"/>
  <c r="NG27" i="9"/>
  <c r="NG30" i="9"/>
  <c r="NG43" i="9"/>
  <c r="NG45" i="9"/>
  <c r="NG48" i="9"/>
  <c r="NG34" i="9"/>
  <c r="NG35" i="9"/>
  <c r="NG36" i="9"/>
  <c r="NG38" i="9"/>
  <c r="ME64" i="9"/>
  <c r="NE13" i="9"/>
  <c r="MO13" i="9" s="1"/>
  <c r="NG13" i="9"/>
  <c r="ME15" i="9"/>
  <c r="ME17" i="9"/>
  <c r="ME19" i="9"/>
  <c r="ME21" i="9"/>
  <c r="ME23" i="9"/>
  <c r="NG26" i="9"/>
  <c r="NG28" i="9"/>
  <c r="NG55" i="9"/>
  <c r="NG31" i="9"/>
  <c r="NG42" i="9"/>
  <c r="NG44" i="9"/>
  <c r="NG57" i="9"/>
  <c r="NG46" i="9"/>
  <c r="NG32" i="9"/>
  <c r="NG33" i="9"/>
  <c r="NG59" i="9"/>
  <c r="NG60" i="9"/>
  <c r="NG50" i="9"/>
  <c r="NG61" i="9"/>
  <c r="NG51" i="9"/>
  <c r="NG63" i="9"/>
  <c r="NG52" i="9"/>
  <c r="LR8" i="9"/>
  <c r="ME8" i="9"/>
  <c r="LR10" i="9"/>
  <c r="ME10" i="9"/>
  <c r="NG12" i="9"/>
  <c r="NE12" i="9"/>
  <c r="MO12" i="9" s="1"/>
  <c r="LR9" i="9"/>
  <c r="ME9" i="9"/>
  <c r="NE11" i="9"/>
  <c r="MO11" i="9" s="1"/>
  <c r="NG11" i="9"/>
  <c r="G26" i="23" l="1"/>
  <c r="AJ6" i="31"/>
  <c r="AV6" i="31"/>
  <c r="AH6" i="31"/>
  <c r="AT6" i="31"/>
  <c r="C26" i="23"/>
  <c r="C41" i="23"/>
  <c r="C55" i="23"/>
  <c r="C8" i="23"/>
  <c r="AF6" i="31"/>
  <c r="AR6" i="31"/>
  <c r="J6" i="31"/>
  <c r="V6" i="31"/>
  <c r="H6" i="31"/>
  <c r="T6" i="31"/>
  <c r="L6" i="31"/>
  <c r="X6" i="31"/>
  <c r="G41" i="23"/>
  <c r="G55" i="23"/>
  <c r="G8" i="23"/>
  <c r="D56" i="10"/>
  <c r="OF5" i="9"/>
  <c r="G42" i="10"/>
  <c r="G56" i="10"/>
  <c r="F27" i="10"/>
  <c r="MH5" i="9"/>
  <c r="F9" i="10"/>
  <c r="F42" i="10"/>
  <c r="D9" i="10"/>
  <c r="C42" i="10"/>
  <c r="G27" i="10"/>
  <c r="C27" i="10"/>
  <c r="D42" i="10"/>
  <c r="C9" i="10"/>
  <c r="NG6" i="9"/>
  <c r="AR4" i="19"/>
  <c r="NI5" i="9"/>
  <c r="ME6" i="9"/>
  <c r="ME5" i="9" s="1"/>
  <c r="NE6" i="9"/>
  <c r="NE5" i="9" s="1"/>
  <c r="NJ5" i="9"/>
  <c r="MP41" i="9"/>
  <c r="MP39" i="9" s="1"/>
  <c r="NF39" i="9"/>
  <c r="MP55" i="9"/>
  <c r="MP53" i="9" s="1"/>
  <c r="NF53" i="9"/>
  <c r="MP26" i="9"/>
  <c r="MP24" i="9" s="1"/>
  <c r="NF24" i="9"/>
  <c r="LR6" i="9"/>
  <c r="LR5" i="9" s="1"/>
  <c r="NG53" i="9"/>
  <c r="NG24" i="9"/>
  <c r="NG39" i="9"/>
  <c r="MO6" i="9"/>
  <c r="MO5" i="9" s="1"/>
  <c r="MP5" i="9" l="1"/>
  <c r="NF5" i="9"/>
  <c r="NG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J53" authorId="0" shapeId="0" xr:uid="{0ECACD0B-E3C7-4A30-94C2-F8FCC0D7B394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J58" authorId="0" shapeId="0" xr:uid="{DF6D6BF1-7AEE-485E-8A6E-1898904927C5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manually changed formula</t>
        </r>
      </text>
    </comment>
    <comment ref="K58" authorId="0" shapeId="0" xr:uid="{2AFD1018-6F5C-4ABE-94CD-9FE3CA09CC79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 (Asian/Pac,Am/Natv)</t>
        </r>
      </text>
    </comment>
    <comment ref="B4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  <comment ref="C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S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non-Hisp or incl. Hisp?</t>
        </r>
      </text>
    </comment>
    <comment ref="LW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LX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MU4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  <comment ref="MV4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6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D.C. in this source.</t>
        </r>
      </text>
    </comment>
  </commentList>
</comments>
</file>

<file path=xl/sharedStrings.xml><?xml version="1.0" encoding="utf-8"?>
<sst xmlns="http://schemas.openxmlformats.org/spreadsheetml/2006/main" count="2300" uniqueCount="243">
  <si>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</si>
  <si>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</si>
  <si>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</si>
  <si>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</si>
  <si>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</si>
  <si>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</si>
  <si>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</si>
  <si>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</si>
  <si>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</si>
  <si>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</si>
  <si>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</si>
  <si>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</si>
  <si>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</si>
  <si>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</si>
  <si>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</si>
  <si>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</si>
  <si>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1940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</si>
  <si>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</si>
  <si>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</si>
  <si>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</si>
  <si>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</si>
  <si>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</si>
  <si>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</si>
  <si>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</si>
  <si>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</si>
  <si>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</si>
  <si>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</si>
  <si>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</si>
  <si>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</si>
  <si>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</si>
  <si>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</si>
  <si>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</si>
  <si>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</si>
  <si>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</si>
  <si>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</si>
  <si>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</si>
  <si>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</si>
  <si>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</si>
  <si>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</si>
  <si>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</si>
  <si>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</si>
  <si>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</si>
  <si>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</si>
  <si>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</si>
  <si>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</si>
  <si>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</si>
  <si>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</si>
  <si>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</si>
  <si>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</si>
  <si>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</si>
  <si>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</si>
  <si>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Less than 9th Grade</t>
  </si>
  <si>
    <t>9th-12th Grade, No Diploma</t>
  </si>
  <si>
    <t>Associate Degree</t>
  </si>
  <si>
    <t>Graduate or Professional Degree</t>
  </si>
  <si>
    <t>Population 25 and Older</t>
  </si>
  <si>
    <t>Bachelor's or Higher</t>
  </si>
  <si>
    <t>Total</t>
  </si>
  <si>
    <t>White</t>
  </si>
  <si>
    <t>Black</t>
  </si>
  <si>
    <t>Hispanic</t>
  </si>
  <si>
    <t>Other</t>
  </si>
  <si>
    <t>District of Columbia</t>
  </si>
  <si>
    <t>SREB states</t>
  </si>
  <si>
    <t xml:space="preserve"> </t>
  </si>
  <si>
    <t>Percent With Bachelor's Degrees or Higher</t>
  </si>
  <si>
    <t>All Races</t>
  </si>
  <si>
    <t>1 to 3 years of college (includes asso. degree holders)</t>
  </si>
  <si>
    <t>2000</t>
  </si>
  <si>
    <t>1960</t>
  </si>
  <si>
    <t>Whilte Men</t>
  </si>
  <si>
    <t>White Women</t>
  </si>
  <si>
    <t>Non-White Men</t>
  </si>
  <si>
    <t>Non-White Women</t>
  </si>
  <si>
    <t>Source: U.S. Bureau of the Census, 1980 Census of Population, General Social and Economic Characteristics, Table 61. "Selected Social and Economic Characteristics by Race: 1980 and 1970," Washington D.C.:  U.S. Government Printing Office, July 1993</t>
  </si>
  <si>
    <t>U.S. Bureau of the Census, "Sex by Educational Attainment for the Population 25 Years and Over," Census 2000 Summry File 3, Table P37 see below</t>
  </si>
  <si>
    <t>1970</t>
  </si>
  <si>
    <t>White Men</t>
  </si>
  <si>
    <t>Black Men</t>
  </si>
  <si>
    <t>Black Women</t>
  </si>
  <si>
    <t>Hispanic Men</t>
  </si>
  <si>
    <t>Hispanic Women</t>
  </si>
  <si>
    <t>and</t>
  </si>
  <si>
    <r>
      <t xml:space="preserve">Source: Price, D. V. and Wohlford, J.K. background data for  "Educational Attainment Equity: Race, Ethnic and Gender Inequality among the Fifty States," </t>
    </r>
    <r>
      <rPr>
        <i/>
        <sz val="10"/>
        <rFont val="Arial"/>
        <family val="2"/>
      </rPr>
      <t>Higher Education and the Color Line: College Access, Racial Equity, and Social Change</t>
    </r>
    <r>
      <rPr>
        <sz val="10"/>
        <rFont val="ARIAL"/>
        <family val="2"/>
      </rPr>
      <t>, Patricia Marin and Gary Orfield, editors. Harvard University: The Civil Rights Project (forthcoming 2005).</t>
    </r>
  </si>
  <si>
    <t>SOURCE: U.S.Bureauof theCensus, 1980 Census of Population: General Social and Economic Characteristics (1982)</t>
  </si>
  <si>
    <t>&amp;</t>
  </si>
  <si>
    <t>Other Total</t>
  </si>
  <si>
    <t>Other Men</t>
  </si>
  <si>
    <t>Other Women</t>
  </si>
  <si>
    <t>1990</t>
  </si>
  <si>
    <t>White non-Hispanic Men</t>
  </si>
  <si>
    <t>White non-Hispanic Women</t>
  </si>
  <si>
    <t>White non-Hispanic</t>
  </si>
  <si>
    <t>Black non-Hispanic Men</t>
  </si>
  <si>
    <t>Black non-Hispanic Women</t>
  </si>
  <si>
    <t>Black non-Hispanic</t>
  </si>
  <si>
    <t>Other Wom</t>
  </si>
  <si>
    <t>U.S. Bureau of the Census, "Sex by Educational Attainment for the Population 25 Years and Over," Census 2000 Summry File 3, Tables P37, P148A,D,E,F,G,H</t>
  </si>
  <si>
    <t>SOURCE: U.S. Bureau of the Census, "Educational Attainment of Persons 25 Years and Over," Summary File 3, Tables P57, P58,  P59 (2002)</t>
  </si>
  <si>
    <t>Source: US Census of the population, General Social and Economic Characteristics, various years Table 47 (1940-1960); 1970-1980 US Census of the population, General, Social &amp; Economic Characteristics Table 61; March 1990-1998 US Census Bureau, Educational attainment P-20 series internet</t>
  </si>
  <si>
    <t>1960 (4 or more years of college)</t>
  </si>
  <si>
    <t>White Total</t>
  </si>
  <si>
    <t>Non-White Total</t>
  </si>
  <si>
    <t>Black Total</t>
  </si>
  <si>
    <t>Hispanic Total</t>
  </si>
  <si>
    <t>Grand Total</t>
  </si>
  <si>
    <t>Total Men</t>
  </si>
  <si>
    <t>Total Women</t>
  </si>
  <si>
    <t>Nonwhite Men</t>
  </si>
  <si>
    <t>Nonwhite Women</t>
  </si>
  <si>
    <t>Native Men</t>
  </si>
  <si>
    <t>Native Women</t>
  </si>
  <si>
    <t>Asian Men</t>
  </si>
  <si>
    <t>Asian Women</t>
  </si>
  <si>
    <t>Unaccounted for Other</t>
  </si>
  <si>
    <t>Grand Total  Other  Total</t>
  </si>
  <si>
    <t>Grand Total  Other  Men</t>
  </si>
  <si>
    <t>Grand Total  Other  Women</t>
  </si>
  <si>
    <t>Non white -Black-Hisp-Oth Total</t>
  </si>
  <si>
    <t>Non white -Black-Hisp-Oth Men</t>
  </si>
  <si>
    <t>Non white -Black-Hisp-Oth Women</t>
  </si>
  <si>
    <t>White Non-Hispanic Men</t>
  </si>
  <si>
    <t>White Non-Hispanic Women</t>
  </si>
  <si>
    <t>Black Non-Hispanic Men</t>
  </si>
  <si>
    <t>Black Non-Hispanic Women</t>
  </si>
  <si>
    <t>White Non-Hispanic Total</t>
  </si>
  <si>
    <t>White (incl Hisp)</t>
  </si>
  <si>
    <t>Men</t>
  </si>
  <si>
    <t>Women</t>
  </si>
  <si>
    <t>Black (incl Hisp)</t>
  </si>
  <si>
    <t>Other Tot (incl Hisp)</t>
  </si>
  <si>
    <t>Other (incl Hisp)</t>
  </si>
  <si>
    <t>Percent With High School Diplomas or GED Credentials</t>
  </si>
  <si>
    <t>Percent with High School Dipolma or Higher</t>
  </si>
  <si>
    <t>Percent with Bachelor's Degree or Higher</t>
  </si>
  <si>
    <t>*</t>
  </si>
  <si>
    <t>--</t>
  </si>
  <si>
    <t xml:space="preserve">Table 5a.  </t>
  </si>
  <si>
    <t xml:space="preserve">Table 6a. </t>
  </si>
  <si>
    <t xml:space="preserve">Table 7a. </t>
  </si>
  <si>
    <t xml:space="preserve">Table 8a.  </t>
  </si>
  <si>
    <t xml:space="preserve">Table 11a. </t>
  </si>
  <si>
    <t xml:space="preserve">Table 12a.  </t>
  </si>
  <si>
    <t>Source:  U.S. Census Bureau</t>
  </si>
  <si>
    <t xml:space="preserve">  A Half-Century of Learning:  Historical Statistics on Educational Attainment in the United States, 1940 to 2000 (Census 2000 PHC-T-41)</t>
  </si>
  <si>
    <t>Internet Release April 6, 2006</t>
  </si>
  <si>
    <r>
      <t>Education Attainment of the Adult Population</t>
    </r>
    <r>
      <rPr>
        <vertAlign val="superscript"/>
        <sz val="10"/>
        <rFont val="Arial"/>
        <family val="2"/>
      </rPr>
      <t>1</t>
    </r>
  </si>
  <si>
    <t>2005-2007</t>
  </si>
  <si>
    <t>U.S. Bureau of the Census, 2005-2007 American Community Survey 3-Year Estimates, Tables C15002. SEX BY EDUCATIONAL ATTAINMENT FOR THE POPULATION 25 YEARS AND OVER - Universe: POPULATION 25 YEARS AND OVER.</t>
  </si>
  <si>
    <t>Source: U.S. Bureau of the Census, 1980 Census General Social and Economic Characteristics (1982) (stated as "4 or more years of college completed")</t>
  </si>
  <si>
    <t>Source:  U.S. Bureau of the Census, 1950 Census of Population, Characteristics of the Population, Table 20. "Years of School Completed by Persons 25 years old and over, 1950 and 1940," Washington, D.C.:  U.S. Government Printing Office, 1952.</t>
  </si>
  <si>
    <t>Source: U.S. Bureau of the Census, "Educational Attainment of Persons 25 Years and Over," Summary File 3, Table P58 (2002)</t>
  </si>
  <si>
    <t>Source: U.S. Bureau of the Census, "Educational Attainment of Persons 25 Years and Over," Summary File 3, Table P59 (2002)</t>
  </si>
  <si>
    <t>Source: U.S. Bureau of the Census, "Educational Attainment of Persons 25 Years and Over," Summary File 3, Table P57 (2002)</t>
  </si>
  <si>
    <t>Source: U.S. Bureau of the Census, 1980 Census General Social and Economic Characteristics (1982)</t>
  </si>
  <si>
    <t>U.S. Bureau of the Census, "Sex by Educational Attainment for the Population 25 Years and Over," Census 2000 Summry File 3, Table P148A</t>
  </si>
  <si>
    <t xml:space="preserve">U.S. Bureau of the Census, "Sex by Educational Attainment for the Population 25 Years and Over," Census 2000 Summry File 3, Table P148B </t>
  </si>
  <si>
    <t xml:space="preserve">U.S. Bureau of the Census, "Sex by Educational Attainment for the Population 25 Years and Over," Census 2000 Summry File 3, Table P148D,E,F,G </t>
  </si>
  <si>
    <t xml:space="preserve">U.S. Bureau of the Census, "Sex by Educational Attainment for the Population 25 Years and Over," Census 2000 Summry File 3, Table P148H </t>
  </si>
  <si>
    <t xml:space="preserve">U.S. Bureau of the Census, "Sex by Educational Attainment for the Population 25 Years and Over," Census 2000 Summry File 3, Table P37 </t>
  </si>
  <si>
    <t xml:space="preserve">U.S. Bureau of the Census, "Sex by Educational Attainment for the Population 25 Years and Over," Census 2000 Summry File 3, Table P148A </t>
  </si>
  <si>
    <t>U.S. Bureau of the Census, "Sex by Educational Attainment for the Population 25 Years and Over," Census 2000 Summry File 3, Table P148D,E,F,G</t>
  </si>
  <si>
    <t>U.S. Bureau of the Census, "Sex by Educational Attainment for the Population 25 Years and Over," Census 2000 Summry File 3, Table P148B</t>
  </si>
  <si>
    <t>U.S. Bureau of the Census, "Sex by Educational Attainment for the Population 25 Years and Over," Census 2000 Summry File 3, Table P37</t>
  </si>
  <si>
    <t>U.S. Bureau of the Census, "Sex by Educational Attainment for the Population 25 Years and Over," Census 2000 Summry File 3, Table P148H</t>
  </si>
  <si>
    <t>Table 2</t>
  </si>
  <si>
    <t>2006-2008</t>
  </si>
  <si>
    <t>U.S. Bureau of the Census, 2006-2008American Community Survey 3-Year Estimates, Tables C15002. SEX BY EDUCATIONAL ATTAINMENT FOR THE POPULATION 25 YEARS AND OVER - Universe: POPULATION 25 YEARS AND OVER.</t>
  </si>
  <si>
    <t>White 
non-Hisp</t>
  </si>
  <si>
    <t>Black
non-Hisp</t>
  </si>
  <si>
    <t>Sources:</t>
  </si>
  <si>
    <t>White alone, including Hispanic</t>
  </si>
  <si>
    <t>Black alone, including Hispanic</t>
  </si>
  <si>
    <t>White Alone incl Hisp</t>
  </si>
  <si>
    <t>Black Alone incl Hisp</t>
  </si>
  <si>
    <t>Other Race incl Hisp</t>
  </si>
  <si>
    <t>Other Races incl Hisp.</t>
  </si>
  <si>
    <t>Other Races incl Hisp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</si>
  <si>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Population ages 25 and older.</t>
    </r>
  </si>
  <si>
    <t>2007-2009</t>
  </si>
  <si>
    <t>50 states and D.C.</t>
  </si>
  <si>
    <t xml:space="preserve">   as a percent of U.S.</t>
  </si>
  <si>
    <t>West</t>
  </si>
  <si>
    <t>Midwest</t>
  </si>
  <si>
    <t>Northeast</t>
  </si>
  <si>
    <t>—</t>
  </si>
  <si>
    <t>U.S. Bureau of the Census, 2007-2008 American Community Survey 3-Year Estimates, Tables C15002. SEX BY EDUCATIONAL ATTAINMENT FOR THE POPULATION 25 YEARS AND OVER - Universe: POPULATION 25 YEARS AND OVER.</t>
  </si>
  <si>
    <t>Bachelor's Only?</t>
  </si>
  <si>
    <t xml:space="preserve"> Population 25 Years and Over, both sexes, 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</si>
  <si>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</si>
  <si>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U.S. Bureau of the Census, 2007-2009 American Community Survey 3-Year Estimates, Tables C15002. SEX BY EDUCATIONAL ATTAINMENT FOR THE POPULATION 25 YEARS AND OVER - Universe: POPULATION 25 YEARS AND OVER.</t>
  </si>
  <si>
    <t>2008-2010</t>
  </si>
  <si>
    <t>Associate's or Higher</t>
  </si>
  <si>
    <t xml:space="preserve">NCHEMS analysis of U.S. Bureau of the Census, 2008-2010 American Community Survey 3-Year Estimates, Tables B 15001 and C15001. </t>
  </si>
  <si>
    <t>U.S. Bureau of the Census, 2008-2010 American Community Survey 3-Year Estimates, Tables B15002A. SEX BY EDUCATIONAL ATTAINMENT FOR THE POPULATION 25 YEARS AND OVER - Universe: POPULATION 25 YEARS AND OVER.</t>
  </si>
  <si>
    <t>U.S. Bureau of the Census, 2008-2010 American Community Survey 3-Year Estimates, Tables B15002B. SEX BY EDUCATIONAL ATTAINMENT FOR THE POPULATION 25 YEARS AND OVER - Universe: POPULATION 25 YEARS AND OVER.</t>
  </si>
  <si>
    <t>2010</t>
  </si>
  <si>
    <t>ACS-Based</t>
  </si>
  <si>
    <t>Note: Other includes, American Indian and Alaska Native, Asian, Native Hawaiian and Other Pacific Islander, Some Other Race, and Two or More Races.</t>
  </si>
  <si>
    <t>All Other Races + 2 More (not incl Hisp)</t>
  </si>
  <si>
    <t>2008-2010 ACS</t>
  </si>
  <si>
    <t>White incl Hisp</t>
  </si>
  <si>
    <t>Black incl Hisp</t>
  </si>
  <si>
    <t>Other*</t>
  </si>
  <si>
    <t>U.S. Bureau of the Census, ACS 2008-2010 summary sample 15002s</t>
  </si>
  <si>
    <t>* Other = Am Ind/Alaskan Native + Asian +Haw/Pacif Isl+2orMore</t>
  </si>
  <si>
    <t>2009-2011</t>
  </si>
  <si>
    <t>(Less than HS)</t>
  </si>
  <si>
    <t>2009-2011 ACS</t>
  </si>
  <si>
    <t>Table 7</t>
  </si>
  <si>
    <t>2012 ACS</t>
  </si>
  <si>
    <t>White incl Hispanic</t>
  </si>
  <si>
    <t>Black incl Hispanic</t>
  </si>
  <si>
    <t>2010-12 ACS</t>
  </si>
  <si>
    <t>C</t>
  </si>
  <si>
    <t>U.S. Bureau of the Census, 2010-2012 American Community Survey 3-Year Estimates, Tables B15002. SEX BY EDUCATIONAL ATTAINMENT FOR THE POPULATION 25 YEARS AND OVER - Universe: POPULATION 25 YEARS AND OVER.</t>
  </si>
  <si>
    <t>SC-EST2012-alldata6: Annual State Resident Population Estimates for 6 Race Groups 
(5 Race Alone Groups and Two or More Races) by Age, Sex, and Hispanic Origin: April 1, 2010 
to July 1, 2012
File: 7/1/2012 State Characteristics Population Estimates 
Source: U.S. Census Bureau, Population Division (June 2013)</t>
  </si>
  <si>
    <t>2013 ACS</t>
  </si>
  <si>
    <t>2011-13</t>
  </si>
  <si>
    <t>2011-13 ACS</t>
  </si>
  <si>
    <t>U.S. Bureau of the Census, 2011-2013 American Community Survey 3-Year Estimates, Tables B15002. SEX BY EDUCATIONAL ATTAINMENT FOR THE POPULATION 25 YEARS AND OVER - Universe: POPULATION 25 YEARS AND OVER. (2015)</t>
  </si>
  <si>
    <r>
      <t xml:space="preserve">3 </t>
    </r>
    <r>
      <rPr>
        <sz val="10"/>
        <rFont val="ARIAL"/>
        <family val="2"/>
      </rPr>
      <t>Percentages of nation may not calculate from the figures shown, due to rounding.</t>
    </r>
  </si>
  <si>
    <t>2015 ACS</t>
  </si>
  <si>
    <t>HS graduate or equivalent or More</t>
  </si>
  <si>
    <t>Source: U.S. Census Bureau, 2015 American Community Survey 1-Year Estimates</t>
  </si>
  <si>
    <r>
      <t>Education Attainment of the Adult Population by Racial/Ethnic Group</t>
    </r>
    <r>
      <rPr>
        <vertAlign val="superscript"/>
        <sz val="12"/>
        <rFont val="Arial"/>
        <family val="2"/>
      </rPr>
      <t>1</t>
    </r>
  </si>
  <si>
    <r>
      <t xml:space="preserve">    as a percent of U.S.</t>
    </r>
    <r>
      <rPr>
        <vertAlign val="superscript"/>
        <sz val="12"/>
        <rFont val="Arial"/>
        <family val="2"/>
      </rPr>
      <t>3</t>
    </r>
  </si>
  <si>
    <r>
      <t xml:space="preserve">1 </t>
    </r>
    <r>
      <rPr>
        <sz val="12"/>
        <rFont val="Arial"/>
        <family val="2"/>
      </rPr>
      <t>Population ages 25 and older. People of Hispanic origin are also counted in race categories (i.e., white, black) because questions regarding race and ethnicity are separate in the census survey.</t>
    </r>
  </si>
  <si>
    <r>
      <t xml:space="preserve">3 </t>
    </r>
    <r>
      <rPr>
        <sz val="12"/>
        <rFont val="Arial"/>
        <family val="2"/>
      </rPr>
      <t>Percentages of nation may not calculate from the figures shown, due to rounding.</t>
    </r>
  </si>
  <si>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Data not available.</t>
    </r>
  </si>
  <si>
    <t>Source: U.S. Census Bureau, 2016 American Community Survey 1-Year Estimates</t>
  </si>
  <si>
    <t>2016 ACS</t>
  </si>
  <si>
    <t xml:space="preserve">2016 Percent With High School Diplomas/GED </t>
  </si>
  <si>
    <t>2016 Percent With Bachelor's or Higher</t>
  </si>
  <si>
    <r>
      <t>2016</t>
    </r>
    <r>
      <rPr>
        <vertAlign val="superscript"/>
        <sz val="10"/>
        <rFont val="Arial"/>
        <family val="2"/>
      </rPr>
      <t>2</t>
    </r>
  </si>
  <si>
    <r>
      <t>Change (in percentage points), 2011 to 2016</t>
    </r>
    <r>
      <rPr>
        <vertAlign val="superscript"/>
        <sz val="10"/>
        <rFont val="Arial"/>
        <family val="2"/>
      </rPr>
      <t>2</t>
    </r>
  </si>
  <si>
    <t xml:space="preserve">   July 2018</t>
  </si>
  <si>
    <t>U.S. Census Bureau: "A Half-Century of Learning: Historical Statistics on Educational Attainment in the United States, 1940 to 2000" (2006) and "2016 American Community Survey 1-Year Estimates: Sex by Educational Attainment for the Population 25 Years and Over" (2018) — www.census.gov.</t>
  </si>
  <si>
    <t>U.S. Bureau of the Census, 2009-2011 American Community Survey 3-Year Estimates, Tables B15002A. SEX BY EDUCATIONAL ATTAINMENT FOR THE POPULATION 25 YEARS AND OVER - Universe: POPULATION 25 YEARS AND OVER.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</si>
  <si>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2016 figures are based on one-year estimates.</t>
    </r>
  </si>
  <si>
    <t xml:space="preserve">  July 2018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</si>
  <si>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2016 figures are based on one-year estimates.</t>
    </r>
  </si>
  <si>
    <t>U.S. Census Bureau: Educational Attainment of Persons 25 Years and Over, 1990 and 2000 (2002) and 2016 American Community Survey 1-Year Estimates: Sex by Educational Attainment for the Population 25 Years and Over (2018)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</si>
</sst>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  <numFmt numFmtId="168" formatCode="0.00_)"/>
    <numFmt numFmtId="169" formatCode="#,##0.0_);\(#,##0.0\)"/>
    <numFmt numFmtId="170" formatCode="mmm\ yyyy"/>
  </numFmts>
  <fonts count="39" x14ac:knownFonts="1">
    <font>
      <sz val="12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C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theme="4" tint="-0.249977111117893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8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ck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ck">
        <color indexed="64"/>
      </left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8" borderId="34" applyNumberFormat="0" applyFont="0" applyAlignment="0" applyProtection="0"/>
    <xf numFmtId="0" fontId="25" fillId="9" borderId="0" applyNumberFormat="0" applyBorder="0" applyAlignment="0" applyProtection="0"/>
  </cellStyleXfs>
  <cellXfs count="86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Fill="1" applyBorder="1"/>
    <xf numFmtId="167" fontId="4" fillId="0" borderId="0" xfId="1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7" fontId="4" fillId="0" borderId="0" xfId="1" applyNumberFormat="1" applyFont="1" applyFill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67" fontId="4" fillId="0" borderId="7" xfId="1" applyNumberFormat="1" applyFont="1" applyBorder="1" applyAlignment="1">
      <alignment horizontal="left" vertical="top" wrapText="1"/>
    </xf>
    <xf numFmtId="167" fontId="4" fillId="2" borderId="7" xfId="1" applyNumberFormat="1" applyFont="1" applyFill="1" applyBorder="1" applyAlignment="1">
      <alignment horizontal="left" vertical="top" wrapText="1"/>
    </xf>
    <xf numFmtId="167" fontId="4" fillId="0" borderId="5" xfId="1" applyNumberFormat="1" applyFont="1" applyBorder="1" applyAlignment="1">
      <alignment horizontal="left" vertical="top" wrapText="1"/>
    </xf>
    <xf numFmtId="167" fontId="4" fillId="2" borderId="0" xfId="1" applyNumberFormat="1" applyFont="1" applyFill="1" applyBorder="1" applyAlignment="1">
      <alignment horizontal="left" vertical="top" wrapText="1"/>
    </xf>
    <xf numFmtId="167" fontId="4" fillId="2" borderId="5" xfId="1" applyNumberFormat="1" applyFont="1" applyFill="1" applyBorder="1" applyAlignment="1">
      <alignment horizontal="lef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Continuous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7" fontId="4" fillId="0" borderId="6" xfId="1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/>
    </xf>
    <xf numFmtId="3" fontId="9" fillId="0" borderId="1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2" borderId="14" xfId="0" applyNumberFormat="1" applyFont="1" applyFill="1" applyBorder="1" applyAlignment="1">
      <alignment horizontal="right" wrapText="1"/>
    </xf>
    <xf numFmtId="3" fontId="9" fillId="0" borderId="14" xfId="0" applyNumberFormat="1" applyFont="1" applyBorder="1" applyAlignment="1">
      <alignment horizontal="right" wrapText="1"/>
    </xf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4" fillId="0" borderId="14" xfId="0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centerContinuous" wrapText="1"/>
    </xf>
    <xf numFmtId="0" fontId="4" fillId="0" borderId="22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4" fillId="0" borderId="14" xfId="0" applyNumberFormat="1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3" fontId="4" fillId="0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Border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/>
    <xf numFmtId="167" fontId="4" fillId="0" borderId="0" xfId="1" applyNumberFormat="1" applyFont="1"/>
    <xf numFmtId="167" fontId="4" fillId="0" borderId="5" xfId="1" applyNumberFormat="1" applyFont="1" applyBorder="1"/>
    <xf numFmtId="3" fontId="4" fillId="0" borderId="0" xfId="0" applyNumberFormat="1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 applyAlignment="1">
      <alignment horizontal="left"/>
    </xf>
    <xf numFmtId="0" fontId="4" fillId="0" borderId="7" xfId="0" applyFont="1" applyBorder="1"/>
    <xf numFmtId="0" fontId="4" fillId="0" borderId="5" xfId="0" applyFont="1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37" fontId="12" fillId="0" borderId="0" xfId="0" applyNumberFormat="1" applyFont="1" applyBorder="1" applyProtection="1"/>
    <xf numFmtId="0" fontId="4" fillId="0" borderId="0" xfId="0" applyFont="1" applyBorder="1" applyAlignment="1">
      <alignment horizontal="right" wrapText="1"/>
    </xf>
    <xf numFmtId="37" fontId="12" fillId="0" borderId="0" xfId="0" applyNumberFormat="1" applyFont="1" applyProtection="1"/>
    <xf numFmtId="3" fontId="9" fillId="2" borderId="14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167" fontId="12" fillId="0" borderId="0" xfId="1" applyNumberFormat="1" applyFont="1" applyAlignment="1">
      <alignment horizontal="left" vertical="top" wrapText="1"/>
    </xf>
    <xf numFmtId="0" fontId="12" fillId="0" borderId="2" xfId="0" applyFont="1" applyBorder="1" applyAlignment="1">
      <alignment horizontal="centerContinuous"/>
    </xf>
    <xf numFmtId="167" fontId="12" fillId="0" borderId="23" xfId="0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right" wrapText="1"/>
    </xf>
    <xf numFmtId="37" fontId="12" fillId="0" borderId="7" xfId="0" applyNumberFormat="1" applyFont="1" applyFill="1" applyBorder="1" applyProtection="1"/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applyFont="1" applyBorder="1"/>
    <xf numFmtId="0" fontId="11" fillId="0" borderId="0" xfId="0" applyFont="1" applyFill="1" applyAlignment="1">
      <alignment horizontal="center" vertical="top" wrapText="1"/>
    </xf>
    <xf numFmtId="3" fontId="9" fillId="0" borderId="20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4" fillId="0" borderId="20" xfId="0" quotePrefix="1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/>
    <xf numFmtId="3" fontId="9" fillId="0" borderId="20" xfId="0" applyNumberFormat="1" applyFont="1" applyBorder="1" applyAlignment="1">
      <alignment horizontal="right" wrapText="1"/>
    </xf>
    <xf numFmtId="0" fontId="9" fillId="0" borderId="1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3" fontId="15" fillId="0" borderId="14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/>
    </xf>
    <xf numFmtId="3" fontId="14" fillId="0" borderId="14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 wrapText="1"/>
    </xf>
    <xf numFmtId="3" fontId="14" fillId="0" borderId="0" xfId="0" applyNumberFormat="1" applyFont="1" applyBorder="1"/>
    <xf numFmtId="3" fontId="9" fillId="0" borderId="14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 wrapText="1"/>
    </xf>
    <xf numFmtId="3" fontId="14" fillId="2" borderId="14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right" wrapText="1"/>
    </xf>
    <xf numFmtId="3" fontId="15" fillId="2" borderId="14" xfId="0" applyNumberFormat="1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left"/>
    </xf>
    <xf numFmtId="167" fontId="4" fillId="0" borderId="0" xfId="1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right" wrapText="1"/>
    </xf>
    <xf numFmtId="3" fontId="12" fillId="0" borderId="14" xfId="0" applyNumberFormat="1" applyFont="1" applyBorder="1" applyAlignment="1">
      <alignment horizontal="right" wrapText="1"/>
    </xf>
    <xf numFmtId="167" fontId="12" fillId="0" borderId="0" xfId="1" applyNumberFormat="1" applyFont="1" applyFill="1" applyBorder="1" applyAlignment="1">
      <alignment horizontal="left" vertical="top" wrapText="1"/>
    </xf>
    <xf numFmtId="167" fontId="12" fillId="0" borderId="0" xfId="1" applyNumberFormat="1" applyFont="1" applyFill="1" applyBorder="1"/>
    <xf numFmtId="0" fontId="12" fillId="0" borderId="0" xfId="0" applyFont="1" applyFill="1" applyBorder="1"/>
    <xf numFmtId="0" fontId="12" fillId="0" borderId="14" xfId="0" applyFont="1" applyFill="1" applyBorder="1" applyAlignment="1">
      <alignment horizontal="right" wrapText="1"/>
    </xf>
    <xf numFmtId="3" fontId="9" fillId="0" borderId="0" xfId="0" applyNumberFormat="1" applyFont="1" applyBorder="1" applyAlignment="1">
      <alignment horizontal="left"/>
    </xf>
    <xf numFmtId="0" fontId="4" fillId="0" borderId="14" xfId="0" applyNumberFormat="1" applyFont="1" applyFill="1" applyBorder="1" applyAlignment="1"/>
    <xf numFmtId="0" fontId="4" fillId="0" borderId="14" xfId="0" applyFont="1" applyFill="1" applyBorder="1"/>
    <xf numFmtId="0" fontId="4" fillId="0" borderId="0" xfId="0" applyNumberFormat="1" applyFont="1" applyFill="1" applyBorder="1" applyAlignment="1"/>
    <xf numFmtId="0" fontId="4" fillId="0" borderId="2" xfId="0" applyFont="1" applyBorder="1" applyAlignment="1">
      <alignment horizontal="right"/>
    </xf>
    <xf numFmtId="0" fontId="4" fillId="0" borderId="0" xfId="0" applyFont="1" applyBorder="1" applyAlignment="1"/>
    <xf numFmtId="0" fontId="4" fillId="0" borderId="9" xfId="0" applyFont="1" applyBorder="1"/>
    <xf numFmtId="167" fontId="12" fillId="0" borderId="0" xfId="1" applyNumberFormat="1" applyFont="1" applyBorder="1" applyAlignment="1">
      <alignment horizontal="left" vertical="top" wrapText="1"/>
    </xf>
    <xf numFmtId="3" fontId="4" fillId="0" borderId="0" xfId="0" quotePrefix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2" fillId="0" borderId="14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Continuous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0" fontId="4" fillId="0" borderId="0" xfId="0" applyFont="1" applyAlignment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9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5" fontId="4" fillId="0" borderId="0" xfId="0" applyNumberFormat="1" applyFont="1" applyBorder="1" applyAlignment="1" applyProtection="1">
      <alignment horizontal="right"/>
      <protection locked="0"/>
    </xf>
    <xf numFmtId="165" fontId="4" fillId="0" borderId="0" xfId="0" applyNumberFormat="1" applyFont="1" applyBorder="1" applyAlignment="1" applyProtection="1">
      <protection locked="0"/>
    </xf>
    <xf numFmtId="165" fontId="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165" fontId="4" fillId="0" borderId="0" xfId="0" quotePrefix="1" applyNumberFormat="1" applyFont="1" applyBorder="1" applyAlignment="1" applyProtection="1">
      <alignment horizontal="right"/>
      <protection locked="0"/>
    </xf>
    <xf numFmtId="165" fontId="4" fillId="0" borderId="5" xfId="0" quotePrefix="1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protection locked="0"/>
    </xf>
    <xf numFmtId="165" fontId="4" fillId="0" borderId="19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2" xfId="2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/>
    </xf>
    <xf numFmtId="0" fontId="9" fillId="0" borderId="14" xfId="0" applyNumberFormat="1" applyFont="1" applyBorder="1" applyAlignment="1">
      <alignment horizontal="left"/>
    </xf>
    <xf numFmtId="0" fontId="4" fillId="4" borderId="2" xfId="0" applyFont="1" applyFill="1" applyBorder="1" applyAlignment="1">
      <alignment horizontal="right" wrapText="1"/>
    </xf>
    <xf numFmtId="0" fontId="4" fillId="4" borderId="23" xfId="0" applyFont="1" applyFill="1" applyBorder="1" applyAlignment="1">
      <alignment horizontal="right" wrapText="1"/>
    </xf>
    <xf numFmtId="0" fontId="4" fillId="4" borderId="19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14" xfId="0" applyFont="1" applyBorder="1"/>
    <xf numFmtId="3" fontId="4" fillId="0" borderId="14" xfId="0" applyNumberFormat="1" applyFont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wrapText="1"/>
    </xf>
    <xf numFmtId="3" fontId="12" fillId="0" borderId="0" xfId="0" applyNumberFormat="1" applyFont="1" applyFill="1"/>
    <xf numFmtId="3" fontId="4" fillId="0" borderId="0" xfId="0" applyNumberFormat="1" applyFont="1" applyBorder="1" applyAlignment="1">
      <alignment horizontal="right" wrapText="1"/>
    </xf>
    <xf numFmtId="0" fontId="4" fillId="0" borderId="20" xfId="0" applyFont="1" applyBorder="1"/>
    <xf numFmtId="3" fontId="4" fillId="0" borderId="20" xfId="0" applyNumberFormat="1" applyFont="1" applyBorder="1" applyAlignment="1">
      <alignment horizontal="right" wrapText="1"/>
    </xf>
    <xf numFmtId="3" fontId="4" fillId="0" borderId="5" xfId="0" applyNumberFormat="1" applyFont="1" applyBorder="1"/>
    <xf numFmtId="3" fontId="4" fillId="0" borderId="0" xfId="0" applyNumberFormat="1" applyFont="1" applyAlignment="1">
      <alignment vertical="top" wrapText="1"/>
    </xf>
    <xf numFmtId="167" fontId="4" fillId="0" borderId="5" xfId="1" applyNumberFormat="1" applyFont="1" applyBorder="1" applyProtection="1"/>
    <xf numFmtId="0" fontId="4" fillId="0" borderId="2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5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4" fillId="0" borderId="25" xfId="0" applyNumberFormat="1" applyFont="1" applyBorder="1" applyAlignment="1">
      <alignment horizontal="right" wrapText="1"/>
    </xf>
    <xf numFmtId="3" fontId="4" fillId="0" borderId="27" xfId="0" applyNumberFormat="1" applyFont="1" applyBorder="1"/>
    <xf numFmtId="3" fontId="4" fillId="0" borderId="27" xfId="0" applyNumberFormat="1" applyFont="1" applyFill="1" applyBorder="1"/>
    <xf numFmtId="0" fontId="4" fillId="0" borderId="25" xfId="0" applyFont="1" applyBorder="1"/>
    <xf numFmtId="0" fontId="4" fillId="0" borderId="27" xfId="0" applyFont="1" applyBorder="1" applyAlignment="1">
      <alignment horizontal="right"/>
    </xf>
    <xf numFmtId="167" fontId="4" fillId="0" borderId="27" xfId="1" applyNumberFormat="1" applyFont="1" applyBorder="1" applyAlignment="1">
      <alignment horizontal="left" vertical="top" wrapText="1"/>
    </xf>
    <xf numFmtId="0" fontId="4" fillId="0" borderId="25" xfId="0" applyFont="1" applyFill="1" applyBorder="1" applyAlignment="1">
      <alignment horizontal="right" wrapText="1"/>
    </xf>
    <xf numFmtId="3" fontId="9" fillId="0" borderId="26" xfId="0" applyNumberFormat="1" applyFont="1" applyFill="1" applyBorder="1" applyAlignment="1">
      <alignment horizontal="left"/>
    </xf>
    <xf numFmtId="3" fontId="9" fillId="0" borderId="2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left"/>
    </xf>
    <xf numFmtId="167" fontId="4" fillId="0" borderId="2" xfId="0" applyNumberFormat="1" applyFont="1" applyBorder="1" applyAlignment="1">
      <alignment horizontal="right" wrapText="1"/>
    </xf>
    <xf numFmtId="167" fontId="19" fillId="0" borderId="0" xfId="1" applyNumberFormat="1" applyFont="1" applyBorder="1"/>
    <xf numFmtId="3" fontId="4" fillId="0" borderId="2" xfId="0" applyNumberFormat="1" applyFont="1" applyBorder="1" applyAlignment="1">
      <alignment horizontal="centerContinuous"/>
    </xf>
    <xf numFmtId="3" fontId="4" fillId="0" borderId="1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167" fontId="4" fillId="0" borderId="14" xfId="0" applyNumberFormat="1" applyFont="1" applyBorder="1"/>
    <xf numFmtId="3" fontId="4" fillId="0" borderId="20" xfId="0" applyNumberFormat="1" applyFont="1" applyBorder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3" fontId="4" fillId="0" borderId="2" xfId="0" applyNumberFormat="1" applyFont="1" applyBorder="1" applyAlignment="1">
      <alignment horizontal="left"/>
    </xf>
    <xf numFmtId="3" fontId="9" fillId="0" borderId="14" xfId="0" applyNumberFormat="1" applyFont="1" applyFill="1" applyBorder="1" applyAlignment="1">
      <alignment horizontal="right" wrapText="1"/>
    </xf>
    <xf numFmtId="0" fontId="4" fillId="0" borderId="8" xfId="0" applyFont="1" applyBorder="1"/>
    <xf numFmtId="0" fontId="4" fillId="0" borderId="23" xfId="0" applyFont="1" applyBorder="1"/>
    <xf numFmtId="0" fontId="4" fillId="0" borderId="0" xfId="0" applyFont="1" applyBorder="1" applyAlignment="1">
      <alignment vertical="top" wrapText="1"/>
    </xf>
    <xf numFmtId="37" fontId="12" fillId="0" borderId="0" xfId="0" applyNumberFormat="1" applyFont="1" applyFill="1" applyBorder="1" applyProtection="1"/>
    <xf numFmtId="37" fontId="4" fillId="0" borderId="29" xfId="0" applyNumberFormat="1" applyFont="1" applyBorder="1" applyAlignment="1" applyProtection="1"/>
    <xf numFmtId="37" fontId="4" fillId="0" borderId="29" xfId="0" applyNumberFormat="1" applyFont="1" applyBorder="1" applyAlignment="1"/>
    <xf numFmtId="37" fontId="4" fillId="0" borderId="0" xfId="0" applyNumberFormat="1" applyFont="1" applyBorder="1" applyAlignment="1"/>
    <xf numFmtId="37" fontId="4" fillId="0" borderId="18" xfId="0" applyNumberFormat="1" applyFont="1" applyBorder="1" applyAlignment="1"/>
    <xf numFmtId="37" fontId="4" fillId="0" borderId="18" xfId="0" applyNumberFormat="1" applyFont="1" applyBorder="1" applyAlignment="1" applyProtection="1"/>
    <xf numFmtId="37" fontId="4" fillId="0" borderId="0" xfId="0" applyNumberFormat="1" applyFont="1" applyBorder="1" applyAlignment="1" applyProtection="1"/>
    <xf numFmtId="37" fontId="4" fillId="0" borderId="2" xfId="0" applyNumberFormat="1" applyFont="1" applyBorder="1" applyAlignment="1"/>
    <xf numFmtId="37" fontId="4" fillId="0" borderId="0" xfId="0" applyNumberFormat="1" applyFont="1" applyFill="1" applyBorder="1" applyAlignment="1" applyProtection="1">
      <alignment horizontal="left"/>
    </xf>
    <xf numFmtId="37" fontId="4" fillId="0" borderId="29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/>
    <xf numFmtId="167" fontId="4" fillId="0" borderId="5" xfId="1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67" fontId="4" fillId="0" borderId="0" xfId="1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3" fontId="14" fillId="2" borderId="0" xfId="0" applyNumberFormat="1" applyFont="1" applyFill="1" applyBorder="1"/>
    <xf numFmtId="3" fontId="9" fillId="2" borderId="0" xfId="0" applyNumberFormat="1" applyFont="1" applyFill="1" applyBorder="1"/>
    <xf numFmtId="0" fontId="12" fillId="0" borderId="0" xfId="0" applyFont="1" applyFill="1" applyBorder="1" applyAlignment="1">
      <alignment vertical="top" wrapText="1"/>
    </xf>
    <xf numFmtId="167" fontId="4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Border="1"/>
    <xf numFmtId="167" fontId="4" fillId="0" borderId="20" xfId="1" applyNumberFormat="1" applyFont="1" applyBorder="1" applyAlignment="1">
      <alignment horizontal="left" vertical="top" wrapText="1"/>
    </xf>
    <xf numFmtId="167" fontId="4" fillId="2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Border="1" applyAlignment="1">
      <alignment horizontal="left" vertical="top" wrapText="1"/>
    </xf>
    <xf numFmtId="167" fontId="4" fillId="0" borderId="2" xfId="1" applyNumberFormat="1" applyFont="1" applyBorder="1" applyAlignment="1">
      <alignment horizontal="left" vertical="top" wrapText="1"/>
    </xf>
    <xf numFmtId="167" fontId="4" fillId="0" borderId="23" xfId="1" applyNumberFormat="1" applyFont="1" applyBorder="1" applyAlignment="1">
      <alignment horizontal="left" vertical="top" wrapText="1"/>
    </xf>
    <xf numFmtId="167" fontId="4" fillId="0" borderId="28" xfId="1" applyNumberFormat="1" applyFont="1" applyBorder="1" applyAlignment="1">
      <alignment horizontal="left" vertical="top" wrapText="1"/>
    </xf>
    <xf numFmtId="167" fontId="4" fillId="0" borderId="19" xfId="1" applyNumberFormat="1" applyFont="1" applyBorder="1"/>
    <xf numFmtId="167" fontId="4" fillId="0" borderId="2" xfId="1" applyNumberFormat="1" applyFont="1" applyBorder="1"/>
    <xf numFmtId="167" fontId="4" fillId="2" borderId="19" xfId="1" applyNumberFormat="1" applyFont="1" applyFill="1" applyBorder="1" applyAlignment="1">
      <alignment horizontal="left" vertical="top" wrapText="1"/>
    </xf>
    <xf numFmtId="167" fontId="4" fillId="2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Border="1" applyAlignment="1">
      <alignment horizontal="left" vertical="top" wrapText="1"/>
    </xf>
    <xf numFmtId="167" fontId="4" fillId="2" borderId="23" xfId="1" applyNumberFormat="1" applyFont="1" applyFill="1" applyBorder="1" applyAlignment="1">
      <alignment horizontal="left" vertical="top" wrapText="1"/>
    </xf>
    <xf numFmtId="167" fontId="4" fillId="0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Fill="1" applyBorder="1" applyAlignment="1">
      <alignment horizontal="left" vertical="top" wrapText="1"/>
    </xf>
    <xf numFmtId="37" fontId="4" fillId="0" borderId="30" xfId="0" applyNumberFormat="1" applyFont="1" applyFill="1" applyBorder="1" applyAlignment="1"/>
    <xf numFmtId="167" fontId="4" fillId="0" borderId="25" xfId="1" applyNumberFormat="1" applyFont="1" applyBorder="1" applyAlignment="1">
      <alignment horizontal="left" vertical="top" wrapText="1"/>
    </xf>
    <xf numFmtId="167" fontId="4" fillId="2" borderId="20" xfId="1" applyNumberFormat="1" applyFont="1" applyFill="1" applyBorder="1" applyAlignment="1">
      <alignment horizontal="left" vertical="top" wrapText="1"/>
    </xf>
    <xf numFmtId="167" fontId="20" fillId="0" borderId="16" xfId="1" applyNumberFormat="1" applyFont="1" applyBorder="1"/>
    <xf numFmtId="167" fontId="20" fillId="0" borderId="0" xfId="1" applyNumberFormat="1" applyFont="1" applyBorder="1"/>
    <xf numFmtId="167" fontId="4" fillId="0" borderId="5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7" fontId="4" fillId="0" borderId="7" xfId="1" applyNumberFormat="1" applyFont="1" applyBorder="1" applyAlignment="1">
      <alignment horizontal="right" vertical="top" wrapText="1"/>
    </xf>
    <xf numFmtId="167" fontId="4" fillId="0" borderId="19" xfId="1" applyNumberFormat="1" applyFont="1" applyBorder="1" applyAlignment="1">
      <alignment horizontal="right" vertical="top" wrapText="1"/>
    </xf>
    <xf numFmtId="167" fontId="4" fillId="0" borderId="2" xfId="1" applyNumberFormat="1" applyFont="1" applyBorder="1" applyAlignment="1">
      <alignment horizontal="right" vertical="top" wrapText="1"/>
    </xf>
    <xf numFmtId="167" fontId="4" fillId="0" borderId="23" xfId="1" applyNumberFormat="1" applyFont="1" applyBorder="1" applyAlignment="1">
      <alignment horizontal="right" vertical="top" wrapText="1"/>
    </xf>
    <xf numFmtId="167" fontId="4" fillId="0" borderId="14" xfId="1" applyNumberFormat="1" applyFont="1" applyBorder="1" applyAlignment="1">
      <alignment horizontal="right" vertical="top" wrapText="1"/>
    </xf>
    <xf numFmtId="167" fontId="20" fillId="0" borderId="0" xfId="1" applyNumberFormat="1" applyFont="1" applyBorder="1" applyAlignment="1">
      <alignment vertical="top" wrapText="1"/>
    </xf>
    <xf numFmtId="167" fontId="20" fillId="0" borderId="7" xfId="1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14" fillId="0" borderId="0" xfId="0" applyNumberFormat="1" applyFont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14" fillId="2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167" fontId="20" fillId="0" borderId="14" xfId="1" applyNumberFormat="1" applyFont="1" applyBorder="1" applyAlignment="1">
      <alignment horizontal="left" vertical="top" wrapText="1"/>
    </xf>
    <xf numFmtId="167" fontId="20" fillId="0" borderId="14" xfId="1" applyNumberFormat="1" applyFont="1" applyBorder="1" applyAlignment="1">
      <alignment horizontal="right" vertical="top" wrapText="1"/>
    </xf>
    <xf numFmtId="167" fontId="20" fillId="0" borderId="21" xfId="1" applyNumberFormat="1" applyFont="1" applyBorder="1" applyAlignment="1">
      <alignment horizontal="right" vertical="top" wrapText="1"/>
    </xf>
    <xf numFmtId="167" fontId="4" fillId="0" borderId="0" xfId="1" applyNumberFormat="1" applyFont="1" applyFill="1" applyBorder="1" applyAlignment="1">
      <alignment horizontal="right" vertical="top" wrapText="1"/>
    </xf>
    <xf numFmtId="167" fontId="4" fillId="0" borderId="20" xfId="1" applyNumberFormat="1" applyFont="1" applyBorder="1" applyAlignment="1">
      <alignment horizontal="right" vertical="top" wrapText="1"/>
    </xf>
    <xf numFmtId="167" fontId="20" fillId="0" borderId="5" xfId="1" applyNumberFormat="1" applyFont="1" applyBorder="1" applyAlignment="1"/>
    <xf numFmtId="167" fontId="20" fillId="0" borderId="0" xfId="1" applyNumberFormat="1" applyFont="1" applyAlignment="1"/>
    <xf numFmtId="167" fontId="20" fillId="2" borderId="20" xfId="1" applyNumberFormat="1" applyFont="1" applyFill="1" applyBorder="1" applyAlignment="1">
      <alignment horizontal="left" vertical="top" wrapText="1"/>
    </xf>
    <xf numFmtId="167" fontId="20" fillId="2" borderId="14" xfId="1" applyNumberFormat="1" applyFont="1" applyFill="1" applyBorder="1" applyAlignment="1">
      <alignment horizontal="left" vertical="top" wrapText="1"/>
    </xf>
    <xf numFmtId="167" fontId="20" fillId="2" borderId="21" xfId="1" applyNumberFormat="1" applyFont="1" applyFill="1" applyBorder="1" applyAlignment="1">
      <alignment horizontal="left" vertical="top" wrapText="1"/>
    </xf>
    <xf numFmtId="167" fontId="20" fillId="0" borderId="14" xfId="1" applyNumberFormat="1" applyFont="1" applyFill="1" applyBorder="1" applyAlignment="1">
      <alignment horizontal="left" vertical="top" wrapText="1"/>
    </xf>
    <xf numFmtId="167" fontId="20" fillId="0" borderId="20" xfId="1" applyNumberFormat="1" applyFont="1" applyBorder="1" applyAlignment="1">
      <alignment horizontal="left" vertical="top" wrapText="1"/>
    </xf>
    <xf numFmtId="167" fontId="20" fillId="0" borderId="5" xfId="1" applyNumberFormat="1" applyFont="1" applyBorder="1"/>
    <xf numFmtId="167" fontId="20" fillId="0" borderId="0" xfId="1" applyNumberFormat="1" applyFont="1" applyAlignment="1">
      <alignment horizontal="left" vertical="top" wrapText="1"/>
    </xf>
    <xf numFmtId="167" fontId="20" fillId="2" borderId="0" xfId="1" applyNumberFormat="1" applyFont="1" applyFill="1" applyBorder="1" applyAlignment="1">
      <alignment horizontal="left" vertical="top" wrapText="1"/>
    </xf>
    <xf numFmtId="167" fontId="20" fillId="0" borderId="7" xfId="1" applyNumberFormat="1" applyFont="1" applyBorder="1"/>
    <xf numFmtId="167" fontId="20" fillId="0" borderId="0" xfId="1" applyNumberFormat="1" applyFont="1" applyFill="1" applyBorder="1"/>
    <xf numFmtId="167" fontId="20" fillId="0" borderId="0" xfId="1" applyNumberFormat="1" applyFont="1" applyFill="1" applyBorder="1" applyAlignment="1">
      <alignment horizontal="left" vertical="top" wrapText="1"/>
    </xf>
    <xf numFmtId="167" fontId="20" fillId="0" borderId="0" xfId="1" applyNumberFormat="1" applyFont="1" applyBorder="1" applyAlignment="1">
      <alignment horizontal="left" vertical="top" wrapText="1"/>
    </xf>
    <xf numFmtId="167" fontId="4" fillId="0" borderId="31" xfId="1" applyNumberFormat="1" applyFont="1" applyBorder="1" applyProtection="1"/>
    <xf numFmtId="167" fontId="4" fillId="0" borderId="14" xfId="1" applyNumberFormat="1" applyFont="1" applyBorder="1" applyProtection="1"/>
    <xf numFmtId="167" fontId="4" fillId="0" borderId="21" xfId="1" applyNumberFormat="1" applyFont="1" applyBorder="1" applyProtection="1"/>
    <xf numFmtId="167" fontId="4" fillId="0" borderId="0" xfId="1" applyNumberFormat="1" applyFont="1" applyAlignment="1">
      <alignment horizontal="center"/>
    </xf>
    <xf numFmtId="167" fontId="4" fillId="0" borderId="0" xfId="1" applyNumberFormat="1" applyFont="1" applyProtection="1"/>
    <xf numFmtId="167" fontId="4" fillId="0" borderId="7" xfId="1" applyNumberFormat="1" applyFont="1" applyBorder="1" applyProtection="1"/>
    <xf numFmtId="167" fontId="4" fillId="0" borderId="20" xfId="1" applyNumberFormat="1" applyFont="1" applyBorder="1" applyAlignment="1">
      <alignment horizontal="center"/>
    </xf>
    <xf numFmtId="167" fontId="4" fillId="0" borderId="21" xfId="1" applyNumberFormat="1" applyFont="1" applyBorder="1" applyAlignment="1">
      <alignment horizontal="center"/>
    </xf>
    <xf numFmtId="167" fontId="20" fillId="0" borderId="20" xfId="1" applyNumberFormat="1" applyFont="1" applyBorder="1"/>
    <xf numFmtId="167" fontId="20" fillId="0" borderId="14" xfId="1" applyNumberFormat="1" applyFont="1" applyBorder="1"/>
    <xf numFmtId="167" fontId="20" fillId="0" borderId="14" xfId="1" applyNumberFormat="1" applyFont="1" applyBorder="1" applyAlignment="1">
      <alignment horizontal="center"/>
    </xf>
    <xf numFmtId="167" fontId="20" fillId="2" borderId="14" xfId="1" applyNumberFormat="1" applyFont="1" applyFill="1" applyBorder="1"/>
    <xf numFmtId="167" fontId="20" fillId="0" borderId="20" xfId="1" applyNumberFormat="1" applyFont="1" applyFill="1" applyBorder="1"/>
    <xf numFmtId="167" fontId="20" fillId="0" borderId="25" xfId="1" applyNumberFormat="1" applyFont="1" applyFill="1" applyBorder="1"/>
    <xf numFmtId="167" fontId="20" fillId="0" borderId="14" xfId="1" applyNumberFormat="1" applyFont="1" applyBorder="1" applyProtection="1"/>
    <xf numFmtId="167" fontId="20" fillId="0" borderId="0" xfId="1" applyNumberFormat="1" applyFont="1"/>
    <xf numFmtId="167" fontId="20" fillId="0" borderId="0" xfId="1" applyNumberFormat="1" applyFont="1" applyProtection="1"/>
    <xf numFmtId="167" fontId="20" fillId="2" borderId="0" xfId="1" applyNumberFormat="1" applyFont="1" applyFill="1"/>
    <xf numFmtId="167" fontId="20" fillId="0" borderId="5" xfId="1" applyNumberFormat="1" applyFont="1" applyFill="1" applyBorder="1"/>
    <xf numFmtId="167" fontId="20" fillId="0" borderId="27" xfId="1" applyNumberFormat="1" applyFont="1" applyFill="1" applyBorder="1"/>
    <xf numFmtId="167" fontId="4" fillId="0" borderId="0" xfId="1" applyNumberFormat="1" applyFont="1" applyAlignment="1">
      <alignment vertical="top" wrapText="1"/>
    </xf>
    <xf numFmtId="167" fontId="4" fillId="0" borderId="7" xfId="1" applyNumberFormat="1" applyFont="1" applyBorder="1" applyAlignment="1">
      <alignment vertical="top" wrapText="1"/>
    </xf>
    <xf numFmtId="167" fontId="4" fillId="0" borderId="27" xfId="1" applyNumberFormat="1" applyFont="1" applyBorder="1" applyAlignment="1">
      <alignment vertical="top" wrapText="1"/>
    </xf>
    <xf numFmtId="167" fontId="19" fillId="0" borderId="5" xfId="1" applyNumberFormat="1" applyFont="1" applyBorder="1" applyAlignment="1">
      <alignment vertical="top" wrapText="1"/>
    </xf>
    <xf numFmtId="167" fontId="19" fillId="0" borderId="0" xfId="1" applyNumberFormat="1" applyFont="1" applyBorder="1" applyAlignment="1">
      <alignment vertical="top" wrapText="1"/>
    </xf>
    <xf numFmtId="167" fontId="9" fillId="0" borderId="5" xfId="1" applyNumberFormat="1" applyFont="1" applyBorder="1"/>
    <xf numFmtId="167" fontId="9" fillId="0" borderId="0" xfId="1" applyNumberFormat="1" applyFont="1"/>
    <xf numFmtId="167" fontId="9" fillId="0" borderId="0" xfId="1" applyNumberFormat="1" applyFont="1" applyBorder="1"/>
    <xf numFmtId="167" fontId="14" fillId="0" borderId="0" xfId="1" applyNumberFormat="1" applyFont="1"/>
    <xf numFmtId="167" fontId="9" fillId="2" borderId="0" xfId="1" applyNumberFormat="1" applyFont="1" applyFill="1"/>
    <xf numFmtId="167" fontId="14" fillId="2" borderId="0" xfId="1" applyNumberFormat="1" applyFont="1" applyFill="1"/>
    <xf numFmtId="167" fontId="9" fillId="0" borderId="0" xfId="1" applyNumberFormat="1" applyFont="1" applyFill="1"/>
    <xf numFmtId="167" fontId="4" fillId="0" borderId="0" xfId="1" applyNumberFormat="1" applyFont="1" applyFill="1" applyAlignment="1">
      <alignment vertical="top" wrapText="1"/>
    </xf>
    <xf numFmtId="167" fontId="12" fillId="0" borderId="0" xfId="1" applyNumberFormat="1" applyFont="1" applyFill="1" applyAlignment="1">
      <alignment vertical="top" wrapText="1"/>
    </xf>
    <xf numFmtId="167" fontId="4" fillId="0" borderId="0" xfId="1" applyNumberFormat="1" applyFont="1" applyFill="1" applyBorder="1" applyAlignment="1">
      <alignment vertical="top" wrapText="1"/>
    </xf>
    <xf numFmtId="167" fontId="9" fillId="0" borderId="27" xfId="1" applyNumberFormat="1" applyFont="1" applyFill="1" applyBorder="1"/>
    <xf numFmtId="167" fontId="4" fillId="0" borderId="5" xfId="1" applyNumberFormat="1" applyFont="1" applyFill="1" applyBorder="1" applyAlignment="1"/>
    <xf numFmtId="167" fontId="4" fillId="0" borderId="0" xfId="1" applyNumberFormat="1" applyFont="1" applyFill="1" applyBorder="1" applyAlignment="1">
      <alignment horizontal="center"/>
    </xf>
    <xf numFmtId="167" fontId="4" fillId="0" borderId="27" xfId="1" applyNumberFormat="1" applyFont="1" applyBorder="1" applyProtection="1"/>
    <xf numFmtId="167" fontId="4" fillId="0" borderId="5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13" fillId="0" borderId="0" xfId="1" applyNumberFormat="1" applyFont="1" applyBorder="1"/>
    <xf numFmtId="167" fontId="15" fillId="0" borderId="0" xfId="1" applyNumberFormat="1" applyFont="1" applyBorder="1"/>
    <xf numFmtId="167" fontId="14" fillId="0" borderId="0" xfId="1" applyNumberFormat="1" applyFont="1" applyBorder="1"/>
    <xf numFmtId="167" fontId="15" fillId="2" borderId="0" xfId="1" applyNumberFormat="1" applyFont="1" applyFill="1" applyBorder="1"/>
    <xf numFmtId="167" fontId="14" fillId="2" borderId="0" xfId="1" applyNumberFormat="1" applyFont="1" applyFill="1" applyBorder="1"/>
    <xf numFmtId="167" fontId="13" fillId="2" borderId="0" xfId="1" applyNumberFormat="1" applyFont="1" applyFill="1" applyBorder="1"/>
    <xf numFmtId="167" fontId="9" fillId="0" borderId="5" xfId="1" applyNumberFormat="1" applyFont="1" applyFill="1" applyBorder="1"/>
    <xf numFmtId="167" fontId="4" fillId="0" borderId="5" xfId="1" applyNumberFormat="1" applyFont="1" applyBorder="1" applyAlignment="1" applyProtection="1">
      <alignment horizontal="right"/>
    </xf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Alignment="1" applyProtection="1">
      <alignment horizontal="right"/>
    </xf>
    <xf numFmtId="167" fontId="12" fillId="0" borderId="0" xfId="1" applyNumberFormat="1" applyFont="1" applyBorder="1" applyProtection="1"/>
    <xf numFmtId="167" fontId="4" fillId="0" borderId="19" xfId="1" applyNumberFormat="1" applyFont="1" applyBorder="1" applyProtection="1"/>
    <xf numFmtId="167" fontId="4" fillId="0" borderId="2" xfId="1" applyNumberFormat="1" applyFont="1" applyBorder="1" applyProtection="1"/>
    <xf numFmtId="167" fontId="4" fillId="0" borderId="23" xfId="1" applyNumberFormat="1" applyFont="1" applyBorder="1" applyProtection="1"/>
    <xf numFmtId="167" fontId="4" fillId="0" borderId="2" xfId="1" applyNumberFormat="1" applyFont="1" applyFill="1" applyBorder="1" applyAlignment="1">
      <alignment horizontal="center"/>
    </xf>
    <xf numFmtId="167" fontId="4" fillId="0" borderId="28" xfId="1" applyNumberFormat="1" applyFont="1" applyBorder="1" applyProtection="1"/>
    <xf numFmtId="167" fontId="4" fillId="0" borderId="2" xfId="1" applyNumberFormat="1" applyFont="1" applyBorder="1" applyAlignment="1">
      <alignment horizontal="center"/>
    </xf>
    <xf numFmtId="167" fontId="9" fillId="0" borderId="19" xfId="1" applyNumberFormat="1" applyFont="1" applyBorder="1"/>
    <xf numFmtId="167" fontId="13" fillId="0" borderId="2" xfId="1" applyNumberFormat="1" applyFont="1" applyBorder="1"/>
    <xf numFmtId="167" fontId="9" fillId="0" borderId="2" xfId="1" applyNumberFormat="1" applyFont="1" applyBorder="1"/>
    <xf numFmtId="167" fontId="15" fillId="0" borderId="2" xfId="1" applyNumberFormat="1" applyFont="1" applyBorder="1"/>
    <xf numFmtId="167" fontId="14" fillId="0" borderId="2" xfId="1" applyNumberFormat="1" applyFont="1" applyBorder="1"/>
    <xf numFmtId="167" fontId="15" fillId="2" borderId="2" xfId="1" applyNumberFormat="1" applyFont="1" applyFill="1" applyBorder="1"/>
    <xf numFmtId="167" fontId="14" fillId="2" borderId="2" xfId="1" applyNumberFormat="1" applyFont="1" applyFill="1" applyBorder="1"/>
    <xf numFmtId="167" fontId="13" fillId="2" borderId="2" xfId="1" applyNumberFormat="1" applyFont="1" applyFill="1" applyBorder="1"/>
    <xf numFmtId="167" fontId="9" fillId="0" borderId="19" xfId="1" applyNumberFormat="1" applyFont="1" applyFill="1" applyBorder="1"/>
    <xf numFmtId="167" fontId="9" fillId="0" borderId="28" xfId="1" applyNumberFormat="1" applyFont="1" applyFill="1" applyBorder="1"/>
    <xf numFmtId="167" fontId="20" fillId="0" borderId="10" xfId="1" applyNumberFormat="1" applyFont="1" applyBorder="1"/>
    <xf numFmtId="167" fontId="20" fillId="0" borderId="5" xfId="1" applyNumberFormat="1" applyFont="1" applyBorder="1" applyAlignment="1">
      <alignment vertical="top" wrapText="1"/>
    </xf>
    <xf numFmtId="167" fontId="20" fillId="2" borderId="0" xfId="1" applyNumberFormat="1" applyFont="1" applyFill="1" applyBorder="1"/>
    <xf numFmtId="167" fontId="20" fillId="0" borderId="0" xfId="1" applyNumberFormat="1" applyFont="1" applyFill="1" applyBorder="1" applyAlignment="1">
      <alignment vertical="top" wrapText="1"/>
    </xf>
    <xf numFmtId="167" fontId="9" fillId="2" borderId="0" xfId="1" applyNumberFormat="1" applyFont="1" applyFill="1" applyBorder="1"/>
    <xf numFmtId="167" fontId="12" fillId="0" borderId="0" xfId="1" applyNumberFormat="1" applyFont="1" applyFill="1" applyBorder="1" applyAlignment="1">
      <alignment vertical="top" wrapText="1"/>
    </xf>
    <xf numFmtId="167" fontId="12" fillId="0" borderId="2" xfId="1" applyNumberFormat="1" applyFont="1" applyBorder="1" applyProtection="1"/>
    <xf numFmtId="167" fontId="4" fillId="0" borderId="10" xfId="1" applyNumberFormat="1" applyFont="1" applyBorder="1" applyAlignment="1">
      <alignment horizontal="right" vertical="top" wrapText="1"/>
    </xf>
    <xf numFmtId="167" fontId="9" fillId="2" borderId="5" xfId="1" applyNumberFormat="1" applyFont="1" applyFill="1" applyBorder="1"/>
    <xf numFmtId="167" fontId="15" fillId="2" borderId="5" xfId="1" applyNumberFormat="1" applyFont="1" applyFill="1" applyBorder="1"/>
    <xf numFmtId="167" fontId="13" fillId="0" borderId="14" xfId="1" applyNumberFormat="1" applyFont="1" applyBorder="1"/>
    <xf numFmtId="167" fontId="9" fillId="0" borderId="14" xfId="1" applyNumberFormat="1" applyFont="1" applyFill="1" applyBorder="1"/>
    <xf numFmtId="167" fontId="12" fillId="0" borderId="14" xfId="1" applyNumberFormat="1" applyFont="1" applyBorder="1" applyProtection="1"/>
    <xf numFmtId="167" fontId="15" fillId="0" borderId="14" xfId="1" applyNumberFormat="1" applyFont="1" applyBorder="1"/>
    <xf numFmtId="167" fontId="14" fillId="0" borderId="14" xfId="1" applyNumberFormat="1" applyFont="1" applyBorder="1"/>
    <xf numFmtId="167" fontId="9" fillId="0" borderId="14" xfId="1" applyNumberFormat="1" applyFont="1" applyBorder="1"/>
    <xf numFmtId="167" fontId="15" fillId="2" borderId="20" xfId="1" applyNumberFormat="1" applyFont="1" applyFill="1" applyBorder="1"/>
    <xf numFmtId="167" fontId="15" fillId="2" borderId="14" xfId="1" applyNumberFormat="1" applyFont="1" applyFill="1" applyBorder="1"/>
    <xf numFmtId="167" fontId="14" fillId="2" borderId="14" xfId="1" applyNumberFormat="1" applyFont="1" applyFill="1" applyBorder="1"/>
    <xf numFmtId="167" fontId="13" fillId="2" borderId="14" xfId="1" applyNumberFormat="1" applyFont="1" applyFill="1" applyBorder="1"/>
    <xf numFmtId="167" fontId="9" fillId="0" borderId="20" xfId="1" applyNumberFormat="1" applyFont="1" applyFill="1" applyBorder="1"/>
    <xf numFmtId="167" fontId="9" fillId="0" borderId="25" xfId="1" applyNumberFormat="1" applyFont="1" applyFill="1" applyBorder="1"/>
    <xf numFmtId="0" fontId="4" fillId="0" borderId="20" xfId="0" applyFont="1" applyFill="1" applyBorder="1"/>
    <xf numFmtId="0" fontId="4" fillId="0" borderId="2" xfId="0" applyFont="1" applyFill="1" applyBorder="1" applyAlignment="1">
      <alignment horizontal="centerContinuous" wrapText="1"/>
    </xf>
    <xf numFmtId="167" fontId="4" fillId="0" borderId="32" xfId="1" applyNumberFormat="1" applyFont="1" applyBorder="1" applyAlignment="1">
      <alignment horizontal="left" vertical="top" wrapText="1"/>
    </xf>
    <xf numFmtId="3" fontId="4" fillId="0" borderId="2" xfId="0" applyNumberFormat="1" applyFont="1" applyFill="1" applyBorder="1"/>
    <xf numFmtId="3" fontId="4" fillId="0" borderId="2" xfId="0" applyNumberFormat="1" applyFont="1" applyBorder="1"/>
    <xf numFmtId="3" fontId="4" fillId="0" borderId="19" xfId="0" applyNumberFormat="1" applyFont="1" applyFill="1" applyBorder="1"/>
    <xf numFmtId="3" fontId="12" fillId="0" borderId="2" xfId="0" applyNumberFormat="1" applyFont="1" applyFill="1" applyBorder="1"/>
    <xf numFmtId="37" fontId="12" fillId="0" borderId="23" xfId="0" applyNumberFormat="1" applyFont="1" applyFill="1" applyBorder="1" applyProtection="1"/>
    <xf numFmtId="3" fontId="4" fillId="0" borderId="2" xfId="0" applyNumberFormat="1" applyFont="1" applyBorder="1" applyAlignment="1">
      <alignment horizontal="right" wrapText="1"/>
    </xf>
    <xf numFmtId="3" fontId="4" fillId="0" borderId="28" xfId="0" applyNumberFormat="1" applyFont="1" applyBorder="1"/>
    <xf numFmtId="3" fontId="4" fillId="0" borderId="19" xfId="0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7" fontId="4" fillId="0" borderId="2" xfId="0" applyNumberFormat="1" applyFont="1" applyBorder="1" applyProtection="1"/>
    <xf numFmtId="168" fontId="4" fillId="0" borderId="2" xfId="0" applyNumberFormat="1" applyFont="1" applyBorder="1" applyProtection="1"/>
    <xf numFmtId="37" fontId="12" fillId="0" borderId="2" xfId="0" applyNumberFormat="1" applyFont="1" applyFill="1" applyBorder="1" applyProtection="1"/>
    <xf numFmtId="3" fontId="4" fillId="0" borderId="14" xfId="0" applyNumberFormat="1" applyFont="1" applyFill="1" applyBorder="1"/>
    <xf numFmtId="3" fontId="4" fillId="0" borderId="20" xfId="0" applyNumberFormat="1" applyFont="1" applyFill="1" applyBorder="1"/>
    <xf numFmtId="3" fontId="12" fillId="0" borderId="14" xfId="0" applyNumberFormat="1" applyFont="1" applyFill="1" applyBorder="1"/>
    <xf numFmtId="37" fontId="12" fillId="0" borderId="14" xfId="0" applyNumberFormat="1" applyFont="1" applyFill="1" applyBorder="1" applyProtection="1"/>
    <xf numFmtId="3" fontId="4" fillId="0" borderId="25" xfId="0" applyNumberFormat="1" applyFont="1" applyBorder="1"/>
    <xf numFmtId="3" fontId="4" fillId="0" borderId="14" xfId="0" applyNumberFormat="1" applyFont="1" applyBorder="1"/>
    <xf numFmtId="167" fontId="4" fillId="0" borderId="20" xfId="1" applyNumberFormat="1" applyFont="1" applyBorder="1"/>
    <xf numFmtId="3" fontId="4" fillId="0" borderId="2" xfId="0" applyNumberFormat="1" applyFont="1" applyFill="1" applyBorder="1" applyAlignment="1"/>
    <xf numFmtId="3" fontId="4" fillId="0" borderId="0" xfId="0" applyNumberFormat="1" applyFont="1" applyFill="1" applyAlignment="1"/>
    <xf numFmtId="3" fontId="4" fillId="5" borderId="0" xfId="0" applyNumberFormat="1" applyFont="1" applyFill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3" fontId="4" fillId="0" borderId="2" xfId="0" applyNumberFormat="1" applyFont="1" applyBorder="1" applyAlignment="1"/>
    <xf numFmtId="3" fontId="4" fillId="5" borderId="2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5" borderId="14" xfId="0" applyNumberFormat="1" applyFont="1" applyFill="1" applyBorder="1" applyAlignment="1"/>
    <xf numFmtId="166" fontId="4" fillId="0" borderId="2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6" fontId="4" fillId="5" borderId="5" xfId="0" applyNumberFormat="1" applyFont="1" applyFill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4" fillId="5" borderId="2" xfId="0" applyNumberFormat="1" applyFont="1" applyFill="1" applyBorder="1" applyAlignment="1">
      <alignment horizontal="right"/>
    </xf>
    <xf numFmtId="166" fontId="4" fillId="5" borderId="19" xfId="0" applyNumberFormat="1" applyFont="1" applyFill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166" fontId="4" fillId="0" borderId="10" xfId="0" applyNumberFormat="1" applyFont="1" applyFill="1" applyBorder="1" applyAlignment="1">
      <alignment horizontal="right"/>
    </xf>
    <xf numFmtId="166" fontId="4" fillId="5" borderId="14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 applyProtection="1"/>
    <xf numFmtId="169" fontId="4" fillId="0" borderId="0" xfId="0" applyNumberFormat="1" applyFont="1" applyBorder="1" applyAlignment="1"/>
    <xf numFmtId="169" fontId="4" fillId="0" borderId="2" xfId="0" applyNumberFormat="1" applyFont="1" applyBorder="1" applyAlignment="1"/>
    <xf numFmtId="169" fontId="4" fillId="0" borderId="0" xfId="0" applyNumberFormat="1" applyFont="1" applyFill="1" applyBorder="1" applyAlignment="1" applyProtection="1">
      <alignment horizontal="left"/>
    </xf>
    <xf numFmtId="169" fontId="4" fillId="0" borderId="14" xfId="0" applyNumberFormat="1" applyFont="1" applyFill="1" applyBorder="1" applyAlignment="1"/>
    <xf numFmtId="169" fontId="4" fillId="0" borderId="0" xfId="0" applyNumberFormat="1" applyFont="1" applyBorder="1"/>
    <xf numFmtId="169" fontId="4" fillId="0" borderId="0" xfId="0" applyNumberFormat="1" applyFont="1" applyFill="1" applyBorder="1" applyAlignment="1"/>
    <xf numFmtId="169" fontId="4" fillId="0" borderId="2" xfId="0" applyNumberFormat="1" applyFont="1" applyBorder="1"/>
    <xf numFmtId="169" fontId="4" fillId="0" borderId="14" xfId="0" applyNumberFormat="1" applyFont="1" applyBorder="1"/>
    <xf numFmtId="165" fontId="4" fillId="0" borderId="14" xfId="0" applyNumberFormat="1" applyFont="1" applyBorder="1" applyAlignment="1" applyProtection="1">
      <alignment horizontal="right"/>
      <protection locked="0"/>
    </xf>
    <xf numFmtId="165" fontId="4" fillId="0" borderId="14" xfId="0" applyNumberFormat="1" applyFont="1" applyBorder="1" applyAlignment="1" applyProtection="1">
      <protection locked="0"/>
    </xf>
    <xf numFmtId="37" fontId="4" fillId="0" borderId="9" xfId="0" applyNumberFormat="1" applyFont="1" applyBorder="1" applyAlignment="1"/>
    <xf numFmtId="169" fontId="4" fillId="0" borderId="9" xfId="0" applyNumberFormat="1" applyFont="1" applyBorder="1" applyAlignment="1"/>
    <xf numFmtId="165" fontId="4" fillId="0" borderId="10" xfId="0" applyNumberFormat="1" applyFont="1" applyBorder="1" applyAlignment="1" applyProtection="1">
      <alignment horizontal="right"/>
      <protection locked="0"/>
    </xf>
    <xf numFmtId="165" fontId="4" fillId="0" borderId="9" xfId="0" applyNumberFormat="1" applyFont="1" applyBorder="1" applyAlignment="1" applyProtection="1">
      <alignment horizontal="right"/>
      <protection locked="0"/>
    </xf>
    <xf numFmtId="167" fontId="20" fillId="0" borderId="6" xfId="1" applyNumberFormat="1" applyFont="1" applyBorder="1"/>
    <xf numFmtId="3" fontId="20" fillId="0" borderId="0" xfId="0" applyNumberFormat="1" applyFont="1" applyFill="1"/>
    <xf numFmtId="3" fontId="20" fillId="0" borderId="0" xfId="0" applyNumberFormat="1" applyFont="1"/>
    <xf numFmtId="3" fontId="20" fillId="0" borderId="5" xfId="0" applyNumberFormat="1" applyFont="1" applyFill="1" applyBorder="1"/>
    <xf numFmtId="3" fontId="20" fillId="0" borderId="0" xfId="0" applyNumberFormat="1" applyFont="1" applyFill="1" applyBorder="1"/>
    <xf numFmtId="37" fontId="20" fillId="0" borderId="7" xfId="0" applyNumberFormat="1" applyFont="1" applyFill="1" applyBorder="1" applyProtection="1"/>
    <xf numFmtId="167" fontId="20" fillId="0" borderId="6" xfId="1" applyNumberFormat="1" applyFont="1" applyBorder="1" applyAlignment="1">
      <alignment horizontal="left" vertical="top" wrapText="1"/>
    </xf>
    <xf numFmtId="3" fontId="20" fillId="0" borderId="0" xfId="0" applyNumberFormat="1" applyFont="1" applyBorder="1" applyAlignment="1">
      <alignment horizontal="right" wrapText="1"/>
    </xf>
    <xf numFmtId="3" fontId="20" fillId="0" borderId="27" xfId="0" applyNumberFormat="1" applyFont="1" applyFill="1" applyBorder="1"/>
    <xf numFmtId="167" fontId="20" fillId="0" borderId="0" xfId="1" applyNumberFormat="1" applyFont="1" applyFill="1"/>
    <xf numFmtId="167" fontId="20" fillId="0" borderId="7" xfId="1" applyNumberFormat="1" applyFont="1" applyFill="1" applyBorder="1" applyProtection="1"/>
    <xf numFmtId="167" fontId="20" fillId="0" borderId="27" xfId="1" applyNumberFormat="1" applyFont="1" applyBorder="1"/>
    <xf numFmtId="167" fontId="20" fillId="0" borderId="2" xfId="1" applyNumberFormat="1" applyFont="1" applyBorder="1"/>
    <xf numFmtId="167" fontId="20" fillId="0" borderId="19" xfId="1" applyNumberFormat="1" applyFont="1" applyFill="1" applyBorder="1"/>
    <xf numFmtId="167" fontId="20" fillId="0" borderId="2" xfId="1" applyNumberFormat="1" applyFont="1" applyFill="1" applyBorder="1"/>
    <xf numFmtId="167" fontId="20" fillId="0" borderId="19" xfId="1" applyNumberFormat="1" applyFont="1" applyFill="1" applyBorder="1" applyAlignment="1">
      <alignment horizontal="left" vertical="top" wrapText="1"/>
    </xf>
    <xf numFmtId="167" fontId="20" fillId="0" borderId="2" xfId="1" applyNumberFormat="1" applyFont="1" applyBorder="1" applyAlignment="1">
      <alignment horizontal="left" vertical="top" wrapText="1"/>
    </xf>
    <xf numFmtId="167" fontId="20" fillId="0" borderId="23" xfId="1" applyNumberFormat="1" applyFont="1" applyFill="1" applyBorder="1" applyProtection="1"/>
    <xf numFmtId="167" fontId="20" fillId="0" borderId="2" xfId="1" applyNumberFormat="1" applyFont="1" applyBorder="1" applyAlignment="1">
      <alignment horizontal="right" wrapText="1"/>
    </xf>
    <xf numFmtId="167" fontId="20" fillId="0" borderId="28" xfId="1" applyNumberFormat="1" applyFont="1" applyBorder="1"/>
    <xf numFmtId="167" fontId="20" fillId="0" borderId="19" xfId="1" applyNumberFormat="1" applyFont="1" applyBorder="1"/>
    <xf numFmtId="3" fontId="20" fillId="0" borderId="2" xfId="0" applyNumberFormat="1" applyFont="1" applyFill="1" applyBorder="1"/>
    <xf numFmtId="3" fontId="4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left"/>
    </xf>
    <xf numFmtId="3" fontId="4" fillId="5" borderId="14" xfId="0" applyNumberFormat="1" applyFont="1" applyFill="1" applyBorder="1" applyAlignment="1">
      <alignment horizontal="left"/>
    </xf>
    <xf numFmtId="0" fontId="1" fillId="0" borderId="10" xfId="0" applyFont="1" applyBorder="1"/>
    <xf numFmtId="3" fontId="4" fillId="0" borderId="0" xfId="0" applyNumberFormat="1" applyFont="1" applyFill="1" applyBorder="1" applyAlignment="1">
      <alignment horizontal="left"/>
    </xf>
    <xf numFmtId="3" fontId="4" fillId="5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7" fontId="4" fillId="0" borderId="14" xfId="0" applyNumberFormat="1" applyFont="1" applyFill="1" applyBorder="1" applyAlignment="1"/>
    <xf numFmtId="37" fontId="4" fillId="0" borderId="2" xfId="0" applyNumberFormat="1" applyFont="1" applyBorder="1" applyAlignment="1" applyProtection="1"/>
    <xf numFmtId="167" fontId="20" fillId="0" borderId="25" xfId="1" applyNumberFormat="1" applyFont="1" applyBorder="1" applyAlignment="1">
      <alignment horizontal="right" vertical="top" wrapText="1"/>
    </xf>
    <xf numFmtId="17" fontId="4" fillId="0" borderId="0" xfId="0" applyNumberFormat="1" applyFont="1" applyBorder="1" applyAlignment="1">
      <alignment horizontal="left"/>
    </xf>
    <xf numFmtId="167" fontId="20" fillId="0" borderId="20" xfId="1" applyNumberFormat="1" applyFont="1" applyBorder="1" applyAlignment="1">
      <alignment horizontal="right" vertical="top" wrapText="1"/>
    </xf>
    <xf numFmtId="167" fontId="19" fillId="0" borderId="5" xfId="1" applyNumberFormat="1" applyFont="1" applyBorder="1"/>
    <xf numFmtId="0" fontId="4" fillId="0" borderId="20" xfId="0" applyFont="1" applyBorder="1" applyAlignment="1">
      <alignment horizontal="centerContinuous" wrapText="1"/>
    </xf>
    <xf numFmtId="0" fontId="4" fillId="0" borderId="20" xfId="0" applyFont="1" applyBorder="1" applyAlignment="1">
      <alignment horizontal="right"/>
    </xf>
    <xf numFmtId="0" fontId="20" fillId="0" borderId="0" xfId="0" applyFont="1" applyBorder="1"/>
    <xf numFmtId="0" fontId="20" fillId="0" borderId="2" xfId="0" applyFont="1" applyBorder="1"/>
    <xf numFmtId="0" fontId="20" fillId="0" borderId="18" xfId="0" applyFont="1" applyBorder="1" applyAlignment="1">
      <alignment horizontal="centerContinuous" wrapText="1"/>
    </xf>
    <xf numFmtId="0" fontId="20" fillId="0" borderId="2" xfId="0" applyFont="1" applyBorder="1" applyAlignment="1">
      <alignment horizontal="centerContinuous"/>
    </xf>
    <xf numFmtId="0" fontId="20" fillId="0" borderId="33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/>
    </xf>
    <xf numFmtId="0" fontId="20" fillId="0" borderId="10" xfId="0" applyFont="1" applyBorder="1" applyAlignment="1">
      <alignment horizontal="centerContinuous" wrapText="1"/>
    </xf>
    <xf numFmtId="0" fontId="20" fillId="0" borderId="5" xfId="0" applyFont="1" applyBorder="1" applyAlignment="1">
      <alignment horizontal="centerContinuous" wrapText="1"/>
    </xf>
    <xf numFmtId="0" fontId="20" fillId="0" borderId="5" xfId="0" applyFont="1" applyBorder="1"/>
    <xf numFmtId="0" fontId="20" fillId="0" borderId="19" xfId="0" applyFont="1" applyBorder="1"/>
    <xf numFmtId="169" fontId="20" fillId="0" borderId="14" xfId="0" applyNumberFormat="1" applyFont="1" applyFill="1" applyBorder="1" applyAlignment="1">
      <alignment horizontal="right"/>
    </xf>
    <xf numFmtId="169" fontId="20" fillId="0" borderId="20" xfId="0" applyNumberFormat="1" applyFont="1" applyFill="1" applyBorder="1" applyAlignment="1">
      <alignment horizontal="right"/>
    </xf>
    <xf numFmtId="169" fontId="20" fillId="0" borderId="0" xfId="0" applyNumberFormat="1" applyFont="1" applyBorder="1" applyAlignment="1" applyProtection="1">
      <alignment horizontal="right"/>
    </xf>
    <xf numFmtId="169" fontId="20" fillId="0" borderId="5" xfId="0" applyNumberFormat="1" applyFont="1" applyBorder="1" applyAlignment="1" applyProtection="1">
      <alignment horizontal="right"/>
    </xf>
    <xf numFmtId="169" fontId="20" fillId="0" borderId="0" xfId="0" applyNumberFormat="1" applyFont="1" applyFill="1" applyBorder="1" applyAlignment="1" applyProtection="1">
      <alignment horizontal="right"/>
    </xf>
    <xf numFmtId="169" fontId="20" fillId="0" borderId="5" xfId="0" applyNumberFormat="1" applyFont="1" applyFill="1" applyBorder="1" applyAlignment="1" applyProtection="1">
      <alignment horizontal="right"/>
    </xf>
    <xf numFmtId="169" fontId="20" fillId="0" borderId="2" xfId="0" applyNumberFormat="1" applyFont="1" applyBorder="1" applyAlignment="1" applyProtection="1">
      <alignment horizontal="right"/>
    </xf>
    <xf numFmtId="169" fontId="20" fillId="0" borderId="19" xfId="0" applyNumberFormat="1" applyFont="1" applyBorder="1" applyAlignment="1" applyProtection="1">
      <alignment horizontal="right"/>
    </xf>
    <xf numFmtId="169" fontId="20" fillId="0" borderId="0" xfId="0" applyNumberFormat="1" applyFont="1" applyBorder="1" applyAlignment="1">
      <alignment horizontal="right"/>
    </xf>
    <xf numFmtId="169" fontId="20" fillId="0" borderId="5" xfId="0" applyNumberFormat="1" applyFont="1" applyBorder="1" applyAlignment="1">
      <alignment horizontal="right"/>
    </xf>
    <xf numFmtId="169" fontId="20" fillId="0" borderId="2" xfId="0" applyNumberFormat="1" applyFont="1" applyBorder="1" applyAlignment="1">
      <alignment horizontal="right"/>
    </xf>
    <xf numFmtId="169" fontId="20" fillId="0" borderId="19" xfId="0" applyNumberFormat="1" applyFont="1" applyBorder="1" applyAlignment="1">
      <alignment horizontal="right"/>
    </xf>
    <xf numFmtId="0" fontId="20" fillId="0" borderId="0" xfId="0" applyFont="1" applyBorder="1" applyAlignment="1">
      <alignment vertical="top"/>
    </xf>
    <xf numFmtId="0" fontId="4" fillId="6" borderId="0" xfId="0" applyFont="1" applyFill="1" applyBorder="1" applyAlignment="1">
      <alignment horizontal="right" wrapText="1"/>
    </xf>
    <xf numFmtId="167" fontId="21" fillId="0" borderId="0" xfId="1" applyNumberFormat="1" applyFont="1"/>
    <xf numFmtId="167" fontId="4" fillId="0" borderId="0" xfId="0" applyNumberFormat="1" applyFont="1"/>
    <xf numFmtId="0" fontId="4" fillId="0" borderId="0" xfId="0" applyFont="1" applyBorder="1" applyAlignment="1">
      <alignment vertical="top" wrapText="1"/>
    </xf>
    <xf numFmtId="3" fontId="4" fillId="0" borderId="19" xfId="0" applyNumberFormat="1" applyFont="1" applyBorder="1" applyAlignment="1">
      <alignment horizontal="right"/>
    </xf>
    <xf numFmtId="3" fontId="20" fillId="0" borderId="10" xfId="0" applyNumberFormat="1" applyFont="1" applyFill="1" applyBorder="1"/>
    <xf numFmtId="167" fontId="20" fillId="0" borderId="14" xfId="1" applyNumberFormat="1" applyFont="1" applyFill="1" applyBorder="1"/>
    <xf numFmtId="3" fontId="20" fillId="0" borderId="9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167" fontId="20" fillId="0" borderId="9" xfId="1" applyNumberFormat="1" applyFont="1" applyBorder="1"/>
    <xf numFmtId="0" fontId="4" fillId="0" borderId="0" xfId="0" applyFont="1" applyBorder="1" applyAlignment="1">
      <alignment vertical="top" wrapText="1"/>
    </xf>
    <xf numFmtId="0" fontId="11" fillId="0" borderId="19" xfId="0" applyFont="1" applyBorder="1" applyAlignment="1">
      <alignment horizontal="right" wrapText="1"/>
    </xf>
    <xf numFmtId="167" fontId="4" fillId="0" borderId="19" xfId="1" applyNumberFormat="1" applyFont="1" applyBorder="1" applyAlignment="1">
      <alignment horizontal="center"/>
    </xf>
    <xf numFmtId="167" fontId="20" fillId="0" borderId="8" xfId="1" applyNumberFormat="1" applyFont="1" applyBorder="1" applyAlignment="1">
      <alignment vertical="top" wrapText="1"/>
    </xf>
    <xf numFmtId="167" fontId="20" fillId="0" borderId="9" xfId="1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" fontId="4" fillId="0" borderId="28" xfId="0" applyNumberFormat="1" applyFont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4" fillId="0" borderId="25" xfId="1" applyNumberFormat="1" applyFont="1" applyFill="1" applyBorder="1" applyAlignment="1">
      <alignment horizontal="right"/>
    </xf>
    <xf numFmtId="0" fontId="4" fillId="0" borderId="2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7" fontId="4" fillId="0" borderId="2" xfId="0" applyNumberFormat="1" applyFont="1" applyFill="1" applyBorder="1" applyAlignment="1"/>
    <xf numFmtId="0" fontId="4" fillId="0" borderId="7" xfId="0" applyFont="1" applyBorder="1" applyAlignment="1">
      <alignment horizontal="right" wrapText="1"/>
    </xf>
    <xf numFmtId="3" fontId="4" fillId="0" borderId="21" xfId="0" applyNumberFormat="1" applyFont="1" applyBorder="1" applyAlignment="1"/>
    <xf numFmtId="3" fontId="4" fillId="0" borderId="7" xfId="0" applyNumberFormat="1" applyFont="1" applyBorder="1" applyAlignment="1"/>
    <xf numFmtId="3" fontId="4" fillId="0" borderId="23" xfId="0" applyNumberFormat="1" applyFont="1" applyBorder="1" applyAlignment="1"/>
    <xf numFmtId="167" fontId="20" fillId="0" borderId="7" xfId="1" applyNumberFormat="1" applyFont="1" applyBorder="1" applyAlignment="1">
      <alignment horizontal="left" vertical="top" wrapText="1"/>
    </xf>
    <xf numFmtId="0" fontId="0" fillId="0" borderId="0" xfId="0" applyFill="1"/>
    <xf numFmtId="0" fontId="22" fillId="0" borderId="0" xfId="0" applyFont="1"/>
    <xf numFmtId="169" fontId="4" fillId="0" borderId="2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167" fontId="4" fillId="0" borderId="20" xfId="0" applyNumberFormat="1" applyFont="1" applyBorder="1"/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37" fontId="4" fillId="0" borderId="0" xfId="0" applyNumberFormat="1" applyFont="1" applyFill="1" applyBorder="1" applyAlignment="1" applyProtection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7" fontId="20" fillId="0" borderId="10" xfId="1" applyNumberFormat="1" applyFont="1" applyBorder="1" applyAlignment="1">
      <alignment vertical="top" wrapText="1"/>
    </xf>
    <xf numFmtId="167" fontId="4" fillId="0" borderId="5" xfId="1" applyNumberFormat="1" applyFont="1" applyBorder="1" applyAlignment="1"/>
    <xf numFmtId="167" fontId="4" fillId="0" borderId="19" xfId="1" applyNumberFormat="1" applyFont="1" applyFill="1" applyBorder="1" applyAlignment="1"/>
    <xf numFmtId="167" fontId="4" fillId="0" borderId="5" xfId="1" applyNumberFormat="1" applyFont="1" applyFill="1" applyBorder="1" applyAlignment="1">
      <alignment horizontal="right" vertical="top" wrapText="1"/>
    </xf>
    <xf numFmtId="167" fontId="20" fillId="0" borderId="0" xfId="1" applyNumberFormat="1" applyFont="1" applyAlignment="1">
      <alignment vertical="top" wrapText="1"/>
    </xf>
    <xf numFmtId="167" fontId="20" fillId="0" borderId="0" xfId="1" applyNumberFormat="1" applyFont="1" applyBorder="1" applyProtection="1"/>
    <xf numFmtId="167" fontId="20" fillId="0" borderId="2" xfId="1" applyNumberFormat="1" applyFont="1" applyBorder="1" applyProtection="1"/>
    <xf numFmtId="0" fontId="20" fillId="0" borderId="2" xfId="0" applyFont="1" applyBorder="1" applyAlignment="1">
      <alignment horizontal="right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167" fontId="4" fillId="0" borderId="2" xfId="0" applyNumberFormat="1" applyFont="1" applyFill="1" applyBorder="1" applyAlignment="1">
      <alignment horizontal="right" wrapText="1"/>
    </xf>
    <xf numFmtId="167" fontId="20" fillId="0" borderId="14" xfId="1" applyNumberFormat="1" applyFont="1" applyFill="1" applyBorder="1" applyAlignment="1">
      <alignment horizontal="right" vertical="top" wrapText="1"/>
    </xf>
    <xf numFmtId="167" fontId="20" fillId="0" borderId="21" xfId="1" applyNumberFormat="1" applyFont="1" applyFill="1" applyBorder="1" applyAlignment="1">
      <alignment horizontal="right" vertical="top" wrapText="1"/>
    </xf>
    <xf numFmtId="167" fontId="20" fillId="0" borderId="16" xfId="1" applyNumberFormat="1" applyFont="1" applyFill="1" applyBorder="1"/>
    <xf numFmtId="167" fontId="19" fillId="0" borderId="5" xfId="1" applyNumberFormat="1" applyFont="1" applyFill="1" applyBorder="1"/>
    <xf numFmtId="167" fontId="19" fillId="0" borderId="0" xfId="1" applyNumberFormat="1" applyFont="1" applyFill="1" applyBorder="1"/>
    <xf numFmtId="167" fontId="4" fillId="0" borderId="5" xfId="1" applyNumberFormat="1" applyFont="1" applyFill="1" applyBorder="1" applyProtection="1"/>
    <xf numFmtId="167" fontId="4" fillId="0" borderId="0" xfId="1" applyNumberFormat="1" applyFont="1" applyFill="1" applyBorder="1" applyProtection="1"/>
    <xf numFmtId="167" fontId="4" fillId="0" borderId="19" xfId="1" applyNumberFormat="1" applyFont="1" applyFill="1" applyBorder="1" applyProtection="1"/>
    <xf numFmtId="167" fontId="4" fillId="0" borderId="2" xfId="1" applyNumberFormat="1" applyFont="1" applyFill="1" applyBorder="1" applyProtection="1"/>
    <xf numFmtId="167" fontId="20" fillId="0" borderId="7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Fill="1" applyBorder="1" applyAlignment="1">
      <alignment horizontal="left" vertical="top" wrapText="1"/>
    </xf>
    <xf numFmtId="167" fontId="4" fillId="0" borderId="20" xfId="1" applyNumberFormat="1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right" wrapText="1"/>
    </xf>
    <xf numFmtId="167" fontId="20" fillId="0" borderId="5" xfId="1" applyNumberFormat="1" applyFont="1" applyBorder="1" applyProtection="1"/>
    <xf numFmtId="167" fontId="20" fillId="0" borderId="20" xfId="1" applyNumberFormat="1" applyFont="1" applyBorder="1" applyProtection="1"/>
    <xf numFmtId="167" fontId="20" fillId="0" borderId="21" xfId="1" applyNumberFormat="1" applyFont="1" applyBorder="1" applyProtection="1"/>
    <xf numFmtId="0" fontId="4" fillId="0" borderId="0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167" fontId="4" fillId="0" borderId="7" xfId="1" applyNumberFormat="1" applyFont="1" applyFill="1" applyBorder="1" applyAlignment="1">
      <alignment vertical="top" wrapText="1"/>
    </xf>
    <xf numFmtId="167" fontId="4" fillId="0" borderId="7" xfId="1" applyNumberFormat="1" applyFont="1" applyFill="1" applyBorder="1" applyProtection="1"/>
    <xf numFmtId="167" fontId="4" fillId="0" borderId="23" xfId="1" applyNumberFormat="1" applyFont="1" applyFill="1" applyBorder="1" applyProtection="1"/>
    <xf numFmtId="167" fontId="4" fillId="0" borderId="7" xfId="1" applyNumberFormat="1" applyFont="1" applyFill="1" applyBorder="1" applyAlignment="1">
      <alignment horizontal="left" vertical="top" wrapText="1"/>
    </xf>
    <xf numFmtId="167" fontId="4" fillId="0" borderId="23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167" fontId="20" fillId="0" borderId="7" xfId="1" applyNumberFormat="1" applyFont="1" applyBorder="1" applyProtection="1"/>
    <xf numFmtId="167" fontId="20" fillId="0" borderId="23" xfId="1" applyNumberFormat="1" applyFont="1" applyBorder="1" applyProtection="1"/>
    <xf numFmtId="167" fontId="20" fillId="0" borderId="23" xfId="1" applyNumberFormat="1" applyFont="1" applyBorder="1" applyAlignment="1">
      <alignment horizontal="left" vertical="top" wrapText="1"/>
    </xf>
    <xf numFmtId="167" fontId="20" fillId="0" borderId="21" xfId="1" applyNumberFormat="1" applyFont="1" applyBorder="1" applyAlignment="1">
      <alignment horizontal="left" vertical="top" wrapText="1"/>
    </xf>
    <xf numFmtId="0" fontId="4" fillId="7" borderId="2" xfId="0" applyFont="1" applyFill="1" applyBorder="1" applyAlignment="1">
      <alignment horizontal="right" wrapText="1"/>
    </xf>
    <xf numFmtId="0" fontId="4" fillId="0" borderId="22" xfId="0" applyFont="1" applyBorder="1"/>
    <xf numFmtId="167" fontId="20" fillId="0" borderId="8" xfId="1" applyNumberFormat="1" applyFont="1" applyBorder="1"/>
    <xf numFmtId="167" fontId="4" fillId="0" borderId="21" xfId="1" applyNumberFormat="1" applyFont="1" applyBorder="1" applyAlignment="1">
      <alignment horizontal="left" vertical="top" wrapText="1"/>
    </xf>
    <xf numFmtId="3" fontId="4" fillId="0" borderId="21" xfId="0" applyNumberFormat="1" applyFont="1" applyFill="1" applyBorder="1" applyAlignment="1">
      <alignment horizontal="right" wrapText="1"/>
    </xf>
    <xf numFmtId="167" fontId="20" fillId="0" borderId="21" xfId="1" applyNumberFormat="1" applyFont="1" applyBorder="1"/>
    <xf numFmtId="167" fontId="4" fillId="0" borderId="7" xfId="1" applyNumberFormat="1" applyFont="1" applyBorder="1"/>
    <xf numFmtId="167" fontId="21" fillId="0" borderId="7" xfId="1" applyNumberFormat="1" applyFont="1" applyBorder="1"/>
    <xf numFmtId="167" fontId="4" fillId="0" borderId="21" xfId="1" applyNumberFormat="1" applyFont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3" fontId="20" fillId="0" borderId="8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/>
    <xf numFmtId="3" fontId="20" fillId="0" borderId="9" xfId="1" applyNumberFormat="1" applyFont="1" applyBorder="1"/>
    <xf numFmtId="0" fontId="4" fillId="0" borderId="9" xfId="0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20" fillId="7" borderId="5" xfId="0" applyFont="1" applyFill="1" applyBorder="1"/>
    <xf numFmtId="0" fontId="20" fillId="7" borderId="0" xfId="0" applyFont="1" applyFill="1" applyBorder="1"/>
    <xf numFmtId="0" fontId="20" fillId="7" borderId="19" xfId="0" applyFont="1" applyFill="1" applyBorder="1"/>
    <xf numFmtId="169" fontId="20" fillId="0" borderId="23" xfId="0" applyNumberFormat="1" applyFont="1" applyBorder="1" applyAlignment="1" applyProtection="1">
      <alignment horizontal="right"/>
    </xf>
    <xf numFmtId="0" fontId="20" fillId="0" borderId="35" xfId="0" applyFont="1" applyBorder="1" applyAlignment="1">
      <alignment horizontal="centerContinuous"/>
    </xf>
    <xf numFmtId="0" fontId="20" fillId="0" borderId="36" xfId="0" applyFont="1" applyBorder="1" applyAlignment="1">
      <alignment horizontal="centerContinuous"/>
    </xf>
    <xf numFmtId="0" fontId="20" fillId="0" borderId="37" xfId="0" applyFont="1" applyBorder="1"/>
    <xf numFmtId="169" fontId="20" fillId="0" borderId="35" xfId="0" applyNumberFormat="1" applyFont="1" applyFill="1" applyBorder="1" applyAlignment="1">
      <alignment horizontal="right"/>
    </xf>
    <xf numFmtId="169" fontId="20" fillId="0" borderId="36" xfId="0" applyNumberFormat="1" applyFont="1" applyFill="1" applyBorder="1" applyAlignment="1" applyProtection="1">
      <alignment horizontal="right"/>
    </xf>
    <xf numFmtId="169" fontId="20" fillId="0" borderId="38" xfId="0" applyNumberFormat="1" applyFont="1" applyFill="1" applyBorder="1" applyAlignment="1" applyProtection="1">
      <alignment horizontal="right"/>
    </xf>
    <xf numFmtId="169" fontId="20" fillId="0" borderId="38" xfId="0" applyNumberFormat="1" applyFont="1" applyBorder="1" applyAlignment="1" applyProtection="1">
      <alignment horizontal="right"/>
    </xf>
    <xf numFmtId="169" fontId="20" fillId="0" borderId="37" xfId="0" applyNumberFormat="1" applyFont="1" applyBorder="1" applyAlignment="1" applyProtection="1">
      <alignment horizontal="right"/>
    </xf>
    <xf numFmtId="169" fontId="20" fillId="0" borderId="38" xfId="0" applyNumberFormat="1" applyFont="1" applyBorder="1" applyAlignment="1">
      <alignment horizontal="right"/>
    </xf>
    <xf numFmtId="169" fontId="20" fillId="0" borderId="37" xfId="0" applyNumberFormat="1" applyFont="1" applyBorder="1" applyAlignment="1">
      <alignment horizontal="right"/>
    </xf>
    <xf numFmtId="0" fontId="26" fillId="0" borderId="0" xfId="0" applyFont="1"/>
    <xf numFmtId="0" fontId="26" fillId="0" borderId="23" xfId="0" applyFont="1" applyBorder="1"/>
    <xf numFmtId="167" fontId="19" fillId="0" borderId="7" xfId="1" applyNumberFormat="1" applyFont="1" applyBorder="1"/>
    <xf numFmtId="0" fontId="4" fillId="0" borderId="0" xfId="0" applyFont="1" applyBorder="1" applyAlignment="1">
      <alignment vertical="top" wrapText="1"/>
    </xf>
    <xf numFmtId="0" fontId="0" fillId="0" borderId="34" xfId="3" applyFont="1" applyFill="1"/>
    <xf numFmtId="0" fontId="20" fillId="0" borderId="34" xfId="3" applyFont="1" applyFill="1" applyAlignment="1">
      <alignment horizontal="centerContinuous"/>
    </xf>
    <xf numFmtId="0" fontId="20" fillId="0" borderId="34" xfId="3" applyFont="1" applyFill="1"/>
    <xf numFmtId="169" fontId="20" fillId="0" borderId="34" xfId="3" applyNumberFormat="1" applyFont="1" applyFill="1" applyAlignment="1">
      <alignment horizontal="right"/>
    </xf>
    <xf numFmtId="169" fontId="20" fillId="0" borderId="34" xfId="3" applyNumberFormat="1" applyFont="1" applyFill="1" applyAlignment="1" applyProtection="1">
      <alignment horizontal="right"/>
    </xf>
    <xf numFmtId="0" fontId="20" fillId="0" borderId="34" xfId="3" applyFont="1" applyFill="1" applyAlignment="1">
      <alignment vertical="top"/>
    </xf>
    <xf numFmtId="169" fontId="20" fillId="0" borderId="40" xfId="3" applyNumberFormat="1" applyFont="1" applyFill="1" applyBorder="1" applyAlignment="1" applyProtection="1">
      <alignment horizontal="right"/>
    </xf>
    <xf numFmtId="0" fontId="20" fillId="0" borderId="39" xfId="3" applyFont="1" applyFill="1" applyBorder="1"/>
    <xf numFmtId="169" fontId="20" fillId="0" borderId="39" xfId="3" applyNumberFormat="1" applyFont="1" applyFill="1" applyBorder="1" applyAlignment="1">
      <alignment horizontal="right"/>
    </xf>
    <xf numFmtId="169" fontId="20" fillId="0" borderId="39" xfId="3" applyNumberFormat="1" applyFont="1" applyFill="1" applyBorder="1" applyAlignment="1" applyProtection="1">
      <alignment horizontal="right"/>
    </xf>
    <xf numFmtId="0" fontId="20" fillId="7" borderId="39" xfId="3" applyFont="1" applyFill="1" applyBorder="1"/>
    <xf numFmtId="169" fontId="20" fillId="0" borderId="21" xfId="0" applyNumberFormat="1" applyFont="1" applyFill="1" applyBorder="1" applyAlignment="1">
      <alignment horizontal="right"/>
    </xf>
    <xf numFmtId="169" fontId="20" fillId="0" borderId="7" xfId="0" applyNumberFormat="1" applyFont="1" applyFill="1" applyBorder="1" applyAlignment="1" applyProtection="1">
      <alignment horizontal="right"/>
    </xf>
    <xf numFmtId="0" fontId="27" fillId="0" borderId="14" xfId="4" applyNumberFormat="1" applyFont="1" applyFill="1" applyBorder="1" applyAlignment="1"/>
    <xf numFmtId="37" fontId="27" fillId="0" borderId="0" xfId="4" applyNumberFormat="1" applyFont="1" applyFill="1" applyBorder="1" applyAlignment="1"/>
    <xf numFmtId="169" fontId="28" fillId="0" borderId="0" xfId="4" applyNumberFormat="1" applyFont="1" applyFill="1" applyBorder="1" applyAlignment="1">
      <alignment horizontal="right"/>
    </xf>
    <xf numFmtId="169" fontId="28" fillId="0" borderId="34" xfId="4" applyNumberFormat="1" applyFont="1" applyFill="1" applyBorder="1" applyAlignment="1">
      <alignment horizontal="right"/>
    </xf>
    <xf numFmtId="169" fontId="28" fillId="0" borderId="5" xfId="4" applyNumberFormat="1" applyFont="1" applyFill="1" applyBorder="1" applyAlignment="1">
      <alignment horizontal="right"/>
    </xf>
    <xf numFmtId="169" fontId="28" fillId="0" borderId="38" xfId="4" applyNumberFormat="1" applyFont="1" applyFill="1" applyBorder="1" applyAlignment="1">
      <alignment horizontal="right"/>
    </xf>
    <xf numFmtId="169" fontId="28" fillId="0" borderId="0" xfId="4" applyNumberFormat="1" applyFont="1" applyFill="1" applyBorder="1" applyAlignment="1" applyProtection="1">
      <alignment horizontal="right"/>
    </xf>
    <xf numFmtId="169" fontId="28" fillId="0" borderId="34" xfId="4" applyNumberFormat="1" applyFont="1" applyFill="1" applyBorder="1" applyAlignment="1" applyProtection="1">
      <alignment horizontal="right"/>
    </xf>
    <xf numFmtId="169" fontId="28" fillId="0" borderId="5" xfId="4" applyNumberFormat="1" applyFont="1" applyFill="1" applyBorder="1" applyAlignment="1" applyProtection="1">
      <alignment horizontal="right"/>
    </xf>
    <xf numFmtId="169" fontId="29" fillId="0" borderId="0" xfId="0" applyNumberFormat="1" applyFont="1" applyFill="1" applyBorder="1" applyAlignment="1" applyProtection="1">
      <alignment horizontal="right"/>
    </xf>
    <xf numFmtId="169" fontId="29" fillId="0" borderId="7" xfId="0" applyNumberFormat="1" applyFont="1" applyFill="1" applyBorder="1" applyAlignment="1" applyProtection="1">
      <alignment horizontal="right"/>
    </xf>
    <xf numFmtId="0" fontId="28" fillId="0" borderId="0" xfId="4" applyFont="1" applyFill="1"/>
    <xf numFmtId="169" fontId="28" fillId="0" borderId="37" xfId="4" applyNumberFormat="1" applyFont="1" applyFill="1" applyBorder="1" applyAlignment="1">
      <alignment horizontal="right"/>
    </xf>
    <xf numFmtId="169" fontId="28" fillId="0" borderId="2" xfId="4" applyNumberFormat="1" applyFont="1" applyFill="1" applyBorder="1" applyAlignment="1" applyProtection="1">
      <alignment horizontal="right"/>
    </xf>
    <xf numFmtId="169" fontId="28" fillId="0" borderId="19" xfId="4" applyNumberFormat="1" applyFont="1" applyFill="1" applyBorder="1" applyAlignment="1" applyProtection="1">
      <alignment horizontal="right"/>
    </xf>
    <xf numFmtId="169" fontId="28" fillId="0" borderId="23" xfId="4" applyNumberFormat="1" applyFont="1" applyFill="1" applyBorder="1" applyAlignment="1" applyProtection="1">
      <alignment horizontal="right"/>
    </xf>
    <xf numFmtId="169" fontId="29" fillId="0" borderId="23" xfId="0" applyNumberFormat="1" applyFont="1" applyFill="1" applyBorder="1" applyAlignment="1" applyProtection="1">
      <alignment horizontal="right"/>
    </xf>
    <xf numFmtId="169" fontId="28" fillId="0" borderId="14" xfId="4" applyNumberFormat="1" applyFont="1" applyFill="1" applyBorder="1" applyAlignment="1">
      <alignment horizontal="right"/>
    </xf>
    <xf numFmtId="169" fontId="28" fillId="0" borderId="20" xfId="4" applyNumberFormat="1" applyFont="1" applyFill="1" applyBorder="1" applyAlignment="1">
      <alignment horizontal="right"/>
    </xf>
    <xf numFmtId="169" fontId="28" fillId="0" borderId="35" xfId="4" applyNumberFormat="1" applyFont="1" applyFill="1" applyBorder="1" applyAlignment="1">
      <alignment horizontal="right"/>
    </xf>
    <xf numFmtId="0" fontId="0" fillId="0" borderId="40" xfId="3" applyFont="1" applyFill="1" applyBorder="1"/>
    <xf numFmtId="169" fontId="28" fillId="0" borderId="39" xfId="4" applyNumberFormat="1" applyFont="1" applyFill="1" applyBorder="1" applyAlignment="1" applyProtection="1">
      <alignment horizontal="right"/>
    </xf>
    <xf numFmtId="0" fontId="20" fillId="0" borderId="40" xfId="3" applyFont="1" applyFill="1" applyBorder="1"/>
    <xf numFmtId="169" fontId="28" fillId="0" borderId="39" xfId="4" applyNumberFormat="1" applyFont="1" applyFill="1" applyBorder="1" applyAlignment="1">
      <alignment horizontal="right"/>
    </xf>
    <xf numFmtId="0" fontId="0" fillId="0" borderId="41" xfId="3" applyFont="1" applyFill="1" applyBorder="1"/>
    <xf numFmtId="0" fontId="20" fillId="0" borderId="42" xfId="0" applyFont="1" applyFill="1" applyBorder="1" applyAlignment="1">
      <alignment horizontal="centerContinuous" wrapText="1"/>
    </xf>
    <xf numFmtId="0" fontId="20" fillId="0" borderId="43" xfId="3" applyFont="1" applyFill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20" fillId="0" borderId="41" xfId="3" applyFont="1" applyFill="1" applyBorder="1"/>
    <xf numFmtId="0" fontId="20" fillId="0" borderId="44" xfId="3" applyFont="1" applyFill="1" applyBorder="1" applyAlignment="1">
      <alignment horizontal="centerContinuous"/>
    </xf>
    <xf numFmtId="0" fontId="4" fillId="10" borderId="14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horizontal="right" wrapText="1"/>
    </xf>
    <xf numFmtId="0" fontId="26" fillId="0" borderId="2" xfId="0" applyFont="1" applyBorder="1"/>
    <xf numFmtId="0" fontId="26" fillId="0" borderId="0" xfId="0" applyFont="1" applyBorder="1"/>
    <xf numFmtId="0" fontId="26" fillId="0" borderId="19" xfId="0" applyFont="1" applyBorder="1"/>
    <xf numFmtId="167" fontId="20" fillId="0" borderId="7" xfId="1" applyNumberFormat="1" applyFont="1" applyFill="1" applyBorder="1"/>
    <xf numFmtId="167" fontId="19" fillId="0" borderId="7" xfId="1" applyNumberFormat="1" applyFont="1" applyFill="1" applyBorder="1"/>
    <xf numFmtId="167" fontId="4" fillId="0" borderId="21" xfId="1" applyNumberFormat="1" applyFont="1" applyFill="1" applyBorder="1" applyAlignment="1">
      <alignment horizontal="left" vertical="top" wrapText="1"/>
    </xf>
    <xf numFmtId="0" fontId="23" fillId="0" borderId="2" xfId="0" applyFont="1" applyBorder="1"/>
    <xf numFmtId="167" fontId="20" fillId="0" borderId="0" xfId="1" applyNumberFormat="1" applyFont="1" applyFill="1" applyBorder="1" applyProtection="1"/>
    <xf numFmtId="0" fontId="20" fillId="11" borderId="5" xfId="0" applyFont="1" applyFill="1" applyBorder="1"/>
    <xf numFmtId="0" fontId="20" fillId="11" borderId="7" xfId="0" applyFont="1" applyFill="1" applyBorder="1"/>
    <xf numFmtId="169" fontId="20" fillId="0" borderId="45" xfId="3" applyNumberFormat="1" applyFont="1" applyFill="1" applyBorder="1" applyAlignment="1" applyProtection="1">
      <alignment horizontal="right"/>
    </xf>
    <xf numFmtId="0" fontId="20" fillId="7" borderId="37" xfId="0" applyFont="1" applyFill="1" applyBorder="1"/>
    <xf numFmtId="169" fontId="20" fillId="0" borderId="36" xfId="0" applyNumberFormat="1" applyFont="1" applyBorder="1" applyAlignment="1" applyProtection="1">
      <alignment horizontal="right"/>
    </xf>
    <xf numFmtId="169" fontId="29" fillId="0" borderId="38" xfId="0" applyNumberFormat="1" applyFont="1" applyFill="1" applyBorder="1" applyAlignment="1" applyProtection="1">
      <alignment horizontal="right"/>
    </xf>
    <xf numFmtId="169" fontId="29" fillId="0" borderId="37" xfId="0" applyNumberFormat="1" applyFont="1" applyFill="1" applyBorder="1" applyAlignment="1" applyProtection="1">
      <alignment horizontal="right"/>
    </xf>
    <xf numFmtId="169" fontId="20" fillId="0" borderId="46" xfId="3" applyNumberFormat="1" applyFont="1" applyFill="1" applyBorder="1" applyAlignment="1" applyProtection="1">
      <alignment horizontal="right"/>
    </xf>
    <xf numFmtId="169" fontId="20" fillId="0" borderId="47" xfId="0" applyNumberFormat="1" applyFont="1" applyFill="1" applyBorder="1" applyAlignment="1">
      <alignment horizontal="right"/>
    </xf>
    <xf numFmtId="0" fontId="0" fillId="6" borderId="0" xfId="0" applyFill="1"/>
    <xf numFmtId="0" fontId="4" fillId="0" borderId="0" xfId="0" applyFont="1" applyFill="1" applyBorder="1" applyAlignment="1">
      <alignment horizontal="left" vertical="top"/>
    </xf>
    <xf numFmtId="169" fontId="28" fillId="0" borderId="48" xfId="4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11" borderId="2" xfId="0" applyFont="1" applyFill="1" applyBorder="1" applyAlignment="1">
      <alignment horizontal="right" wrapText="1"/>
    </xf>
    <xf numFmtId="167" fontId="4" fillId="0" borderId="20" xfId="1" applyNumberFormat="1" applyFont="1" applyFill="1" applyBorder="1" applyProtection="1"/>
    <xf numFmtId="167" fontId="4" fillId="0" borderId="14" xfId="1" applyNumberFormat="1" applyFont="1" applyFill="1" applyBorder="1" applyProtection="1"/>
    <xf numFmtId="167" fontId="4" fillId="0" borderId="21" xfId="1" applyNumberFormat="1" applyFont="1" applyFill="1" applyBorder="1" applyProtection="1"/>
    <xf numFmtId="167" fontId="20" fillId="0" borderId="2" xfId="0" applyNumberFormat="1" applyFont="1" applyBorder="1" applyAlignment="1">
      <alignment horizontal="right" wrapText="1"/>
    </xf>
    <xf numFmtId="0" fontId="26" fillId="0" borderId="14" xfId="0" applyFont="1" applyBorder="1"/>
    <xf numFmtId="0" fontId="26" fillId="0" borderId="21" xfId="0" applyFont="1" applyBorder="1"/>
    <xf numFmtId="0" fontId="23" fillId="0" borderId="0" xfId="0" applyFont="1"/>
    <xf numFmtId="0" fontId="23" fillId="0" borderId="20" xfId="0" applyFont="1" applyBorder="1" applyAlignment="1">
      <alignment horizontal="left"/>
    </xf>
    <xf numFmtId="0" fontId="23" fillId="0" borderId="2" xfId="0" applyFont="1" applyBorder="1" applyAlignment="1">
      <alignment horizontal="centerContinuous" wrapText="1"/>
    </xf>
    <xf numFmtId="0" fontId="23" fillId="0" borderId="2" xfId="0" applyFont="1" applyFill="1" applyBorder="1"/>
    <xf numFmtId="0" fontId="23" fillId="0" borderId="17" xfId="0" applyFont="1" applyBorder="1"/>
    <xf numFmtId="0" fontId="23" fillId="0" borderId="18" xfId="0" applyFont="1" applyBorder="1"/>
    <xf numFmtId="0" fontId="23" fillId="0" borderId="14" xfId="0" applyFont="1" applyBorder="1" applyAlignment="1">
      <alignment horizontal="centerContinuous" wrapText="1"/>
    </xf>
    <xf numFmtId="0" fontId="23" fillId="0" borderId="19" xfId="0" applyFont="1" applyBorder="1"/>
    <xf numFmtId="0" fontId="23" fillId="0" borderId="19" xfId="0" applyFont="1" applyFill="1" applyBorder="1"/>
    <xf numFmtId="0" fontId="23" fillId="0" borderId="14" xfId="0" applyFont="1" applyBorder="1" applyAlignment="1">
      <alignment horizontal="left"/>
    </xf>
    <xf numFmtId="0" fontId="23" fillId="0" borderId="2" xfId="0" applyFont="1" applyBorder="1" applyAlignment="1">
      <alignment horizontal="centerContinuous"/>
    </xf>
    <xf numFmtId="3" fontId="23" fillId="0" borderId="14" xfId="0" applyNumberFormat="1" applyFont="1" applyBorder="1" applyAlignment="1">
      <alignment horizontal="right"/>
    </xf>
    <xf numFmtId="3" fontId="23" fillId="0" borderId="2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3" fillId="2" borderId="0" xfId="0" applyNumberFormat="1" applyFont="1" applyFill="1"/>
    <xf numFmtId="3" fontId="23" fillId="0" borderId="2" xfId="0" applyNumberFormat="1" applyFont="1" applyFill="1" applyBorder="1"/>
    <xf numFmtId="0" fontId="23" fillId="0" borderId="14" xfId="0" applyFont="1" applyFill="1" applyBorder="1" applyAlignment="1">
      <alignment horizontal="centerContinuous" wrapText="1"/>
    </xf>
    <xf numFmtId="0" fontId="23" fillId="0" borderId="0" xfId="0" applyFont="1" applyFill="1" applyBorder="1" applyAlignment="1">
      <alignment horizontal="centerContinuous" wrapText="1"/>
    </xf>
    <xf numFmtId="167" fontId="23" fillId="0" borderId="2" xfId="0" applyNumberFormat="1" applyFont="1" applyBorder="1"/>
    <xf numFmtId="0" fontId="23" fillId="0" borderId="5" xfId="0" applyFont="1" applyBorder="1"/>
    <xf numFmtId="0" fontId="23" fillId="0" borderId="0" xfId="0" applyFont="1" applyBorder="1"/>
    <xf numFmtId="0" fontId="23" fillId="0" borderId="23" xfId="0" applyFont="1" applyBorder="1"/>
    <xf numFmtId="0" fontId="23" fillId="0" borderId="21" xfId="0" applyFont="1" applyBorder="1" applyAlignment="1">
      <alignment horizontal="centerContinuous" wrapText="1"/>
    </xf>
    <xf numFmtId="0" fontId="23" fillId="0" borderId="14" xfId="0" applyFont="1" applyBorder="1" applyAlignment="1">
      <alignment horizontal="left" wrapText="1"/>
    </xf>
    <xf numFmtId="0" fontId="4" fillId="10" borderId="0" xfId="0" applyFont="1" applyFill="1"/>
    <xf numFmtId="2" fontId="4" fillId="0" borderId="0" xfId="0" applyNumberFormat="1" applyFont="1"/>
    <xf numFmtId="1" fontId="4" fillId="0" borderId="0" xfId="0" applyNumberFormat="1" applyFont="1"/>
    <xf numFmtId="41" fontId="4" fillId="0" borderId="0" xfId="0" applyNumberFormat="1" applyFont="1"/>
    <xf numFmtId="1" fontId="4" fillId="0" borderId="14" xfId="0" applyNumberFormat="1" applyFont="1" applyBorder="1"/>
    <xf numFmtId="0" fontId="20" fillId="0" borderId="0" xfId="0" applyFont="1"/>
    <xf numFmtId="3" fontId="20" fillId="0" borderId="9" xfId="0" applyNumberFormat="1" applyFont="1" applyFill="1" applyBorder="1" applyAlignment="1">
      <alignment horizontal="right" wrapText="1"/>
    </xf>
    <xf numFmtId="0" fontId="20" fillId="0" borderId="14" xfId="0" applyFont="1" applyBorder="1"/>
    <xf numFmtId="0" fontId="20" fillId="0" borderId="14" xfId="0" applyFont="1" applyFill="1" applyBorder="1" applyAlignment="1">
      <alignment horizontal="centerContinuous"/>
    </xf>
    <xf numFmtId="0" fontId="20" fillId="0" borderId="33" xfId="0" applyFont="1" applyFill="1" applyBorder="1" applyAlignment="1">
      <alignment horizontal="centerContinuous" wrapText="1"/>
    </xf>
    <xf numFmtId="0" fontId="20" fillId="0" borderId="21" xfId="0" applyFont="1" applyFill="1" applyBorder="1" applyAlignment="1">
      <alignment horizontal="centerContinuous"/>
    </xf>
    <xf numFmtId="0" fontId="20" fillId="0" borderId="0" xfId="0" applyFont="1" applyFill="1" applyBorder="1" applyAlignment="1">
      <alignment horizontal="centerContinuous" wrapText="1"/>
    </xf>
    <xf numFmtId="0" fontId="20" fillId="0" borderId="10" xfId="0" applyFont="1" applyFill="1" applyBorder="1" applyAlignment="1">
      <alignment horizontal="centerContinuous" wrapText="1"/>
    </xf>
    <xf numFmtId="0" fontId="20" fillId="0" borderId="0" xfId="0" applyFont="1" applyFill="1" applyBorder="1" applyAlignment="1">
      <alignment horizontal="centerContinuous"/>
    </xf>
    <xf numFmtId="0" fontId="20" fillId="0" borderId="5" xfId="0" applyFont="1" applyFill="1" applyBorder="1" applyAlignment="1">
      <alignment horizontal="centerContinuous" wrapText="1"/>
    </xf>
    <xf numFmtId="0" fontId="20" fillId="0" borderId="7" xfId="0" applyFont="1" applyFill="1" applyBorder="1" applyAlignment="1">
      <alignment horizontal="centerContinuous"/>
    </xf>
    <xf numFmtId="0" fontId="20" fillId="0" borderId="0" xfId="0" applyFont="1" applyFill="1" applyBorder="1"/>
    <xf numFmtId="0" fontId="20" fillId="0" borderId="5" xfId="0" applyFont="1" applyFill="1" applyBorder="1"/>
    <xf numFmtId="0" fontId="20" fillId="0" borderId="19" xfId="0" applyFont="1" applyFill="1" applyBorder="1"/>
    <xf numFmtId="0" fontId="20" fillId="0" borderId="7" xfId="0" applyFont="1" applyFill="1" applyBorder="1"/>
    <xf numFmtId="169" fontId="20" fillId="0" borderId="49" xfId="0" applyNumberFormat="1" applyFont="1" applyFill="1" applyBorder="1" applyAlignment="1" applyProtection="1">
      <alignment horizontal="right"/>
    </xf>
    <xf numFmtId="169" fontId="20" fillId="0" borderId="19" xfId="0" applyNumberFormat="1" applyFont="1" applyFill="1" applyBorder="1" applyAlignment="1" applyProtection="1">
      <alignment horizontal="right"/>
    </xf>
    <xf numFmtId="169" fontId="20" fillId="0" borderId="23" xfId="0" applyNumberFormat="1" applyFont="1" applyFill="1" applyBorder="1" applyAlignment="1" applyProtection="1">
      <alignment horizontal="right"/>
    </xf>
    <xf numFmtId="169" fontId="20" fillId="0" borderId="48" xfId="0" applyNumberFormat="1" applyFont="1" applyFill="1" applyBorder="1" applyAlignment="1" applyProtection="1">
      <alignment horizontal="right"/>
    </xf>
    <xf numFmtId="169" fontId="20" fillId="0" borderId="2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20" fillId="0" borderId="50" xfId="0" applyNumberFormat="1" applyFont="1" applyFill="1" applyBorder="1" applyAlignment="1" applyProtection="1">
      <alignment horizontal="right"/>
    </xf>
    <xf numFmtId="169" fontId="20" fillId="0" borderId="6" xfId="0" applyNumberFormat="1" applyFont="1" applyFill="1" applyBorder="1" applyAlignment="1" applyProtection="1">
      <alignment horizontal="right"/>
    </xf>
    <xf numFmtId="169" fontId="20" fillId="0" borderId="32" xfId="0" applyNumberFormat="1" applyFont="1" applyFill="1" applyBorder="1" applyAlignment="1" applyProtection="1">
      <alignment horizontal="right"/>
    </xf>
    <xf numFmtId="170" fontId="4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30" fillId="0" borderId="0" xfId="0" applyFont="1"/>
    <xf numFmtId="0" fontId="30" fillId="0" borderId="0" xfId="0" applyFont="1" applyBorder="1"/>
    <xf numFmtId="0" fontId="32" fillId="0" borderId="10" xfId="0" applyFont="1" applyBorder="1"/>
    <xf numFmtId="0" fontId="33" fillId="0" borderId="9" xfId="0" applyFont="1" applyBorder="1"/>
    <xf numFmtId="0" fontId="33" fillId="0" borderId="8" xfId="0" applyFont="1" applyBorder="1"/>
    <xf numFmtId="0" fontId="33" fillId="0" borderId="0" xfId="0" applyFont="1" applyBorder="1"/>
    <xf numFmtId="0" fontId="30" fillId="0" borderId="9" xfId="0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13" xfId="0" applyFont="1" applyBorder="1" applyAlignment="1">
      <alignment horizontal="centerContinuous" wrapText="1"/>
    </xf>
    <xf numFmtId="0" fontId="30" fillId="0" borderId="13" xfId="0" applyFont="1" applyFill="1" applyBorder="1" applyAlignment="1">
      <alignment horizontal="centerContinuous" wrapText="1"/>
    </xf>
    <xf numFmtId="0" fontId="30" fillId="0" borderId="11" xfId="0" applyFont="1" applyFill="1" applyBorder="1" applyAlignment="1">
      <alignment horizontal="centerContinuous" wrapText="1"/>
    </xf>
    <xf numFmtId="0" fontId="30" fillId="0" borderId="12" xfId="0" applyFont="1" applyBorder="1" applyAlignment="1">
      <alignment horizontal="centerContinuous" wrapText="1"/>
    </xf>
    <xf numFmtId="0" fontId="30" fillId="0" borderId="11" xfId="0" applyFont="1" applyBorder="1" applyAlignment="1">
      <alignment horizontal="centerContinuous" wrapText="1"/>
    </xf>
    <xf numFmtId="0" fontId="30" fillId="0" borderId="12" xfId="0" applyFont="1" applyFill="1" applyBorder="1" applyAlignment="1">
      <alignment horizontal="centerContinuous" wrapText="1"/>
    </xf>
    <xf numFmtId="0" fontId="30" fillId="0" borderId="5" xfId="0" applyFont="1" applyBorder="1"/>
    <xf numFmtId="0" fontId="30" fillId="0" borderId="7" xfId="0" applyFont="1" applyBorder="1"/>
    <xf numFmtId="0" fontId="30" fillId="0" borderId="15" xfId="0" applyFont="1" applyBorder="1" applyAlignment="1">
      <alignment horizontal="centerContinuous" wrapText="1"/>
    </xf>
    <xf numFmtId="0" fontId="30" fillId="0" borderId="61" xfId="0" applyFont="1" applyBorder="1" applyAlignment="1">
      <alignment horizontal="centerContinuous" wrapText="1"/>
    </xf>
    <xf numFmtId="0" fontId="30" fillId="0" borderId="2" xfId="0" applyFont="1" applyBorder="1"/>
    <xf numFmtId="3" fontId="30" fillId="0" borderId="2" xfId="0" applyNumberFormat="1" applyFont="1" applyFill="1" applyBorder="1" applyAlignment="1"/>
    <xf numFmtId="166" fontId="30" fillId="0" borderId="2" xfId="0" applyNumberFormat="1" applyFont="1" applyFill="1" applyBorder="1" applyAlignment="1"/>
    <xf numFmtId="166" fontId="30" fillId="0" borderId="19" xfId="0" applyNumberFormat="1" applyFont="1" applyFill="1" applyBorder="1" applyAlignment="1"/>
    <xf numFmtId="166" fontId="30" fillId="0" borderId="23" xfId="0" applyNumberFormat="1" applyFont="1" applyFill="1" applyBorder="1" applyAlignment="1"/>
    <xf numFmtId="166" fontId="30" fillId="0" borderId="14" xfId="0" applyNumberFormat="1" applyFont="1" applyFill="1" applyBorder="1" applyAlignment="1"/>
    <xf numFmtId="166" fontId="30" fillId="0" borderId="21" xfId="0" applyNumberFormat="1" applyFont="1" applyFill="1" applyBorder="1" applyAlignment="1"/>
    <xf numFmtId="3" fontId="30" fillId="0" borderId="0" xfId="0" applyNumberFormat="1" applyFont="1" applyFill="1" applyAlignment="1"/>
    <xf numFmtId="166" fontId="30" fillId="0" borderId="0" xfId="0" applyNumberFormat="1" applyFont="1" applyFill="1" applyAlignment="1"/>
    <xf numFmtId="166" fontId="30" fillId="0" borderId="5" xfId="0" applyNumberFormat="1" applyFont="1" applyFill="1" applyBorder="1" applyAlignment="1">
      <alignment horizontal="right"/>
    </xf>
    <xf numFmtId="166" fontId="30" fillId="0" borderId="0" xfId="0" applyNumberFormat="1" applyFont="1" applyFill="1" applyAlignment="1">
      <alignment horizontal="right"/>
    </xf>
    <xf numFmtId="166" fontId="30" fillId="0" borderId="7" xfId="0" applyNumberFormat="1" applyFont="1" applyFill="1" applyBorder="1" applyAlignment="1">
      <alignment horizontal="right"/>
    </xf>
    <xf numFmtId="166" fontId="30" fillId="0" borderId="0" xfId="0" applyNumberFormat="1" applyFont="1" applyFill="1" applyBorder="1" applyAlignment="1"/>
    <xf numFmtId="166" fontId="30" fillId="0" borderId="7" xfId="0" applyNumberFormat="1" applyFont="1" applyFill="1" applyBorder="1" applyAlignment="1"/>
    <xf numFmtId="166" fontId="30" fillId="0" borderId="5" xfId="0" applyNumberFormat="1" applyFont="1" applyFill="1" applyBorder="1" applyAlignment="1"/>
    <xf numFmtId="3" fontId="30" fillId="5" borderId="0" xfId="0" applyNumberFormat="1" applyFont="1" applyFill="1" applyAlignment="1"/>
    <xf numFmtId="166" fontId="30" fillId="5" borderId="0" xfId="0" applyNumberFormat="1" applyFont="1" applyFill="1" applyAlignment="1"/>
    <xf numFmtId="166" fontId="30" fillId="5" borderId="5" xfId="0" applyNumberFormat="1" applyFont="1" applyFill="1" applyBorder="1" applyAlignment="1">
      <alignment horizontal="right"/>
    </xf>
    <xf numFmtId="166" fontId="30" fillId="5" borderId="0" xfId="0" applyNumberFormat="1" applyFont="1" applyFill="1" applyAlignment="1">
      <alignment horizontal="right"/>
    </xf>
    <xf numFmtId="166" fontId="30" fillId="5" borderId="7" xfId="0" applyNumberFormat="1" applyFont="1" applyFill="1" applyBorder="1" applyAlignment="1">
      <alignment horizontal="right"/>
    </xf>
    <xf numFmtId="166" fontId="30" fillId="5" borderId="0" xfId="0" applyNumberFormat="1" applyFont="1" applyFill="1" applyBorder="1" applyAlignment="1"/>
    <xf numFmtId="166" fontId="30" fillId="5" borderId="7" xfId="0" applyNumberFormat="1" applyFont="1" applyFill="1" applyBorder="1" applyAlignment="1"/>
    <xf numFmtId="3" fontId="30" fillId="0" borderId="0" xfId="0" applyNumberFormat="1" applyFont="1" applyAlignment="1"/>
    <xf numFmtId="3" fontId="30" fillId="0" borderId="0" xfId="0" applyNumberFormat="1" applyFont="1" applyBorder="1" applyAlignment="1"/>
    <xf numFmtId="166" fontId="30" fillId="0" borderId="0" xfId="0" applyNumberFormat="1" applyFont="1" applyFill="1" applyBorder="1" applyAlignment="1">
      <alignment horizontal="right"/>
    </xf>
    <xf numFmtId="3" fontId="30" fillId="0" borderId="2" xfId="0" applyNumberFormat="1" applyFont="1" applyBorder="1" applyAlignment="1"/>
    <xf numFmtId="166" fontId="30" fillId="0" borderId="19" xfId="0" applyNumberFormat="1" applyFont="1" applyFill="1" applyBorder="1" applyAlignment="1">
      <alignment horizontal="right"/>
    </xf>
    <xf numFmtId="166" fontId="30" fillId="0" borderId="2" xfId="0" applyNumberFormat="1" applyFont="1" applyFill="1" applyBorder="1" applyAlignment="1">
      <alignment horizontal="right"/>
    </xf>
    <xf numFmtId="166" fontId="30" fillId="0" borderId="23" xfId="0" applyNumberFormat="1" applyFont="1" applyFill="1" applyBorder="1" applyAlignment="1">
      <alignment horizontal="right"/>
    </xf>
    <xf numFmtId="166" fontId="30" fillId="5" borderId="0" xfId="0" applyNumberFormat="1" applyFont="1" applyFill="1" applyBorder="1" applyAlignment="1">
      <alignment horizontal="right"/>
    </xf>
    <xf numFmtId="3" fontId="30" fillId="5" borderId="2" xfId="0" applyNumberFormat="1" applyFont="1" applyFill="1" applyBorder="1" applyAlignment="1"/>
    <xf numFmtId="166" fontId="30" fillId="5" borderId="2" xfId="0" applyNumberFormat="1" applyFont="1" applyFill="1" applyBorder="1" applyAlignment="1"/>
    <xf numFmtId="166" fontId="30" fillId="5" borderId="2" xfId="0" applyNumberFormat="1" applyFont="1" applyFill="1" applyBorder="1" applyAlignment="1">
      <alignment horizontal="right"/>
    </xf>
    <xf numFmtId="166" fontId="30" fillId="5" borderId="19" xfId="0" applyNumberFormat="1" applyFont="1" applyFill="1" applyBorder="1" applyAlignment="1">
      <alignment horizontal="right"/>
    </xf>
    <xf numFmtId="166" fontId="30" fillId="5" borderId="23" xfId="0" applyNumberFormat="1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166" fontId="30" fillId="5" borderId="23" xfId="0" applyNumberFormat="1" applyFont="1" applyFill="1" applyBorder="1" applyAlignment="1"/>
    <xf numFmtId="3" fontId="30" fillId="0" borderId="9" xfId="0" applyNumberFormat="1" applyFont="1" applyFill="1" applyBorder="1" applyAlignment="1"/>
    <xf numFmtId="3" fontId="30" fillId="5" borderId="14" xfId="0" applyNumberFormat="1" applyFont="1" applyFill="1" applyBorder="1" applyAlignment="1"/>
    <xf numFmtId="166" fontId="30" fillId="5" borderId="14" xfId="0" applyNumberFormat="1" applyFont="1" applyFill="1" applyBorder="1" applyAlignment="1"/>
    <xf numFmtId="166" fontId="30" fillId="5" borderId="20" xfId="0" applyNumberFormat="1" applyFont="1" applyFill="1" applyBorder="1" applyAlignment="1">
      <alignment horizontal="right"/>
    </xf>
    <xf numFmtId="166" fontId="30" fillId="5" borderId="14" xfId="0" applyNumberFormat="1" applyFont="1" applyFill="1" applyBorder="1" applyAlignment="1">
      <alignment horizontal="right"/>
    </xf>
    <xf numFmtId="166" fontId="30" fillId="5" borderId="21" xfId="0" applyNumberFormat="1" applyFont="1" applyFill="1" applyBorder="1" applyAlignment="1">
      <alignment horizontal="right"/>
    </xf>
    <xf numFmtId="166" fontId="30" fillId="5" borderId="21" xfId="0" applyNumberFormat="1" applyFont="1" applyFill="1" applyBorder="1" applyAlignment="1"/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top"/>
    </xf>
    <xf numFmtId="3" fontId="30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 wrapText="1"/>
    </xf>
    <xf numFmtId="0" fontId="4" fillId="0" borderId="22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21" xfId="0" applyFont="1" applyFill="1" applyBorder="1"/>
    <xf numFmtId="167" fontId="20" fillId="0" borderId="22" xfId="1" applyNumberFormat="1" applyFont="1" applyFill="1" applyBorder="1" applyAlignment="1">
      <alignment horizontal="right" vertical="top" wrapText="1"/>
    </xf>
    <xf numFmtId="167" fontId="20" fillId="0" borderId="6" xfId="1" applyNumberFormat="1" applyFont="1" applyFill="1" applyBorder="1" applyAlignment="1">
      <alignment vertical="top" wrapText="1"/>
    </xf>
    <xf numFmtId="0" fontId="4" fillId="11" borderId="20" xfId="0" applyFont="1" applyFill="1" applyBorder="1" applyAlignment="1">
      <alignment horizontal="right" wrapText="1"/>
    </xf>
    <xf numFmtId="167" fontId="20" fillId="0" borderId="20" xfId="1" applyNumberFormat="1" applyFont="1" applyFill="1" applyBorder="1" applyAlignment="1">
      <alignment horizontal="right" vertical="top" wrapText="1"/>
    </xf>
    <xf numFmtId="167" fontId="20" fillId="0" borderId="5" xfId="1" applyNumberFormat="1" applyFont="1" applyFill="1" applyBorder="1" applyAlignment="1">
      <alignment vertical="top" wrapText="1"/>
    </xf>
    <xf numFmtId="0" fontId="4" fillId="11" borderId="0" xfId="0" applyFont="1" applyFill="1"/>
    <xf numFmtId="0" fontId="4" fillId="7" borderId="20" xfId="1" applyNumberFormat="1" applyFont="1" applyFill="1" applyBorder="1" applyAlignment="1">
      <alignment horizontal="right"/>
    </xf>
    <xf numFmtId="0" fontId="4" fillId="7" borderId="19" xfId="0" applyFont="1" applyFill="1" applyBorder="1" applyAlignment="1">
      <alignment horizontal="left"/>
    </xf>
    <xf numFmtId="0" fontId="4" fillId="0" borderId="13" xfId="0" quotePrefix="1" applyFont="1" applyBorder="1" applyAlignment="1">
      <alignment horizontal="centerContinuous" wrapText="1"/>
    </xf>
    <xf numFmtId="0" fontId="4" fillId="0" borderId="24" xfId="0" applyFont="1" applyBorder="1" applyAlignment="1">
      <alignment horizontal="centerContinuous" wrapText="1"/>
    </xf>
    <xf numFmtId="0" fontId="22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34" fillId="0" borderId="0" xfId="0" applyFont="1" applyBorder="1" applyAlignment="1">
      <alignment vertical="center" wrapText="1"/>
    </xf>
    <xf numFmtId="0" fontId="36" fillId="0" borderId="0" xfId="0" applyFont="1" applyAlignment="1">
      <alignment wrapText="1"/>
    </xf>
    <xf numFmtId="0" fontId="6" fillId="0" borderId="2" xfId="0" applyFont="1" applyFill="1" applyBorder="1"/>
    <xf numFmtId="0" fontId="4" fillId="0" borderId="19" xfId="0" applyFont="1" applyFill="1" applyBorder="1"/>
    <xf numFmtId="0" fontId="4" fillId="0" borderId="2" xfId="0" applyFont="1" applyFill="1" applyBorder="1" applyAlignment="1">
      <alignment horizontal="right"/>
    </xf>
    <xf numFmtId="0" fontId="30" fillId="0" borderId="4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0" fontId="30" fillId="0" borderId="6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wrapText="1"/>
    </xf>
    <xf numFmtId="0" fontId="33" fillId="0" borderId="0" xfId="0" applyFont="1" applyFill="1" applyAlignment="1">
      <alignment wrapText="1"/>
    </xf>
  </cellXfs>
  <cellStyles count="5">
    <cellStyle name="Bad" xfId="4" builtinId="27"/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231E-2"/>
          <c:y val="0.16292984505158961"/>
          <c:w val="0.81063291065919696"/>
          <c:h val="0.62374114687020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2000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2'!$C$6:$E$6</c:f>
              <c:numCache>
                <c:formatCode>#,##0.0</c:formatCode>
                <c:ptCount val="3"/>
                <c:pt idx="0">
                  <c:v>80.398823480205891</c:v>
                </c:pt>
                <c:pt idx="1">
                  <c:v>85.619080761011233</c:v>
                </c:pt>
                <c:pt idx="2">
                  <c:v>87.45294712248716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8-48CB-9035-AC1B26771A93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2'!$C$7:$E$7</c:f>
              <c:numCache>
                <c:formatCode>#,##0.0</c:formatCode>
                <c:ptCount val="3"/>
                <c:pt idx="0">
                  <c:v>77.731477376744422</c:v>
                </c:pt>
                <c:pt idx="1">
                  <c:v>83.819678864814065</c:v>
                </c:pt>
                <c:pt idx="2">
                  <c:v>86.165741185195841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8-48CB-9035-AC1B26771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1776"/>
        <c:axId val="209912168"/>
      </c:barChart>
      <c:catAx>
        <c:axId val="2099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2168"/>
        <c:crosses val="autoZero"/>
        <c:auto val="1"/>
        <c:lblAlgn val="ctr"/>
        <c:lblOffset val="100"/>
        <c:noMultiLvlLbl val="0"/>
      </c:catAx>
      <c:valAx>
        <c:axId val="20991216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17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20783387370696321"/>
          <c:y val="4.46776845202043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95E-2"/>
          <c:y val="0.14747103127298059"/>
          <c:w val="0.8106329106591984"/>
          <c:h val="0.63920004293355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7'!$L$6:$N$6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7'!$L$16:$N$16</c:f>
              <c:numCache>
                <c:formatCode>#,##0.0</c:formatCode>
                <c:ptCount val="3"/>
                <c:pt idx="0">
                  <c:v>2.6908115141507025</c:v>
                </c:pt>
                <c:pt idx="1">
                  <c:v>1.7637818539683767</c:v>
                </c:pt>
                <c:pt idx="2">
                  <c:v>-1.1373330494225122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4-4FB5-B6BD-5252E4830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8136"/>
        <c:axId val="210983624"/>
      </c:barChart>
      <c:catAx>
        <c:axId val="21097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3624"/>
        <c:crosses val="autoZero"/>
        <c:auto val="1"/>
        <c:lblAlgn val="ctr"/>
        <c:lblOffset val="150"/>
        <c:noMultiLvlLbl val="0"/>
      </c:catAx>
      <c:valAx>
        <c:axId val="210983624"/>
        <c:scaling>
          <c:orientation val="minMax"/>
          <c:max val="100"/>
          <c:min val="-5"/>
        </c:scaling>
        <c:delete val="1"/>
        <c:axPos val="l"/>
        <c:numFmt formatCode="#,##0.0" sourceLinked="1"/>
        <c:majorTickMark val="out"/>
        <c:minorTickMark val="none"/>
        <c:tickLblPos val="none"/>
        <c:crossAx val="210978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6222476102847"/>
          <c:y val="0.13297843204382145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2000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2'!$G$6:$I$6</c:f>
              <c:numCache>
                <c:formatCode>#,##0.0</c:formatCode>
                <c:ptCount val="3"/>
                <c:pt idx="0">
                  <c:v>24.401627274753839</c:v>
                </c:pt>
                <c:pt idx="1">
                  <c:v>28.246235539450016</c:v>
                </c:pt>
                <c:pt idx="2">
                  <c:v>31.277778632183345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F-4CA4-94BC-8D27E849D521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2'!$G$7:$I$7</c:f>
              <c:numCache>
                <c:formatCode>#,##0.0</c:formatCode>
                <c:ptCount val="3"/>
                <c:pt idx="0">
                  <c:v>22.445458340036208</c:v>
                </c:pt>
                <c:pt idx="1">
                  <c:v>25.932939842047436</c:v>
                </c:pt>
                <c:pt idx="2">
                  <c:v>28.913492016155718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F-4CA4-94BC-8D27E849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2952"/>
        <c:axId val="209913344"/>
      </c:barChart>
      <c:catAx>
        <c:axId val="20991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3344"/>
        <c:crosses val="autoZero"/>
        <c:auto val="1"/>
        <c:lblAlgn val="ctr"/>
        <c:lblOffset val="100"/>
        <c:noMultiLvlLbl val="0"/>
      </c:catAx>
      <c:valAx>
        <c:axId val="209913344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295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2000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2'!$G$13:$I$13</c:f>
              <c:numCache>
                <c:formatCode>#,##0.0</c:formatCode>
                <c:ptCount val="3"/>
                <c:pt idx="0">
                  <c:v>24.299778344049759</c:v>
                </c:pt>
                <c:pt idx="1">
                  <c:v>27.400000000000002</c:v>
                </c:pt>
                <c:pt idx="2">
                  <c:v>30.451815995973707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5-477E-8A1D-8B8AA9A2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4128"/>
        <c:axId val="209914520"/>
      </c:barChart>
      <c:catAx>
        <c:axId val="20991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4520"/>
        <c:crosses val="autoZero"/>
        <c:auto val="1"/>
        <c:lblAlgn val="ctr"/>
        <c:lblOffset val="100"/>
        <c:noMultiLvlLbl val="0"/>
      </c:catAx>
      <c:valAx>
        <c:axId val="2099145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4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8113396408"/>
          <c:y val="4.46774069559299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E-2"/>
          <c:y val="0.1474710312729804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2000</c:v>
                </c:pt>
                <c:pt idx="1">
                  <c:v>2011</c:v>
                </c:pt>
                <c:pt idx="2">
                  <c:v>2016</c:v>
                </c:pt>
              </c:numCache>
            </c:numRef>
          </c:cat>
          <c:val>
            <c:numRef>
              <c:f>'Table 2'!$C$13:$E$13</c:f>
              <c:numCache>
                <c:formatCode>#,##0.0</c:formatCode>
                <c:ptCount val="3"/>
                <c:pt idx="0">
                  <c:v>78.570063623645751</c:v>
                </c:pt>
                <c:pt idx="1">
                  <c:v>84.300000000000011</c:v>
                </c:pt>
                <c:pt idx="2">
                  <c:v>86.402766530172528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F-4812-BB46-46F6ED15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5304"/>
        <c:axId val="209915696"/>
      </c:barChart>
      <c:catAx>
        <c:axId val="20991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5696"/>
        <c:crosses val="autoZero"/>
        <c:auto val="1"/>
        <c:lblAlgn val="ctr"/>
        <c:lblOffset val="100"/>
        <c:noMultiLvlLbl val="0"/>
      </c:catAx>
      <c:valAx>
        <c:axId val="2099156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5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7'!$C$7:$E$7</c:f>
              <c:numCache>
                <c:formatCode>#,##0.0</c:formatCode>
                <c:ptCount val="3"/>
                <c:pt idx="0">
                  <c:v>92.458665185284943</c:v>
                </c:pt>
                <c:pt idx="1">
                  <c:v>85.243691837585075</c:v>
                </c:pt>
                <c:pt idx="2">
                  <c:v>67.113306174470893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7-41AC-A3B1-2B96C59EC746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7'!$C$8:$E$8</c:f>
              <c:numCache>
                <c:formatCode>#,##0.0</c:formatCode>
                <c:ptCount val="3"/>
                <c:pt idx="0">
                  <c:v>90.745033937509291</c:v>
                </c:pt>
                <c:pt idx="1">
                  <c:v>84.623830413925134</c:v>
                </c:pt>
                <c:pt idx="2">
                  <c:v>68.274579955004441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7-41AC-A3B1-2B96C59E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78528"/>
        <c:axId val="210978920"/>
      </c:barChart>
      <c:catAx>
        <c:axId val="2109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8920"/>
        <c:crosses val="autoZero"/>
        <c:auto val="1"/>
        <c:lblAlgn val="ctr"/>
        <c:lblOffset val="100"/>
        <c:noMultiLvlLbl val="0"/>
      </c:catAx>
      <c:valAx>
        <c:axId val="2109789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85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7080610021786487E-2"/>
          <c:y val="1.9047619047619049E-2"/>
          <c:w val="0.79712418300653598"/>
          <c:h val="0.10271216097987751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4657162958"/>
          <c:y val="4.46769014208421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7'!$C$16:$E$16</c:f>
              <c:numCache>
                <c:formatCode>#,##0.0</c:formatCode>
                <c:ptCount val="3"/>
                <c:pt idx="0">
                  <c:v>88.230535252050842</c:v>
                </c:pt>
                <c:pt idx="1">
                  <c:v>78.334305645534712</c:v>
                </c:pt>
                <c:pt idx="2">
                  <c:v>72.506663338057024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AE1-B31E-947DD4352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9704"/>
        <c:axId val="210980096"/>
      </c:barChart>
      <c:catAx>
        <c:axId val="21097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0096"/>
        <c:crosses val="autoZero"/>
        <c:auto val="1"/>
        <c:lblAlgn val="ctr"/>
        <c:lblOffset val="100"/>
        <c:noMultiLvlLbl val="0"/>
      </c:catAx>
      <c:valAx>
        <c:axId val="2109800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9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19916216355308528"/>
          <c:y val="8.0713564650572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7'!$I$6:$K$6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7'!$I$16:$K$16</c:f>
              <c:numCache>
                <c:formatCode>#,##0.0</c:formatCode>
                <c:ptCount val="3"/>
                <c:pt idx="0">
                  <c:v>2.6305352520508336</c:v>
                </c:pt>
                <c:pt idx="1">
                  <c:v>3.3343056455347124</c:v>
                </c:pt>
                <c:pt idx="2">
                  <c:v>2.3066633380570352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6-482A-8766-045E976E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80880"/>
        <c:axId val="210981272"/>
      </c:barChart>
      <c:catAx>
        <c:axId val="21098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1272"/>
        <c:crosses val="autoZero"/>
        <c:auto val="1"/>
        <c:lblAlgn val="ctr"/>
        <c:lblOffset val="100"/>
        <c:noMultiLvlLbl val="0"/>
      </c:catAx>
      <c:valAx>
        <c:axId val="21098127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0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7'!$F$7:$H$7</c:f>
              <c:numCache>
                <c:formatCode>#,##0.0</c:formatCode>
                <c:ptCount val="3"/>
                <c:pt idx="0">
                  <c:v>34.967272407283389</c:v>
                </c:pt>
                <c:pt idx="1">
                  <c:v>20.870989397657301</c:v>
                </c:pt>
                <c:pt idx="2">
                  <c:v>15.346376944366313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3-421E-B34B-B6445D13A68A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7'!$F$8:$H$8</c:f>
              <c:numCache>
                <c:formatCode>#,##0.0</c:formatCode>
                <c:ptCount val="3"/>
                <c:pt idx="0">
                  <c:v>32.62921215546757</c:v>
                </c:pt>
                <c:pt idx="1">
                  <c:v>20.579708471287994</c:v>
                </c:pt>
                <c:pt idx="2">
                  <c:v>17.248426493653934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3-421E-B34B-B6445D13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82056"/>
        <c:axId val="210982448"/>
      </c:barChart>
      <c:catAx>
        <c:axId val="2109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2448"/>
        <c:crosses val="autoZero"/>
        <c:auto val="1"/>
        <c:lblAlgn val="ctr"/>
        <c:lblOffset val="100"/>
        <c:noMultiLvlLbl val="0"/>
      </c:catAx>
      <c:valAx>
        <c:axId val="21098244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20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37795275933"/>
          <c:y val="4.46774879397062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7'!$F$16:$H$16</c:f>
              <c:numCache>
                <c:formatCode>#,##0.0</c:formatCode>
                <c:ptCount val="3"/>
                <c:pt idx="0">
                  <c:v>27.490811514150703</c:v>
                </c:pt>
                <c:pt idx="1">
                  <c:v>14.763781853968377</c:v>
                </c:pt>
                <c:pt idx="2">
                  <c:v>16.462666950577489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D-4A33-BAC9-9BBEE82C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7744"/>
        <c:axId val="210977352"/>
      </c:barChart>
      <c:catAx>
        <c:axId val="21097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7352"/>
        <c:crosses val="autoZero"/>
        <c:auto val="1"/>
        <c:lblAlgn val="ctr"/>
        <c:lblOffset val="100"/>
        <c:noMultiLvlLbl val="0"/>
      </c:catAx>
      <c:valAx>
        <c:axId val="21097735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7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47625</xdr:rowOff>
    </xdr:from>
    <xdr:to>
      <xdr:col>14</xdr:col>
      <xdr:colOff>962025</xdr:colOff>
      <xdr:row>11</xdr:row>
      <xdr:rowOff>142875</xdr:rowOff>
    </xdr:to>
    <xdr:graphicFrame macro="">
      <xdr:nvGraphicFramePr>
        <xdr:cNvPr id="17505" name="Chart 1">
          <a:extLst>
            <a:ext uri="{FF2B5EF4-FFF2-40B4-BE49-F238E27FC236}">
              <a16:creationId xmlns:a16="http://schemas.microsoft.com/office/drawing/2014/main" id="{00000000-0008-0000-0000-00006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95250</xdr:rowOff>
    </xdr:from>
    <xdr:to>
      <xdr:col>19</xdr:col>
      <xdr:colOff>962025</xdr:colOff>
      <xdr:row>11</xdr:row>
      <xdr:rowOff>142875</xdr:rowOff>
    </xdr:to>
    <xdr:graphicFrame macro="">
      <xdr:nvGraphicFramePr>
        <xdr:cNvPr id="17507" name="Chart 5">
          <a:extLst>
            <a:ext uri="{FF2B5EF4-FFF2-40B4-BE49-F238E27FC236}">
              <a16:creationId xmlns:a16="http://schemas.microsoft.com/office/drawing/2014/main" id="{00000000-0008-0000-0000-00006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12</xdr:row>
      <xdr:rowOff>133350</xdr:rowOff>
    </xdr:from>
    <xdr:to>
      <xdr:col>20</xdr:col>
      <xdr:colOff>0</xdr:colOff>
      <xdr:row>24</xdr:row>
      <xdr:rowOff>190500</xdr:rowOff>
    </xdr:to>
    <xdr:graphicFrame macro="">
      <xdr:nvGraphicFramePr>
        <xdr:cNvPr id="17508" name="Chart 7">
          <a:extLst>
            <a:ext uri="{FF2B5EF4-FFF2-40B4-BE49-F238E27FC236}">
              <a16:creationId xmlns:a16="http://schemas.microsoft.com/office/drawing/2014/main" id="{00000000-0008-0000-0000-00006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12</xdr:row>
      <xdr:rowOff>190500</xdr:rowOff>
    </xdr:from>
    <xdr:to>
      <xdr:col>14</xdr:col>
      <xdr:colOff>962025</xdr:colOff>
      <xdr:row>24</xdr:row>
      <xdr:rowOff>180975</xdr:rowOff>
    </xdr:to>
    <xdr:graphicFrame macro="">
      <xdr:nvGraphicFramePr>
        <xdr:cNvPr id="17509" name="Chart 8">
          <a:extLst>
            <a:ext uri="{FF2B5EF4-FFF2-40B4-BE49-F238E27FC236}">
              <a16:creationId xmlns:a16="http://schemas.microsoft.com/office/drawing/2014/main" id="{00000000-0008-0000-0000-00006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452437</xdr:colOff>
      <xdr:row>3</xdr:row>
      <xdr:rowOff>1071562</xdr:rowOff>
    </xdr:from>
    <xdr:to>
      <xdr:col>22</xdr:col>
      <xdr:colOff>625737</xdr:colOff>
      <xdr:row>16</xdr:row>
      <xdr:rowOff>35718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66281" y="1607343"/>
          <a:ext cx="1792550" cy="2190750"/>
        </a:xfrm>
        <a:prstGeom prst="wedgeEllipseCallout">
          <a:avLst>
            <a:gd name="adj1" fmla="val -166660"/>
            <a:gd name="adj2" fmla="val 6643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631031</xdr:colOff>
      <xdr:row>32</xdr:row>
      <xdr:rowOff>11905</xdr:rowOff>
    </xdr:from>
    <xdr:to>
      <xdr:col>14</xdr:col>
      <xdr:colOff>700088</xdr:colOff>
      <xdr:row>39</xdr:row>
      <xdr:rowOff>69848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79594" y="6441280"/>
          <a:ext cx="2997994" cy="1224756"/>
        </a:xfrm>
        <a:prstGeom prst="wedgeEllipseCallout">
          <a:avLst>
            <a:gd name="adj1" fmla="val -72883"/>
            <a:gd name="adj2" fmla="val 17607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47625</xdr:rowOff>
    </xdr:from>
    <xdr:to>
      <xdr:col>18</xdr:col>
      <xdr:colOff>0</xdr:colOff>
      <xdr:row>12</xdr:row>
      <xdr:rowOff>19050</xdr:rowOff>
    </xdr:to>
    <xdr:graphicFrame macro="">
      <xdr:nvGraphicFramePr>
        <xdr:cNvPr id="18506" name="Chart 1">
          <a:extLst>
            <a:ext uri="{FF2B5EF4-FFF2-40B4-BE49-F238E27FC236}">
              <a16:creationId xmlns:a16="http://schemas.microsoft.com/office/drawing/2014/main" id="{00000000-0008-0000-0100-00004A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12</xdr:row>
      <xdr:rowOff>114300</xdr:rowOff>
    </xdr:from>
    <xdr:to>
      <xdr:col>18</xdr:col>
      <xdr:colOff>0</xdr:colOff>
      <xdr:row>23</xdr:row>
      <xdr:rowOff>38100</xdr:rowOff>
    </xdr:to>
    <xdr:graphicFrame macro="">
      <xdr:nvGraphicFramePr>
        <xdr:cNvPr id="18507" name="Chart 8">
          <a:extLst>
            <a:ext uri="{FF2B5EF4-FFF2-40B4-BE49-F238E27FC236}">
              <a16:creationId xmlns:a16="http://schemas.microsoft.com/office/drawing/2014/main" id="{00000000-0008-0000-0100-00004B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142875</xdr:rowOff>
    </xdr:from>
    <xdr:to>
      <xdr:col>18</xdr:col>
      <xdr:colOff>19050</xdr:colOff>
      <xdr:row>36</xdr:row>
      <xdr:rowOff>148166</xdr:rowOff>
    </xdr:to>
    <xdr:graphicFrame macro="">
      <xdr:nvGraphicFramePr>
        <xdr:cNvPr id="18508" name="Chart 8">
          <a:extLst>
            <a:ext uri="{FF2B5EF4-FFF2-40B4-BE49-F238E27FC236}">
              <a16:creationId xmlns:a16="http://schemas.microsoft.com/office/drawing/2014/main" id="{00000000-0008-0000-0100-00004C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</xdr:row>
      <xdr:rowOff>57150</xdr:rowOff>
    </xdr:from>
    <xdr:to>
      <xdr:col>21</xdr:col>
      <xdr:colOff>962025</xdr:colOff>
      <xdr:row>12</xdr:row>
      <xdr:rowOff>19050</xdr:rowOff>
    </xdr:to>
    <xdr:graphicFrame macro="">
      <xdr:nvGraphicFramePr>
        <xdr:cNvPr id="18510" name="Chart 5">
          <a:extLst>
            <a:ext uri="{FF2B5EF4-FFF2-40B4-BE49-F238E27FC236}">
              <a16:creationId xmlns:a16="http://schemas.microsoft.com/office/drawing/2014/main" id="{00000000-0008-0000-0100-00004E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12</xdr:row>
      <xdr:rowOff>114300</xdr:rowOff>
    </xdr:from>
    <xdr:to>
      <xdr:col>21</xdr:col>
      <xdr:colOff>962025</xdr:colOff>
      <xdr:row>23</xdr:row>
      <xdr:rowOff>38100</xdr:rowOff>
    </xdr:to>
    <xdr:graphicFrame macro="">
      <xdr:nvGraphicFramePr>
        <xdr:cNvPr id="18511" name="Chart 8">
          <a:extLst>
            <a:ext uri="{FF2B5EF4-FFF2-40B4-BE49-F238E27FC236}">
              <a16:creationId xmlns:a16="http://schemas.microsoft.com/office/drawing/2014/main" id="{00000000-0008-0000-0100-00004F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23</xdr:row>
      <xdr:rowOff>142875</xdr:rowOff>
    </xdr:from>
    <xdr:to>
      <xdr:col>21</xdr:col>
      <xdr:colOff>933450</xdr:colOff>
      <xdr:row>37</xdr:row>
      <xdr:rowOff>21167</xdr:rowOff>
    </xdr:to>
    <xdr:graphicFrame macro="">
      <xdr:nvGraphicFramePr>
        <xdr:cNvPr id="18512" name="Chart 8">
          <a:extLst>
            <a:ext uri="{FF2B5EF4-FFF2-40B4-BE49-F238E27FC236}">
              <a16:creationId xmlns:a16="http://schemas.microsoft.com/office/drawing/2014/main" id="{00000000-0008-0000-0100-000050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491066</xdr:colOff>
      <xdr:row>36</xdr:row>
      <xdr:rowOff>148167</xdr:rowOff>
    </xdr:from>
    <xdr:to>
      <xdr:col>17</xdr:col>
      <xdr:colOff>476249</xdr:colOff>
      <xdr:row>45</xdr:row>
      <xdr:rowOff>128323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03733" y="6519334"/>
          <a:ext cx="1932516" cy="1430072"/>
        </a:xfrm>
        <a:prstGeom prst="wedgeEllipseCallout">
          <a:avLst>
            <a:gd name="adj1" fmla="val -68354"/>
            <a:gd name="adj2" fmla="val 579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190501</xdr:colOff>
      <xdr:row>4</xdr:row>
      <xdr:rowOff>476250</xdr:rowOff>
    </xdr:from>
    <xdr:to>
      <xdr:col>24</xdr:col>
      <xdr:colOff>257967</xdr:colOff>
      <xdr:row>16</xdr:row>
      <xdr:rowOff>74083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425084" y="1195917"/>
          <a:ext cx="1792550" cy="2053166"/>
        </a:xfrm>
        <a:prstGeom prst="wedgeEllipseCallout">
          <a:avLst>
            <a:gd name="adj1" fmla="val -126143"/>
            <a:gd name="adj2" fmla="val 51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U90"/>
  <sheetViews>
    <sheetView showGridLines="0" view="pageBreakPreview" topLeftCell="A52" zoomScaleNormal="100" zoomScaleSheetLayoutView="100" workbookViewId="0">
      <selection activeCell="G24" sqref="G24"/>
    </sheetView>
  </sheetViews>
  <sheetFormatPr defaultRowHeight="15" x14ac:dyDescent="0.2"/>
  <cols>
    <col min="1" max="1" width="6.5546875" customWidth="1"/>
    <col min="2" max="2" width="10.88671875" customWidth="1"/>
    <col min="6" max="6" width="1.33203125" customWidth="1"/>
    <col min="10" max="10" width="1.33203125" style="471" customWidth="1"/>
    <col min="11" max="11" width="3.44140625" customWidth="1"/>
    <col min="12" max="15" width="11.33203125" customWidth="1"/>
    <col min="16" max="16" width="1.77734375" customWidth="1"/>
    <col min="17" max="20" width="11.44140625" customWidth="1"/>
    <col min="21" max="21" width="10" customWidth="1"/>
  </cols>
  <sheetData>
    <row r="1" spans="1:20" x14ac:dyDescent="0.2">
      <c r="A1" s="1" t="s">
        <v>165</v>
      </c>
      <c r="B1" s="2"/>
      <c r="C1" s="2"/>
      <c r="D1" s="2"/>
      <c r="E1" s="2"/>
      <c r="F1" s="2"/>
      <c r="G1" s="2"/>
      <c r="H1" s="2"/>
      <c r="I1" s="2"/>
      <c r="J1" s="65"/>
    </row>
    <row r="2" spans="1:20" s="1" customFormat="1" ht="14.25" x14ac:dyDescent="0.2">
      <c r="A2" s="1" t="s">
        <v>146</v>
      </c>
      <c r="B2" s="2"/>
      <c r="C2" s="2"/>
      <c r="D2" s="2"/>
      <c r="E2" s="2"/>
      <c r="F2" s="2"/>
      <c r="G2" s="2"/>
      <c r="H2" s="2"/>
      <c r="I2" s="2"/>
      <c r="J2" s="65"/>
    </row>
    <row r="3" spans="1:20" s="1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199"/>
      <c r="L3" s="468" t="s">
        <v>132</v>
      </c>
      <c r="M3" s="135"/>
      <c r="N3" s="135"/>
      <c r="O3" s="212"/>
      <c r="Q3" s="468" t="s">
        <v>65</v>
      </c>
      <c r="R3" s="135"/>
      <c r="S3" s="135"/>
      <c r="T3" s="212"/>
    </row>
    <row r="4" spans="1:20" s="1" customFormat="1" ht="33" customHeight="1" x14ac:dyDescent="0.2">
      <c r="A4" s="135"/>
      <c r="B4" s="135"/>
      <c r="C4" s="16" t="s">
        <v>132</v>
      </c>
      <c r="D4" s="16"/>
      <c r="E4" s="16"/>
      <c r="F4" s="33" t="s">
        <v>64</v>
      </c>
      <c r="G4" s="478" t="s">
        <v>65</v>
      </c>
      <c r="H4" s="16"/>
      <c r="I4" s="16"/>
      <c r="J4" s="30"/>
      <c r="L4" s="70"/>
      <c r="M4" s="2"/>
      <c r="N4" s="2"/>
      <c r="O4" s="69"/>
      <c r="Q4" s="70"/>
      <c r="R4" s="2"/>
      <c r="S4" s="2"/>
      <c r="T4" s="69"/>
    </row>
    <row r="5" spans="1:20" s="1" customFormat="1" ht="14.25" x14ac:dyDescent="0.2">
      <c r="A5" s="3"/>
      <c r="B5" s="3"/>
      <c r="C5" s="169">
        <v>2000</v>
      </c>
      <c r="D5" s="169">
        <v>2011</v>
      </c>
      <c r="E5" s="169">
        <v>2016</v>
      </c>
      <c r="F5" s="850">
        <v>2</v>
      </c>
      <c r="G5" s="851">
        <v>2000</v>
      </c>
      <c r="H5" s="169">
        <v>2011</v>
      </c>
      <c r="I5" s="852">
        <v>2016</v>
      </c>
      <c r="J5" s="463">
        <v>2</v>
      </c>
      <c r="L5" s="70"/>
      <c r="M5" s="2"/>
      <c r="N5" s="2"/>
      <c r="O5" s="69"/>
      <c r="Q5" s="70"/>
      <c r="R5" s="2"/>
      <c r="S5" s="2"/>
      <c r="T5" s="69"/>
    </row>
    <row r="6" spans="1:20" s="1" customFormat="1" ht="12.75" x14ac:dyDescent="0.2">
      <c r="A6" s="404" t="s">
        <v>180</v>
      </c>
      <c r="B6" s="404"/>
      <c r="C6" s="413">
        <f>('Attainment 25+ by race &amp; gender'!CR5/'Pop 25+ by race &amp; gender'!AS4)*100</f>
        <v>80.398823480205891</v>
      </c>
      <c r="D6" s="413">
        <f>('Attainment 25+ by race &amp; gender'!DQ5/'Pop 25+ by race &amp; gender'!CU4)*100</f>
        <v>85.619080761011233</v>
      </c>
      <c r="E6" s="413">
        <f>('Attainment 25+ by race &amp; gender'!EK5/'Pop 25+ by race &amp; gender'!DO4)*100</f>
        <v>87.45294712248716</v>
      </c>
      <c r="F6" s="413"/>
      <c r="G6" s="414">
        <f>('Attainment 25+ by race &amp; gender'!NQ5/'Pop 25+ by race &amp; gender'!AS4)*100</f>
        <v>24.401627274753839</v>
      </c>
      <c r="H6" s="413">
        <f>('Attainment 25+ by race &amp; gender'!PC5/'Pop 25+ by race &amp; gender'!CU4)*100</f>
        <v>28.246235539450016</v>
      </c>
      <c r="I6" s="413">
        <f>('Attainment 25+ by race &amp; gender'!PW5/'Pop 25+ by race &amp; gender'!DO4)*100</f>
        <v>31.277778632183345</v>
      </c>
      <c r="J6" s="464"/>
      <c r="L6" s="70"/>
      <c r="M6" s="2"/>
      <c r="N6" s="2"/>
      <c r="O6" s="69"/>
      <c r="Q6" s="70"/>
      <c r="R6" s="2"/>
      <c r="S6" s="2"/>
      <c r="T6" s="69"/>
    </row>
    <row r="7" spans="1:20" s="1" customFormat="1" ht="12.75" x14ac:dyDescent="0.2">
      <c r="A7" s="405" t="s">
        <v>63</v>
      </c>
      <c r="B7" s="405"/>
      <c r="C7" s="415">
        <f>('Attainment 25+ by race &amp; gender'!CR6/'Pop 25+ by race &amp; gender'!AS5)*100</f>
        <v>77.731477376744422</v>
      </c>
      <c r="D7" s="415">
        <f>('Attainment 25+ by race &amp; gender'!DQ6/'Pop 25+ by race &amp; gender'!CU5)*100</f>
        <v>83.819678864814065</v>
      </c>
      <c r="E7" s="415">
        <f>('Attainment 25+ by race &amp; gender'!EK6/'Pop 25+ by race &amp; gender'!DO5)*100</f>
        <v>86.165741185195841</v>
      </c>
      <c r="F7" s="415"/>
      <c r="G7" s="163">
        <f>('Attainment 25+ by race &amp; gender'!NQ6/'Pop 25+ by race &amp; gender'!AS5)*100</f>
        <v>22.445458340036208</v>
      </c>
      <c r="H7" s="415">
        <f>('Attainment 25+ by race &amp; gender'!PC6/'Pop 25+ by race &amp; gender'!CU5)*100</f>
        <v>25.932939842047436</v>
      </c>
      <c r="I7" s="755">
        <f>('Attainment 25+ by race &amp; gender'!PW6/'Pop 25+ by race &amp; gender'!DO5)*100</f>
        <v>28.913492016155718</v>
      </c>
      <c r="J7" s="469"/>
      <c r="L7" s="70"/>
      <c r="M7" s="2"/>
      <c r="N7" s="2"/>
      <c r="O7" s="69"/>
      <c r="Q7" s="70"/>
      <c r="R7" s="2"/>
      <c r="S7" s="2"/>
      <c r="T7" s="69"/>
    </row>
    <row r="8" spans="1:20" s="1" customFormat="1" ht="14.25" x14ac:dyDescent="0.2">
      <c r="A8" s="405" t="s">
        <v>189</v>
      </c>
      <c r="B8" s="405"/>
      <c r="C8" s="415">
        <f>(C7/C$6)*100</f>
        <v>96.682356795783008</v>
      </c>
      <c r="D8" s="415">
        <f>(D7/D$6)*100</f>
        <v>97.89836344865715</v>
      </c>
      <c r="E8" s="415">
        <f>(E7/E$6)*100</f>
        <v>98.528115998779953</v>
      </c>
      <c r="F8" s="415"/>
      <c r="G8" s="163">
        <f t="shared" ref="G8:I8" si="0">(G7/G$6)*100</f>
        <v>91.983448838506348</v>
      </c>
      <c r="H8" s="415">
        <f t="shared" si="0"/>
        <v>91.810251337132271</v>
      </c>
      <c r="I8" s="755">
        <f t="shared" si="0"/>
        <v>92.441002144586804</v>
      </c>
      <c r="J8" s="469"/>
      <c r="L8" s="70"/>
      <c r="M8" s="2"/>
      <c r="N8" s="2"/>
      <c r="O8" s="69"/>
      <c r="Q8" s="70"/>
      <c r="R8" s="2"/>
      <c r="S8" s="2"/>
      <c r="T8" s="69"/>
    </row>
    <row r="9" spans="1:20" s="1" customFormat="1" ht="12.75" x14ac:dyDescent="0.2">
      <c r="A9" s="406" t="s">
        <v>0</v>
      </c>
      <c r="B9" s="406"/>
      <c r="C9" s="416">
        <f>('Attainment 25+ by race &amp; gender'!CR8/'Pop 25+ by race &amp; gender'!AS7)*100</f>
        <v>75.269065595345296</v>
      </c>
      <c r="D9" s="416">
        <f>('Attainment 25+ by race &amp; gender'!DQ8/'Pop 25+ by race &amp; gender'!CU7)*100</f>
        <v>82.3</v>
      </c>
      <c r="E9" s="416">
        <f>('Attainment 25+ by race &amp; gender'!EK8/'Pop 25+ by race &amp; gender'!DO7)*100</f>
        <v>85.103400386522537</v>
      </c>
      <c r="F9" s="416"/>
      <c r="G9" s="417">
        <f>('Attainment 25+ by race &amp; gender'!NQ8/'Pop 25+ by race &amp; gender'!AS7)*100</f>
        <v>19.034702500519497</v>
      </c>
      <c r="H9" s="416">
        <f>('Attainment 25+ by race &amp; gender'!PC8/'Pop 25+ by race &amp; gender'!CU7)*100</f>
        <v>22.099999999999998</v>
      </c>
      <c r="I9" s="416">
        <f>('Attainment 25+ by race &amp; gender'!PW8/'Pop 25+ by race &amp; gender'!DO7)*100</f>
        <v>24.707449572259087</v>
      </c>
      <c r="J9" s="470"/>
      <c r="L9" s="70"/>
      <c r="M9" s="2"/>
      <c r="N9" s="2"/>
      <c r="O9" s="69"/>
      <c r="Q9" s="70"/>
      <c r="R9" s="2"/>
      <c r="S9" s="2"/>
      <c r="T9" s="69"/>
    </row>
    <row r="10" spans="1:20" s="1" customFormat="1" ht="12.75" x14ac:dyDescent="0.2">
      <c r="A10" s="406" t="s">
        <v>1</v>
      </c>
      <c r="B10" s="406"/>
      <c r="C10" s="416">
        <f>('Attainment 25+ by race &amp; gender'!CR9/'Pop 25+ by race &amp; gender'!AS8)*100</f>
        <v>75.309091959334566</v>
      </c>
      <c r="D10" s="416">
        <f>('Attainment 25+ by race &amp; gender'!DQ9/'Pop 25+ by race &amp; gender'!CU8)*100</f>
        <v>83</v>
      </c>
      <c r="E10" s="416">
        <f>('Attainment 25+ by race &amp; gender'!EK9/'Pop 25+ by race &amp; gender'!DO8)*100</f>
        <v>85.951805824618376</v>
      </c>
      <c r="F10" s="416"/>
      <c r="G10" s="417">
        <f>('Attainment 25+ by race &amp; gender'!NQ9/'Pop 25+ by race &amp; gender'!AS8)*100</f>
        <v>16.660582255083177</v>
      </c>
      <c r="H10" s="416">
        <f>('Attainment 25+ by race &amp; gender'!PC9/'Pop 25+ by race &amp; gender'!CU8)*100</f>
        <v>19.5</v>
      </c>
      <c r="I10" s="416">
        <f>('Attainment 25+ by race &amp; gender'!PW9/'Pop 25+ by race &amp; gender'!DO8)*100</f>
        <v>22.3986258369975</v>
      </c>
      <c r="J10" s="470"/>
      <c r="L10" s="70"/>
      <c r="M10" s="2"/>
      <c r="N10" s="2"/>
      <c r="O10" s="69"/>
      <c r="Q10" s="70"/>
      <c r="R10" s="2"/>
      <c r="S10" s="2"/>
      <c r="T10" s="69"/>
    </row>
    <row r="11" spans="1:20" s="1" customFormat="1" ht="12.75" x14ac:dyDescent="0.2">
      <c r="A11" s="406" t="s">
        <v>2</v>
      </c>
      <c r="B11" s="406"/>
      <c r="C11" s="416">
        <f>('Attainment 25+ by race &amp; gender'!CR10/'Pop 25+ by race &amp; gender'!AS9)*100</f>
        <v>82.602815850525985</v>
      </c>
      <c r="D11" s="416">
        <f>('Attainment 25+ by race &amp; gender'!DQ10/'Pop 25+ by race &amp; gender'!CU9)*100</f>
        <v>87.199999999999989</v>
      </c>
      <c r="E11" s="416">
        <f>('Attainment 25+ by race &amp; gender'!EK10/'Pop 25+ by race &amp; gender'!DO9)*100</f>
        <v>89.345057784579808</v>
      </c>
      <c r="F11" s="416"/>
      <c r="G11" s="417">
        <f>('Attainment 25+ by race &amp; gender'!NQ10/'Pop 25+ by race &amp; gender'!AS9)*100</f>
        <v>25.049061706997655</v>
      </c>
      <c r="H11" s="416">
        <f>('Attainment 25+ by race &amp; gender'!PC10/'Pop 25+ by race &amp; gender'!CU9)*100</f>
        <v>28.400000000000002</v>
      </c>
      <c r="I11" s="416">
        <f>('Attainment 25+ by race &amp; gender'!PW10/'Pop 25+ by race &amp; gender'!DO9)*100</f>
        <v>30.951615508031882</v>
      </c>
      <c r="J11" s="470"/>
      <c r="L11" s="70"/>
      <c r="M11" s="2"/>
      <c r="N11" s="2"/>
      <c r="O11" s="69"/>
      <c r="Q11" s="70"/>
      <c r="R11" s="2"/>
      <c r="S11" s="2"/>
      <c r="T11" s="69"/>
    </row>
    <row r="12" spans="1:20" s="1" customFormat="1" ht="12.75" x14ac:dyDescent="0.2">
      <c r="A12" s="406" t="s">
        <v>3</v>
      </c>
      <c r="B12" s="406"/>
      <c r="C12" s="416">
        <f>('Attainment 25+ by race &amp; gender'!CR11/'Pop 25+ by race &amp; gender'!AS10)*100</f>
        <v>79.863768856049333</v>
      </c>
      <c r="D12" s="416">
        <f>('Attainment 25+ by race &amp; gender'!DQ11/'Pop 25+ by race &amp; gender'!CU10)*100</f>
        <v>85.7</v>
      </c>
      <c r="E12" s="416">
        <f>('Attainment 25+ by race &amp; gender'!EK11/'Pop 25+ by race &amp; gender'!DO10)*100</f>
        <v>87.382654304493073</v>
      </c>
      <c r="F12" s="416"/>
      <c r="G12" s="417">
        <f>('Attainment 25+ by race &amp; gender'!NQ11/'Pop 25+ by race &amp; gender'!AS10)*100</f>
        <v>22.334759985468917</v>
      </c>
      <c r="H12" s="416">
        <f>('Attainment 25+ by race &amp; gender'!PC11/'Pop 25+ by race &amp; gender'!CU10)*100</f>
        <v>25.7</v>
      </c>
      <c r="I12" s="416">
        <f>('Attainment 25+ by race &amp; gender'!PW11/'Pop 25+ by race &amp; gender'!DO10)*100</f>
        <v>28.621804718019057</v>
      </c>
      <c r="J12" s="470"/>
      <c r="L12" s="70"/>
      <c r="M12" s="2"/>
      <c r="N12" s="2"/>
      <c r="O12" s="69"/>
      <c r="Q12" s="70"/>
      <c r="R12" s="2"/>
      <c r="S12" s="2"/>
      <c r="T12" s="69"/>
    </row>
    <row r="13" spans="1:20" s="1" customFormat="1" ht="12.75" x14ac:dyDescent="0.2">
      <c r="A13" s="407" t="s">
        <v>4</v>
      </c>
      <c r="B13" s="407"/>
      <c r="C13" s="415">
        <f>('Attainment 25+ by race &amp; gender'!CR12/'Pop 25+ by race &amp; gender'!AS11)*100</f>
        <v>78.570063623645751</v>
      </c>
      <c r="D13" s="415">
        <f>('Attainment 25+ by race &amp; gender'!DQ12/'Pop 25+ by race &amp; gender'!CU11)*100</f>
        <v>84.300000000000011</v>
      </c>
      <c r="E13" s="415">
        <f>('Attainment 25+ by race &amp; gender'!EK12/'Pop 25+ by race &amp; gender'!DO11)*100</f>
        <v>86.402766530172528</v>
      </c>
      <c r="F13" s="418"/>
      <c r="G13" s="163">
        <f>('Attainment 25+ by race &amp; gender'!NQ12/'Pop 25+ by race &amp; gender'!AS11)*100</f>
        <v>24.299778344049759</v>
      </c>
      <c r="H13" s="415">
        <f>('Attainment 25+ by race &amp; gender'!PC12/'Pop 25+ by race &amp; gender'!CU11)*100</f>
        <v>27.400000000000002</v>
      </c>
      <c r="I13" s="415">
        <f>('Attainment 25+ by race &amp; gender'!PW12/'Pop 25+ by race &amp; gender'!DO11)*100</f>
        <v>30.451815995973707</v>
      </c>
      <c r="J13" s="20"/>
      <c r="L13" s="70"/>
      <c r="M13" s="2"/>
      <c r="N13" s="2"/>
      <c r="O13" s="69"/>
      <c r="Q13" s="70"/>
      <c r="R13" s="2"/>
      <c r="S13" s="2"/>
      <c r="T13" s="69"/>
    </row>
    <row r="14" spans="1:20" s="1" customFormat="1" ht="12.75" x14ac:dyDescent="0.2">
      <c r="A14" s="407" t="s">
        <v>5</v>
      </c>
      <c r="B14" s="407"/>
      <c r="C14" s="415">
        <f>('Attainment 25+ by race &amp; gender'!CR13/'Pop 25+ by race &amp; gender'!AS12)*100</f>
        <v>74.115750584662848</v>
      </c>
      <c r="D14" s="415">
        <f>('Attainment 25+ by race &amp; gender'!DQ13/'Pop 25+ by race &amp; gender'!CU12)*100</f>
        <v>82.199999999999989</v>
      </c>
      <c r="E14" s="415">
        <f>('Attainment 25+ by race &amp; gender'!EK13/'Pop 25+ by race &amp; gender'!DO12)*100</f>
        <v>85.6965877919245</v>
      </c>
      <c r="F14" s="418"/>
      <c r="G14" s="163">
        <f>('Attainment 25+ by race &amp; gender'!NQ13/'Pop 25+ by race &amp; gender'!AS12)*100</f>
        <v>17.13533532572777</v>
      </c>
      <c r="H14" s="415">
        <f>('Attainment 25+ by race &amp; gender'!PC13/'Pop 25+ by race &amp; gender'!CU12)*100</f>
        <v>20.9</v>
      </c>
      <c r="I14" s="415">
        <f>('Attainment 25+ by race &amp; gender'!PW13/'Pop 25+ by race &amp; gender'!DO12)*100</f>
        <v>23.446466026308048</v>
      </c>
      <c r="J14" s="20"/>
      <c r="L14" s="70"/>
      <c r="M14" s="2"/>
      <c r="N14" s="2"/>
      <c r="O14" s="69"/>
      <c r="Q14" s="70"/>
      <c r="R14" s="2"/>
      <c r="S14" s="2"/>
      <c r="T14" s="69"/>
    </row>
    <row r="15" spans="1:20" s="1" customFormat="1" ht="12.75" x14ac:dyDescent="0.2">
      <c r="A15" s="407" t="s">
        <v>6</v>
      </c>
      <c r="B15" s="407"/>
      <c r="C15" s="415">
        <f>('Attainment 25+ by race &amp; gender'!CR14/'Pop 25+ by race &amp; gender'!AS13)*100</f>
        <v>74.813184659307908</v>
      </c>
      <c r="D15" s="415">
        <f>('Attainment 25+ by race &amp; gender'!DQ14/'Pop 25+ by race &amp; gender'!CU13)*100</f>
        <v>82.100000000000009</v>
      </c>
      <c r="E15" s="415">
        <f>('Attainment 25+ by race &amp; gender'!EK14/'Pop 25+ by race &amp; gender'!DO13)*100</f>
        <v>84.384113103607689</v>
      </c>
      <c r="F15" s="418"/>
      <c r="G15" s="163">
        <f>('Attainment 25+ by race &amp; gender'!NQ14/'Pop 25+ by race &amp; gender'!AS13)*100</f>
        <v>18.727580357618969</v>
      </c>
      <c r="H15" s="415">
        <f>('Attainment 25+ by race &amp; gender'!PC14/'Pop 25+ by race &amp; gender'!CU13)*100</f>
        <v>21.400000000000002</v>
      </c>
      <c r="I15" s="415">
        <f>('Attainment 25+ by race &amp; gender'!PW14/'Pop 25+ by race &amp; gender'!DO13)*100</f>
        <v>23.367618827487462</v>
      </c>
      <c r="J15" s="20"/>
      <c r="L15" s="70"/>
      <c r="M15" s="2"/>
      <c r="N15" s="2"/>
      <c r="O15" s="69"/>
      <c r="Q15" s="70"/>
      <c r="R15" s="2"/>
      <c r="S15" s="2"/>
      <c r="T15" s="69"/>
    </row>
    <row r="16" spans="1:20" s="1" customFormat="1" ht="12.75" x14ac:dyDescent="0.2">
      <c r="A16" s="407" t="s">
        <v>7</v>
      </c>
      <c r="B16" s="407"/>
      <c r="C16" s="415">
        <f>('Attainment 25+ by race &amp; gender'!CR15/'Pop 25+ by race &amp; gender'!AS14)*100</f>
        <v>83.834340076582109</v>
      </c>
      <c r="D16" s="415">
        <f>('Attainment 25+ by race &amp; gender'!DQ15/'Pop 25+ by race &amp; gender'!CU14)*100</f>
        <v>88.299999999999983</v>
      </c>
      <c r="E16" s="415">
        <f>('Attainment 25+ by race &amp; gender'!EK15/'Pop 25+ by race &amp; gender'!DO14)*100</f>
        <v>90.12181419660071</v>
      </c>
      <c r="F16" s="418"/>
      <c r="G16" s="163">
        <f>('Attainment 25+ by race &amp; gender'!NQ15/'Pop 25+ by race &amp; gender'!AS14)*100</f>
        <v>31.449867619103472</v>
      </c>
      <c r="H16" s="415">
        <f>('Attainment 25+ by race &amp; gender'!PC15/'Pop 25+ by race &amp; gender'!CU14)*100</f>
        <v>36.200000000000003</v>
      </c>
      <c r="I16" s="415">
        <f>('Attainment 25+ by race &amp; gender'!PW15/'Pop 25+ by race &amp; gender'!DO14)*100</f>
        <v>39.32385334364421</v>
      </c>
      <c r="J16" s="20"/>
      <c r="L16" s="70"/>
      <c r="M16" s="2"/>
      <c r="N16" s="2"/>
      <c r="O16" s="69"/>
      <c r="Q16" s="70"/>
      <c r="R16" s="2"/>
      <c r="S16" s="2"/>
      <c r="T16" s="69"/>
    </row>
    <row r="17" spans="1:20" s="1" customFormat="1" ht="12.75" x14ac:dyDescent="0.2">
      <c r="A17" s="406" t="s">
        <v>8</v>
      </c>
      <c r="B17" s="406"/>
      <c r="C17" s="416">
        <f>('Attainment 25+ by race &amp; gender'!CR16/'Pop 25+ by race &amp; gender'!AS15)*100</f>
        <v>72.857730536888127</v>
      </c>
      <c r="D17" s="416">
        <f>('Attainment 25+ by race &amp; gender'!DQ16/'Pop 25+ by race &amp; gender'!CU15)*100</f>
        <v>80.800000000000011</v>
      </c>
      <c r="E17" s="416">
        <f>('Attainment 25+ by race &amp; gender'!EK16/'Pop 25+ by race &amp; gender'!DO15)*100</f>
        <v>84.122099802659349</v>
      </c>
      <c r="F17" s="416"/>
      <c r="G17" s="417">
        <f>('Attainment 25+ by race &amp; gender'!NQ16/'Pop 25+ by race &amp; gender'!AS15)*100</f>
        <v>16.904018567103478</v>
      </c>
      <c r="H17" s="416">
        <f>('Attainment 25+ by race &amp; gender'!PC16/'Pop 25+ by race &amp; gender'!CU15)*100</f>
        <v>19.600000000000001</v>
      </c>
      <c r="I17" s="416">
        <f>('Attainment 25+ by race &amp; gender'!PW16/'Pop 25+ by race &amp; gender'!DO15)*100</f>
        <v>21.781206343107026</v>
      </c>
      <c r="J17" s="470"/>
      <c r="L17" s="70"/>
      <c r="M17" s="2"/>
      <c r="N17" s="2"/>
      <c r="O17" s="69"/>
      <c r="Q17" s="70"/>
      <c r="R17" s="2"/>
      <c r="S17" s="2"/>
      <c r="T17" s="69"/>
    </row>
    <row r="18" spans="1:20" s="1" customFormat="1" ht="12.75" x14ac:dyDescent="0.2">
      <c r="A18" s="406" t="s">
        <v>9</v>
      </c>
      <c r="B18" s="406"/>
      <c r="C18" s="416">
        <f>('Attainment 25+ by race &amp; gender'!CR17/'Pop 25+ by race &amp; gender'!AS16)*100</f>
        <v>78.142621399910723</v>
      </c>
      <c r="D18" s="416">
        <f>('Attainment 25+ by race &amp; gender'!DQ17/'Pop 25+ by race &amp; gender'!CU16)*100</f>
        <v>84.5</v>
      </c>
      <c r="E18" s="416">
        <f>('Attainment 25+ by race &amp; gender'!EK17/'Pop 25+ by race &amp; gender'!DO16)*100</f>
        <v>87.302988068519312</v>
      </c>
      <c r="F18" s="416"/>
      <c r="G18" s="417">
        <f>('Attainment 25+ by race &amp; gender'!NQ17/'Pop 25+ by race &amp; gender'!AS16)*100</f>
        <v>22.462887521734835</v>
      </c>
      <c r="H18" s="416">
        <f>('Attainment 25+ by race &amp; gender'!PC17/'Pop 25+ by race &amp; gender'!CU16)*100</f>
        <v>26.599999999999994</v>
      </c>
      <c r="I18" s="416">
        <f>('Attainment 25+ by race &amp; gender'!PW17/'Pop 25+ by race &amp; gender'!DO16)*100</f>
        <v>30.406409017643121</v>
      </c>
      <c r="J18" s="470"/>
      <c r="L18" s="70"/>
      <c r="M18" s="2"/>
      <c r="N18" s="2"/>
      <c r="O18" s="69"/>
      <c r="Q18" s="70"/>
      <c r="R18" s="2"/>
      <c r="S18" s="2"/>
      <c r="T18" s="69"/>
    </row>
    <row r="19" spans="1:20" s="1" customFormat="1" ht="12.75" x14ac:dyDescent="0.2">
      <c r="A19" s="406" t="s">
        <v>10</v>
      </c>
      <c r="B19" s="406"/>
      <c r="C19" s="416">
        <f>('Attainment 25+ by race &amp; gender'!CR18/'Pop 25+ by race &amp; gender'!AS17)*100</f>
        <v>80.608286321591621</v>
      </c>
      <c r="D19" s="416">
        <f>('Attainment 25+ by race &amp; gender'!DQ18/'Pop 25+ by race &amp; gender'!CU17)*100</f>
        <v>86.1</v>
      </c>
      <c r="E19" s="416">
        <f>('Attainment 25+ by race &amp; gender'!EK18/'Pop 25+ by race &amp; gender'!DO17)*100</f>
        <v>87.827748561616019</v>
      </c>
      <c r="F19" s="416"/>
      <c r="G19" s="417">
        <f>('Attainment 25+ by race &amp; gender'!NQ18/'Pop 25+ by race &amp; gender'!AS17)*100</f>
        <v>20.278525562904047</v>
      </c>
      <c r="H19" s="416">
        <f>('Attainment 25+ by race &amp; gender'!PC18/'Pop 25+ by race &amp; gender'!CU17)*100</f>
        <v>23.1</v>
      </c>
      <c r="I19" s="416">
        <f>('Attainment 25+ by race &amp; gender'!PW18/'Pop 25+ by race &amp; gender'!DO17)*100</f>
        <v>25.223826389115722</v>
      </c>
      <c r="J19" s="470"/>
      <c r="L19" s="70"/>
      <c r="M19" s="2"/>
      <c r="N19" s="2"/>
      <c r="O19" s="69"/>
      <c r="Q19" s="70"/>
      <c r="R19" s="2"/>
      <c r="S19" s="2"/>
      <c r="T19" s="69"/>
    </row>
    <row r="20" spans="1:20" s="1" customFormat="1" ht="12.75" x14ac:dyDescent="0.2">
      <c r="A20" s="406" t="s">
        <v>11</v>
      </c>
      <c r="B20" s="406"/>
      <c r="C20" s="416">
        <f>('Attainment 25+ by race &amp; gender'!CR19/'Pop 25+ by race &amp; gender'!AS18)*100</f>
        <v>76.337571889168373</v>
      </c>
      <c r="D20" s="416">
        <f>('Attainment 25+ by race &amp; gender'!DQ19/'Pop 25+ by race &amp; gender'!CU18)*100</f>
        <v>83.90000000000002</v>
      </c>
      <c r="E20" s="416">
        <f>('Attainment 25+ by race &amp; gender'!EK19/'Pop 25+ by race &amp; gender'!DO18)*100</f>
        <v>86.611857365966287</v>
      </c>
      <c r="F20" s="416"/>
      <c r="G20" s="417">
        <f>('Attainment 25+ by race &amp; gender'!NQ19/'Pop 25+ by race &amp; gender'!AS18)*100</f>
        <v>20.41806464535961</v>
      </c>
      <c r="H20" s="416">
        <f>('Attainment 25+ by race &amp; gender'!PC19/'Pop 25+ by race &amp; gender'!CU18)*100</f>
        <v>24.3</v>
      </c>
      <c r="I20" s="416">
        <f>('Attainment 25+ by race &amp; gender'!PW19/'Pop 25+ by race &amp; gender'!DO18)*100</f>
        <v>27.224805487776806</v>
      </c>
      <c r="J20" s="470"/>
      <c r="L20" s="70"/>
      <c r="M20" s="2"/>
      <c r="N20" s="2"/>
      <c r="O20" s="69"/>
      <c r="Q20" s="70"/>
      <c r="R20" s="2"/>
      <c r="S20" s="2"/>
      <c r="T20" s="69"/>
    </row>
    <row r="21" spans="1:20" s="1" customFormat="1" ht="12.75" x14ac:dyDescent="0.2">
      <c r="A21" s="408" t="s">
        <v>12</v>
      </c>
      <c r="B21" s="408"/>
      <c r="C21" s="415">
        <f>('Attainment 25+ by race &amp; gender'!CR20/'Pop 25+ by race &amp; gender'!AS19)*100</f>
        <v>75.922527749532165</v>
      </c>
      <c r="D21" s="415">
        <f>('Attainment 25+ by race &amp; gender'!DQ20/'Pop 25+ by race &amp; gender'!CU19)*100</f>
        <v>83.6</v>
      </c>
      <c r="E21" s="415">
        <f>('Attainment 25+ by race &amp; gender'!EK20/'Pop 25+ by race &amp; gender'!DO19)*100</f>
        <v>86.960742605028543</v>
      </c>
      <c r="F21" s="15"/>
      <c r="G21" s="163">
        <f>('Attainment 25+ by race &amp; gender'!NQ20/'Pop 25+ by race &amp; gender'!AS19)*100</f>
        <v>19.564808722624306</v>
      </c>
      <c r="H21" s="415">
        <f>('Attainment 25+ by race &amp; gender'!PC20/'Pop 25+ by race &amp; gender'!CU19)*100</f>
        <v>23.2</v>
      </c>
      <c r="I21" s="415">
        <f>('Attainment 25+ by race &amp; gender'!PW20/'Pop 25+ by race &amp; gender'!DO19)*100</f>
        <v>26.127750542388473</v>
      </c>
      <c r="J21" s="20"/>
      <c r="L21" s="70"/>
      <c r="M21" s="2"/>
      <c r="N21" s="2"/>
      <c r="O21" s="69"/>
      <c r="Q21" s="70"/>
      <c r="R21" s="2"/>
      <c r="S21" s="2"/>
      <c r="T21" s="69"/>
    </row>
    <row r="22" spans="1:20" s="1" customFormat="1" ht="12.75" x14ac:dyDescent="0.2">
      <c r="A22" s="408" t="s">
        <v>13</v>
      </c>
      <c r="B22" s="408"/>
      <c r="C22" s="415">
        <f>('Attainment 25+ by race &amp; gender'!CR21/'Pop 25+ by race &amp; gender'!AS20)*100</f>
        <v>75.650167662257829</v>
      </c>
      <c r="D22" s="415">
        <f>('Attainment 25+ by race &amp; gender'!DQ21/'Pop 25+ by race &amp; gender'!CU20)*100</f>
        <v>80.599999999999994</v>
      </c>
      <c r="E22" s="415">
        <f>('Attainment 25+ by race &amp; gender'!EK21/'Pop 25+ by race &amp; gender'!DO20)*100</f>
        <v>82.920055267765122</v>
      </c>
      <c r="F22" s="15"/>
      <c r="G22" s="163">
        <f>('Attainment 25+ by race &amp; gender'!NQ21/'Pop 25+ by race &amp; gender'!AS20)*100</f>
        <v>23.237572232056042</v>
      </c>
      <c r="H22" s="415">
        <f>('Attainment 25+ by race &amp; gender'!PC21/'Pop 25+ by race &amp; gender'!CU20)*100</f>
        <v>25.999999999999996</v>
      </c>
      <c r="I22" s="415">
        <f>('Attainment 25+ by race &amp; gender'!PW21/'Pop 25+ by race &amp; gender'!DO20)*100</f>
        <v>28.892298742973388</v>
      </c>
      <c r="J22" s="20"/>
      <c r="L22" s="70"/>
      <c r="M22" s="2"/>
      <c r="N22" s="2"/>
      <c r="O22" s="69"/>
      <c r="Q22" s="70"/>
      <c r="R22" s="2"/>
      <c r="S22" s="2"/>
      <c r="T22" s="69"/>
    </row>
    <row r="23" spans="1:20" s="1" customFormat="1" ht="12.75" x14ac:dyDescent="0.2">
      <c r="A23" s="408" t="s">
        <v>14</v>
      </c>
      <c r="B23" s="408"/>
      <c r="C23" s="415">
        <f>('Attainment 25+ by race &amp; gender'!CR22/'Pop 25+ by race &amp; gender'!AS21)*100</f>
        <v>81.472274949459717</v>
      </c>
      <c r="D23" s="415">
        <f>('Attainment 25+ by race &amp; gender'!DQ22/'Pop 25+ by race &amp; gender'!CU21)*100</f>
        <v>87</v>
      </c>
      <c r="E23" s="415">
        <f>('Attainment 25+ by race &amp; gender'!EK22/'Pop 25+ by race &amp; gender'!DO21)*100</f>
        <v>89.262446704548168</v>
      </c>
      <c r="F23" s="15"/>
      <c r="G23" s="163">
        <f>('Attainment 25+ by race &amp; gender'!NQ22/'Pop 25+ by race &amp; gender'!AS21)*100</f>
        <v>29.46461365447114</v>
      </c>
      <c r="H23" s="415">
        <f>('Attainment 25+ by race &amp; gender'!PC22/'Pop 25+ by race &amp; gender'!CU21)*100</f>
        <v>34.5</v>
      </c>
      <c r="I23" s="415">
        <f>('Attainment 25+ by race &amp; gender'!PW22/'Pop 25+ by race &amp; gender'!DO21)*100</f>
        <v>38.081089315075772</v>
      </c>
      <c r="J23" s="20"/>
      <c r="L23" s="70"/>
      <c r="M23" s="2"/>
      <c r="N23" s="2"/>
      <c r="O23" s="69"/>
      <c r="Q23" s="70"/>
      <c r="R23" s="2"/>
      <c r="S23" s="2"/>
      <c r="T23" s="69"/>
    </row>
    <row r="24" spans="1:20" s="1" customFormat="1" ht="12.75" x14ac:dyDescent="0.2">
      <c r="A24" s="409" t="s">
        <v>15</v>
      </c>
      <c r="B24" s="409"/>
      <c r="C24" s="413">
        <f>('Attainment 25+ by race &amp; gender'!CR23/'Pop 25+ by race &amp; gender'!AS22)*100</f>
        <v>75.20924852117534</v>
      </c>
      <c r="D24" s="413">
        <f>('Attainment 25+ by race &amp; gender'!DQ23/'Pop 25+ by race &amp; gender'!CU22)*100</f>
        <v>83.399999999999991</v>
      </c>
      <c r="E24" s="415">
        <f>('Attainment 25+ by race &amp; gender'!EK23/'Pop 25+ by race &amp; gender'!DO22)*100</f>
        <v>85.964775108631102</v>
      </c>
      <c r="F24" s="419"/>
      <c r="G24" s="414">
        <f>('Attainment 25+ by race &amp; gender'!NQ23/'Pop 25+ by race &amp; gender'!AS22)*100</f>
        <v>14.831616245710658</v>
      </c>
      <c r="H24" s="413">
        <f>('Attainment 25+ by race &amp; gender'!PC23/'Pop 25+ by race &amp; gender'!CU22)*100</f>
        <v>17.900000000000002</v>
      </c>
      <c r="I24" s="415">
        <f>('Attainment 25+ by race &amp; gender'!PW23/'Pop 25+ by race &amp; gender'!DO22)*100</f>
        <v>20.805538502984692</v>
      </c>
      <c r="J24" s="210"/>
      <c r="L24" s="70"/>
      <c r="M24" s="2"/>
      <c r="N24" s="2"/>
      <c r="O24" s="69"/>
      <c r="Q24" s="70"/>
      <c r="R24" s="2"/>
      <c r="S24" s="2"/>
      <c r="T24" s="69"/>
    </row>
    <row r="25" spans="1:20" s="1" customFormat="1" ht="12.75" x14ac:dyDescent="0.2">
      <c r="A25" s="405" t="s">
        <v>182</v>
      </c>
      <c r="B25" s="405"/>
      <c r="C25" s="415">
        <f>('Attainment 25+ by race &amp; gender'!CR24/'Pop 25+ by race &amp; gender'!AS23)*100</f>
        <v>80.470912496939249</v>
      </c>
      <c r="D25" s="415">
        <f>('Attainment 25+ by race &amp; gender'!DQ24/'Pop 25+ by race &amp; gender'!CU23)*100</f>
        <v>84.401283532913155</v>
      </c>
      <c r="E25" s="422">
        <f>('Attainment 25+ by race &amp; gender'!EK24/'Pop 25+ by race &amp; gender'!DO23)*100</f>
        <v>85.955470930549311</v>
      </c>
      <c r="F25" s="415"/>
      <c r="G25" s="163">
        <f>('Attainment 25+ by race &amp; gender'!NQ24/'Pop 25+ by race &amp; gender'!AS23)*100</f>
        <v>26.232987063315257</v>
      </c>
      <c r="H25" s="415">
        <f>('Attainment 25+ by race &amp; gender'!PC24/'Pop 25+ by race &amp; gender'!CU23)*100</f>
        <v>29.579006092391513</v>
      </c>
      <c r="I25" s="422">
        <f>('Attainment 25+ by race &amp; gender'!PW24/'Pop 25+ by race &amp; gender'!DO23)*100</f>
        <v>32.496459808705005</v>
      </c>
      <c r="J25" s="469"/>
      <c r="L25" s="70"/>
      <c r="M25" s="2"/>
      <c r="N25" s="2"/>
      <c r="O25" s="69"/>
      <c r="Q25" s="70"/>
      <c r="R25" s="2"/>
      <c r="S25" s="2"/>
      <c r="T25" s="69"/>
    </row>
    <row r="26" spans="1:20" s="1" customFormat="1" ht="14.25" x14ac:dyDescent="0.2">
      <c r="A26" s="405" t="s">
        <v>189</v>
      </c>
      <c r="B26" s="405"/>
      <c r="C26" s="415">
        <f>(C25/C$6)*100</f>
        <v>100.08966426822292</v>
      </c>
      <c r="D26" s="415">
        <f>(D25/D$6)*100</f>
        <v>98.577656735772109</v>
      </c>
      <c r="E26" s="415">
        <f>(E25/E$6)*100</f>
        <v>98.287677841387705</v>
      </c>
      <c r="F26" s="415"/>
      <c r="G26" s="163">
        <f t="shared" ref="G26:I26" si="1">(G25/G$6)*100</f>
        <v>107.50507237874321</v>
      </c>
      <c r="H26" s="415">
        <f t="shared" si="1"/>
        <v>104.71840062042989</v>
      </c>
      <c r="I26" s="415">
        <f t="shared" si="1"/>
        <v>103.89631626610367</v>
      </c>
      <c r="J26" s="469"/>
      <c r="L26" s="31"/>
      <c r="M26" s="3"/>
      <c r="N26" s="3"/>
      <c r="O26" s="213"/>
      <c r="Q26" s="31"/>
      <c r="R26" s="3"/>
      <c r="S26" s="3"/>
      <c r="T26" s="213"/>
    </row>
    <row r="27" spans="1:20" s="1" customFormat="1" ht="12.75" x14ac:dyDescent="0.2">
      <c r="A27" s="406" t="s">
        <v>17</v>
      </c>
      <c r="B27" s="406"/>
      <c r="C27" s="416">
        <f>('Attainment 25+ by race &amp; gender'!CR26/'Pop 25+ by race &amp; gender'!AS25)*100</f>
        <v>88.33321038265764</v>
      </c>
      <c r="D27" s="416">
        <f>('Attainment 25+ by race &amp; gender'!DQ26/'Pop 25+ by race &amp; gender'!CU25)*100</f>
        <v>91.499999999999986</v>
      </c>
      <c r="E27" s="416">
        <f>('Attainment 25+ by race &amp; gender'!EK26/'Pop 25+ by race &amp; gender'!DO25)*100</f>
        <v>93.114744514574554</v>
      </c>
      <c r="F27" s="416"/>
      <c r="G27" s="417">
        <f>('Attainment 25+ by race &amp; gender'!NQ26/'Pop 25+ by race &amp; gender'!AS25)*100</f>
        <v>24.714930076194292</v>
      </c>
      <c r="H27" s="416">
        <f>('Attainment 25+ by race &amp; gender'!PC26/'Pop 25+ by race &amp; gender'!CU25)*100</f>
        <v>27.3</v>
      </c>
      <c r="I27" s="416">
        <f>('Attainment 25+ by race &amp; gender'!PW26/'Pop 25+ by race &amp; gender'!DO25)*100</f>
        <v>29.559808832218742</v>
      </c>
      <c r="J27" s="470"/>
      <c r="L27" s="2"/>
      <c r="M27" s="2"/>
      <c r="N27" s="2"/>
      <c r="O27" s="2"/>
      <c r="Q27" s="2"/>
      <c r="R27" s="2"/>
      <c r="S27" s="2"/>
      <c r="T27" s="2"/>
    </row>
    <row r="28" spans="1:20" s="1" customFormat="1" ht="12.75" x14ac:dyDescent="0.2">
      <c r="A28" s="406" t="s">
        <v>18</v>
      </c>
      <c r="B28" s="406"/>
      <c r="C28" s="416">
        <f>('Attainment 25+ by race &amp; gender'!CR27/'Pop 25+ by race &amp; gender'!AS26)*100</f>
        <v>80.973218958142411</v>
      </c>
      <c r="D28" s="416">
        <f>('Attainment 25+ by race &amp; gender'!DQ27/'Pop 25+ by race &amp; gender'!CU26)*100</f>
        <v>85.4</v>
      </c>
      <c r="E28" s="416">
        <f>('Attainment 25+ by race &amp; gender'!EK27/'Pop 25+ by race &amp; gender'!DO26)*100</f>
        <v>86.718878508147469</v>
      </c>
      <c r="F28" s="416"/>
      <c r="G28" s="417">
        <f>('Attainment 25+ by race &amp; gender'!NQ27/'Pop 25+ by race &amp; gender'!AS26)*100</f>
        <v>23.530979821779113</v>
      </c>
      <c r="H28" s="416">
        <f>('Attainment 25+ by race &amp; gender'!PC27/'Pop 25+ by race &amp; gender'!CU26)*100</f>
        <v>26.299999999999997</v>
      </c>
      <c r="I28" s="416">
        <f>('Attainment 25+ by race &amp; gender'!PW27/'Pop 25+ by race &amp; gender'!DO26)*100</f>
        <v>28.875397743692787</v>
      </c>
      <c r="J28" s="470"/>
      <c r="L28" s="2"/>
      <c r="M28" s="2"/>
      <c r="N28" s="2"/>
      <c r="O28" s="2"/>
      <c r="Q28" s="2"/>
      <c r="R28" s="2"/>
      <c r="S28" s="2"/>
      <c r="T28" s="2"/>
    </row>
    <row r="29" spans="1:20" s="1" customFormat="1" ht="12.75" x14ac:dyDescent="0.2">
      <c r="A29" s="406" t="s">
        <v>19</v>
      </c>
      <c r="B29" s="406"/>
      <c r="C29" s="416">
        <f>('Attainment 25+ by race &amp; gender'!CR28/'Pop 25+ by race &amp; gender'!AS27)*100</f>
        <v>76.793435341731268</v>
      </c>
      <c r="D29" s="416">
        <f>('Attainment 25+ by race &amp; gender'!DQ28/'Pop 25+ by race &amp; gender'!CU27)*100</f>
        <v>80.800000000000011</v>
      </c>
      <c r="E29" s="416">
        <f>('Attainment 25+ by race &amp; gender'!EK28/'Pop 25+ by race &amp; gender'!DO27)*100</f>
        <v>82.441375137948285</v>
      </c>
      <c r="F29" s="416"/>
      <c r="G29" s="417">
        <f>('Attainment 25+ by race &amp; gender'!NQ28/'Pop 25+ by race &amp; gender'!AS27)*100</f>
        <v>26.620933475437695</v>
      </c>
      <c r="H29" s="416">
        <f>('Attainment 25+ by race &amp; gender'!PC28/'Pop 25+ by race &amp; gender'!CU27)*100</f>
        <v>30.099999999999998</v>
      </c>
      <c r="I29" s="416">
        <f>('Attainment 25+ by race &amp; gender'!PW28/'Pop 25+ by race &amp; gender'!DO27)*100</f>
        <v>32.924234536932659</v>
      </c>
      <c r="J29" s="470"/>
      <c r="L29" s="2"/>
      <c r="M29" s="2"/>
      <c r="N29" s="2"/>
      <c r="O29" s="2"/>
      <c r="Q29" s="2"/>
      <c r="R29" s="2"/>
      <c r="S29" s="2"/>
      <c r="T29" s="2"/>
    </row>
    <row r="30" spans="1:20" s="1" customFormat="1" ht="12.75" x14ac:dyDescent="0.2">
      <c r="A30" s="406" t="s">
        <v>20</v>
      </c>
      <c r="B30" s="406"/>
      <c r="C30" s="416">
        <f>('Attainment 25+ by race &amp; gender'!CR29/'Pop 25+ by race &amp; gender'!AS28)*100</f>
        <v>86.925202907695365</v>
      </c>
      <c r="D30" s="416">
        <f>('Attainment 25+ by race &amp; gender'!DQ29/'Pop 25+ by race &amp; gender'!CU28)*100</f>
        <v>89.8</v>
      </c>
      <c r="E30" s="416">
        <f>('Attainment 25+ by race &amp; gender'!EK29/'Pop 25+ by race &amp; gender'!DO28)*100</f>
        <v>91.440782633908483</v>
      </c>
      <c r="F30" s="416"/>
      <c r="G30" s="417">
        <f>('Attainment 25+ by race &amp; gender'!NQ29/'Pop 25+ by race &amp; gender'!AS28)*100</f>
        <v>32.692665070488275</v>
      </c>
      <c r="H30" s="416">
        <f>('Attainment 25+ by race &amp; gender'!PC29/'Pop 25+ by race &amp; gender'!CU28)*100</f>
        <v>36.4</v>
      </c>
      <c r="I30" s="416">
        <f>('Attainment 25+ by race &amp; gender'!PW29/'Pop 25+ by race &amp; gender'!DO28)*100</f>
        <v>39.857925738204663</v>
      </c>
      <c r="J30" s="470"/>
      <c r="L30" s="2"/>
      <c r="M30" s="2"/>
      <c r="N30" s="2"/>
      <c r="O30" s="2"/>
      <c r="Q30" s="2"/>
      <c r="R30" s="2"/>
      <c r="S30" s="2"/>
      <c r="T30" s="2"/>
    </row>
    <row r="31" spans="1:20" s="1" customFormat="1" ht="12.75" x14ac:dyDescent="0.2">
      <c r="A31" s="407" t="s">
        <v>22</v>
      </c>
      <c r="B31" s="407"/>
      <c r="C31" s="415">
        <f>('Attainment 25+ by race &amp; gender'!CR30/'Pop 25+ by race &amp; gender'!AS29)*100</f>
        <v>84.571395815705614</v>
      </c>
      <c r="D31" s="415">
        <f>('Attainment 25+ by race &amp; gender'!DQ30/'Pop 25+ by race &amp; gender'!CU29)*100</f>
        <v>90.3</v>
      </c>
      <c r="E31" s="415">
        <f>('Attainment 25+ by race &amp; gender'!EK30/'Pop 25+ by race &amp; gender'!DO29)*100</f>
        <v>91.960841102915722</v>
      </c>
      <c r="F31" s="418"/>
      <c r="G31" s="163">
        <f>('Attainment 25+ by race &amp; gender'!NQ30/'Pop 25+ by race &amp; gender'!AS29)*100</f>
        <v>26.174083493981758</v>
      </c>
      <c r="H31" s="415">
        <f>('Attainment 25+ by race &amp; gender'!PC30/'Pop 25+ by race &amp; gender'!CU29)*100</f>
        <v>29.4</v>
      </c>
      <c r="I31" s="415">
        <f>('Attainment 25+ by race &amp; gender'!PW30/'Pop 25+ by race &amp; gender'!DO29)*100</f>
        <v>31.948852449752103</v>
      </c>
      <c r="J31" s="20"/>
      <c r="L31" s="2"/>
      <c r="M31" s="2"/>
      <c r="N31" s="2"/>
      <c r="O31" s="2"/>
      <c r="Q31" s="2"/>
      <c r="R31" s="2"/>
      <c r="S31" s="2"/>
      <c r="T31" s="2"/>
    </row>
    <row r="32" spans="1:20" s="1" customFormat="1" ht="12.75" x14ac:dyDescent="0.2">
      <c r="A32" s="407" t="s">
        <v>23</v>
      </c>
      <c r="B32" s="407"/>
      <c r="C32" s="415">
        <f>('Attainment 25+ by race &amp; gender'!CR31/'Pop 25+ by race &amp; gender'!AS30)*100</f>
        <v>84.716160532314078</v>
      </c>
      <c r="D32" s="415">
        <f>('Attainment 25+ by race &amp; gender'!DQ31/'Pop 25+ by race &amp; gender'!CU30)*100</f>
        <v>88.6</v>
      </c>
      <c r="E32" s="415">
        <f>('Attainment 25+ by race &amp; gender'!EK31/'Pop 25+ by race &amp; gender'!DO30)*100</f>
        <v>90.422849995171376</v>
      </c>
      <c r="F32" s="418"/>
      <c r="G32" s="163">
        <f>('Attainment 25+ by race &amp; gender'!NQ31/'Pop 25+ by race &amp; gender'!AS30)*100</f>
        <v>21.665259268195122</v>
      </c>
      <c r="H32" s="415">
        <f>('Attainment 25+ by race &amp; gender'!PC31/'Pop 25+ by race &amp; gender'!CU30)*100</f>
        <v>24.599999999999998</v>
      </c>
      <c r="I32" s="415">
        <f>('Attainment 25+ by race &amp; gender'!PW31/'Pop 25+ by race &amp; gender'!DO30)*100</f>
        <v>27.629878640441841</v>
      </c>
      <c r="J32" s="20"/>
      <c r="L32" s="2"/>
      <c r="M32" s="2"/>
      <c r="N32" s="2"/>
      <c r="O32" s="2"/>
      <c r="Q32" s="2"/>
      <c r="R32" s="2"/>
      <c r="S32" s="2"/>
      <c r="T32" s="2"/>
    </row>
    <row r="33" spans="1:21" s="1" customFormat="1" ht="12.75" x14ac:dyDescent="0.2">
      <c r="A33" s="407" t="s">
        <v>33</v>
      </c>
      <c r="B33" s="407"/>
      <c r="C33" s="415">
        <f>('Attainment 25+ by race &amp; gender'!CR32/'Pop 25+ by race &amp; gender'!AS31)*100</f>
        <v>87.153886410476261</v>
      </c>
      <c r="D33" s="415">
        <f>('Attainment 25+ by race &amp; gender'!DQ32/'Pop 25+ by race &amp; gender'!CU31)*100</f>
        <v>91.800000000000011</v>
      </c>
      <c r="E33" s="415">
        <f>('Attainment 25+ by race &amp; gender'!EK32/'Pop 25+ by race &amp; gender'!DO31)*100</f>
        <v>92.809872357623178</v>
      </c>
      <c r="F33" s="418"/>
      <c r="G33" s="163">
        <f>('Attainment 25+ by race &amp; gender'!NQ32/'Pop 25+ by race &amp; gender'!AS31)*100</f>
        <v>24.370249275085616</v>
      </c>
      <c r="H33" s="415">
        <f>('Attainment 25+ by race &amp; gender'!PC32/'Pop 25+ by race &amp; gender'!CU31)*100</f>
        <v>28.299999999999997</v>
      </c>
      <c r="I33" s="415">
        <f>('Attainment 25+ by race &amp; gender'!PW32/'Pop 25+ by race &amp; gender'!DO31)*100</f>
        <v>30.957205563725765</v>
      </c>
      <c r="J33" s="20"/>
      <c r="L33" s="2"/>
      <c r="M33" s="2"/>
      <c r="N33" s="2"/>
      <c r="O33" s="2"/>
      <c r="Q33" s="2"/>
      <c r="R33" s="2"/>
      <c r="S33" s="2"/>
      <c r="T33" s="2"/>
    </row>
    <row r="34" spans="1:21" s="1" customFormat="1" ht="12.75" x14ac:dyDescent="0.2">
      <c r="A34" s="407" t="s">
        <v>35</v>
      </c>
      <c r="B34" s="407"/>
      <c r="C34" s="415">
        <f>('Attainment 25+ by race &amp; gender'!CR33/'Pop 25+ by race &amp; gender'!AS32)*100</f>
        <v>80.661071489631937</v>
      </c>
      <c r="D34" s="415">
        <f>('Attainment 25+ by race &amp; gender'!DQ33/'Pop 25+ by race &amp; gender'!CU32)*100</f>
        <v>84.3</v>
      </c>
      <c r="E34" s="415">
        <f>('Attainment 25+ by race &amp; gender'!EK33/'Pop 25+ by race &amp; gender'!DO32)*100</f>
        <v>86.047368708998761</v>
      </c>
      <c r="F34" s="418"/>
      <c r="G34" s="163">
        <f>('Attainment 25+ by race &amp; gender'!NQ33/'Pop 25+ by race &amp; gender'!AS32)*100</f>
        <v>18.155957672862272</v>
      </c>
      <c r="H34" s="415">
        <f>('Attainment 25+ by race &amp; gender'!PC33/'Pop 25+ by race &amp; gender'!CU32)*100</f>
        <v>22.099999999999998</v>
      </c>
      <c r="I34" s="415">
        <f>('Attainment 25+ by race &amp; gender'!PW33/'Pop 25+ by race &amp; gender'!DO32)*100</f>
        <v>23.464272036844537</v>
      </c>
      <c r="J34" s="20"/>
      <c r="L34" s="2"/>
      <c r="M34" s="2"/>
      <c r="N34" s="2"/>
      <c r="O34" s="2"/>
      <c r="Q34" s="2"/>
      <c r="R34" s="2"/>
      <c r="S34" s="2"/>
      <c r="T34" s="2"/>
    </row>
    <row r="35" spans="1:21" s="1" customFormat="1" x14ac:dyDescent="0.2">
      <c r="A35" s="406" t="s">
        <v>38</v>
      </c>
      <c r="B35" s="406"/>
      <c r="C35" s="416">
        <f>('Attainment 25+ by race &amp; gender'!CR34/'Pop 25+ by race &amp; gender'!AS33)*100</f>
        <v>78.852591776003024</v>
      </c>
      <c r="D35" s="416">
        <f>('Attainment 25+ by race &amp; gender'!DQ34/'Pop 25+ by race &amp; gender'!CU33)*100</f>
        <v>83.199999999999989</v>
      </c>
      <c r="E35" s="416">
        <f>('Attainment 25+ by race &amp; gender'!EK34/'Pop 25+ by race &amp; gender'!DO33)*100</f>
        <v>85.414419199342234</v>
      </c>
      <c r="F35" s="416"/>
      <c r="G35" s="417">
        <f>('Attainment 25+ by race &amp; gender'!NQ34/'Pop 25+ by race &amp; gender'!AS33)*100</f>
        <v>23.453363188788167</v>
      </c>
      <c r="H35" s="416">
        <f>('Attainment 25+ by race &amp; gender'!PC34/'Pop 25+ by race &amp; gender'!CU33)*100</f>
        <v>25.4</v>
      </c>
      <c r="I35" s="416">
        <f>('Attainment 25+ by race &amp; gender'!PW34/'Pop 25+ by race &amp; gender'!DO33)*100</f>
        <v>27.183999206543714</v>
      </c>
      <c r="J35" s="470"/>
      <c r="L35" s="2"/>
      <c r="M35" s="2"/>
      <c r="N35" s="2"/>
      <c r="O35" s="2"/>
      <c r="Q35" s="2"/>
      <c r="R35" s="2"/>
      <c r="S35" s="756"/>
      <c r="T35" s="757"/>
      <c r="U35" s="758"/>
    </row>
    <row r="36" spans="1:21" s="1" customFormat="1" x14ac:dyDescent="0.2">
      <c r="A36" s="406" t="s">
        <v>42</v>
      </c>
      <c r="B36" s="406"/>
      <c r="C36" s="416">
        <f>('Attainment 25+ by race &amp; gender'!CR35/'Pop 25+ by race &amp; gender'!AS34)*100</f>
        <v>85.126108508314985</v>
      </c>
      <c r="D36" s="416">
        <f>('Attainment 25+ by race &amp; gender'!DQ35/'Pop 25+ by race &amp; gender'!CU34)*100</f>
        <v>88.999999999999986</v>
      </c>
      <c r="E36" s="416">
        <f>('Attainment 25+ by race &amp; gender'!EK35/'Pop 25+ by race &amp; gender'!DO34)*100</f>
        <v>90.290879622890799</v>
      </c>
      <c r="F36" s="416"/>
      <c r="G36" s="417">
        <f>('Attainment 25+ by race &amp; gender'!NQ35/'Pop 25+ by race &amp; gender'!AS34)*100</f>
        <v>25.080697539491371</v>
      </c>
      <c r="H36" s="416">
        <f>('Attainment 25+ by race &amp; gender'!PC35/'Pop 25+ by race &amp; gender'!CU34)*100</f>
        <v>29.100000000000005</v>
      </c>
      <c r="I36" s="416">
        <f>('Attainment 25+ by race &amp; gender'!PW35/'Pop 25+ by race &amp; gender'!DO34)*100</f>
        <v>32.699289561196274</v>
      </c>
      <c r="J36" s="470"/>
      <c r="L36" s="2"/>
      <c r="M36" s="2"/>
      <c r="N36" s="2"/>
      <c r="O36" s="2"/>
      <c r="Q36" s="2"/>
      <c r="R36" s="2"/>
      <c r="S36" s="759"/>
      <c r="T36" s="760"/>
      <c r="U36" s="761"/>
    </row>
    <row r="37" spans="1:21" s="1" customFormat="1" x14ac:dyDescent="0.2">
      <c r="A37" s="406" t="s">
        <v>46</v>
      </c>
      <c r="B37" s="406"/>
      <c r="C37" s="416">
        <f>('Attainment 25+ by race &amp; gender'!CR36/'Pop 25+ by race &amp; gender'!AS35)*100</f>
        <v>87.727524685030033</v>
      </c>
      <c r="D37" s="416">
        <f>('Attainment 25+ by race &amp; gender'!DQ36/'Pop 25+ by race &amp; gender'!CU35)*100</f>
        <v>90.4</v>
      </c>
      <c r="E37" s="416">
        <f>('Attainment 25+ by race &amp; gender'!EK36/'Pop 25+ by race &amp; gender'!DO35)*100</f>
        <v>91.733997142286754</v>
      </c>
      <c r="F37" s="416"/>
      <c r="G37" s="417">
        <f>('Attainment 25+ by race &amp; gender'!NQ36/'Pop 25+ by race &amp; gender'!AS35)*100</f>
        <v>26.126144927923384</v>
      </c>
      <c r="H37" s="416">
        <f>('Attainment 25+ by race &amp; gender'!PC36/'Pop 25+ by race &amp; gender'!CU35)*100</f>
        <v>29.4</v>
      </c>
      <c r="I37" s="416">
        <f>('Attainment 25+ by race &amp; gender'!PW36/'Pop 25+ by race &amp; gender'!DO35)*100</f>
        <v>32.577426308458065</v>
      </c>
      <c r="J37" s="470"/>
      <c r="L37" s="2"/>
      <c r="M37" s="2"/>
      <c r="N37" s="2"/>
      <c r="O37" s="2"/>
      <c r="Q37" s="2"/>
      <c r="R37" s="2"/>
      <c r="S37" s="759"/>
      <c r="T37" s="760"/>
      <c r="U37" s="761"/>
    </row>
    <row r="38" spans="1:21" s="1" customFormat="1" x14ac:dyDescent="0.2">
      <c r="A38" s="406" t="s">
        <v>48</v>
      </c>
      <c r="B38" s="406"/>
      <c r="C38" s="416">
        <f>('Attainment 25+ by race &amp; gender'!CR37/'Pop 25+ by race &amp; gender'!AS36)*100</f>
        <v>87.084648048978096</v>
      </c>
      <c r="D38" s="416">
        <f>('Attainment 25+ by race &amp; gender'!DQ37/'Pop 25+ by race &amp; gender'!CU36)*100</f>
        <v>89.8</v>
      </c>
      <c r="E38" s="416">
        <f>('Attainment 25+ by race &amp; gender'!EK37/'Pop 25+ by race &amp; gender'!DO36)*100</f>
        <v>90.816932866745191</v>
      </c>
      <c r="F38" s="416"/>
      <c r="G38" s="417">
        <f>('Attainment 25+ by race &amp; gender'!NQ37/'Pop 25+ by race &amp; gender'!AS36)*100</f>
        <v>27.731497290534019</v>
      </c>
      <c r="H38" s="416">
        <f>('Attainment 25+ by race &amp; gender'!PC37/'Pop 25+ by race &amp; gender'!CU36)*100</f>
        <v>31.300000000000004</v>
      </c>
      <c r="I38" s="416">
        <f>('Attainment 25+ by race &amp; gender'!PW37/'Pop 25+ by race &amp; gender'!DO36)*100</f>
        <v>35.138410364741304</v>
      </c>
      <c r="J38" s="470"/>
      <c r="L38" s="2"/>
      <c r="M38" s="2"/>
      <c r="N38" s="2"/>
      <c r="O38" s="2"/>
      <c r="Q38" s="2"/>
      <c r="R38" s="2"/>
      <c r="S38" s="759"/>
      <c r="T38" s="760"/>
      <c r="U38" s="761"/>
    </row>
    <row r="39" spans="1:21" s="1" customFormat="1" x14ac:dyDescent="0.2">
      <c r="A39" s="410" t="s">
        <v>50</v>
      </c>
      <c r="B39" s="410"/>
      <c r="C39" s="420">
        <f>('Attainment 25+ by race &amp; gender'!CR38/'Pop 25+ by race &amp; gender'!AS37)*100</f>
        <v>87.861421832777367</v>
      </c>
      <c r="D39" s="420">
        <f>('Attainment 25+ by race &amp; gender'!DQ38/'Pop 25+ by race &amp; gender'!CU37)*100</f>
        <v>92.199999999999989</v>
      </c>
      <c r="E39" s="416">
        <f>('Attainment 25+ by race &amp; gender'!EK38/'Pop 25+ by race &amp; gender'!DO37)*100</f>
        <v>93.170058905715038</v>
      </c>
      <c r="F39" s="420"/>
      <c r="G39" s="421">
        <f>('Attainment 25+ by race &amp; gender'!NQ38/'Pop 25+ by race &amp; gender'!AS37)*100</f>
        <v>21.910074985031507</v>
      </c>
      <c r="H39" s="420">
        <f>('Attainment 25+ by race &amp; gender'!PC38/'Pop 25+ by race &amp; gender'!CU37)*100</f>
        <v>24.299999999999997</v>
      </c>
      <c r="I39" s="416">
        <f>('Attainment 25+ by race &amp; gender'!PW38/'Pop 25+ by race &amp; gender'!DO37)*100</f>
        <v>27.10302614676786</v>
      </c>
      <c r="J39" s="465"/>
      <c r="L39" s="2"/>
      <c r="M39" s="2"/>
      <c r="N39" s="2"/>
      <c r="O39" s="2"/>
      <c r="Q39" s="2"/>
      <c r="R39" s="2"/>
      <c r="S39" s="759"/>
      <c r="T39" s="760"/>
      <c r="U39" s="761"/>
    </row>
    <row r="40" spans="1:21" s="1" customFormat="1" x14ac:dyDescent="0.2">
      <c r="A40" s="405" t="s">
        <v>183</v>
      </c>
      <c r="B40" s="405"/>
      <c r="C40" s="415">
        <f>('Attainment 25+ by race &amp; gender'!CR39/'Pop 25+ by race &amp; gender'!AS38)*100</f>
        <v>83.467056256605105</v>
      </c>
      <c r="D40" s="415">
        <f>('Attainment 25+ by race &amp; gender'!DQ39/'Pop 25+ by race &amp; gender'!CU38)*100</f>
        <v>88.512984219450303</v>
      </c>
      <c r="E40" s="422">
        <f>('Attainment 25+ by race &amp; gender'!EK39/'Pop 25+ by race &amp; gender'!DO38)*100</f>
        <v>90.219620222170889</v>
      </c>
      <c r="F40" s="415"/>
      <c r="G40" s="163">
        <f>('Attainment 25+ by race &amp; gender'!NQ39/'Pop 25+ by race &amp; gender'!AS38)*100</f>
        <v>22.910526509529198</v>
      </c>
      <c r="H40" s="415">
        <f>('Attainment 25+ by race &amp; gender'!PC39/'Pop 25+ by race &amp; gender'!CU38)*100</f>
        <v>26.934021331908053</v>
      </c>
      <c r="I40" s="422">
        <f>('Attainment 25+ by race &amp; gender'!PW39/'Pop 25+ by race &amp; gender'!DO38)*100</f>
        <v>29.913815231297807</v>
      </c>
      <c r="J40" s="469"/>
      <c r="L40" s="2"/>
      <c r="M40" s="2"/>
      <c r="N40" s="2"/>
      <c r="O40" s="2"/>
      <c r="Q40" s="2"/>
      <c r="R40" s="2"/>
      <c r="S40" s="759"/>
      <c r="T40" s="760"/>
      <c r="U40" s="761"/>
    </row>
    <row r="41" spans="1:21" s="1" customFormat="1" x14ac:dyDescent="0.2">
      <c r="A41" s="405" t="s">
        <v>189</v>
      </c>
      <c r="B41" s="405"/>
      <c r="C41" s="415">
        <f>(C40/C$6)*100</f>
        <v>103.81626576557382</v>
      </c>
      <c r="D41" s="415">
        <f>(D40/D$6)*100</f>
        <v>103.3799749223153</v>
      </c>
      <c r="E41" s="415">
        <f>(E40/E$6)*100</f>
        <v>103.16361333804875</v>
      </c>
      <c r="F41" s="415"/>
      <c r="G41" s="163">
        <f t="shared" ref="G41:I41" si="2">(G40/G$6)*100</f>
        <v>93.889338819762443</v>
      </c>
      <c r="H41" s="415">
        <f t="shared" si="2"/>
        <v>95.354374901712958</v>
      </c>
      <c r="I41" s="415">
        <f t="shared" si="2"/>
        <v>95.639193508831582</v>
      </c>
      <c r="J41" s="469"/>
      <c r="L41" s="2"/>
      <c r="M41" s="2"/>
      <c r="N41" s="2"/>
      <c r="O41" s="2"/>
      <c r="Q41" s="2"/>
      <c r="R41" s="2"/>
      <c r="S41" s="759"/>
      <c r="T41" s="760"/>
      <c r="U41" s="761"/>
    </row>
    <row r="42" spans="1:21" s="1" customFormat="1" x14ac:dyDescent="0.2">
      <c r="A42" s="406" t="s">
        <v>24</v>
      </c>
      <c r="B42" s="406"/>
      <c r="C42" s="416">
        <f>('Attainment 25+ by race &amp; gender'!CR41/'Pop 25+ by race &amp; gender'!AS40)*100</f>
        <v>81.433357358235625</v>
      </c>
      <c r="D42" s="416">
        <f>('Attainment 25+ by race &amp; gender'!DQ41/'Pop 25+ by race &amp; gender'!CU40)*100</f>
        <v>86.9</v>
      </c>
      <c r="E42" s="416">
        <f>('Attainment 25+ by race &amp; gender'!EK41/'Pop 25+ by race &amp; gender'!DO40)*100</f>
        <v>88.847056260205321</v>
      </c>
      <c r="F42" s="416"/>
      <c r="G42" s="417">
        <f>('Attainment 25+ by race &amp; gender'!NQ41/'Pop 25+ by race &amp; gender'!AS40)*100</f>
        <v>26.061383771665525</v>
      </c>
      <c r="H42" s="416">
        <f>('Attainment 25+ by race &amp; gender'!PC41/'Pop 25+ by race &amp; gender'!CU40)*100</f>
        <v>30.9</v>
      </c>
      <c r="I42" s="416">
        <f>('Attainment 25+ by race &amp; gender'!PW41/'Pop 25+ by race &amp; gender'!DO40)*100</f>
        <v>33.955114117715894</v>
      </c>
      <c r="J42" s="470"/>
      <c r="L42" s="2"/>
      <c r="M42" s="2"/>
      <c r="N42" s="2"/>
      <c r="O42" s="2"/>
      <c r="Q42" s="2"/>
      <c r="R42" s="2"/>
      <c r="S42" s="759"/>
      <c r="T42" s="760"/>
      <c r="U42" s="761"/>
    </row>
    <row r="43" spans="1:21" s="1" customFormat="1" x14ac:dyDescent="0.2">
      <c r="A43" s="406" t="s">
        <v>25</v>
      </c>
      <c r="B43" s="406"/>
      <c r="C43" s="416">
        <f>('Attainment 25+ by race &amp; gender'!CR42/'Pop 25+ by race &amp; gender'!AS41)*100</f>
        <v>82.134848834324174</v>
      </c>
      <c r="D43" s="416">
        <f>('Attainment 25+ by race &amp; gender'!DQ42/'Pop 25+ by race &amp; gender'!CU41)*100</f>
        <v>87.000000000000014</v>
      </c>
      <c r="E43" s="416">
        <f>('Attainment 25+ by race &amp; gender'!EK42/'Pop 25+ by race &amp; gender'!DO41)*100</f>
        <v>88.355375069207682</v>
      </c>
      <c r="F43" s="416"/>
      <c r="G43" s="417">
        <f>('Attainment 25+ by race &amp; gender'!NQ42/'Pop 25+ by race &amp; gender'!AS41)*100</f>
        <v>19.408143985608014</v>
      </c>
      <c r="H43" s="416">
        <f>('Attainment 25+ by race &amp; gender'!PC42/'Pop 25+ by race &amp; gender'!CU41)*100</f>
        <v>22.799999999999997</v>
      </c>
      <c r="I43" s="416">
        <f>('Attainment 25+ by race &amp; gender'!PW42/'Pop 25+ by race &amp; gender'!DO41)*100</f>
        <v>25.607889311419996</v>
      </c>
      <c r="J43" s="470"/>
      <c r="L43" s="2"/>
      <c r="M43" s="2"/>
      <c r="N43" s="2"/>
      <c r="O43" s="2"/>
      <c r="Q43" s="2"/>
      <c r="R43" s="2"/>
      <c r="S43" s="759"/>
      <c r="T43" s="760"/>
      <c r="U43" s="761"/>
    </row>
    <row r="44" spans="1:21" s="1" customFormat="1" x14ac:dyDescent="0.2">
      <c r="A44" s="406" t="s">
        <v>26</v>
      </c>
      <c r="B44" s="406"/>
      <c r="C44" s="416">
        <f>('Attainment 25+ by race &amp; gender'!CR43/'Pop 25+ by race &amp; gender'!AS42)*100</f>
        <v>86.104640858799399</v>
      </c>
      <c r="D44" s="416">
        <f>('Attainment 25+ by race &amp; gender'!DQ43/'Pop 25+ by race &amp; gender'!CU42)*100</f>
        <v>90.6</v>
      </c>
      <c r="E44" s="416">
        <f>('Attainment 25+ by race &amp; gender'!EK43/'Pop 25+ by race &amp; gender'!DO42)*100</f>
        <v>91.753888319230299</v>
      </c>
      <c r="F44" s="416"/>
      <c r="G44" s="417">
        <f>('Attainment 25+ by race &amp; gender'!NQ43/'Pop 25+ by race &amp; gender'!AS42)*100</f>
        <v>21.208889282730333</v>
      </c>
      <c r="H44" s="416">
        <f>('Attainment 25+ by race &amp; gender'!PC43/'Pop 25+ by race &amp; gender'!CU42)*100</f>
        <v>25.299999999999994</v>
      </c>
      <c r="I44" s="416">
        <f>('Attainment 25+ by race &amp; gender'!PW43/'Pop 25+ by race &amp; gender'!DO42)*100</f>
        <v>28.421481346609038</v>
      </c>
      <c r="J44" s="470"/>
      <c r="L44" s="2"/>
      <c r="M44" s="2"/>
      <c r="N44" s="2"/>
      <c r="O44" s="2"/>
      <c r="Q44" s="2"/>
      <c r="R44" s="2"/>
      <c r="S44" s="759"/>
      <c r="T44" s="760"/>
      <c r="U44" s="761"/>
    </row>
    <row r="45" spans="1:21" s="1" customFormat="1" x14ac:dyDescent="0.2">
      <c r="A45" s="406" t="s">
        <v>27</v>
      </c>
      <c r="B45" s="406"/>
      <c r="C45" s="416">
        <f>('Attainment 25+ by race &amp; gender'!CR44/'Pop 25+ by race &amp; gender'!AS43)*100</f>
        <v>86.021748088269092</v>
      </c>
      <c r="D45" s="416">
        <f>('Attainment 25+ by race &amp; gender'!DQ44/'Pop 25+ by race &amp; gender'!CU43)*100</f>
        <v>89.500000000000014</v>
      </c>
      <c r="E45" s="416">
        <f>('Attainment 25+ by race &amp; gender'!EK44/'Pop 25+ by race &amp; gender'!DO43)*100</f>
        <v>90.547090387835524</v>
      </c>
      <c r="F45" s="416"/>
      <c r="G45" s="417">
        <f>('Attainment 25+ by race &amp; gender'!NQ44/'Pop 25+ by race &amp; gender'!AS43)*100</f>
        <v>25.803914514812131</v>
      </c>
      <c r="H45" s="416">
        <f>('Attainment 25+ by race &amp; gender'!PC44/'Pop 25+ by race &amp; gender'!CU43)*100</f>
        <v>29.799999999999997</v>
      </c>
      <c r="I45" s="416">
        <f>('Attainment 25+ by race &amp; gender'!PW44/'Pop 25+ by race &amp; gender'!DO43)*100</f>
        <v>32.846037075249903</v>
      </c>
      <c r="J45" s="470"/>
      <c r="L45" s="2"/>
      <c r="M45" s="2"/>
      <c r="N45" s="2"/>
      <c r="O45" s="2"/>
      <c r="Q45" s="2"/>
      <c r="R45" s="2"/>
      <c r="S45" s="759"/>
      <c r="T45" s="760"/>
      <c r="U45" s="761"/>
    </row>
    <row r="46" spans="1:21" s="1" customFormat="1" x14ac:dyDescent="0.2">
      <c r="A46" s="407" t="s">
        <v>30</v>
      </c>
      <c r="B46" s="407"/>
      <c r="C46" s="415">
        <f>('Attainment 25+ by race &amp; gender'!CR45/'Pop 25+ by race &amp; gender'!AS44)*100</f>
        <v>83.414233391485354</v>
      </c>
      <c r="D46" s="415">
        <f>('Attainment 25+ by race &amp; gender'!DQ45/'Pop 25+ by race &amp; gender'!CU44)*100</f>
        <v>88.7</v>
      </c>
      <c r="E46" s="415">
        <f>('Attainment 25+ by race &amp; gender'!EK45/'Pop 25+ by race &amp; gender'!DO44)*100</f>
        <v>90.41611726639924</v>
      </c>
      <c r="F46" s="418"/>
      <c r="G46" s="163">
        <f>('Attainment 25+ by race &amp; gender'!NQ45/'Pop 25+ by race &amp; gender'!AS44)*100</f>
        <v>21.762341642480816</v>
      </c>
      <c r="H46" s="415">
        <f>('Attainment 25+ by race &amp; gender'!PC45/'Pop 25+ by race &amp; gender'!CU44)*100</f>
        <v>25.3</v>
      </c>
      <c r="I46" s="415">
        <f>('Attainment 25+ by race &amp; gender'!PW45/'Pop 25+ by race &amp; gender'!DO44)*100</f>
        <v>28.250243106844831</v>
      </c>
      <c r="J46" s="20"/>
      <c r="L46" s="2"/>
      <c r="M46" s="2"/>
      <c r="N46" s="2"/>
      <c r="O46" s="2"/>
      <c r="Q46" s="2"/>
      <c r="R46" s="2"/>
      <c r="S46" s="759"/>
      <c r="T46" s="760"/>
      <c r="U46" s="761"/>
    </row>
    <row r="47" spans="1:21" s="1" customFormat="1" x14ac:dyDescent="0.2">
      <c r="A47" s="407" t="s">
        <v>31</v>
      </c>
      <c r="B47" s="407"/>
      <c r="C47" s="415">
        <f>('Attainment 25+ by race &amp; gender'!CR46/'Pop 25+ by race &amp; gender'!AS45)*100</f>
        <v>87.948690803310001</v>
      </c>
      <c r="D47" s="415">
        <f>('Attainment 25+ by race &amp; gender'!DQ46/'Pop 25+ by race &amp; gender'!CU45)*100</f>
        <v>91.7</v>
      </c>
      <c r="E47" s="415">
        <f>('Attainment 25+ by race &amp; gender'!EK46/'Pop 25+ by race &amp; gender'!DO45)*100</f>
        <v>92.916296560556617</v>
      </c>
      <c r="F47" s="418"/>
      <c r="G47" s="163">
        <f>('Attainment 25+ by race &amp; gender'!NQ46/'Pop 25+ by race &amp; gender'!AS45)*100</f>
        <v>27.433228677656828</v>
      </c>
      <c r="H47" s="415">
        <f>('Attainment 25+ by race &amp; gender'!PC46/'Pop 25+ by race &amp; gender'!CU45)*100</f>
        <v>31.900000000000002</v>
      </c>
      <c r="I47" s="415">
        <f>('Attainment 25+ by race &amp; gender'!PW46/'Pop 25+ by race &amp; gender'!DO45)*100</f>
        <v>34.815717356238437</v>
      </c>
      <c r="J47" s="20"/>
      <c r="L47" s="2"/>
      <c r="M47" s="2"/>
      <c r="N47" s="2"/>
      <c r="O47" s="2"/>
      <c r="Q47" s="2"/>
      <c r="R47" s="2"/>
      <c r="S47" s="759"/>
      <c r="T47" s="760"/>
      <c r="U47" s="761"/>
    </row>
    <row r="48" spans="1:21" s="1" customFormat="1" x14ac:dyDescent="0.2">
      <c r="A48" s="407" t="s">
        <v>32</v>
      </c>
      <c r="B48" s="407"/>
      <c r="C48" s="415">
        <f>('Attainment 25+ by race &amp; gender'!CR47/'Pop 25+ by race &amp; gender'!AS46)*100</f>
        <v>81.31739857922048</v>
      </c>
      <c r="D48" s="415">
        <f>('Attainment 25+ by race &amp; gender'!DQ47/'Pop 25+ by race &amp; gender'!CU46)*100</f>
        <v>87.200000000000017</v>
      </c>
      <c r="E48" s="415">
        <f>('Attainment 25+ by race &amp; gender'!EK47/'Pop 25+ by race &amp; gender'!DO46)*100</f>
        <v>89.567155073969658</v>
      </c>
      <c r="F48" s="418"/>
      <c r="G48" s="163">
        <f>('Attainment 25+ by race &amp; gender'!NQ47/'Pop 25+ by race &amp; gender'!AS46)*100</f>
        <v>21.581741040896244</v>
      </c>
      <c r="H48" s="415">
        <f>('Attainment 25+ by race &amp; gender'!PC47/'Pop 25+ by race &amp; gender'!CU46)*100</f>
        <v>25.7</v>
      </c>
      <c r="I48" s="415">
        <f>('Attainment 25+ by race &amp; gender'!PW47/'Pop 25+ by race &amp; gender'!DO46)*100</f>
        <v>28.455375303262741</v>
      </c>
      <c r="J48" s="20"/>
      <c r="L48" s="2"/>
      <c r="M48" s="2"/>
      <c r="N48" s="2"/>
      <c r="O48" s="2"/>
      <c r="Q48" s="2"/>
      <c r="R48" s="2"/>
      <c r="S48" s="759"/>
      <c r="T48" s="760"/>
      <c r="U48" s="761"/>
    </row>
    <row r="49" spans="1:21" s="1" customFormat="1" x14ac:dyDescent="0.2">
      <c r="A49" s="407" t="s">
        <v>34</v>
      </c>
      <c r="B49" s="407"/>
      <c r="C49" s="415">
        <f>('Attainment 25+ by race &amp; gender'!CR48/'Pop 25+ by race &amp; gender'!AS47)*100</f>
        <v>86.584299157224578</v>
      </c>
      <c r="D49" s="415">
        <f>('Attainment 25+ by race &amp; gender'!DQ48/'Pop 25+ by race &amp; gender'!CU47)*100</f>
        <v>90.5</v>
      </c>
      <c r="E49" s="415">
        <f>('Attainment 25+ by race &amp; gender'!EK48/'Pop 25+ by race &amp; gender'!DO47)*100</f>
        <v>90.887347043784473</v>
      </c>
      <c r="F49" s="418"/>
      <c r="G49" s="163">
        <f>('Attainment 25+ by race &amp; gender'!NQ48/'Pop 25+ by race &amp; gender'!AS47)*100</f>
        <v>23.742666069436307</v>
      </c>
      <c r="H49" s="415">
        <f>('Attainment 25+ by race &amp; gender'!PC48/'Pop 25+ by race &amp; gender'!CU47)*100</f>
        <v>28.200000000000003</v>
      </c>
      <c r="I49" s="415">
        <f>('Attainment 25+ by race &amp; gender'!PW48/'Pop 25+ by race &amp; gender'!DO47)*100</f>
        <v>31.43316557058095</v>
      </c>
      <c r="J49" s="20"/>
      <c r="L49" s="2"/>
      <c r="M49" s="2"/>
      <c r="N49" s="2"/>
      <c r="O49" s="2"/>
      <c r="Q49" s="2"/>
      <c r="R49" s="2"/>
      <c r="S49" s="759"/>
      <c r="T49" s="760"/>
      <c r="U49" s="761"/>
    </row>
    <row r="50" spans="1:21" s="1" customFormat="1" x14ac:dyDescent="0.2">
      <c r="A50" s="406" t="s">
        <v>40</v>
      </c>
      <c r="B50" s="406"/>
      <c r="C50" s="416">
        <f>('Attainment 25+ by race &amp; gender'!CR49/'Pop 25+ by race &amp; gender'!AS48)*100</f>
        <v>83.857459280198725</v>
      </c>
      <c r="D50" s="416">
        <f>('Attainment 25+ by race &amp; gender'!DQ49/'Pop 25+ by race &amp; gender'!CU48)*100</f>
        <v>90.300000000000011</v>
      </c>
      <c r="E50" s="416">
        <f>('Attainment 25+ by race &amp; gender'!EK49/'Pop 25+ by race &amp; gender'!DO48)*100</f>
        <v>92.375180550084352</v>
      </c>
      <c r="F50" s="416"/>
      <c r="G50" s="417">
        <f>('Attainment 25+ by race &amp; gender'!NQ49/'Pop 25+ by race &amp; gender'!AS48)*100</f>
        <v>21.988815056842519</v>
      </c>
      <c r="H50" s="416">
        <f>('Attainment 25+ by race &amp; gender'!PC49/'Pop 25+ by race &amp; gender'!CU48)*100</f>
        <v>26.599999999999994</v>
      </c>
      <c r="I50" s="416">
        <f>('Attainment 25+ by race &amp; gender'!PW49/'Pop 25+ by race &amp; gender'!DO48)*100</f>
        <v>29.559306283647967</v>
      </c>
      <c r="J50" s="470"/>
      <c r="L50" s="2"/>
      <c r="M50" s="2"/>
      <c r="N50" s="2"/>
      <c r="O50" s="2"/>
      <c r="Q50" s="2"/>
      <c r="R50" s="2"/>
      <c r="S50" s="759"/>
      <c r="T50" s="760"/>
      <c r="U50" s="761"/>
    </row>
    <row r="51" spans="1:21" s="1" customFormat="1" x14ac:dyDescent="0.2">
      <c r="A51" s="406" t="s">
        <v>41</v>
      </c>
      <c r="B51" s="406"/>
      <c r="C51" s="416">
        <f>('Attainment 25+ by race &amp; gender'!CR50/'Pop 25+ by race &amp; gender'!AS49)*100</f>
        <v>82.971812286993341</v>
      </c>
      <c r="D51" s="416">
        <f>('Attainment 25+ by race &amp; gender'!DQ50/'Pop 25+ by race &amp; gender'!CU49)*100</f>
        <v>88.1</v>
      </c>
      <c r="E51" s="416">
        <f>('Attainment 25+ by race &amp; gender'!EK50/'Pop 25+ by race &amp; gender'!DO49)*100</f>
        <v>90.023858690307989</v>
      </c>
      <c r="F51" s="416"/>
      <c r="G51" s="417">
        <f>('Attainment 25+ by race &amp; gender'!NQ50/'Pop 25+ by race &amp; gender'!AS49)*100</f>
        <v>21.095343333684127</v>
      </c>
      <c r="H51" s="416">
        <f>('Attainment 25+ by race &amp; gender'!PC50/'Pop 25+ by race &amp; gender'!CU49)*100</f>
        <v>24.6</v>
      </c>
      <c r="I51" s="416">
        <f>('Attainment 25+ by race &amp; gender'!PW50/'Pop 25+ by race &amp; gender'!DO49)*100</f>
        <v>27.514064837420467</v>
      </c>
      <c r="J51" s="470"/>
      <c r="L51" s="2"/>
      <c r="M51" s="2"/>
      <c r="N51" s="2"/>
      <c r="O51" s="2"/>
      <c r="Q51" s="2"/>
      <c r="R51" s="2"/>
      <c r="S51" s="759"/>
      <c r="T51" s="760"/>
      <c r="U51" s="761"/>
    </row>
    <row r="52" spans="1:21" s="1" customFormat="1" x14ac:dyDescent="0.2">
      <c r="A52" s="406" t="s">
        <v>45</v>
      </c>
      <c r="B52" s="406"/>
      <c r="C52" s="416">
        <f>('Attainment 25+ by race &amp; gender'!CR51/'Pop 25+ by race &amp; gender'!AS50)*100</f>
        <v>84.572865698764019</v>
      </c>
      <c r="D52" s="416">
        <f>('Attainment 25+ by race &amp; gender'!DQ51/'Pop 25+ by race &amp; gender'!CU50)*100</f>
        <v>90</v>
      </c>
      <c r="E52" s="416">
        <f>('Attainment 25+ by race &amp; gender'!EK51/'Pop 25+ by race &amp; gender'!DO50)*100</f>
        <v>91.16247919221621</v>
      </c>
      <c r="F52" s="416"/>
      <c r="G52" s="417">
        <f>('Attainment 25+ by race &amp; gender'!NQ51/'Pop 25+ by race &amp; gender'!AS50)*100</f>
        <v>21.505231269987497</v>
      </c>
      <c r="H52" s="416">
        <f>('Attainment 25+ by race &amp; gender'!PC51/'Pop 25+ by race &amp; gender'!CU50)*100</f>
        <v>26</v>
      </c>
      <c r="I52" s="416">
        <f>('Attainment 25+ by race &amp; gender'!PW51/'Pop 25+ by race &amp; gender'!DO50)*100</f>
        <v>28.850102669404514</v>
      </c>
      <c r="J52" s="470"/>
      <c r="L52" s="2"/>
      <c r="M52" s="2"/>
      <c r="N52" s="2"/>
      <c r="O52" s="2"/>
      <c r="Q52" s="2"/>
      <c r="R52" s="2"/>
      <c r="S52" s="762"/>
      <c r="T52" s="763"/>
      <c r="U52" s="764"/>
    </row>
    <row r="53" spans="1:21" s="1" customFormat="1" ht="12.75" x14ac:dyDescent="0.2">
      <c r="A53" s="406" t="s">
        <v>49</v>
      </c>
      <c r="B53" s="406"/>
      <c r="C53" s="416">
        <f>('Attainment 25+ by race &amp; gender'!CR52/'Pop 25+ by race &amp; gender'!AS51)*100</f>
        <v>85.085293557483894</v>
      </c>
      <c r="D53" s="416">
        <f>('Attainment 25+ by race &amp; gender'!DQ52/'Pop 25+ by race &amp; gender'!CU51)*100</f>
        <v>90.1</v>
      </c>
      <c r="E53" s="416">
        <f>('Attainment 25+ by race &amp; gender'!EK52/'Pop 25+ by race &amp; gender'!DO51)*100</f>
        <v>91.921753812101656</v>
      </c>
      <c r="F53" s="416"/>
      <c r="G53" s="417">
        <f>('Attainment 25+ by race &amp; gender'!NQ52/'Pop 25+ by race &amp; gender'!AS51)*100</f>
        <v>22.419457760024951</v>
      </c>
      <c r="H53" s="416">
        <f>('Attainment 25+ by race &amp; gender'!PC52/'Pop 25+ by race &amp; gender'!CU51)*100</f>
        <v>26.200000000000003</v>
      </c>
      <c r="I53" s="416">
        <f>('Attainment 25+ by race &amp; gender'!PW52/'Pop 25+ by race &amp; gender'!DO51)*100</f>
        <v>29.496007071872199</v>
      </c>
      <c r="J53" s="470"/>
      <c r="L53" s="2"/>
      <c r="M53" s="2"/>
      <c r="N53" s="2"/>
      <c r="O53" s="2"/>
      <c r="Q53" s="2"/>
      <c r="R53" s="2"/>
      <c r="S53" s="2"/>
      <c r="T53" s="2"/>
    </row>
    <row r="54" spans="1:21" s="1" customFormat="1" ht="12.75" x14ac:dyDescent="0.2">
      <c r="A54" s="411" t="s">
        <v>184</v>
      </c>
      <c r="B54" s="411"/>
      <c r="C54" s="422">
        <f>('Attainment 25+ by race &amp; gender'!CR53/'Pop 25+ by race &amp; gender'!AS52)*100</f>
        <v>81.59360114984328</v>
      </c>
      <c r="D54" s="422">
        <f>('Attainment 25+ by race &amp; gender'!DQ53/'Pop 25+ by race &amp; gender'!CU52)*100</f>
        <v>87.304521492764849</v>
      </c>
      <c r="E54" s="422">
        <f>('Attainment 25+ by race &amp; gender'!EK53/'Pop 25+ by race &amp; gender'!DO52)*100</f>
        <v>88.837431565671665</v>
      </c>
      <c r="F54" s="422"/>
      <c r="G54" s="423">
        <f>('Attainment 25+ by race &amp; gender'!NQ53/'Pop 25+ by race &amp; gender'!AS52)*100</f>
        <v>27.455754319915769</v>
      </c>
      <c r="H54" s="422">
        <f>('Attainment 25+ by race &amp; gender'!PC53/'Pop 25+ by race &amp; gender'!CU52)*100</f>
        <v>32.509047825341099</v>
      </c>
      <c r="I54" s="422">
        <f>('Attainment 25+ by race &amp; gender'!PW53/'Pop 25+ by race &amp; gender'!DO52)*100</f>
        <v>35.914192541413406</v>
      </c>
      <c r="J54" s="466"/>
      <c r="L54" s="2"/>
      <c r="M54" s="2"/>
      <c r="N54" s="2"/>
      <c r="O54" s="2"/>
      <c r="Q54" s="2"/>
      <c r="R54" s="2"/>
      <c r="S54" s="2"/>
      <c r="T54" s="2"/>
    </row>
    <row r="55" spans="1:21" s="1" customFormat="1" ht="14.25" x14ac:dyDescent="0.2">
      <c r="A55" s="407" t="s">
        <v>189</v>
      </c>
      <c r="B55" s="407"/>
      <c r="C55" s="415">
        <f>(C54/C$6)*100</f>
        <v>101.48606362371899</v>
      </c>
      <c r="D55" s="415">
        <f>(D54/D$6)*100</f>
        <v>101.96853401925465</v>
      </c>
      <c r="E55" s="415">
        <f>(E54/E$6)*100</f>
        <v>101.58311925296854</v>
      </c>
      <c r="F55" s="415"/>
      <c r="G55" s="163">
        <f t="shared" ref="G55:I55" si="3">(G54/G$6)*100</f>
        <v>112.51607940230184</v>
      </c>
      <c r="H55" s="415">
        <f t="shared" si="3"/>
        <v>115.09161204840001</v>
      </c>
      <c r="I55" s="415">
        <f t="shared" si="3"/>
        <v>114.82334779510018</v>
      </c>
      <c r="J55" s="20"/>
      <c r="L55" s="2"/>
      <c r="M55" s="2"/>
      <c r="N55" s="2"/>
      <c r="O55" s="2"/>
      <c r="Q55" s="2"/>
      <c r="R55" s="2"/>
      <c r="S55" s="2"/>
      <c r="T55" s="2"/>
    </row>
    <row r="56" spans="1:21" s="1" customFormat="1" ht="12.75" x14ac:dyDescent="0.2">
      <c r="A56" s="406" t="s">
        <v>21</v>
      </c>
      <c r="B56" s="406"/>
      <c r="C56" s="416">
        <f>('Attainment 25+ by race &amp; gender'!CR55/'Pop 25+ by race &amp; gender'!AS54)*100</f>
        <v>83.984436428202088</v>
      </c>
      <c r="D56" s="416">
        <f>('Attainment 25+ by race &amp; gender'!DQ55/'Pop 25+ by race &amp; gender'!CU54)*100</f>
        <v>88.8</v>
      </c>
      <c r="E56" s="416">
        <f>('Attainment 25+ by race &amp; gender'!EK55/'Pop 25+ by race &amp; gender'!DO54)*100</f>
        <v>90.520262086275807</v>
      </c>
      <c r="F56" s="416"/>
      <c r="G56" s="417">
        <f>('Attainment 25+ by race &amp; gender'!NQ55/'Pop 25+ by race &amp; gender'!AS54)*100</f>
        <v>31.407416829549529</v>
      </c>
      <c r="H56" s="416">
        <f>('Attainment 25+ by race &amp; gender'!PC55/'Pop 25+ by race &amp; gender'!CU54)*100</f>
        <v>35.799999999999997</v>
      </c>
      <c r="I56" s="416">
        <f>('Attainment 25+ by race &amp; gender'!PW55/'Pop 25+ by race &amp; gender'!DO54)*100</f>
        <v>38.642205388985943</v>
      </c>
      <c r="J56" s="470"/>
      <c r="L56" s="2"/>
      <c r="M56" s="2"/>
      <c r="N56" s="2"/>
      <c r="O56" s="2"/>
      <c r="Q56" s="2"/>
      <c r="R56" s="2"/>
      <c r="S56" s="2"/>
      <c r="T56" s="2"/>
    </row>
    <row r="57" spans="1:21" s="1" customFormat="1" ht="12.75" x14ac:dyDescent="0.2">
      <c r="A57" s="406" t="s">
        <v>28</v>
      </c>
      <c r="B57" s="406"/>
      <c r="C57" s="416">
        <f>('Attainment 25+ by race &amp; gender'!CR56/'Pop 25+ by race &amp; gender'!AS55)*100</f>
        <v>85.367395760168208</v>
      </c>
      <c r="D57" s="416">
        <f>('Attainment 25+ by race &amp; gender'!DQ56/'Pop 25+ by race &amp; gender'!CU55)*100</f>
        <v>90.7</v>
      </c>
      <c r="E57" s="416">
        <f>('Attainment 25+ by race &amp; gender'!EK56/'Pop 25+ by race &amp; gender'!DO55)*100</f>
        <v>92.329776767100952</v>
      </c>
      <c r="F57" s="416"/>
      <c r="G57" s="417">
        <f>('Attainment 25+ by race &amp; gender'!NQ56/'Pop 25+ by race &amp; gender'!AS55)*100</f>
        <v>22.871778483100798</v>
      </c>
      <c r="H57" s="416">
        <f>('Attainment 25+ by race &amp; gender'!PC56/'Pop 25+ by race &amp; gender'!CU55)*100</f>
        <v>27.699999999999996</v>
      </c>
      <c r="I57" s="416">
        <f>('Attainment 25+ by race &amp; gender'!PW56/'Pop 25+ by race &amp; gender'!DO55)*100</f>
        <v>30.12076737408297</v>
      </c>
      <c r="J57" s="470"/>
      <c r="L57" s="2"/>
      <c r="M57" s="2"/>
      <c r="N57" s="2"/>
      <c r="O57" s="2"/>
      <c r="Q57" s="2"/>
      <c r="R57" s="2"/>
      <c r="S57" s="2"/>
      <c r="T57" s="2"/>
    </row>
    <row r="58" spans="1:21" s="1" customFormat="1" ht="12.75" x14ac:dyDescent="0.2">
      <c r="A58" s="406" t="s">
        <v>29</v>
      </c>
      <c r="B58" s="406"/>
      <c r="C58" s="416">
        <f>('Attainment 25+ by race &amp; gender'!CR57/'Pop 25+ by race &amp; gender'!AS56)*100</f>
        <v>84.763606367481614</v>
      </c>
      <c r="D58" s="416">
        <f>('Attainment 25+ by race &amp; gender'!DQ57/'Pop 25+ by race &amp; gender'!CU56)*100</f>
        <v>89.1</v>
      </c>
      <c r="E58" s="416">
        <f>('Attainment 25+ by race &amp; gender'!EK57/'Pop 25+ by race &amp; gender'!DO56)*100</f>
        <v>90.424461900173768</v>
      </c>
      <c r="F58" s="416"/>
      <c r="G58" s="417">
        <f>('Attainment 25+ by race &amp; gender'!NQ57/'Pop 25+ by race &amp; gender'!AS56)*100</f>
        <v>33.18988363725714</v>
      </c>
      <c r="H58" s="416">
        <f>('Attainment 25+ by race &amp; gender'!PC57/'Pop 25+ by race &amp; gender'!CU56)*100</f>
        <v>38.799999999999997</v>
      </c>
      <c r="I58" s="416">
        <f>('Attainment 25+ by race &amp; gender'!PW57/'Pop 25+ by race &amp; gender'!DO56)*100</f>
        <v>42.735898246753315</v>
      </c>
      <c r="J58" s="470"/>
      <c r="L58" s="2"/>
      <c r="M58" s="2"/>
      <c r="N58" s="2"/>
      <c r="O58" s="2"/>
      <c r="Q58" s="2"/>
      <c r="R58" s="2"/>
      <c r="S58" s="2"/>
      <c r="T58" s="2"/>
    </row>
    <row r="59" spans="1:21" s="1" customFormat="1" ht="12.75" x14ac:dyDescent="0.2">
      <c r="A59" s="406" t="s">
        <v>36</v>
      </c>
      <c r="B59" s="406"/>
      <c r="C59" s="416">
        <f>('Attainment 25+ by race &amp; gender'!CR58/'Pop 25+ by race &amp; gender'!AS57)*100</f>
        <v>87.408296490114523</v>
      </c>
      <c r="D59" s="416">
        <f>('Attainment 25+ by race &amp; gender'!DQ58/'Pop 25+ by race &amp; gender'!CU57)*100</f>
        <v>91.499999999999986</v>
      </c>
      <c r="E59" s="416">
        <f>('Attainment 25+ by race &amp; gender'!EK58/'Pop 25+ by race &amp; gender'!DO57)*100</f>
        <v>92.834634534490803</v>
      </c>
      <c r="F59" s="416"/>
      <c r="G59" s="417">
        <f>('Attainment 25+ by race &amp; gender'!NQ58/'Pop 25+ by race &amp; gender'!AS57)*100</f>
        <v>28.653850121421819</v>
      </c>
      <c r="H59" s="416">
        <f>('Attainment 25+ by race &amp; gender'!PC58/'Pop 25+ by race &amp; gender'!CU57)*100</f>
        <v>32.9</v>
      </c>
      <c r="I59" s="416">
        <f>('Attainment 25+ by race &amp; gender'!PW58/'Pop 25+ by race &amp; gender'!DO57)*100</f>
        <v>36.58538644513532</v>
      </c>
      <c r="J59" s="470"/>
      <c r="L59" s="2"/>
      <c r="M59" s="2"/>
      <c r="N59" s="2"/>
      <c r="O59" s="2"/>
      <c r="Q59" s="2"/>
      <c r="R59" s="2"/>
      <c r="S59" s="2"/>
      <c r="T59" s="2"/>
    </row>
    <row r="60" spans="1:21" s="1" customFormat="1" ht="12.75" x14ac:dyDescent="0.2">
      <c r="A60" s="407" t="s">
        <v>37</v>
      </c>
      <c r="B60" s="407"/>
      <c r="C60" s="415">
        <f>('Attainment 25+ by race &amp; gender'!CR59/'Pop 25+ by race &amp; gender'!AS58)*100</f>
        <v>82.069405434869637</v>
      </c>
      <c r="D60" s="415">
        <f>('Attainment 25+ by race &amp; gender'!DQ59/'Pop 25+ by race &amp; gender'!CU58)*100</f>
        <v>87.9</v>
      </c>
      <c r="E60" s="415">
        <f>('Attainment 25+ by race &amp; gender'!EK59/'Pop 25+ by race &amp; gender'!DO58)*100</f>
        <v>89.294156766332236</v>
      </c>
      <c r="F60" s="418"/>
      <c r="G60" s="163">
        <f>('Attainment 25+ by race &amp; gender'!NQ59/'Pop 25+ by race &amp; gender'!AS58)*100</f>
        <v>29.779442500520076</v>
      </c>
      <c r="H60" s="415">
        <f>('Attainment 25+ by race &amp; gender'!PC59/'Pop 25+ by race &amp; gender'!CU58)*100</f>
        <v>35.200000000000003</v>
      </c>
      <c r="I60" s="415">
        <f>('Attainment 25+ by race &amp; gender'!PW59/'Pop 25+ by race &amp; gender'!DO58)*100</f>
        <v>38.563209711218548</v>
      </c>
      <c r="J60" s="20"/>
      <c r="L60" s="2"/>
      <c r="M60" s="2"/>
      <c r="N60" s="2"/>
      <c r="O60" s="2"/>
      <c r="Q60" s="2"/>
      <c r="R60" s="2"/>
      <c r="S60" s="2"/>
      <c r="T60" s="2"/>
    </row>
    <row r="61" spans="1:21" s="1" customFormat="1" ht="12.75" x14ac:dyDescent="0.2">
      <c r="A61" s="407" t="s">
        <v>39</v>
      </c>
      <c r="B61" s="407"/>
      <c r="C61" s="415">
        <f>('Attainment 25+ by race &amp; gender'!CR60/'Pop 25+ by race &amp; gender'!AS59)*100</f>
        <v>79.060662054308636</v>
      </c>
      <c r="D61" s="415">
        <f>('Attainment 25+ by race &amp; gender'!DQ60/'Pop 25+ by race &amp; gender'!CU59)*100</f>
        <v>84.9</v>
      </c>
      <c r="E61" s="415">
        <f>('Attainment 25+ by race &amp; gender'!EK60/'Pop 25+ by race &amp; gender'!DO59)*100</f>
        <v>86.316479941688613</v>
      </c>
      <c r="F61" s="418"/>
      <c r="G61" s="163">
        <f>('Attainment 25+ by race &amp; gender'!NQ60/'Pop 25+ by race &amp; gender'!AS59)*100</f>
        <v>27.372550495370312</v>
      </c>
      <c r="H61" s="415">
        <f>('Attainment 25+ by race &amp; gender'!PC60/'Pop 25+ by race &amp; gender'!CU59)*100</f>
        <v>32.6</v>
      </c>
      <c r="I61" s="415">
        <f>('Attainment 25+ by race &amp; gender'!PW60/'Pop 25+ by race &amp; gender'!DO59)*100</f>
        <v>35.652244478962018</v>
      </c>
      <c r="J61" s="20"/>
      <c r="L61" s="2"/>
      <c r="M61" s="2"/>
      <c r="N61" s="2"/>
      <c r="O61" s="2"/>
      <c r="Q61" s="2"/>
      <c r="R61" s="2"/>
      <c r="S61" s="2"/>
      <c r="T61" s="2"/>
    </row>
    <row r="62" spans="1:21" s="1" customFormat="1" ht="12.75" x14ac:dyDescent="0.2">
      <c r="A62" s="407" t="s">
        <v>43</v>
      </c>
      <c r="B62" s="407"/>
      <c r="C62" s="415">
        <f>('Attainment 25+ by race &amp; gender'!CR61/'Pop 25+ by race &amp; gender'!AS60)*100</f>
        <v>81.901117842067848</v>
      </c>
      <c r="D62" s="415">
        <f>('Attainment 25+ by race &amp; gender'!DQ61/'Pop 25+ by race &amp; gender'!CU60)*100</f>
        <v>88.399999999999991</v>
      </c>
      <c r="E62" s="415">
        <f>('Attainment 25+ by race &amp; gender'!EK61/'Pop 25+ by race &amp; gender'!DO60)*100</f>
        <v>90.132834938452532</v>
      </c>
      <c r="F62" s="418"/>
      <c r="G62" s="163">
        <f>('Attainment 25+ by race &amp; gender'!NQ61/'Pop 25+ by race &amp; gender'!AS60)*100</f>
        <v>22.351409653963014</v>
      </c>
      <c r="H62" s="415">
        <f>('Attainment 25+ by race &amp; gender'!PC61/'Pop 25+ by race &amp; gender'!CU60)*100</f>
        <v>26.900000000000002</v>
      </c>
      <c r="I62" s="415">
        <f>('Attainment 25+ by race &amp; gender'!PW61/'Pop 25+ by race &amp; gender'!DO60)*100</f>
        <v>30.797407524679233</v>
      </c>
      <c r="J62" s="20"/>
      <c r="L62" s="2"/>
      <c r="M62" s="2"/>
      <c r="N62" s="2"/>
      <c r="O62" s="2"/>
      <c r="Q62" s="2"/>
      <c r="R62" s="2"/>
      <c r="S62" s="2"/>
      <c r="T62" s="2"/>
    </row>
    <row r="63" spans="1:21" s="1" customFormat="1" ht="12.75" x14ac:dyDescent="0.2">
      <c r="A63" s="407" t="s">
        <v>44</v>
      </c>
      <c r="B63" s="407"/>
      <c r="C63" s="415">
        <f>('Attainment 25+ by race &amp; gender'!CR62/'Pop 25+ by race &amp; gender'!AS61)*100</f>
        <v>77.959696101057773</v>
      </c>
      <c r="D63" s="415">
        <f>('Attainment 25+ by race &amp; gender'!DQ62/'Pop 25+ by race &amp; gender'!CU61)*100</f>
        <v>84.6</v>
      </c>
      <c r="E63" s="415">
        <f>('Attainment 25+ by race &amp; gender'!EK62/'Pop 25+ by race &amp; gender'!DO61)*100</f>
        <v>88.531629532249383</v>
      </c>
      <c r="F63" s="418"/>
      <c r="G63" s="163">
        <f>('Attainment 25+ by race &amp; gender'!NQ62/'Pop 25+ by race &amp; gender'!AS61)*100</f>
        <v>25.600908759770391</v>
      </c>
      <c r="H63" s="415">
        <f>('Attainment 25+ by race &amp; gender'!PC62/'Pop 25+ by race &amp; gender'!CU61)*100</f>
        <v>30.8</v>
      </c>
      <c r="I63" s="415">
        <f>('Attainment 25+ by race &amp; gender'!PW62/'Pop 25+ by race &amp; gender'!DO61)*100</f>
        <v>34.093958817238722</v>
      </c>
      <c r="J63" s="20"/>
      <c r="L63" s="2"/>
      <c r="M63" s="2"/>
      <c r="N63" s="2"/>
      <c r="O63" s="2"/>
      <c r="Q63" s="2"/>
      <c r="R63" s="2"/>
      <c r="S63" s="2"/>
      <c r="T63" s="2"/>
    </row>
    <row r="64" spans="1:21" s="1" customFormat="1" ht="12.75" x14ac:dyDescent="0.2">
      <c r="A64" s="404" t="s">
        <v>47</v>
      </c>
      <c r="B64" s="404"/>
      <c r="C64" s="413">
        <f>('Attainment 25+ by race &amp; gender'!CR63/'Pop 25+ by race &amp; gender'!AS62)*100</f>
        <v>86.419377422858176</v>
      </c>
      <c r="D64" s="413">
        <f>('Attainment 25+ by race &amp; gender'!DQ63/'Pop 25+ by race &amp; gender'!CU62)*100</f>
        <v>91.300000000000011</v>
      </c>
      <c r="E64" s="415">
        <f>('Attainment 25+ by race &amp; gender'!EK63/'Pop 25+ by race &amp; gender'!DO62)*100</f>
        <v>92.135370811465023</v>
      </c>
      <c r="F64" s="413"/>
      <c r="G64" s="414">
        <f>('Attainment 25+ by race &amp; gender'!NQ63/'Pop 25+ by race &amp; gender'!AS62)*100</f>
        <v>29.445380396464326</v>
      </c>
      <c r="H64" s="413">
        <f>('Attainment 25+ by race &amp; gender'!PC63/'Pop 25+ by race &amp; gender'!CU62)*100</f>
        <v>34</v>
      </c>
      <c r="I64" s="415">
        <f>('Attainment 25+ by race &amp; gender'!PW63/'Pop 25+ by race &amp; gender'!DO62)*100</f>
        <v>36.366800663386137</v>
      </c>
      <c r="J64" s="464"/>
      <c r="L64" s="2"/>
      <c r="M64" s="2"/>
      <c r="N64" s="2"/>
      <c r="O64" s="2"/>
      <c r="Q64" s="2"/>
      <c r="R64" s="2"/>
      <c r="S64" s="2"/>
      <c r="T64" s="2"/>
    </row>
    <row r="65" spans="1:20" s="1" customFormat="1" ht="12.75" x14ac:dyDescent="0.2">
      <c r="A65" s="412" t="s">
        <v>62</v>
      </c>
      <c r="B65" s="412"/>
      <c r="C65" s="420">
        <f>('Attainment 25+ by race &amp; gender'!CR64/'Pop 25+ by race &amp; gender'!AS63)*100</f>
        <v>77.83062660095959</v>
      </c>
      <c r="D65" s="420">
        <f>('Attainment 25+ by race &amp; gender'!DQ64/'Pop 25+ by race &amp; gender'!CU63)*100</f>
        <v>87.3</v>
      </c>
      <c r="E65" s="424">
        <f>('Attainment 25+ by race &amp; gender'!EK64/'Pop 25+ by race &amp; gender'!DO63)*100</f>
        <v>90.473344190870506</v>
      </c>
      <c r="F65" s="424"/>
      <c r="G65" s="421">
        <f>('Attainment 25+ by race &amp; gender'!NQ64/'Pop 25+ by race &amp; gender'!AS63)*100</f>
        <v>39.069785585187304</v>
      </c>
      <c r="H65" s="420">
        <f>('Attainment 25+ by race &amp; gender'!PC64/'Pop 25+ by race &amp; gender'!CU63)*100</f>
        <v>50.7</v>
      </c>
      <c r="I65" s="424">
        <f>('Attainment 25+ by race &amp; gender'!PW64/'Pop 25+ by race &amp; gender'!DO63)*100</f>
        <v>56.830251708812519</v>
      </c>
      <c r="J65" s="467"/>
      <c r="L65" s="2"/>
      <c r="M65" s="2"/>
      <c r="N65" s="2"/>
      <c r="O65" s="2"/>
      <c r="Q65" s="2"/>
      <c r="R65" s="2"/>
      <c r="S65" s="2"/>
      <c r="T65" s="2"/>
    </row>
    <row r="66" spans="1:20" s="1" customFormat="1" ht="12.75" customHeight="1" x14ac:dyDescent="0.2">
      <c r="A66" s="208" t="s">
        <v>178</v>
      </c>
      <c r="B66" s="134"/>
      <c r="C66" s="134"/>
      <c r="D66" s="134"/>
      <c r="E66" s="134"/>
      <c r="F66" s="134"/>
      <c r="G66" s="134"/>
      <c r="H66" s="134"/>
      <c r="I66" s="134"/>
      <c r="J66" s="65"/>
      <c r="M66" s="18"/>
    </row>
    <row r="67" spans="1:20" s="1" customFormat="1" ht="12.75" customHeight="1" x14ac:dyDescent="0.2">
      <c r="A67" s="209" t="s">
        <v>239</v>
      </c>
      <c r="B67" s="134"/>
      <c r="C67" s="134"/>
      <c r="D67" s="134"/>
      <c r="E67" s="134"/>
      <c r="F67" s="134"/>
      <c r="G67" s="134"/>
      <c r="H67" s="134"/>
      <c r="I67" s="134"/>
      <c r="J67" s="65"/>
      <c r="M67" s="18"/>
    </row>
    <row r="68" spans="1:20" s="1" customFormat="1" ht="12.75" customHeight="1" x14ac:dyDescent="0.2">
      <c r="A68" s="186" t="s">
        <v>221</v>
      </c>
      <c r="B68" s="134"/>
      <c r="C68" s="134"/>
      <c r="D68" s="134"/>
      <c r="E68" s="134"/>
      <c r="F68" s="134"/>
      <c r="G68" s="134"/>
      <c r="H68" s="134"/>
      <c r="I68" s="134"/>
      <c r="J68" s="65"/>
    </row>
    <row r="69" spans="1:20" s="685" customFormat="1" ht="43.5" customHeight="1" x14ac:dyDescent="0.2">
      <c r="A69" s="686" t="s">
        <v>170</v>
      </c>
      <c r="B69" s="847" t="s">
        <v>237</v>
      </c>
      <c r="C69" s="847"/>
      <c r="D69" s="847"/>
      <c r="E69" s="847"/>
      <c r="F69" s="847"/>
      <c r="G69" s="847"/>
      <c r="H69" s="847"/>
      <c r="I69" s="847"/>
      <c r="J69" s="847"/>
    </row>
    <row r="70" spans="1:20" x14ac:dyDescent="0.2">
      <c r="A70" s="1"/>
      <c r="B70" s="134" t="s">
        <v>238</v>
      </c>
      <c r="C70" s="2"/>
      <c r="D70" s="2"/>
      <c r="E70" s="2"/>
      <c r="F70" s="2"/>
      <c r="G70" s="2"/>
      <c r="H70" s="2"/>
      <c r="I70" s="754" t="s">
        <v>236</v>
      </c>
      <c r="J70" s="475"/>
    </row>
    <row r="71" spans="1:20" x14ac:dyDescent="0.2">
      <c r="A71" s="1"/>
      <c r="B71" s="2"/>
      <c r="C71" s="2"/>
      <c r="D71" s="2"/>
      <c r="E71" s="2"/>
      <c r="F71" s="2"/>
      <c r="G71" s="2"/>
      <c r="H71" s="2"/>
      <c r="I71" s="2"/>
      <c r="J71" s="65"/>
    </row>
    <row r="72" spans="1:20" x14ac:dyDescent="0.2">
      <c r="A72" s="1"/>
      <c r="B72" s="2"/>
      <c r="C72" s="2"/>
      <c r="D72" s="2"/>
      <c r="E72" s="2"/>
      <c r="F72" s="2"/>
      <c r="G72" s="2"/>
      <c r="H72" s="2"/>
      <c r="I72" s="2"/>
      <c r="J72" s="65"/>
    </row>
    <row r="73" spans="1:20" x14ac:dyDescent="0.2">
      <c r="A73" s="1"/>
      <c r="B73" s="2"/>
      <c r="C73" s="2"/>
      <c r="D73" s="2"/>
      <c r="E73" s="2"/>
      <c r="F73" s="2"/>
      <c r="G73" s="2"/>
      <c r="H73" s="2"/>
      <c r="I73" s="2"/>
      <c r="J73" s="65"/>
    </row>
    <row r="74" spans="1:20" x14ac:dyDescent="0.2">
      <c r="A74" s="1"/>
      <c r="B74" s="2"/>
      <c r="C74" s="2"/>
      <c r="D74" s="2"/>
      <c r="E74" s="2"/>
      <c r="F74" s="2"/>
      <c r="G74" s="2"/>
      <c r="H74" s="2"/>
      <c r="I74" s="2"/>
      <c r="J74" s="65"/>
    </row>
    <row r="75" spans="1:20" x14ac:dyDescent="0.2">
      <c r="A75" s="1"/>
      <c r="B75" s="2"/>
      <c r="C75" s="2"/>
      <c r="D75" s="2"/>
      <c r="E75" s="2"/>
      <c r="F75" s="2"/>
      <c r="G75" s="2"/>
      <c r="H75" s="2"/>
      <c r="I75" s="2"/>
      <c r="J75" s="65"/>
    </row>
    <row r="76" spans="1:20" x14ac:dyDescent="0.2">
      <c r="A76" s="1"/>
      <c r="B76" s="2"/>
      <c r="C76" s="2"/>
      <c r="D76" s="2"/>
      <c r="E76" s="2"/>
      <c r="F76" s="2"/>
      <c r="G76" s="2"/>
      <c r="H76" s="2"/>
      <c r="I76" s="2"/>
      <c r="J76" s="65"/>
    </row>
    <row r="77" spans="1:20" x14ac:dyDescent="0.2">
      <c r="A77" s="1"/>
      <c r="B77" s="2"/>
      <c r="C77" s="2"/>
      <c r="D77" s="2"/>
      <c r="E77" s="2"/>
      <c r="F77" s="2"/>
      <c r="G77" s="2"/>
      <c r="H77" s="2"/>
      <c r="I77" s="2"/>
      <c r="J77" s="65"/>
    </row>
    <row r="78" spans="1:20" x14ac:dyDescent="0.2">
      <c r="A78" s="1"/>
      <c r="B78" s="2"/>
      <c r="C78" s="2"/>
      <c r="D78" s="2"/>
      <c r="E78" s="2"/>
      <c r="F78" s="2"/>
      <c r="G78" s="2"/>
      <c r="H78" s="2"/>
      <c r="I78" s="2"/>
      <c r="J78" s="65"/>
    </row>
    <row r="79" spans="1:20" x14ac:dyDescent="0.2">
      <c r="A79" s="1"/>
      <c r="B79" s="2"/>
      <c r="C79" s="2"/>
      <c r="D79" s="2"/>
      <c r="E79" s="2"/>
      <c r="F79" s="2"/>
      <c r="G79" s="2"/>
      <c r="H79" s="2"/>
      <c r="I79" s="2"/>
      <c r="J79" s="65"/>
    </row>
    <row r="80" spans="1:20" x14ac:dyDescent="0.2">
      <c r="A80" s="1"/>
      <c r="B80" s="2"/>
      <c r="C80" s="2"/>
      <c r="D80" s="2"/>
      <c r="E80" s="2"/>
      <c r="F80" s="2"/>
      <c r="G80" s="2"/>
      <c r="H80" s="2"/>
      <c r="I80" s="2"/>
      <c r="J80" s="65"/>
    </row>
    <row r="81" spans="1:10" x14ac:dyDescent="0.2">
      <c r="A81" s="1"/>
      <c r="B81" s="2"/>
      <c r="C81" s="2"/>
      <c r="D81" s="2"/>
      <c r="E81" s="2"/>
      <c r="F81" s="2"/>
      <c r="G81" s="2"/>
      <c r="H81" s="2"/>
      <c r="I81" s="2"/>
      <c r="J81" s="65"/>
    </row>
    <row r="82" spans="1:10" x14ac:dyDescent="0.2">
      <c r="A82" s="1"/>
      <c r="B82" s="2"/>
      <c r="C82" s="2"/>
      <c r="D82" s="2"/>
      <c r="E82" s="2"/>
      <c r="F82" s="2"/>
      <c r="G82" s="2"/>
      <c r="H82" s="2"/>
      <c r="I82" s="2"/>
      <c r="J82" s="65"/>
    </row>
    <row r="83" spans="1:10" x14ac:dyDescent="0.2">
      <c r="A83" s="1"/>
      <c r="B83" s="2"/>
      <c r="C83" s="2"/>
      <c r="D83" s="2"/>
      <c r="E83" s="2"/>
      <c r="F83" s="2"/>
      <c r="G83" s="2"/>
      <c r="H83" s="2"/>
      <c r="I83" s="2"/>
      <c r="J83" s="65"/>
    </row>
    <row r="84" spans="1:10" x14ac:dyDescent="0.2">
      <c r="A84" s="1"/>
      <c r="B84" s="2"/>
      <c r="C84" s="2"/>
      <c r="D84" s="2"/>
      <c r="E84" s="2"/>
      <c r="F84" s="2"/>
      <c r="G84" s="2"/>
      <c r="H84" s="2"/>
      <c r="I84" s="2"/>
      <c r="J84" s="65"/>
    </row>
    <row r="85" spans="1:10" x14ac:dyDescent="0.2">
      <c r="A85" s="1"/>
      <c r="B85" s="2"/>
      <c r="C85" s="2"/>
      <c r="D85" s="2"/>
      <c r="E85" s="2"/>
      <c r="F85" s="2"/>
      <c r="G85" s="2"/>
      <c r="H85" s="2"/>
      <c r="I85" s="2"/>
      <c r="J85" s="65"/>
    </row>
    <row r="86" spans="1:10" x14ac:dyDescent="0.2">
      <c r="A86" s="1"/>
      <c r="B86" s="2"/>
      <c r="C86" s="2"/>
      <c r="D86" s="2"/>
      <c r="E86" s="2"/>
      <c r="F86" s="2"/>
      <c r="G86" s="2"/>
      <c r="H86" s="2"/>
      <c r="I86" s="2"/>
      <c r="J86" s="65"/>
    </row>
    <row r="87" spans="1:10" x14ac:dyDescent="0.2">
      <c r="A87" s="1"/>
      <c r="B87" s="2"/>
      <c r="C87" s="2"/>
      <c r="D87" s="2"/>
      <c r="E87" s="2"/>
      <c r="F87" s="2"/>
      <c r="G87" s="2"/>
      <c r="H87" s="2"/>
      <c r="I87" s="2"/>
      <c r="J87" s="65"/>
    </row>
    <row r="88" spans="1:10" x14ac:dyDescent="0.2">
      <c r="A88" s="1"/>
      <c r="B88" s="2"/>
      <c r="C88" s="2"/>
      <c r="D88" s="2"/>
      <c r="E88" s="2"/>
      <c r="F88" s="2"/>
      <c r="G88" s="2"/>
      <c r="H88" s="2"/>
      <c r="I88" s="2"/>
      <c r="J88" s="65"/>
    </row>
    <row r="89" spans="1:10" x14ac:dyDescent="0.2">
      <c r="A89" s="1"/>
      <c r="B89" s="2"/>
      <c r="C89" s="2"/>
      <c r="D89" s="2"/>
      <c r="E89" s="2"/>
      <c r="F89" s="2"/>
      <c r="G89" s="2"/>
      <c r="H89" s="2"/>
      <c r="I89" s="2"/>
      <c r="J89" s="65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65"/>
    </row>
  </sheetData>
  <mergeCells count="1">
    <mergeCell ref="B69:J69"/>
  </mergeCells>
  <phoneticPr fontId="8" type="noConversion"/>
  <pageMargins left="0.75" right="0.75" top="1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A1:V76"/>
  <sheetViews>
    <sheetView showGridLines="0" tabSelected="1" view="pageBreakPreview" zoomScaleNormal="100" zoomScaleSheetLayoutView="100" workbookViewId="0">
      <selection activeCell="H74" sqref="H74"/>
    </sheetView>
  </sheetViews>
  <sheetFormatPr defaultColWidth="8.77734375" defaultRowHeight="12.75" x14ac:dyDescent="0.2"/>
  <cols>
    <col min="1" max="1" width="6.5546875" style="765" customWidth="1"/>
    <col min="2" max="2" width="9.33203125" style="765" customWidth="1"/>
    <col min="3" max="4" width="5.88671875" style="765" customWidth="1"/>
    <col min="5" max="5" width="7.109375" style="765" customWidth="1"/>
    <col min="6" max="7" width="5.88671875" style="765" customWidth="1"/>
    <col min="8" max="8" width="7.21875" style="765" customWidth="1"/>
    <col min="9" max="9" width="5.88671875" style="766" customWidth="1"/>
    <col min="10" max="10" width="6.5546875" style="765" customWidth="1"/>
    <col min="11" max="11" width="7.21875" style="765" customWidth="1"/>
    <col min="12" max="13" width="5.88671875" style="765" customWidth="1"/>
    <col min="14" max="14" width="7.5546875" style="765" customWidth="1"/>
    <col min="15" max="15" width="2.109375" style="765" customWidth="1"/>
    <col min="16" max="18" width="11.33203125" style="765" customWidth="1"/>
    <col min="19" max="19" width="2.109375" style="766" customWidth="1"/>
    <col min="20" max="23" width="11.33203125" style="765" customWidth="1"/>
    <col min="24" max="16384" width="8.77734375" style="765"/>
  </cols>
  <sheetData>
    <row r="1" spans="1:22" x14ac:dyDescent="0.2">
      <c r="A1" s="765" t="s">
        <v>209</v>
      </c>
    </row>
    <row r="2" spans="1:22" ht="18" x14ac:dyDescent="0.2">
      <c r="A2" s="765" t="s">
        <v>225</v>
      </c>
    </row>
    <row r="3" spans="1:22" ht="15" x14ac:dyDescent="0.2">
      <c r="A3" s="766"/>
      <c r="B3" s="766"/>
      <c r="C3" s="766"/>
      <c r="D3" s="766"/>
      <c r="E3" s="766"/>
      <c r="F3" s="766"/>
      <c r="G3" s="766"/>
      <c r="H3" s="766"/>
      <c r="J3" s="766"/>
      <c r="K3" s="766"/>
      <c r="L3" s="766"/>
      <c r="M3" s="766"/>
      <c r="N3" s="766"/>
      <c r="P3" s="767" t="s">
        <v>232</v>
      </c>
      <c r="Q3" s="768"/>
      <c r="R3" s="769"/>
      <c r="S3" s="770"/>
      <c r="T3" s="767" t="s">
        <v>233</v>
      </c>
      <c r="U3" s="771"/>
      <c r="V3" s="772"/>
    </row>
    <row r="4" spans="1:22" ht="15" customHeight="1" x14ac:dyDescent="0.2">
      <c r="A4" s="773"/>
      <c r="B4" s="773"/>
      <c r="C4" s="844" t="s">
        <v>234</v>
      </c>
      <c r="D4" s="774"/>
      <c r="E4" s="775"/>
      <c r="F4" s="776"/>
      <c r="G4" s="777"/>
      <c r="H4" s="774"/>
      <c r="I4" s="845" t="s">
        <v>235</v>
      </c>
      <c r="J4" s="777"/>
      <c r="K4" s="774"/>
      <c r="L4" s="778"/>
      <c r="M4" s="779"/>
      <c r="N4" s="775"/>
      <c r="O4" s="766"/>
      <c r="P4" s="780"/>
      <c r="Q4" s="766"/>
      <c r="R4" s="781"/>
      <c r="T4" s="780"/>
      <c r="U4" s="766"/>
      <c r="V4" s="781"/>
    </row>
    <row r="5" spans="1:22" ht="39.75" customHeight="1" x14ac:dyDescent="0.2">
      <c r="A5" s="766"/>
      <c r="B5" s="766"/>
      <c r="C5" s="778" t="s">
        <v>132</v>
      </c>
      <c r="D5" s="777"/>
      <c r="E5" s="774"/>
      <c r="F5" s="782" t="s">
        <v>65</v>
      </c>
      <c r="G5" s="777"/>
      <c r="H5" s="783"/>
      <c r="I5" s="778" t="s">
        <v>132</v>
      </c>
      <c r="J5" s="777"/>
      <c r="K5" s="783"/>
      <c r="L5" s="778" t="s">
        <v>65</v>
      </c>
      <c r="M5" s="777"/>
      <c r="N5" s="774"/>
      <c r="O5" s="766"/>
      <c r="P5" s="780"/>
      <c r="Q5" s="766"/>
      <c r="R5" s="781"/>
      <c r="T5" s="780"/>
      <c r="U5" s="766"/>
      <c r="V5" s="781"/>
    </row>
    <row r="6" spans="1:22" ht="27" customHeight="1" x14ac:dyDescent="0.2">
      <c r="A6" s="784"/>
      <c r="B6" s="784"/>
      <c r="C6" s="853" t="s">
        <v>58</v>
      </c>
      <c r="D6" s="853" t="s">
        <v>59</v>
      </c>
      <c r="E6" s="853" t="s">
        <v>60</v>
      </c>
      <c r="F6" s="854" t="s">
        <v>58</v>
      </c>
      <c r="G6" s="853" t="s">
        <v>59</v>
      </c>
      <c r="H6" s="855" t="s">
        <v>60</v>
      </c>
      <c r="I6" s="856" t="s">
        <v>58</v>
      </c>
      <c r="J6" s="856" t="s">
        <v>59</v>
      </c>
      <c r="K6" s="857" t="s">
        <v>60</v>
      </c>
      <c r="L6" s="856" t="s">
        <v>58</v>
      </c>
      <c r="M6" s="856" t="s">
        <v>59</v>
      </c>
      <c r="N6" s="856" t="s">
        <v>60</v>
      </c>
      <c r="O6" s="766"/>
      <c r="P6" s="780"/>
      <c r="Q6" s="766"/>
      <c r="R6" s="781"/>
      <c r="T6" s="780"/>
      <c r="U6" s="766"/>
      <c r="V6" s="781"/>
    </row>
    <row r="7" spans="1:22" x14ac:dyDescent="0.2">
      <c r="A7" s="785" t="s">
        <v>180</v>
      </c>
      <c r="B7" s="785"/>
      <c r="C7" s="786">
        <f>+'Attainment by Race Trends'!AY6</f>
        <v>92.458665185284943</v>
      </c>
      <c r="D7" s="786">
        <f>+'Attainment by Race Trends'!BA6</f>
        <v>85.243691837585075</v>
      </c>
      <c r="E7" s="786">
        <f>+'Attainment by Race Trends'!BC6</f>
        <v>67.113306174470893</v>
      </c>
      <c r="F7" s="787">
        <f>+'Attainment by Race Trends'!BE6</f>
        <v>34.967272407283389</v>
      </c>
      <c r="G7" s="786">
        <f>+'Attainment by Race Trends'!BG6</f>
        <v>20.870989397657301</v>
      </c>
      <c r="H7" s="788">
        <f>+'Attainment by Race Trends'!BI6</f>
        <v>15.346376944366313</v>
      </c>
      <c r="I7" s="789">
        <f>('Attainment by Race Trends'!AY6-'Attainment by Race Trends'!AX6)</f>
        <v>4.691110946922592</v>
      </c>
      <c r="J7" s="789">
        <f>('Attainment by Race Trends'!BA6-'Attainment by Race Trends'!AZ6)</f>
        <v>3.2666864221943825</v>
      </c>
      <c r="K7" s="790">
        <f>('Attainment by Race Trends'!BC6-'Attainment by Race Trends'!BB6)</f>
        <v>4.9098505721551575</v>
      </c>
      <c r="L7" s="789">
        <f>('Attainment by Race Trends'!BE6-'Attainment by Race Trends'!BD6)</f>
        <v>5.3886211666724009</v>
      </c>
      <c r="M7" s="789">
        <f>('Attainment by Race Trends'!BG6-'Attainment by Race Trends'!BF6)</f>
        <v>2.8330069733869969</v>
      </c>
      <c r="N7" s="789">
        <f>('Attainment by Race Trends'!BI6-'Attainment by Race Trends'!BH6)</f>
        <v>2.3000663607690619</v>
      </c>
      <c r="O7" s="766"/>
      <c r="P7" s="780"/>
      <c r="Q7" s="766"/>
      <c r="R7" s="781"/>
      <c r="T7" s="780"/>
      <c r="U7" s="766"/>
      <c r="V7" s="781"/>
    </row>
    <row r="8" spans="1:22" x14ac:dyDescent="0.2">
      <c r="A8" s="791" t="s">
        <v>63</v>
      </c>
      <c r="B8" s="791"/>
      <c r="C8" s="792">
        <f>+'Attainment by Race Trends'!AY7</f>
        <v>90.745033937509291</v>
      </c>
      <c r="D8" s="792">
        <f>+'Attainment by Race Trends'!BA7</f>
        <v>84.623830413925134</v>
      </c>
      <c r="E8" s="792">
        <f>+'Attainment by Race Trends'!BC7</f>
        <v>68.274579955004441</v>
      </c>
      <c r="F8" s="793">
        <f>+'Attainment by Race Trends'!BE7</f>
        <v>32.62921215546757</v>
      </c>
      <c r="G8" s="794">
        <f>+'Attainment by Race Trends'!BG7</f>
        <v>20.579708471287994</v>
      </c>
      <c r="H8" s="795">
        <f>+'Attainment by Race Trends'!BI7</f>
        <v>17.248426493653934</v>
      </c>
      <c r="I8" s="796">
        <f>('Attainment by Race Trends'!AY7-'Attainment by Race Trends'!AX7)</f>
        <v>5.2032317795288776</v>
      </c>
      <c r="J8" s="796">
        <f>('Attainment by Race Trends'!BA7-'Attainment by Race Trends'!AZ7)</f>
        <v>3.6462226254783019</v>
      </c>
      <c r="K8" s="797">
        <f>('Attainment by Race Trends'!BC7-'Attainment by Race Trends'!BB7)</f>
        <v>4.9786029791243891</v>
      </c>
      <c r="L8" s="796">
        <f>('Attainment by Race Trends'!BE7-'Attainment by Race Trends'!BD7)</f>
        <v>5.018506511138412</v>
      </c>
      <c r="M8" s="796">
        <f>('Attainment by Race Trends'!BG7-'Attainment by Race Trends'!BF7)</f>
        <v>2.9975591477924333</v>
      </c>
      <c r="N8" s="796">
        <f>('Attainment by Race Trends'!BI7-'Attainment by Race Trends'!BH7)</f>
        <v>2.6325006086573612</v>
      </c>
      <c r="O8" s="766"/>
      <c r="P8" s="780"/>
      <c r="Q8" s="766"/>
      <c r="R8" s="781"/>
      <c r="T8" s="780"/>
      <c r="U8" s="766"/>
      <c r="V8" s="781"/>
    </row>
    <row r="9" spans="1:22" ht="18" x14ac:dyDescent="0.2">
      <c r="A9" s="791" t="s">
        <v>226</v>
      </c>
      <c r="B9" s="791"/>
      <c r="C9" s="792">
        <f>(C8/C$7)*100</f>
        <v>98.146597461317896</v>
      </c>
      <c r="D9" s="792">
        <f>(D8/D$7)*100</f>
        <v>99.272836018363719</v>
      </c>
      <c r="E9" s="792">
        <f t="shared" ref="E9:H9" si="0">(E8/E$7)*100</f>
        <v>101.73031824347119</v>
      </c>
      <c r="F9" s="798">
        <f t="shared" si="0"/>
        <v>93.313575549779458</v>
      </c>
      <c r="G9" s="792">
        <f t="shared" si="0"/>
        <v>98.60437413474034</v>
      </c>
      <c r="H9" s="797">
        <f t="shared" si="0"/>
        <v>112.39412765751115</v>
      </c>
      <c r="I9" s="796"/>
      <c r="J9" s="796"/>
      <c r="K9" s="797"/>
      <c r="L9" s="796"/>
      <c r="M9" s="796"/>
      <c r="N9" s="796"/>
      <c r="O9" s="766"/>
      <c r="P9" s="780"/>
      <c r="Q9" s="766"/>
      <c r="R9" s="781"/>
      <c r="T9" s="780"/>
      <c r="U9" s="766"/>
      <c r="V9" s="781"/>
    </row>
    <row r="10" spans="1:22" x14ac:dyDescent="0.2">
      <c r="A10" s="799" t="s">
        <v>0</v>
      </c>
      <c r="B10" s="799"/>
      <c r="C10" s="800">
        <f>+'Attainment by Race Trends'!AY9</f>
        <v>87.352960348017362</v>
      </c>
      <c r="D10" s="800">
        <f>+'Attainment by Race Trends'!BA9</f>
        <v>81.952391214336402</v>
      </c>
      <c r="E10" s="800">
        <f>+'Attainment by Race Trends'!BC9</f>
        <v>58.296452298833032</v>
      </c>
      <c r="F10" s="801">
        <f>+'Attainment by Race Trends'!BE9</f>
        <v>27.250976983310021</v>
      </c>
      <c r="G10" s="802">
        <f>+'Attainment by Race Trends'!BG9</f>
        <v>17.641304532060019</v>
      </c>
      <c r="H10" s="803">
        <f>+'Attainment by Race Trends'!BI9</f>
        <v>12.951601908657123</v>
      </c>
      <c r="I10" s="804">
        <f>('Attainment by Race Trends'!AY9-'Attainment by Race Trends'!AX9)</f>
        <v>3.3529603480173762</v>
      </c>
      <c r="J10" s="804">
        <f>('Attainment by Race Trends'!BA9-'Attainment by Race Trends'!AZ9)</f>
        <v>3.7523912143364129</v>
      </c>
      <c r="K10" s="805">
        <f>('Attainment by Race Trends'!BC9-'Attainment by Race Trends'!BB9)</f>
        <v>4.8964522988330259</v>
      </c>
      <c r="L10" s="804">
        <f>('Attainment by Race Trends'!BE9-'Attainment by Race Trends'!BD9)</f>
        <v>2.8509769833100229</v>
      </c>
      <c r="M10" s="804">
        <f>('Attainment by Race Trends'!BG9-'Attainment by Race Trends'!BF9)</f>
        <v>3.1413045320600173</v>
      </c>
      <c r="N10" s="804">
        <f>('Attainment by Race Trends'!BI9-'Attainment by Race Trends'!BH9)</f>
        <v>1.1516019086571241</v>
      </c>
      <c r="O10" s="766"/>
      <c r="P10" s="780"/>
      <c r="Q10" s="766"/>
      <c r="R10" s="781"/>
      <c r="T10" s="780"/>
      <c r="U10" s="766"/>
      <c r="V10" s="781"/>
    </row>
    <row r="11" spans="1:22" x14ac:dyDescent="0.2">
      <c r="A11" s="799" t="s">
        <v>1</v>
      </c>
      <c r="B11" s="799"/>
      <c r="C11" s="800">
        <f>+'Attainment by Race Trends'!AY10</f>
        <v>88.558746457725604</v>
      </c>
      <c r="D11" s="800">
        <f>+'Attainment by Race Trends'!BA10</f>
        <v>82.502972124137202</v>
      </c>
      <c r="E11" s="800">
        <f>+'Attainment by Race Trends'!BC10</f>
        <v>56.286014138333897</v>
      </c>
      <c r="F11" s="801">
        <f>+'Attainment by Race Trends'!BE10</f>
        <v>23.998274726961881</v>
      </c>
      <c r="G11" s="802">
        <f>+'Attainment by Race Trends'!BG10</f>
        <v>16.002271235161558</v>
      </c>
      <c r="H11" s="803">
        <f>+'Attainment by Race Trends'!BI10</f>
        <v>9.6473337161640362</v>
      </c>
      <c r="I11" s="804">
        <f>('Attainment by Race Trends'!AY10-'Attainment by Race Trends'!AX10)</f>
        <v>3.8587464577256014</v>
      </c>
      <c r="J11" s="804">
        <f>('Attainment by Race Trends'!BA10-'Attainment by Race Trends'!AZ10)</f>
        <v>3.7029721241372187</v>
      </c>
      <c r="K11" s="805">
        <f>('Attainment by Race Trends'!BC10-'Attainment by Race Trends'!BB10)</f>
        <v>7.3860141383338984</v>
      </c>
      <c r="L11" s="804">
        <f>('Attainment by Race Trends'!BE10-'Attainment by Race Trends'!BD10)</f>
        <v>3.298274726961882</v>
      </c>
      <c r="M11" s="804">
        <f>('Attainment by Race Trends'!BG10-'Attainment by Race Trends'!BF10)</f>
        <v>2.9022712351615567</v>
      </c>
      <c r="N11" s="804">
        <f>('Attainment by Race Trends'!BI10-'Attainment by Race Trends'!BH10)</f>
        <v>0.8473337161640373</v>
      </c>
      <c r="O11" s="766"/>
      <c r="P11" s="780"/>
      <c r="Q11" s="766"/>
      <c r="R11" s="781"/>
      <c r="T11" s="780"/>
      <c r="U11" s="766"/>
      <c r="V11" s="781"/>
    </row>
    <row r="12" spans="1:22" x14ac:dyDescent="0.2">
      <c r="A12" s="799" t="s">
        <v>2</v>
      </c>
      <c r="B12" s="799"/>
      <c r="C12" s="800">
        <f>+'Attainment by Race Trends'!AY11</f>
        <v>91.931314048226113</v>
      </c>
      <c r="D12" s="800">
        <f>+'Attainment by Race Trends'!BA11</f>
        <v>87.432207241327077</v>
      </c>
      <c r="E12" s="800">
        <f>+'Attainment by Race Trends'!BC11</f>
        <v>67.798722883135056</v>
      </c>
      <c r="F12" s="801">
        <f>+'Attainment by Race Trends'!BE11</f>
        <v>33.785870343919228</v>
      </c>
      <c r="G12" s="802">
        <f>+'Attainment by Race Trends'!BG11</f>
        <v>20.834722011816392</v>
      </c>
      <c r="H12" s="803">
        <f>+'Attainment by Race Trends'!BI11</f>
        <v>16.121413575927221</v>
      </c>
      <c r="I12" s="804">
        <f>('Attainment by Race Trends'!AY11-'Attainment by Race Trends'!AX11)</f>
        <v>3.5313140482261076</v>
      </c>
      <c r="J12" s="804">
        <f>('Attainment by Race Trends'!BA11-'Attainment by Race Trends'!AZ11)</f>
        <v>3.032207241327086</v>
      </c>
      <c r="K12" s="805">
        <f>('Attainment by Race Trends'!BC11-'Attainment by Race Trends'!BB11)</f>
        <v>8.198722883135062</v>
      </c>
      <c r="L12" s="804">
        <f>('Attainment by Race Trends'!BE11-'Attainment by Race Trends'!BD11)</f>
        <v>3.985870343919224</v>
      </c>
      <c r="M12" s="804">
        <f>('Attainment by Race Trends'!BG11-'Attainment by Race Trends'!BF11)</f>
        <v>3.0347220118163918</v>
      </c>
      <c r="N12" s="804">
        <f>('Attainment by Race Trends'!BI11-'Attainment by Race Trends'!BH11)</f>
        <v>2.5214135759272231</v>
      </c>
      <c r="O12" s="766"/>
      <c r="P12" s="780"/>
      <c r="Q12" s="766"/>
      <c r="R12" s="781"/>
      <c r="T12" s="780"/>
      <c r="U12" s="766"/>
      <c r="V12" s="781"/>
    </row>
    <row r="13" spans="1:22" x14ac:dyDescent="0.2">
      <c r="A13" s="799" t="s">
        <v>3</v>
      </c>
      <c r="B13" s="799"/>
      <c r="C13" s="800">
        <f>+'Attainment by Race Trends'!AY12</f>
        <v>92.368255357815016</v>
      </c>
      <c r="D13" s="800">
        <f>+'Attainment by Race Trends'!BA12</f>
        <v>81.323322293722782</v>
      </c>
      <c r="E13" s="800">
        <f>+'Attainment by Race Trends'!BC12</f>
        <v>78.15221572440737</v>
      </c>
      <c r="F13" s="801">
        <f>+'Attainment by Race Trends'!BE12</f>
        <v>32.217084392998672</v>
      </c>
      <c r="G13" s="802">
        <f>+'Attainment by Race Trends'!BG12</f>
        <v>18.253964824026493</v>
      </c>
      <c r="H13" s="803">
        <f>+'Attainment by Race Trends'!BI12</f>
        <v>22.906937697751395</v>
      </c>
      <c r="I13" s="804">
        <f>('Attainment by Race Trends'!AY12-'Attainment by Race Trends'!AX12)</f>
        <v>4.8682553578150447</v>
      </c>
      <c r="J13" s="804">
        <f>('Attainment by Race Trends'!BA12-'Attainment by Race Trends'!AZ12)</f>
        <v>3.1233222937227794</v>
      </c>
      <c r="K13" s="805">
        <f>('Attainment by Race Trends'!BC12-'Attainment by Race Trends'!BB12)</f>
        <v>3.9522157244073526</v>
      </c>
      <c r="L13" s="804">
        <f>('Attainment by Race Trends'!BE12-'Attainment by Race Trends'!BD12)</f>
        <v>5.1170843929986738</v>
      </c>
      <c r="M13" s="804">
        <f>('Attainment by Race Trends'!BG12-'Attainment by Race Trends'!BF12)</f>
        <v>2.2539648240264931</v>
      </c>
      <c r="N13" s="804">
        <f>('Attainment by Race Trends'!BI12-'Attainment by Race Trends'!BH12)</f>
        <v>2.6069376977513947</v>
      </c>
      <c r="O13" s="766"/>
      <c r="P13" s="780"/>
      <c r="Q13" s="766"/>
      <c r="R13" s="781"/>
      <c r="T13" s="780"/>
      <c r="U13" s="766"/>
      <c r="V13" s="781"/>
    </row>
    <row r="14" spans="1:22" x14ac:dyDescent="0.2">
      <c r="A14" s="806" t="s">
        <v>4</v>
      </c>
      <c r="B14" s="806"/>
      <c r="C14" s="792">
        <f>+'Attainment by Race Trends'!AY13</f>
        <v>89.809164607047194</v>
      </c>
      <c r="D14" s="792">
        <f>+'Attainment by Race Trends'!BA13</f>
        <v>86.119840487873205</v>
      </c>
      <c r="E14" s="792">
        <f>+'Attainment by Race Trends'!BC13</f>
        <v>59.852070768959685</v>
      </c>
      <c r="F14" s="793">
        <f>+'Attainment by Race Trends'!BE13</f>
        <v>33.904584100636256</v>
      </c>
      <c r="G14" s="794">
        <f>+'Attainment by Race Trends'!BG13</f>
        <v>23.418306547319229</v>
      </c>
      <c r="H14" s="795">
        <f>+'Attainment by Race Trends'!BI13</f>
        <v>16.814635943519384</v>
      </c>
      <c r="I14" s="796">
        <f>('Attainment by Race Trends'!AY13-'Attainment by Race Trends'!AX13)</f>
        <v>3.5091646070472109</v>
      </c>
      <c r="J14" s="796">
        <f>('Attainment by Race Trends'!BA13-'Attainment by Race Trends'!AZ13)</f>
        <v>3.4198404878732163</v>
      </c>
      <c r="K14" s="797">
        <f>('Attainment by Race Trends'!BC13-'Attainment by Race Trends'!BB13)</f>
        <v>3.7520707689596904</v>
      </c>
      <c r="L14" s="796">
        <f>('Attainment by Race Trends'!BE13-'Attainment by Race Trends'!BD13)</f>
        <v>3.5045841006362579</v>
      </c>
      <c r="M14" s="796">
        <f>('Attainment by Race Trends'!BG13-'Attainment by Race Trends'!BF13)</f>
        <v>3.6183065473192286</v>
      </c>
      <c r="N14" s="796">
        <f>('Attainment by Race Trends'!BI13-'Attainment by Race Trends'!BH13)</f>
        <v>3.3146359435193862</v>
      </c>
      <c r="O14" s="766"/>
      <c r="P14" s="780"/>
      <c r="Q14" s="766"/>
      <c r="R14" s="781"/>
      <c r="T14" s="780"/>
      <c r="U14" s="766"/>
      <c r="V14" s="781"/>
    </row>
    <row r="15" spans="1:22" x14ac:dyDescent="0.2">
      <c r="A15" s="806" t="s">
        <v>5</v>
      </c>
      <c r="B15" s="806"/>
      <c r="C15" s="792">
        <f>+'Attainment by Race Trends'!AY14</f>
        <v>86.22495286768536</v>
      </c>
      <c r="D15" s="792">
        <f>+'Attainment by Race Trends'!BA14</f>
        <v>85.369669691209694</v>
      </c>
      <c r="E15" s="792">
        <f>+'Attainment by Race Trends'!BC14</f>
        <v>67.642339401316889</v>
      </c>
      <c r="F15" s="793">
        <f>+'Attainment by Race Trends'!BE14</f>
        <v>23.866425954296123</v>
      </c>
      <c r="G15" s="794">
        <f>+'Attainment by Race Trends'!BG14</f>
        <v>14.543808055087329</v>
      </c>
      <c r="H15" s="795">
        <f>+'Attainment by Race Trends'!BI14</f>
        <v>20.650971061804903</v>
      </c>
      <c r="I15" s="796">
        <f>('Attainment by Race Trends'!AY14-'Attainment by Race Trends'!AX14)</f>
        <v>3.8249528676853544</v>
      </c>
      <c r="J15" s="796">
        <f>('Attainment by Race Trends'!BA14-'Attainment by Race Trends'!AZ14)</f>
        <v>2.9696696912096883</v>
      </c>
      <c r="K15" s="797">
        <f>('Attainment by Race Trends'!BC14-'Attainment by Race Trends'!BB14)</f>
        <v>3.7423394013168902</v>
      </c>
      <c r="L15" s="796">
        <f>('Attainment by Race Trends'!BE14-'Attainment by Race Trends'!BD14)</f>
        <v>2.7664259542961247</v>
      </c>
      <c r="M15" s="796">
        <f>('Attainment by Race Trends'!BG14-'Attainment by Race Trends'!BF14)</f>
        <v>4.3808055087330544E-2</v>
      </c>
      <c r="N15" s="796">
        <f>('Attainment by Race Trends'!BI14-'Attainment by Race Trends'!BH14)</f>
        <v>7.2509710618049024</v>
      </c>
      <c r="O15" s="766"/>
      <c r="P15" s="780"/>
      <c r="Q15" s="766"/>
      <c r="R15" s="781"/>
      <c r="T15" s="780"/>
      <c r="U15" s="766"/>
      <c r="V15" s="781"/>
    </row>
    <row r="16" spans="1:22" x14ac:dyDescent="0.2">
      <c r="A16" s="806" t="s">
        <v>6</v>
      </c>
      <c r="B16" s="806"/>
      <c r="C16" s="792">
        <f>+'Attainment by Race Trends'!AY15</f>
        <v>88.230535252050842</v>
      </c>
      <c r="D16" s="792">
        <f>+'Attainment by Race Trends'!BA15</f>
        <v>78.334305645534712</v>
      </c>
      <c r="E16" s="792">
        <f>+'Attainment by Race Trends'!BC15</f>
        <v>72.506663338057024</v>
      </c>
      <c r="F16" s="793">
        <f>+'Attainment by Race Trends'!BE15</f>
        <v>27.490811514150703</v>
      </c>
      <c r="G16" s="794">
        <f>+'Attainment by Race Trends'!BG15</f>
        <v>14.763781853968377</v>
      </c>
      <c r="H16" s="795">
        <f>+'Attainment by Race Trends'!BI15</f>
        <v>16.462666950577489</v>
      </c>
      <c r="I16" s="796">
        <f>('Attainment by Race Trends'!AY15-'Attainment by Race Trends'!AX15)</f>
        <v>2.6305352520508336</v>
      </c>
      <c r="J16" s="796">
        <f>('Attainment by Race Trends'!BA15-'Attainment by Race Trends'!AZ15)</f>
        <v>3.3343056455347124</v>
      </c>
      <c r="K16" s="797">
        <f>('Attainment by Race Trends'!BC15-'Attainment by Race Trends'!BB15)</f>
        <v>2.3066633380570352</v>
      </c>
      <c r="L16" s="796">
        <f>('Attainment by Race Trends'!BE15-'Attainment by Race Trends'!BD15)</f>
        <v>2.6908115141507025</v>
      </c>
      <c r="M16" s="796">
        <f>('Attainment by Race Trends'!BG15-'Attainment by Race Trends'!BF15)</f>
        <v>1.7637818539683767</v>
      </c>
      <c r="N16" s="796">
        <f>('Attainment by Race Trends'!BI15-'Attainment by Race Trends'!BH15)</f>
        <v>-1.1373330494225122</v>
      </c>
      <c r="O16" s="766"/>
      <c r="P16" s="780"/>
      <c r="Q16" s="766"/>
      <c r="R16" s="781"/>
      <c r="T16" s="780"/>
      <c r="U16" s="766"/>
      <c r="V16" s="781"/>
    </row>
    <row r="17" spans="1:22" x14ac:dyDescent="0.2">
      <c r="A17" s="806" t="s">
        <v>7</v>
      </c>
      <c r="B17" s="806"/>
      <c r="C17" s="792">
        <f>+'Attainment by Race Trends'!AY16</f>
        <v>93.480758794174164</v>
      </c>
      <c r="D17" s="792">
        <f>+'Attainment by Race Trends'!BA16</f>
        <v>90.346798732503729</v>
      </c>
      <c r="E17" s="792">
        <f>+'Attainment by Race Trends'!BC16</f>
        <v>64.86478281460613</v>
      </c>
      <c r="F17" s="793">
        <f>+'Attainment by Race Trends'!BE16</f>
        <v>44.209474497381066</v>
      </c>
      <c r="G17" s="794">
        <f>+'Attainment by Race Trends'!BG16</f>
        <v>29.534006253541222</v>
      </c>
      <c r="H17" s="795">
        <f>+'Attainment by Race Trends'!BI16</f>
        <v>20.947431055629089</v>
      </c>
      <c r="I17" s="796">
        <f>('Attainment by Race Trends'!AY16-'Attainment by Race Trends'!AX16)</f>
        <v>3.0807587941741588</v>
      </c>
      <c r="J17" s="796">
        <f>('Attainment by Race Trends'!BA16-'Attainment by Race Trends'!AZ16)</f>
        <v>2.9467987325037228</v>
      </c>
      <c r="K17" s="797">
        <f>('Attainment by Race Trends'!BC16-'Attainment by Race Trends'!BB16)</f>
        <v>4.5647828146061329</v>
      </c>
      <c r="L17" s="796">
        <f>('Attainment by Race Trends'!BE16-'Attainment by Race Trends'!BD16)</f>
        <v>4.5094744973810563</v>
      </c>
      <c r="M17" s="796">
        <f>('Attainment by Race Trends'!BG16-'Attainment by Race Trends'!BF16)</f>
        <v>3.8340062535412223</v>
      </c>
      <c r="N17" s="796">
        <f>('Attainment by Race Trends'!BI16-'Attainment by Race Trends'!BH16)</f>
        <v>1.7474310556290895</v>
      </c>
      <c r="O17" s="766"/>
      <c r="P17" s="780"/>
      <c r="Q17" s="766"/>
      <c r="R17" s="781"/>
      <c r="T17" s="780"/>
      <c r="U17" s="766"/>
      <c r="V17" s="781"/>
    </row>
    <row r="18" spans="1:22" x14ac:dyDescent="0.2">
      <c r="A18" s="799" t="s">
        <v>8</v>
      </c>
      <c r="B18" s="799"/>
      <c r="C18" s="800">
        <f>+'Attainment by Race Trends'!AY17</f>
        <v>87.696411320409482</v>
      </c>
      <c r="D18" s="800">
        <f>+'Attainment by Race Trends'!BA17</f>
        <v>79.187709272540246</v>
      </c>
      <c r="E18" s="800">
        <f>+'Attainment by Race Trends'!BC17</f>
        <v>64.636565719339345</v>
      </c>
      <c r="F18" s="801">
        <f>+'Attainment by Race Trends'!BE17</f>
        <v>25.520860873513669</v>
      </c>
      <c r="G18" s="802">
        <f>+'Attainment by Race Trends'!BG17</f>
        <v>15.215078988089861</v>
      </c>
      <c r="H18" s="803">
        <f>+'Attainment by Race Trends'!BI17</f>
        <v>12.84269904629873</v>
      </c>
      <c r="I18" s="804">
        <f>('Attainment by Race Trends'!AY17-'Attainment by Race Trends'!AX17)</f>
        <v>2.6964113204094815</v>
      </c>
      <c r="J18" s="804">
        <f>('Attainment by Race Trends'!BA17-'Attainment by Race Trends'!AZ17)</f>
        <v>5.1877092725402605</v>
      </c>
      <c r="K18" s="805">
        <f>('Attainment by Race Trends'!BC17-'Attainment by Race Trends'!BB17)</f>
        <v>7.7365657193393389</v>
      </c>
      <c r="L18" s="804">
        <f>('Attainment by Race Trends'!BE17-'Attainment by Race Trends'!BD17)</f>
        <v>2.6208608735136707</v>
      </c>
      <c r="M18" s="804">
        <f>('Attainment by Race Trends'!BG17-'Attainment by Race Trends'!BF17)</f>
        <v>2.0150789880898596</v>
      </c>
      <c r="N18" s="804">
        <f>('Attainment by Race Trends'!BI17-'Attainment by Race Trends'!BH17)</f>
        <v>0.84269904629872805</v>
      </c>
      <c r="O18" s="766"/>
      <c r="P18" s="780"/>
      <c r="Q18" s="766"/>
      <c r="R18" s="781"/>
      <c r="T18" s="780"/>
      <c r="U18" s="766"/>
      <c r="V18" s="781"/>
    </row>
    <row r="19" spans="1:22" x14ac:dyDescent="0.2">
      <c r="A19" s="799" t="s">
        <v>9</v>
      </c>
      <c r="B19" s="799"/>
      <c r="C19" s="800">
        <f>+'Attainment by Race Trends'!AY18</f>
        <v>90.955872791543612</v>
      </c>
      <c r="D19" s="800">
        <f>+'Attainment by Race Trends'!BA18</f>
        <v>84.658020316862377</v>
      </c>
      <c r="E19" s="800">
        <f>+'Attainment by Race Trends'!BC18</f>
        <v>59.503394030582044</v>
      </c>
      <c r="F19" s="801">
        <f>+'Attainment by Race Trends'!BE18</f>
        <v>34.136156918033464</v>
      </c>
      <c r="G19" s="802">
        <f>+'Attainment by Race Trends'!BG18</f>
        <v>20.313240193665735</v>
      </c>
      <c r="H19" s="803">
        <f>+'Attainment by Race Trends'!BI18</f>
        <v>14.794331069200933</v>
      </c>
      <c r="I19" s="804">
        <f>('Attainment by Race Trends'!AY18-'Attainment by Race Trends'!AX18)</f>
        <v>3.855872791543618</v>
      </c>
      <c r="J19" s="804">
        <f>('Attainment by Race Trends'!BA18-'Attainment by Race Trends'!AZ18)</f>
        <v>3.958020316862374</v>
      </c>
      <c r="K19" s="805">
        <f>('Attainment by Race Trends'!BC18-'Attainment by Race Trends'!BB18)</f>
        <v>6.103394030582038</v>
      </c>
      <c r="L19" s="804">
        <f>('Attainment by Race Trends'!BE18-'Attainment by Race Trends'!BD18)</f>
        <v>4.7361569180334655</v>
      </c>
      <c r="M19" s="804">
        <f>('Attainment by Race Trends'!BG18-'Attainment by Race Trends'!BF18)</f>
        <v>3.2132401936657331</v>
      </c>
      <c r="N19" s="804">
        <f>('Attainment by Race Trends'!BI18-'Attainment by Race Trends'!BH18)</f>
        <v>3.694331069200933</v>
      </c>
      <c r="O19" s="766"/>
      <c r="P19" s="780"/>
      <c r="Q19" s="766"/>
      <c r="R19" s="781"/>
      <c r="T19" s="780"/>
      <c r="U19" s="766"/>
      <c r="V19" s="781"/>
    </row>
    <row r="20" spans="1:22" x14ac:dyDescent="0.2">
      <c r="A20" s="799" t="s">
        <v>10</v>
      </c>
      <c r="B20" s="799"/>
      <c r="C20" s="800">
        <f>+'Attainment by Race Trends'!AY19</f>
        <v>90.864605684348248</v>
      </c>
      <c r="D20" s="800">
        <f>+'Attainment by Race Trends'!BA19</f>
        <v>88.255873501775142</v>
      </c>
      <c r="E20" s="800">
        <f>+'Attainment by Race Trends'!BC19</f>
        <v>61.155710867648914</v>
      </c>
      <c r="F20" s="801">
        <f>+'Attainment by Race Trends'!BE19</f>
        <v>27.529055758518851</v>
      </c>
      <c r="G20" s="802">
        <f>+'Attainment by Race Trends'!BG19</f>
        <v>19.242874980579899</v>
      </c>
      <c r="H20" s="803">
        <f>+'Attainment by Race Trends'!BI19</f>
        <v>11.516706544096042</v>
      </c>
      <c r="I20" s="804">
        <f>('Attainment by Race Trends'!AY19-'Attainment by Race Trends'!AX19)</f>
        <v>3.3646056843482626</v>
      </c>
      <c r="J20" s="804">
        <f>('Attainment by Race Trends'!BA19-'Attainment by Race Trends'!AZ19)</f>
        <v>3.0558735017751388</v>
      </c>
      <c r="K20" s="805">
        <f>('Attainment by Race Trends'!BC19-'Attainment by Race Trends'!BB19)</f>
        <v>3.255710867648915</v>
      </c>
      <c r="L20" s="804">
        <f>('Attainment by Race Trends'!BE19-'Attainment by Race Trends'!BD19)</f>
        <v>3.0290557585188509</v>
      </c>
      <c r="M20" s="804">
        <f>('Attainment by Race Trends'!BG19-'Attainment by Race Trends'!BF19)</f>
        <v>1.9428749805799015</v>
      </c>
      <c r="N20" s="804">
        <f>('Attainment by Race Trends'!BI19-'Attainment by Race Trends'!BH19)</f>
        <v>1.6167065440960435</v>
      </c>
      <c r="O20" s="766"/>
      <c r="P20" s="780"/>
      <c r="Q20" s="766"/>
      <c r="R20" s="781"/>
      <c r="T20" s="780"/>
      <c r="U20" s="766"/>
      <c r="V20" s="781"/>
    </row>
    <row r="21" spans="1:22" x14ac:dyDescent="0.2">
      <c r="A21" s="799" t="s">
        <v>11</v>
      </c>
      <c r="B21" s="799"/>
      <c r="C21" s="800">
        <f>+'Attainment by Race Trends'!AY20</f>
        <v>90.174933357993751</v>
      </c>
      <c r="D21" s="800">
        <f>+'Attainment by Race Trends'!BA20</f>
        <v>81.301460391119321</v>
      </c>
      <c r="E21" s="800">
        <f>+'Attainment by Race Trends'!BC20</f>
        <v>60.938735107496633</v>
      </c>
      <c r="F21" s="801">
        <f>+'Attainment by Race Trends'!BE20</f>
        <v>32.0344012775723</v>
      </c>
      <c r="G21" s="802">
        <f>+'Attainment by Race Trends'!BG20</f>
        <v>15.691852010290045</v>
      </c>
      <c r="H21" s="803">
        <f>+'Attainment by Race Trends'!BI20</f>
        <v>14.229150495289232</v>
      </c>
      <c r="I21" s="804">
        <f>('Attainment by Race Trends'!AY20-'Attainment by Race Trends'!AX20)</f>
        <v>3.1749333579937513</v>
      </c>
      <c r="J21" s="804">
        <f>('Attainment by Race Trends'!BA20-'Attainment by Race Trends'!AZ20)</f>
        <v>4.1014603911193319</v>
      </c>
      <c r="K21" s="805">
        <f>('Attainment by Race Trends'!BC20-'Attainment by Race Trends'!BB20)</f>
        <v>2.3387351074966389</v>
      </c>
      <c r="L21" s="804">
        <f>('Attainment by Race Trends'!BE20-'Attainment by Race Trends'!BD20)</f>
        <v>3.8344012775723044</v>
      </c>
      <c r="M21" s="804">
        <f>('Attainment by Race Trends'!BG20-'Attainment by Race Trends'!BF20)</f>
        <v>2.1918520102900469</v>
      </c>
      <c r="N21" s="804">
        <f>('Attainment by Race Trends'!BI20-'Attainment by Race Trends'!BH20)</f>
        <v>1.8291504952892303</v>
      </c>
      <c r="O21" s="766"/>
      <c r="P21" s="780"/>
      <c r="Q21" s="766"/>
      <c r="R21" s="781"/>
      <c r="T21" s="780"/>
      <c r="U21" s="766"/>
      <c r="V21" s="781"/>
    </row>
    <row r="22" spans="1:22" x14ac:dyDescent="0.2">
      <c r="A22" s="807" t="s">
        <v>12</v>
      </c>
      <c r="B22" s="807"/>
      <c r="C22" s="792">
        <f>+'Attainment by Race Trends'!AY21</f>
        <v>88.484700497727147</v>
      </c>
      <c r="D22" s="792">
        <f>+'Attainment by Race Trends'!BA21</f>
        <v>84.851686248053227</v>
      </c>
      <c r="E22" s="796">
        <f>+'Attainment by Race Trends'!BC21</f>
        <v>63.510961734875657</v>
      </c>
      <c r="F22" s="793">
        <f>+'Attainment by Race Trends'!BE21</f>
        <v>27.33166572496955</v>
      </c>
      <c r="G22" s="808">
        <f>+'Attainment by Race Trends'!BG21</f>
        <v>19.437462769049688</v>
      </c>
      <c r="H22" s="795">
        <f>+'Attainment by Race Trends'!BI21</f>
        <v>14.880287879147764</v>
      </c>
      <c r="I22" s="796">
        <f>('Attainment by Race Trends'!AY21-'Attainment by Race Trends'!AX21)</f>
        <v>3.8847004977271524</v>
      </c>
      <c r="J22" s="796">
        <f>('Attainment by Race Trends'!BA21-'Attainment by Race Trends'!AZ21)</f>
        <v>3.9516862480532353</v>
      </c>
      <c r="K22" s="797">
        <f>('Attainment by Race Trends'!BC21-'Attainment by Race Trends'!BB21)</f>
        <v>3.1109617348756586</v>
      </c>
      <c r="L22" s="796">
        <f>('Attainment by Race Trends'!BE21-'Attainment by Race Trends'!BD21)</f>
        <v>3.131665724969551</v>
      </c>
      <c r="M22" s="796">
        <f>('Attainment by Race Trends'!BG21-'Attainment by Race Trends'!BF21)</f>
        <v>2.7374627690496887</v>
      </c>
      <c r="N22" s="796">
        <f>('Attainment by Race Trends'!BI21-'Attainment by Race Trends'!BH21)</f>
        <v>2.3802878791477635</v>
      </c>
      <c r="O22" s="766"/>
      <c r="P22" s="780"/>
      <c r="Q22" s="766"/>
      <c r="R22" s="781"/>
      <c r="T22" s="780"/>
      <c r="U22" s="766"/>
      <c r="V22" s="781"/>
    </row>
    <row r="23" spans="1:22" x14ac:dyDescent="0.2">
      <c r="A23" s="807" t="s">
        <v>13</v>
      </c>
      <c r="B23" s="807"/>
      <c r="C23" s="792">
        <f>+'Attainment by Race Trends'!AY22</f>
        <v>93.386665810873353</v>
      </c>
      <c r="D23" s="792">
        <f>+'Attainment by Race Trends'!BA22</f>
        <v>89.083310847467644</v>
      </c>
      <c r="E23" s="796">
        <f>+'Attainment by Race Trends'!BC22</f>
        <v>64.899277191307434</v>
      </c>
      <c r="F23" s="793">
        <f>+'Attainment by Race Trends'!BE22</f>
        <v>37.58646606590132</v>
      </c>
      <c r="G23" s="808">
        <f>+'Attainment by Race Trends'!BG22</f>
        <v>23.127563031139189</v>
      </c>
      <c r="H23" s="795">
        <f>+'Attainment by Race Trends'!BI22</f>
        <v>14.199258567522177</v>
      </c>
      <c r="I23" s="796">
        <f>('Attainment by Race Trends'!AY22-'Attainment by Race Trends'!AX22)</f>
        <v>11.486665810873362</v>
      </c>
      <c r="J23" s="796">
        <f>('Attainment by Race Trends'!BA22-'Attainment by Race Trends'!AZ22)</f>
        <v>3.1833108474676521</v>
      </c>
      <c r="K23" s="797">
        <f>('Attainment by Race Trends'!BC22-'Attainment by Race Trends'!BB22)</f>
        <v>5.499277191307435</v>
      </c>
      <c r="L23" s="796">
        <f>('Attainment by Race Trends'!BE22-'Attainment by Race Trends'!BD22)</f>
        <v>10.386466065901324</v>
      </c>
      <c r="M23" s="796">
        <f>('Attainment by Race Trends'!BG22-'Attainment by Race Trends'!BF22)</f>
        <v>3.5275630311391915</v>
      </c>
      <c r="N23" s="796">
        <f>('Attainment by Race Trends'!BI22-'Attainment by Race Trends'!BH22)</f>
        <v>2.5992585675221758</v>
      </c>
      <c r="O23" s="766"/>
      <c r="P23" s="780"/>
      <c r="Q23" s="766"/>
      <c r="R23" s="781"/>
      <c r="T23" s="780"/>
      <c r="U23" s="766"/>
      <c r="V23" s="781"/>
    </row>
    <row r="24" spans="1:22" x14ac:dyDescent="0.2">
      <c r="A24" s="807" t="s">
        <v>14</v>
      </c>
      <c r="B24" s="807"/>
      <c r="C24" s="792">
        <f>+'Attainment by Race Trends'!AY23</f>
        <v>92.213489939601416</v>
      </c>
      <c r="D24" s="792">
        <f>+'Attainment by Race Trends'!BA23</f>
        <v>85.928967080332058</v>
      </c>
      <c r="E24" s="796">
        <f>+'Attainment by Race Trends'!BC23</f>
        <v>71.761217122227947</v>
      </c>
      <c r="F24" s="793">
        <f>+'Attainment by Race Trends'!BE23</f>
        <v>41.610249237300224</v>
      </c>
      <c r="G24" s="808">
        <f>+'Attainment by Race Trends'!BG23</f>
        <v>23.294784427244611</v>
      </c>
      <c r="H24" s="795">
        <f>+'Attainment by Race Trends'!BI23</f>
        <v>23.609873880632005</v>
      </c>
      <c r="I24" s="796">
        <f>('Attainment by Race Trends'!AY23-'Attainment by Race Trends'!AX23)</f>
        <v>3.4134899396014191</v>
      </c>
      <c r="J24" s="796">
        <f>('Attainment by Race Trends'!BA23-'Attainment by Race Trends'!AZ23)</f>
        <v>4.7289670803320689</v>
      </c>
      <c r="K24" s="797">
        <f>('Attainment by Race Trends'!BC23-'Attainment by Race Trends'!BB23)</f>
        <v>3.3612171222279557</v>
      </c>
      <c r="L24" s="796">
        <f>('Attainment by Race Trends'!BE23-'Attainment by Race Trends'!BD23)</f>
        <v>4.7102492373002249</v>
      </c>
      <c r="M24" s="796">
        <f>('Attainment by Race Trends'!BG23-'Attainment by Race Trends'!BF23)</f>
        <v>3.7947844272446112</v>
      </c>
      <c r="N24" s="796">
        <f>('Attainment by Race Trends'!BI23-'Attainment by Race Trends'!BH23)</f>
        <v>1.5098738806320036</v>
      </c>
      <c r="O24" s="766"/>
      <c r="P24" s="780"/>
      <c r="Q24" s="766"/>
      <c r="R24" s="781"/>
      <c r="T24" s="780"/>
      <c r="U24" s="766"/>
      <c r="V24" s="781"/>
    </row>
    <row r="25" spans="1:22" x14ac:dyDescent="0.2">
      <c r="A25" s="809" t="s">
        <v>15</v>
      </c>
      <c r="B25" s="809"/>
      <c r="C25" s="786">
        <f>+'Attainment by Race Trends'!AY24</f>
        <v>85.999807948927668</v>
      </c>
      <c r="D25" s="786">
        <f>+'Attainment by Race Trends'!BA24</f>
        <v>88.09209658266262</v>
      </c>
      <c r="E25" s="786">
        <f>+'Attainment by Race Trends'!BC24</f>
        <v>75.129013761467888</v>
      </c>
      <c r="F25" s="810">
        <f>+'Attainment by Race Trends'!BE24</f>
        <v>20.502279778677696</v>
      </c>
      <c r="G25" s="811">
        <f>+'Attainment by Race Trends'!BG24</f>
        <v>19.162598407881426</v>
      </c>
      <c r="H25" s="812">
        <f>+'Attainment by Race Trends'!BI24</f>
        <v>17.07282110091743</v>
      </c>
      <c r="I25" s="786">
        <f>('Attainment by Race Trends'!AY24-'Attainment by Race Trends'!AX24)</f>
        <v>2.6998079489276705</v>
      </c>
      <c r="J25" s="786">
        <f>('Attainment by Race Trends'!BA24-'Attainment by Race Trends'!AZ24)</f>
        <v>3.0920965826626059</v>
      </c>
      <c r="K25" s="788">
        <f>('Attainment by Race Trends'!BC24-'Attainment by Race Trends'!BB24)</f>
        <v>-2.0709862385321145</v>
      </c>
      <c r="L25" s="786">
        <f>('Attainment by Race Trends'!BE24-'Attainment by Race Trends'!BD24)</f>
        <v>2.8022797786776934</v>
      </c>
      <c r="M25" s="786">
        <f>('Attainment by Race Trends'!BG24-'Attainment by Race Trends'!BF24)</f>
        <v>4.5625984078814259</v>
      </c>
      <c r="N25" s="786">
        <f>('Attainment by Race Trends'!BI24-'Attainment by Race Trends'!BH24)</f>
        <v>-4.1271788990825726</v>
      </c>
      <c r="O25" s="766"/>
      <c r="P25" s="780"/>
      <c r="Q25" s="766"/>
      <c r="R25" s="781"/>
      <c r="T25" s="780"/>
      <c r="U25" s="766"/>
      <c r="V25" s="781"/>
    </row>
    <row r="26" spans="1:22" x14ac:dyDescent="0.2">
      <c r="A26" s="791" t="s">
        <v>182</v>
      </c>
      <c r="B26" s="791"/>
      <c r="C26" s="792">
        <f>+'Attainment by Race Trends'!AY25</f>
        <v>94.605520542501651</v>
      </c>
      <c r="D26" s="792">
        <f>+'Attainment by Race Trends'!BA25</f>
        <v>89.088511734325067</v>
      </c>
      <c r="E26" s="792">
        <f>+'Attainment by Race Trends'!BC25</f>
        <v>64.731132911376505</v>
      </c>
      <c r="F26" s="793">
        <f>+'Attainment by Race Trends'!BE25</f>
        <v>39.062317746351454</v>
      </c>
      <c r="G26" s="794">
        <f>+'Attainment by Race Trends'!BG25</f>
        <v>23.828827796059677</v>
      </c>
      <c r="H26" s="795">
        <f>+'Attainment by Race Trends'!BI25</f>
        <v>12.623309889424853</v>
      </c>
      <c r="I26" s="796">
        <f>('Attainment by Race Trends'!AY25-'Attainment by Race Trends'!AX25)</f>
        <v>7.5116194917589496</v>
      </c>
      <c r="J26" s="796">
        <f>('Attainment by Race Trends'!BA25-'Attainment by Race Trends'!AZ25)</f>
        <v>1.3396732991988074</v>
      </c>
      <c r="K26" s="797">
        <f>('Attainment by Race Trends'!BC25-'Attainment by Race Trends'!BB25)</f>
        <v>5.0452220310929405</v>
      </c>
      <c r="L26" s="796">
        <f>('Attainment by Race Trends'!BE25-'Attainment by Race Trends'!BD25)</f>
        <v>8.3339273598269408</v>
      </c>
      <c r="M26" s="796">
        <f>('Attainment by Race Trends'!BG25-'Attainment by Race Trends'!BF25)</f>
        <v>2.4172324095364388</v>
      </c>
      <c r="N26" s="796">
        <f>('Attainment by Race Trends'!BI25-'Attainment by Race Trends'!BH25)</f>
        <v>1.9155472146363923</v>
      </c>
      <c r="O26" s="766"/>
      <c r="P26" s="780"/>
      <c r="Q26" s="766"/>
      <c r="R26" s="781"/>
      <c r="T26" s="780"/>
      <c r="U26" s="766"/>
      <c r="V26" s="781"/>
    </row>
    <row r="27" spans="1:22" ht="18" x14ac:dyDescent="0.2">
      <c r="A27" s="791" t="s">
        <v>226</v>
      </c>
      <c r="B27" s="791"/>
      <c r="C27" s="792">
        <f>(C26/C$7)*100</f>
        <v>102.321962309227</v>
      </c>
      <c r="D27" s="792">
        <f>(D26/D$7)*100</f>
        <v>104.51038641553151</v>
      </c>
      <c r="E27" s="792">
        <f t="shared" ref="E27:H27" si="1">(E26/E$7)*100</f>
        <v>96.450520174193812</v>
      </c>
      <c r="F27" s="798">
        <f t="shared" si="1"/>
        <v>111.71108026777377</v>
      </c>
      <c r="G27" s="792">
        <f t="shared" si="1"/>
        <v>114.17200853321494</v>
      </c>
      <c r="H27" s="797">
        <f t="shared" si="1"/>
        <v>82.255961359393666</v>
      </c>
      <c r="I27" s="796"/>
      <c r="J27" s="796"/>
      <c r="K27" s="797"/>
      <c r="L27" s="796"/>
      <c r="M27" s="796"/>
      <c r="N27" s="796"/>
      <c r="O27" s="766"/>
      <c r="P27" s="780"/>
      <c r="Q27" s="766"/>
      <c r="R27" s="781"/>
      <c r="T27" s="780"/>
      <c r="U27" s="766"/>
      <c r="V27" s="781"/>
    </row>
    <row r="28" spans="1:22" x14ac:dyDescent="0.2">
      <c r="A28" s="799" t="s">
        <v>17</v>
      </c>
      <c r="B28" s="799"/>
      <c r="C28" s="800">
        <f>+'Attainment by Race Trends'!AY27</f>
        <v>96.034613594985956</v>
      </c>
      <c r="D28" s="800">
        <f>+'Attainment by Race Trends'!BA27</f>
        <v>93.09259011121533</v>
      </c>
      <c r="E28" s="800">
        <f>+'Attainment by Race Trends'!BC27</f>
        <v>82.053342517123937</v>
      </c>
      <c r="F28" s="801">
        <f>+'Attainment by Race Trends'!BE27</f>
        <v>36.652811651952874</v>
      </c>
      <c r="G28" s="802">
        <f>+'Attainment by Race Trends'!BG27</f>
        <v>12.206887310732949</v>
      </c>
      <c r="H28" s="803">
        <f>+'Attainment by Race Trends'!BI27</f>
        <v>13.592010102169672</v>
      </c>
      <c r="I28" s="804">
        <f>('Attainment by Race Trends'!AY27-'Attainment by Race Trends'!AX27)</f>
        <v>1.4346135949859473</v>
      </c>
      <c r="J28" s="804">
        <f>('Attainment by Race Trends'!BA27-'Attainment by Race Trends'!AZ27)</f>
        <v>2.3925901112153412</v>
      </c>
      <c r="K28" s="805">
        <f>('Attainment by Race Trends'!BC27-'Attainment by Race Trends'!BB27)</f>
        <v>5.3342517123937228E-2</v>
      </c>
      <c r="L28" s="804">
        <f>('Attainment by Race Trends'!BE27-'Attainment by Race Trends'!BD27)</f>
        <v>4.7528116519528716</v>
      </c>
      <c r="M28" s="804">
        <f>('Attainment by Race Trends'!BG27-'Attainment by Race Trends'!BF27)</f>
        <v>-8.4931126892670505</v>
      </c>
      <c r="N28" s="804">
        <f>('Attainment by Race Trends'!BI27-'Attainment by Race Trends'!BH27)</f>
        <v>-6.907989897830328</v>
      </c>
      <c r="O28" s="766"/>
      <c r="P28" s="780"/>
      <c r="Q28" s="766"/>
      <c r="R28" s="781"/>
      <c r="T28" s="780"/>
      <c r="U28" s="766"/>
      <c r="V28" s="781"/>
    </row>
    <row r="29" spans="1:22" x14ac:dyDescent="0.2">
      <c r="A29" s="799" t="s">
        <v>18</v>
      </c>
      <c r="B29" s="799"/>
      <c r="C29" s="800">
        <f>+'Attainment by Race Trends'!AY28</f>
        <v>93.932878946763225</v>
      </c>
      <c r="D29" s="800">
        <f>+'Attainment by Race Trends'!BA28</f>
        <v>89.312985444189977</v>
      </c>
      <c r="E29" s="800">
        <f>+'Attainment by Race Trends'!BC28</f>
        <v>68.886270552208941</v>
      </c>
      <c r="F29" s="801">
        <f>+'Attainment by Race Trends'!BE28</f>
        <v>35.26953698150804</v>
      </c>
      <c r="G29" s="802">
        <f>+'Attainment by Race Trends'!BG28</f>
        <v>23.681750851320846</v>
      </c>
      <c r="H29" s="803">
        <f>+'Attainment by Race Trends'!BI28</f>
        <v>12.734393152789483</v>
      </c>
      <c r="I29" s="804">
        <f>('Attainment by Race Trends'!AY28-'Attainment by Race Trends'!AX28)</f>
        <v>6.8328789467632163</v>
      </c>
      <c r="J29" s="804">
        <f>('Attainment by Race Trends'!BA28-'Attainment by Race Trends'!AZ28)</f>
        <v>0.51298544418996528</v>
      </c>
      <c r="K29" s="805">
        <f>('Attainment by Race Trends'!BC28-'Attainment by Race Trends'!BB28)</f>
        <v>4.786270552208947</v>
      </c>
      <c r="L29" s="804">
        <f>('Attainment by Race Trends'!BE28-'Attainment by Race Trends'!BD28)</f>
        <v>7.6695369815080383</v>
      </c>
      <c r="M29" s="804">
        <f>('Attainment by Race Trends'!BG28-'Attainment by Race Trends'!BF28)</f>
        <v>2.0817508513208445</v>
      </c>
      <c r="N29" s="804">
        <f>('Attainment by Race Trends'!BI28-'Attainment by Race Trends'!BH28)</f>
        <v>2.3343931527894828</v>
      </c>
      <c r="O29" s="766"/>
      <c r="P29" s="780"/>
      <c r="Q29" s="766"/>
      <c r="R29" s="781"/>
      <c r="T29" s="780"/>
      <c r="U29" s="766"/>
      <c r="V29" s="781"/>
    </row>
    <row r="30" spans="1:22" x14ac:dyDescent="0.2">
      <c r="A30" s="799" t="s">
        <v>19</v>
      </c>
      <c r="B30" s="799"/>
      <c r="C30" s="800">
        <f>+'Attainment by Race Trends'!AY29</f>
        <v>94.558633625832783</v>
      </c>
      <c r="D30" s="800">
        <f>+'Attainment by Race Trends'!BA29</f>
        <v>89.218723026623692</v>
      </c>
      <c r="E30" s="800">
        <f>+'Attainment by Race Trends'!BC29</f>
        <v>62.642376243812038</v>
      </c>
      <c r="F30" s="801">
        <f>+'Attainment by Race Trends'!BE29</f>
        <v>43.110066141356107</v>
      </c>
      <c r="G30" s="802">
        <f>+'Attainment by Race Trends'!BG29</f>
        <v>24.321148833634286</v>
      </c>
      <c r="H30" s="803">
        <f>+'Attainment by Race Trends'!BI29</f>
        <v>12.149228835678079</v>
      </c>
      <c r="I30" s="804">
        <f>('Attainment by Race Trends'!AY29-'Attainment by Race Trends'!AX29)</f>
        <v>10.958633625832775</v>
      </c>
      <c r="J30" s="804">
        <f>('Attainment by Race Trends'!BA29-'Attainment by Race Trends'!AZ29)</f>
        <v>1.5187230266236895</v>
      </c>
      <c r="K30" s="805">
        <f>('Attainment by Race Trends'!BC29-'Attainment by Race Trends'!BB29)</f>
        <v>4.9423762438120278</v>
      </c>
      <c r="L30" s="804">
        <f>('Attainment by Race Trends'!BE29-'Attainment by Race Trends'!BD29)</f>
        <v>12.010066141356106</v>
      </c>
      <c r="M30" s="804">
        <f>('Attainment by Race Trends'!BG29-'Attainment by Race Trends'!BF29)</f>
        <v>2.5211488336342853</v>
      </c>
      <c r="N30" s="804">
        <f>('Attainment by Race Trends'!BI29-'Attainment by Race Trends'!BH29)</f>
        <v>1.7492288356780783</v>
      </c>
      <c r="O30" s="766"/>
      <c r="P30" s="780"/>
      <c r="Q30" s="766"/>
      <c r="R30" s="781"/>
      <c r="T30" s="780"/>
      <c r="U30" s="766"/>
      <c r="V30" s="781"/>
    </row>
    <row r="31" spans="1:22" x14ac:dyDescent="0.2">
      <c r="A31" s="799" t="s">
        <v>20</v>
      </c>
      <c r="B31" s="799"/>
      <c r="C31" s="800">
        <f>+'Attainment by Race Trends'!AY30</f>
        <v>96.491760358481656</v>
      </c>
      <c r="D31" s="800">
        <f>+'Attainment by Race Trends'!BA30</f>
        <v>89.156386378474963</v>
      </c>
      <c r="E31" s="800">
        <f>+'Attainment by Race Trends'!BC30</f>
        <v>71.059771895567309</v>
      </c>
      <c r="F31" s="801">
        <f>+'Attainment by Race Trends'!BE30</f>
        <v>45.961002381143345</v>
      </c>
      <c r="G31" s="802">
        <f>+'Attainment by Race Trends'!BG30</f>
        <v>24.566166111130201</v>
      </c>
      <c r="H31" s="803">
        <f>+'Attainment by Race Trends'!BI30</f>
        <v>15.697060492355549</v>
      </c>
      <c r="I31" s="804">
        <f>('Attainment by Race Trends'!AY30-'Attainment by Race Trends'!AX30)</f>
        <v>4.9917603584816703</v>
      </c>
      <c r="J31" s="804">
        <f>('Attainment by Race Trends'!BA30-'Attainment by Race Trends'!AZ30)</f>
        <v>1.2563863784749572</v>
      </c>
      <c r="K31" s="805">
        <f>('Attainment by Race Trends'!BC30-'Attainment by Race Trends'!BB30)</f>
        <v>5.6597718955673031</v>
      </c>
      <c r="L31" s="804">
        <f>('Attainment by Race Trends'!BE30-'Attainment by Race Trends'!BD30)</f>
        <v>7.461002381143345</v>
      </c>
      <c r="M31" s="804">
        <f>('Attainment by Race Trends'!BG30-'Attainment by Race Trends'!BF30)</f>
        <v>3.2661661111302003</v>
      </c>
      <c r="N31" s="804">
        <f>('Attainment by Race Trends'!BI30-'Attainment by Race Trends'!BH30)</f>
        <v>3.1970604923555488</v>
      </c>
      <c r="O31" s="766"/>
      <c r="P31" s="780"/>
      <c r="Q31" s="766"/>
      <c r="R31" s="781"/>
      <c r="T31" s="780"/>
      <c r="U31" s="766"/>
      <c r="V31" s="781"/>
    </row>
    <row r="32" spans="1:22" x14ac:dyDescent="0.2">
      <c r="A32" s="806" t="s">
        <v>22</v>
      </c>
      <c r="B32" s="806"/>
      <c r="C32" s="792">
        <f>+'Attainment by Race Trends'!AY31</f>
        <v>96.870494757536036</v>
      </c>
      <c r="D32" s="792">
        <f>+'Attainment by Race Trends'!BA31</f>
        <v>95.291533072081705</v>
      </c>
      <c r="E32" s="792">
        <f>+'Attainment by Race Trends'!BC31</f>
        <v>90.984666040790785</v>
      </c>
      <c r="F32" s="793">
        <f>+'Attainment by Race Trends'!BE31</f>
        <v>44.77965268676278</v>
      </c>
      <c r="G32" s="794">
        <f>+'Attainment by Race Trends'!BG31</f>
        <v>24.646716541978385</v>
      </c>
      <c r="H32" s="795">
        <f>+'Attainment by Race Trends'!BI31</f>
        <v>16.627889573724097</v>
      </c>
      <c r="I32" s="796">
        <f>('Attainment by Race Trends'!AY31-'Attainment by Race Trends'!AX31)</f>
        <v>1.6704947575360336</v>
      </c>
      <c r="J32" s="796">
        <f>('Attainment by Race Trends'!BA31-'Attainment by Race Trends'!AZ31)</f>
        <v>0.59153307208171668</v>
      </c>
      <c r="K32" s="797">
        <f>('Attainment by Race Trends'!BC31-'Attainment by Race Trends'!BB31)</f>
        <v>4.0846660407907933</v>
      </c>
      <c r="L32" s="796">
        <f>('Attainment by Race Trends'!BE31-'Attainment by Race Trends'!BD31)</f>
        <v>4.8796526867627747</v>
      </c>
      <c r="M32" s="796">
        <f>('Attainment by Race Trends'!BG31-'Attainment by Race Trends'!BF31)</f>
        <v>-0.55328345802161039</v>
      </c>
      <c r="N32" s="796">
        <f>('Attainment by Race Trends'!BI31-'Attainment by Race Trends'!BH31)</f>
        <v>-1.5721104262758985</v>
      </c>
      <c r="O32" s="766"/>
      <c r="P32" s="780"/>
      <c r="Q32" s="766"/>
      <c r="R32" s="781"/>
      <c r="T32" s="780"/>
      <c r="U32" s="766"/>
      <c r="V32" s="781"/>
    </row>
    <row r="33" spans="1:22" x14ac:dyDescent="0.2">
      <c r="A33" s="806" t="s">
        <v>23</v>
      </c>
      <c r="B33" s="806"/>
      <c r="C33" s="792">
        <f>+'Attainment by Race Trends'!AY32</f>
        <v>93.213991668734749</v>
      </c>
      <c r="D33" s="794" t="str">
        <f>+'Attainment by Race Trends'!BA32</f>
        <v>—</v>
      </c>
      <c r="E33" s="792">
        <f>+'Attainment by Race Trends'!BC32</f>
        <v>64.086381417106907</v>
      </c>
      <c r="F33" s="793">
        <f>+'Attainment by Race Trends'!BE32</f>
        <v>29.418888390655606</v>
      </c>
      <c r="G33" s="794" t="str">
        <f>+'Attainment by Race Trends'!BG32</f>
        <v>—</v>
      </c>
      <c r="H33" s="795">
        <f>+'Attainment by Race Trends'!BI32</f>
        <v>9.1351776424567497</v>
      </c>
      <c r="I33" s="796">
        <f>('Attainment by Race Trends'!AY32-'Attainment by Race Trends'!AX32)</f>
        <v>3.7139916687347636</v>
      </c>
      <c r="J33" s="808" t="str">
        <f>IF('Attainment by Race Trends'!BA32="—", "—",('Attainment by Race Trends'!BA32-'Attainment by Race Trends'!AZ32))</f>
        <v>—</v>
      </c>
      <c r="K33" s="795">
        <f>('Attainment by Race Trends'!BC32-'Attainment by Race Trends'!BB32)</f>
        <v>10.186381417106901</v>
      </c>
      <c r="L33" s="808">
        <f>('Attainment by Race Trends'!BE32-'Attainment by Race Trends'!BD32)</f>
        <v>4.5188883906556079</v>
      </c>
      <c r="M33" s="808" t="str">
        <f>IF('Attainment by Race Trends'!BG32="—", "—",('Attainment by Race Trends'!BG32-'Attainment by Race Trends'!BF32))</f>
        <v>—</v>
      </c>
      <c r="N33" s="796">
        <f>('Attainment by Race Trends'!BI32-'Attainment by Race Trends'!BH32)</f>
        <v>1.53517764245675</v>
      </c>
      <c r="O33" s="766"/>
      <c r="P33" s="780"/>
      <c r="Q33" s="766"/>
      <c r="R33" s="781"/>
      <c r="T33" s="780"/>
      <c r="U33" s="766"/>
      <c r="V33" s="781"/>
    </row>
    <row r="34" spans="1:22" x14ac:dyDescent="0.2">
      <c r="A34" s="806" t="s">
        <v>33</v>
      </c>
      <c r="B34" s="806"/>
      <c r="C34" s="792">
        <f>+'Attainment by Race Trends'!AY33</f>
        <v>93.574175995997251</v>
      </c>
      <c r="D34" s="794" t="str">
        <f>+'Attainment by Race Trends'!BA33</f>
        <v>—</v>
      </c>
      <c r="E34" s="792">
        <f>+'Attainment by Race Trends'!BC33</f>
        <v>82.583710907282565</v>
      </c>
      <c r="F34" s="793">
        <f>+'Attainment by Race Trends'!BE33</f>
        <v>31.924291700544121</v>
      </c>
      <c r="G34" s="794" t="str">
        <f>+'Attainment by Race Trends'!BG33</f>
        <v>—</v>
      </c>
      <c r="H34" s="795">
        <f>+'Attainment by Race Trends'!BI33</f>
        <v>24.057906951044313</v>
      </c>
      <c r="I34" s="796">
        <f>('Attainment by Race Trends'!AY33-'Attainment by Race Trends'!AX33)</f>
        <v>1.1741759959972455</v>
      </c>
      <c r="J34" s="808" t="str">
        <f>IF('Attainment by Race Trends'!BA33="—", "—",('Attainment by Race Trends'!BA33-'Attainment by Race Trends'!AZ33))</f>
        <v>—</v>
      </c>
      <c r="K34" s="795">
        <f>('Attainment by Race Trends'!BC33-'Attainment by Race Trends'!BB33)</f>
        <v>-0.816289092717426</v>
      </c>
      <c r="L34" s="808">
        <f>('Attainment by Race Trends'!BE33-'Attainment by Race Trends'!BD33)</f>
        <v>2.7242917005441214</v>
      </c>
      <c r="M34" s="808" t="str">
        <f>IF('Attainment by Race Trends'!BG33="—", "—",('Attainment by Race Trends'!BG33-'Attainment by Race Trends'!BF33))</f>
        <v>—</v>
      </c>
      <c r="N34" s="796">
        <f>('Attainment by Race Trends'!BI33-'Attainment by Race Trends'!BH33)</f>
        <v>6.0579069510443126</v>
      </c>
      <c r="O34" s="766"/>
      <c r="P34" s="780"/>
      <c r="Q34" s="766"/>
      <c r="R34" s="781"/>
      <c r="T34" s="780"/>
      <c r="U34" s="766"/>
      <c r="V34" s="781"/>
    </row>
    <row r="35" spans="1:22" x14ac:dyDescent="0.2">
      <c r="A35" s="806" t="s">
        <v>35</v>
      </c>
      <c r="B35" s="806"/>
      <c r="C35" s="792">
        <f>+'Attainment by Race Trends'!AY34</f>
        <v>93.395816423983376</v>
      </c>
      <c r="D35" s="792">
        <f>+'Attainment by Race Trends'!BA34</f>
        <v>90.634577248963396</v>
      </c>
      <c r="E35" s="792">
        <f>+'Attainment by Race Trends'!BC34</f>
        <v>63.477138442749947</v>
      </c>
      <c r="F35" s="793">
        <f>+'Attainment by Race Trends'!BE34</f>
        <v>27.701741637229276</v>
      </c>
      <c r="G35" s="794">
        <f>+'Attainment by Race Trends'!BG34</f>
        <v>18.495883660837688</v>
      </c>
      <c r="H35" s="795">
        <f>+'Attainment by Race Trends'!BI34</f>
        <v>9.5768422562328475</v>
      </c>
      <c r="I35" s="796">
        <f>('Attainment by Race Trends'!AY34-'Attainment by Race Trends'!AX34)</f>
        <v>8.0958164239833934</v>
      </c>
      <c r="J35" s="808">
        <f>IF('Attainment by Race Trends'!BA34="—", "—",('Attainment by Race Trends'!BA34-'Attainment by Race Trends'!AZ34))</f>
        <v>3.1345772489633958</v>
      </c>
      <c r="K35" s="795">
        <f>('Attainment by Race Trends'!BC34-'Attainment by Race Trends'!BB34)</f>
        <v>5.7771384427499513</v>
      </c>
      <c r="L35" s="808">
        <f>('Attainment by Race Trends'!BE34-'Attainment by Race Trends'!BD34)</f>
        <v>5.3017416372292736</v>
      </c>
      <c r="M35" s="808">
        <f>IF('Attainment by Race Trends'!BG34="—", "—",('Attainment by Race Trends'!BG34-'Attainment by Race Trends'!BF34))</f>
        <v>1.8958836608376863</v>
      </c>
      <c r="N35" s="796">
        <f>('Attainment by Race Trends'!BI34-'Attainment by Race Trends'!BH34)</f>
        <v>1.4768422562328478</v>
      </c>
      <c r="O35" s="766"/>
      <c r="P35" s="780"/>
      <c r="Q35" s="766"/>
      <c r="R35" s="781"/>
      <c r="T35" s="780"/>
      <c r="U35" s="766"/>
      <c r="V35" s="781"/>
    </row>
    <row r="36" spans="1:22" x14ac:dyDescent="0.2">
      <c r="A36" s="799" t="s">
        <v>38</v>
      </c>
      <c r="B36" s="799"/>
      <c r="C36" s="800">
        <f>+'Attainment by Race Trends'!AY35</f>
        <v>94.769442979431219</v>
      </c>
      <c r="D36" s="800">
        <f>+'Attainment by Race Trends'!BA35</f>
        <v>92.175789680204048</v>
      </c>
      <c r="E36" s="804">
        <f>+'Attainment by Race Trends'!BC35</f>
        <v>75.942414634024033</v>
      </c>
      <c r="F36" s="801">
        <f>+'Attainment by Race Trends'!BE35</f>
        <v>40.23952290153759</v>
      </c>
      <c r="G36" s="813">
        <f>+'Attainment by Race Trends'!BG35</f>
        <v>28.616833431430255</v>
      </c>
      <c r="H36" s="803">
        <f>+'Attainment by Race Trends'!BI35</f>
        <v>15.430645002231408</v>
      </c>
      <c r="I36" s="804">
        <f>('Attainment by Race Trends'!AY35-'Attainment by Race Trends'!AX35)</f>
        <v>9.1694429794312242</v>
      </c>
      <c r="J36" s="813">
        <f>IF('Attainment by Race Trends'!BA35="—", "—",('Attainment by Race Trends'!BA35-'Attainment by Race Trends'!AZ35))</f>
        <v>4.6757896802040477</v>
      </c>
      <c r="K36" s="803">
        <f>('Attainment by Race Trends'!BC35-'Attainment by Race Trends'!BB35)</f>
        <v>4.9424146340240185</v>
      </c>
      <c r="L36" s="813">
        <f>('Attainment by Race Trends'!BE35-'Attainment by Race Trends'!BD35)</f>
        <v>11.339522901537592</v>
      </c>
      <c r="M36" s="813">
        <f>IF('Attainment by Race Trends'!BG35="—", "—",('Attainment by Race Trends'!BG35-'Attainment by Race Trends'!BF35))</f>
        <v>3.9168334314302555</v>
      </c>
      <c r="N36" s="804">
        <f>('Attainment by Race Trends'!BI35-'Attainment by Race Trends'!BH35)</f>
        <v>2.4306450022314081</v>
      </c>
      <c r="O36" s="766"/>
      <c r="P36" s="780"/>
      <c r="Q36" s="766"/>
      <c r="R36" s="781"/>
      <c r="T36" s="780"/>
      <c r="U36" s="766"/>
      <c r="V36" s="781"/>
    </row>
    <row r="37" spans="1:22" x14ac:dyDescent="0.2">
      <c r="A37" s="799" t="s">
        <v>42</v>
      </c>
      <c r="B37" s="799"/>
      <c r="C37" s="800">
        <f>+'Attainment by Race Trends'!AY36</f>
        <v>93.686429037501398</v>
      </c>
      <c r="D37" s="800">
        <f>+'Attainment by Race Trends'!BA36</f>
        <v>86.70446232626189</v>
      </c>
      <c r="E37" s="804">
        <f>+'Attainment by Race Trends'!BC36</f>
        <v>62.931383875305393</v>
      </c>
      <c r="F37" s="801">
        <f>+'Attainment by Race Trends'!BE36</f>
        <v>34.479014062214965</v>
      </c>
      <c r="G37" s="813">
        <f>+'Attainment by Race Trends'!BG36</f>
        <v>21.576038364626513</v>
      </c>
      <c r="H37" s="803">
        <f>+'Attainment by Race Trends'!BI36</f>
        <v>13.808071816821652</v>
      </c>
      <c r="I37" s="804">
        <f>('Attainment by Race Trends'!AY36-'Attainment by Race Trends'!AX36)</f>
        <v>2.7864290375013923</v>
      </c>
      <c r="J37" s="813">
        <f>IF('Attainment by Race Trends'!BA36="—", "—",('Attainment by Race Trends'!BA36-'Attainment by Race Trends'!AZ36))</f>
        <v>1.8044623262618984</v>
      </c>
      <c r="K37" s="803">
        <f>('Attainment by Race Trends'!BC36-'Attainment by Race Trends'!BB36)</f>
        <v>6.2313838753053972</v>
      </c>
      <c r="L37" s="813">
        <f>('Attainment by Race Trends'!BE36-'Attainment by Race Trends'!BD36)</f>
        <v>4.7790140622149657</v>
      </c>
      <c r="M37" s="813">
        <f>IF('Attainment by Race Trends'!BG36="—", "—",('Attainment by Race Trends'!BG36-'Attainment by Race Trends'!BF36))</f>
        <v>-1.7239616353734881</v>
      </c>
      <c r="N37" s="804">
        <f>('Attainment by Race Trends'!BI36-'Attainment by Race Trends'!BH36)</f>
        <v>2.5080718168216514</v>
      </c>
      <c r="O37" s="766"/>
      <c r="P37" s="780"/>
      <c r="Q37" s="766"/>
      <c r="R37" s="781"/>
      <c r="T37" s="780"/>
      <c r="U37" s="766"/>
      <c r="V37" s="781"/>
    </row>
    <row r="38" spans="1:22" x14ac:dyDescent="0.2">
      <c r="A38" s="799" t="s">
        <v>46</v>
      </c>
      <c r="B38" s="799"/>
      <c r="C38" s="800">
        <f>+'Attainment by Race Trends'!AY37</f>
        <v>95.428115895577278</v>
      </c>
      <c r="D38" s="800">
        <f>+'Attainment by Race Trends'!BA37</f>
        <v>84.108101865219155</v>
      </c>
      <c r="E38" s="804">
        <f>+'Attainment by Race Trends'!BC37</f>
        <v>68.045356475972099</v>
      </c>
      <c r="F38" s="801">
        <f>+'Attainment by Race Trends'!BE37</f>
        <v>35.344918507925946</v>
      </c>
      <c r="G38" s="813">
        <f>+'Attainment by Race Trends'!BG37</f>
        <v>22.359531096610265</v>
      </c>
      <c r="H38" s="803">
        <f>+'Attainment by Race Trends'!BI37</f>
        <v>13.094166932729612</v>
      </c>
      <c r="I38" s="804">
        <f>('Attainment by Race Trends'!AY37-'Attainment by Race Trends'!AX37)</f>
        <v>3.4281158955772923</v>
      </c>
      <c r="J38" s="813">
        <f>IF('Attainment by Race Trends'!BA37="—", "—",('Attainment by Race Trends'!BA37-'Attainment by Race Trends'!AZ37))</f>
        <v>1.1081018652191688</v>
      </c>
      <c r="K38" s="803">
        <f>('Attainment by Race Trends'!BC37-'Attainment by Race Trends'!BB37)</f>
        <v>4.6453564759721004</v>
      </c>
      <c r="L38" s="813">
        <f>('Attainment by Race Trends'!BE37-'Attainment by Race Trends'!BD37)</f>
        <v>5.0449185079259458</v>
      </c>
      <c r="M38" s="813">
        <f>IF('Attainment by Race Trends'!BG37="—", "—",('Attainment by Race Trends'!BG37-'Attainment by Race Trends'!BF37))</f>
        <v>3.4595310966102666</v>
      </c>
      <c r="N38" s="804">
        <f>('Attainment by Race Trends'!BI37-'Attainment by Race Trends'!BH37)</f>
        <v>1.5941669327296122</v>
      </c>
      <c r="O38" s="766"/>
      <c r="P38" s="780"/>
      <c r="Q38" s="766"/>
      <c r="R38" s="781"/>
      <c r="T38" s="780"/>
      <c r="U38" s="766"/>
      <c r="V38" s="781"/>
    </row>
    <row r="39" spans="1:22" x14ac:dyDescent="0.2">
      <c r="A39" s="799" t="s">
        <v>48</v>
      </c>
      <c r="B39" s="799"/>
      <c r="C39" s="800">
        <f>+'Attainment by Race Trends'!AY38</f>
        <v>94.699692133203797</v>
      </c>
      <c r="D39" s="800">
        <f>+'Attainment by Race Trends'!BA38</f>
        <v>85.867513097654225</v>
      </c>
      <c r="E39" s="804">
        <f>+'Attainment by Race Trends'!BC38</f>
        <v>64.694431728790661</v>
      </c>
      <c r="F39" s="801">
        <f>+'Attainment by Race Trends'!BE38</f>
        <v>36.688799211990009</v>
      </c>
      <c r="G39" s="813">
        <f>+'Attainment by Race Trends'!BG38</f>
        <v>25.191744937933642</v>
      </c>
      <c r="H39" s="803">
        <f>+'Attainment by Race Trends'!BI38</f>
        <v>15.268191656259583</v>
      </c>
      <c r="I39" s="804">
        <f>('Attainment by Race Trends'!AY38-'Attainment by Race Trends'!AX38)</f>
        <v>2.6996921332037971</v>
      </c>
      <c r="J39" s="813">
        <f>IF('Attainment by Race Trends'!BA38="—", "—",('Attainment by Race Trends'!BA38-'Attainment by Race Trends'!AZ38))</f>
        <v>-1.7324869023457694</v>
      </c>
      <c r="K39" s="803">
        <f>('Attainment by Race Trends'!BC38-'Attainment by Race Trends'!BB38)</f>
        <v>5.5944317287906671</v>
      </c>
      <c r="L39" s="813">
        <f>('Attainment by Race Trends'!BE38-'Attainment by Race Trends'!BD38)</f>
        <v>4.7887992119900069</v>
      </c>
      <c r="M39" s="813">
        <f>IF('Attainment by Race Trends'!BG38="—", "—",('Attainment by Race Trends'!BG38-'Attainment by Race Trends'!BF38))</f>
        <v>4.3917449379336411</v>
      </c>
      <c r="N39" s="804">
        <f>('Attainment by Race Trends'!BI38-'Attainment by Race Trends'!BH38)</f>
        <v>2.9681916562595845</v>
      </c>
      <c r="O39" s="766"/>
      <c r="P39" s="780"/>
      <c r="Q39" s="766"/>
      <c r="R39" s="781"/>
      <c r="T39" s="780"/>
      <c r="U39" s="766"/>
      <c r="V39" s="781"/>
    </row>
    <row r="40" spans="1:22" x14ac:dyDescent="0.2">
      <c r="A40" s="814" t="s">
        <v>50</v>
      </c>
      <c r="B40" s="814"/>
      <c r="C40" s="815">
        <f>+'Attainment by Race Trends'!AY39</f>
        <v>94.856116896066723</v>
      </c>
      <c r="D40" s="816" t="str">
        <f>+'Attainment by Race Trends'!BA39</f>
        <v>—</v>
      </c>
      <c r="E40" s="815">
        <f>+'Attainment by Race Trends'!BC39</f>
        <v>75.544961367746183</v>
      </c>
      <c r="F40" s="817">
        <f>+'Attainment by Race Trends'!BE39</f>
        <v>28.485667248573744</v>
      </c>
      <c r="G40" s="816" t="str">
        <f>+'Attainment by Race Trends'!BG39</f>
        <v>—</v>
      </c>
      <c r="H40" s="818">
        <f>+'Attainment by Race Trends'!BI39</f>
        <v>11.027453559099129</v>
      </c>
      <c r="I40" s="815">
        <f>('Attainment by Race Trends'!AY39-'Attainment by Race Trends'!AX39)</f>
        <v>2.056116896066726</v>
      </c>
      <c r="J40" s="816" t="str">
        <f>IF('Attainment by Race Trends'!BA39="—", "—",('Attainment by Race Trends'!BA39-'Attainment by Race Trends'!AZ39))</f>
        <v>—</v>
      </c>
      <c r="K40" s="818">
        <f>('Attainment by Race Trends'!BC39-'Attainment by Race Trends'!BB39)</f>
        <v>-0.45503863225380314</v>
      </c>
      <c r="L40" s="816">
        <f>('Attainment by Race Trends'!BE39-'Attainment by Race Trends'!BD39)</f>
        <v>3.5856672485737455</v>
      </c>
      <c r="M40" s="816" t="str">
        <f>IF('Attainment by Race Trends'!BG39="—", "—",('Attainment by Race Trends'!BG39-'Attainment by Race Trends'!BF39))</f>
        <v>—</v>
      </c>
      <c r="N40" s="815">
        <f>('Attainment by Race Trends'!BI39-'Attainment by Race Trends'!BH39)</f>
        <v>-0.37254644090087119</v>
      </c>
      <c r="O40" s="766"/>
      <c r="P40" s="780"/>
      <c r="Q40" s="766"/>
      <c r="R40" s="781"/>
      <c r="T40" s="780"/>
      <c r="U40" s="766"/>
      <c r="V40" s="781"/>
    </row>
    <row r="41" spans="1:22" x14ac:dyDescent="0.2">
      <c r="A41" s="791" t="s">
        <v>183</v>
      </c>
      <c r="B41" s="791"/>
      <c r="C41" s="792">
        <f>+'Attainment by Race Trends'!AY40</f>
        <v>92.673834295032805</v>
      </c>
      <c r="D41" s="792">
        <f>+'Attainment by Race Trends'!BA40</f>
        <v>85.427142754581197</v>
      </c>
      <c r="E41" s="792">
        <f>+'Attainment by Race Trends'!BC40</f>
        <v>67.379564581194373</v>
      </c>
      <c r="F41" s="793">
        <f>+'Attainment by Race Trends'!BE40</f>
        <v>31.429317187413595</v>
      </c>
      <c r="G41" s="794">
        <f>+'Attainment by Race Trends'!BG40</f>
        <v>18.352270799182527</v>
      </c>
      <c r="H41" s="795">
        <f>+'Attainment by Race Trends'!BI40</f>
        <v>15.138347589821757</v>
      </c>
      <c r="I41" s="796">
        <f>('Attainment by Race Trends'!AY40-'Attainment by Race Trends'!AX40)</f>
        <v>2.708643098563968</v>
      </c>
      <c r="J41" s="796">
        <f>('Attainment by Race Trends'!BA40-'Attainment by Race Trends'!AZ40)</f>
        <v>3.1627003636028945</v>
      </c>
      <c r="K41" s="797">
        <f>('Attainment by Race Trends'!BC40-'Attainment by Race Trends'!BB40)</f>
        <v>5.4045075881218736</v>
      </c>
      <c r="L41" s="796">
        <f>('Attainment by Race Trends'!BE40-'Attainment by Race Trends'!BD40)</f>
        <v>3.7649521138578592</v>
      </c>
      <c r="M41" s="796">
        <f>('Attainment by Race Trends'!BG40-'Attainment by Race Trends'!BF40)</f>
        <v>2.164707635526824</v>
      </c>
      <c r="N41" s="796">
        <f>('Attainment by Race Trends'!BI40-'Attainment by Race Trends'!BH40)</f>
        <v>2.3005040610490965</v>
      </c>
      <c r="O41" s="766"/>
      <c r="P41" s="780"/>
      <c r="Q41" s="766"/>
      <c r="R41" s="781"/>
      <c r="T41" s="780"/>
      <c r="U41" s="766"/>
      <c r="V41" s="781"/>
    </row>
    <row r="42" spans="1:22" ht="18" x14ac:dyDescent="0.2">
      <c r="A42" s="791" t="s">
        <v>226</v>
      </c>
      <c r="B42" s="791"/>
      <c r="C42" s="792">
        <f>(C41/C$7)*100</f>
        <v>100.23271924737034</v>
      </c>
      <c r="D42" s="792">
        <f>(D41/D$7)*100</f>
        <v>100.21520761600242</v>
      </c>
      <c r="E42" s="792">
        <f t="shared" ref="E42:H42" si="2">(E41/E$7)*100</f>
        <v>100.39672968283115</v>
      </c>
      <c r="F42" s="798">
        <f t="shared" si="2"/>
        <v>89.882095524462841</v>
      </c>
      <c r="G42" s="792">
        <f t="shared" si="2"/>
        <v>87.93196359556633</v>
      </c>
      <c r="H42" s="797">
        <f t="shared" si="2"/>
        <v>98.644439952839008</v>
      </c>
      <c r="I42" s="796"/>
      <c r="J42" s="796"/>
      <c r="K42" s="797"/>
      <c r="L42" s="796"/>
      <c r="M42" s="796"/>
      <c r="N42" s="796"/>
      <c r="O42" s="766"/>
      <c r="P42" s="780"/>
      <c r="Q42" s="766"/>
      <c r="R42" s="781"/>
      <c r="T42" s="780"/>
      <c r="U42" s="766"/>
      <c r="V42" s="781"/>
    </row>
    <row r="43" spans="1:22" x14ac:dyDescent="0.2">
      <c r="A43" s="799" t="s">
        <v>24</v>
      </c>
      <c r="B43" s="799"/>
      <c r="C43" s="800">
        <f>+'Attainment by Race Trends'!AY42</f>
        <v>93.790537234469056</v>
      </c>
      <c r="D43" s="800">
        <f>+'Attainment by Race Trends'!BA42</f>
        <v>86.21674255497571</v>
      </c>
      <c r="E43" s="800">
        <f>+'Attainment by Race Trends'!BC42</f>
        <v>66.900571013177029</v>
      </c>
      <c r="F43" s="801">
        <f>+'Attainment by Race Trends'!BE42</f>
        <v>37.811023839374506</v>
      </c>
      <c r="G43" s="802">
        <f>+'Attainment by Race Trends'!BG42</f>
        <v>21.640123084599871</v>
      </c>
      <c r="H43" s="803">
        <f>+'Attainment by Race Trends'!BI42</f>
        <v>14.497892620312335</v>
      </c>
      <c r="I43" s="804">
        <f>('Attainment by Race Trends'!AY42-'Attainment by Race Trends'!AX42)</f>
        <v>4.0905372344690392</v>
      </c>
      <c r="J43" s="804">
        <f>('Attainment by Race Trends'!BA42-'Attainment by Race Trends'!AZ42)</f>
        <v>3.6167425549757155</v>
      </c>
      <c r="K43" s="805">
        <f>('Attainment by Race Trends'!BC42-'Attainment by Race Trends'!BB42)</f>
        <v>6.1005710131770314</v>
      </c>
      <c r="L43" s="804">
        <f>('Attainment by Race Trends'!BE42-'Attainment by Race Trends'!BD42)</f>
        <v>5.211023839374505</v>
      </c>
      <c r="M43" s="804">
        <f>('Attainment by Race Trends'!BG42-'Attainment by Race Trends'!BF42)</f>
        <v>3.1401230845998676</v>
      </c>
      <c r="N43" s="804">
        <f>('Attainment by Race Trends'!BI42-'Attainment by Race Trends'!BH42)</f>
        <v>2.1978926203123343</v>
      </c>
      <c r="O43" s="766"/>
      <c r="P43" s="780"/>
      <c r="Q43" s="766"/>
      <c r="R43" s="781"/>
      <c r="T43" s="780"/>
      <c r="U43" s="766"/>
      <c r="V43" s="781"/>
    </row>
    <row r="44" spans="1:22" x14ac:dyDescent="0.2">
      <c r="A44" s="799" t="s">
        <v>25</v>
      </c>
      <c r="B44" s="799"/>
      <c r="C44" s="800">
        <f>+'Attainment by Race Trends'!AY43</f>
        <v>90.143536011446997</v>
      </c>
      <c r="D44" s="800">
        <f>+'Attainment by Race Trends'!BA43</f>
        <v>85.540902656970914</v>
      </c>
      <c r="E44" s="800">
        <f>+'Attainment by Race Trends'!BC43</f>
        <v>66.784490145672663</v>
      </c>
      <c r="F44" s="801">
        <f>+'Attainment by Race Trends'!BE43</f>
        <v>26.76119047046031</v>
      </c>
      <c r="G44" s="802">
        <f>+'Attainment by Race Trends'!BG43</f>
        <v>15.748414353477616</v>
      </c>
      <c r="H44" s="803">
        <f>+'Attainment by Race Trends'!BI43</f>
        <v>13.273439731505285</v>
      </c>
      <c r="I44" s="804">
        <f>('Attainment by Race Trends'!AY43-'Attainment by Race Trends'!AX43)</f>
        <v>2.2435360114469916</v>
      </c>
      <c r="J44" s="804">
        <f>('Attainment by Race Trends'!BA43-'Attainment by Race Trends'!AZ43)</f>
        <v>2.0409026569708999</v>
      </c>
      <c r="K44" s="805">
        <f>('Attainment by Race Trends'!BC43-'Attainment by Race Trends'!BB43)</f>
        <v>5.5844901456726674</v>
      </c>
      <c r="L44" s="804">
        <f>('Attainment by Race Trends'!BE43-'Attainment by Race Trends'!BD43)</f>
        <v>3.5611904704603141</v>
      </c>
      <c r="M44" s="804">
        <f>('Attainment by Race Trends'!BG43-'Attainment by Race Trends'!BF43)</f>
        <v>1.4484143534776166</v>
      </c>
      <c r="N44" s="804">
        <f>('Attainment by Race Trends'!BI43-'Attainment by Race Trends'!BH43)</f>
        <v>1.2734397315052863</v>
      </c>
      <c r="O44" s="766"/>
      <c r="P44" s="780"/>
      <c r="Q44" s="766"/>
      <c r="R44" s="781"/>
      <c r="T44" s="780"/>
      <c r="U44" s="766"/>
      <c r="V44" s="781"/>
    </row>
    <row r="45" spans="1:22" x14ac:dyDescent="0.2">
      <c r="A45" s="799" t="s">
        <v>26</v>
      </c>
      <c r="B45" s="799"/>
      <c r="C45" s="800">
        <f>+'Attainment by Race Trends'!AY44</f>
        <v>93.717487080234392</v>
      </c>
      <c r="D45" s="800">
        <f>+'Attainment by Race Trends'!BA44</f>
        <v>82.329135180520581</v>
      </c>
      <c r="E45" s="800">
        <f>+'Attainment by Race Trends'!BC44</f>
        <v>60.898731958160468</v>
      </c>
      <c r="F45" s="801">
        <f>+'Attainment by Race Trends'!BE44</f>
        <v>28.803311046893331</v>
      </c>
      <c r="G45" s="802">
        <f>+'Attainment by Race Trends'!BG44</f>
        <v>19.867338371116709</v>
      </c>
      <c r="H45" s="803">
        <f>+'Attainment by Race Trends'!BI44</f>
        <v>12.432653538245777</v>
      </c>
      <c r="I45" s="804">
        <f>('Attainment by Race Trends'!AY44-'Attainment by Race Trends'!AX44)</f>
        <v>2.1174870802343833</v>
      </c>
      <c r="J45" s="804">
        <f>('Attainment by Race Trends'!BA44-'Attainment by Race Trends'!AZ44)</f>
        <v>0.12913518052057782</v>
      </c>
      <c r="K45" s="805">
        <f>('Attainment by Race Trends'!BC44-'Attainment by Race Trends'!BB44)</f>
        <v>5.8987319581604751</v>
      </c>
      <c r="L45" s="804">
        <f>('Attainment by Race Trends'!BE44-'Attainment by Race Trends'!BD44)</f>
        <v>3.4033110468933252</v>
      </c>
      <c r="M45" s="804">
        <f>('Attainment by Race Trends'!BG44-'Attainment by Race Trends'!BF44)</f>
        <v>3.2673383711167077</v>
      </c>
      <c r="N45" s="804">
        <f>('Attainment by Race Trends'!BI44-'Attainment by Race Trends'!BH44)</f>
        <v>1.8326535382457756</v>
      </c>
      <c r="O45" s="766"/>
      <c r="P45" s="780"/>
      <c r="Q45" s="766"/>
      <c r="R45" s="781"/>
      <c r="T45" s="780"/>
      <c r="U45" s="766"/>
      <c r="V45" s="781"/>
    </row>
    <row r="46" spans="1:22" x14ac:dyDescent="0.2">
      <c r="A46" s="799" t="s">
        <v>27</v>
      </c>
      <c r="B46" s="799"/>
      <c r="C46" s="800">
        <f>+'Attainment by Race Trends'!AY45</f>
        <v>93.841343882390717</v>
      </c>
      <c r="D46" s="800">
        <f>+'Attainment by Race Trends'!BA45</f>
        <v>88.109950156190337</v>
      </c>
      <c r="E46" s="800">
        <f>+'Attainment by Race Trends'!BC45</f>
        <v>63.552500290767078</v>
      </c>
      <c r="F46" s="801">
        <f>+'Attainment by Race Trends'!BE45</f>
        <v>35.207740035865406</v>
      </c>
      <c r="G46" s="802">
        <f>+'Attainment by Race Trends'!BG45</f>
        <v>20.420293970759605</v>
      </c>
      <c r="H46" s="803">
        <f>+'Attainment by Race Trends'!BI45</f>
        <v>13.928661063534136</v>
      </c>
      <c r="I46" s="804">
        <f>('Attainment by Race Trends'!AY45-'Attainment by Race Trends'!AX45)</f>
        <v>3.04134388239072</v>
      </c>
      <c r="J46" s="804">
        <f>('Attainment by Race Trends'!BA45-'Attainment by Race Trends'!AZ45)</f>
        <v>2.2099501561903168</v>
      </c>
      <c r="K46" s="805">
        <f>('Attainment by Race Trends'!BC45-'Attainment by Race Trends'!BB45)</f>
        <v>3.9525002907670839</v>
      </c>
      <c r="L46" s="804">
        <f>('Attainment by Race Trends'!BE45-'Attainment by Race Trends'!BD45)</f>
        <v>4.5077400358653996</v>
      </c>
      <c r="M46" s="804">
        <f>('Attainment by Race Trends'!BG45-'Attainment by Race Trends'!BF45)</f>
        <v>1.4202939707596016</v>
      </c>
      <c r="N46" s="804">
        <f>('Attainment by Race Trends'!BI45-'Attainment by Race Trends'!BH45)</f>
        <v>2.7286610635341351</v>
      </c>
      <c r="O46" s="819"/>
      <c r="P46" s="819"/>
      <c r="Q46" s="819"/>
      <c r="R46" s="819"/>
      <c r="S46" s="819"/>
      <c r="T46" s="819"/>
      <c r="U46" s="819"/>
      <c r="V46" s="819"/>
    </row>
    <row r="47" spans="1:22" x14ac:dyDescent="0.2">
      <c r="A47" s="806" t="s">
        <v>30</v>
      </c>
      <c r="B47" s="806"/>
      <c r="C47" s="792">
        <f>+'Attainment by Race Trends'!AY46</f>
        <v>92.246925200697234</v>
      </c>
      <c r="D47" s="792">
        <f>+'Attainment by Race Trends'!BA46</f>
        <v>85.230112501509623</v>
      </c>
      <c r="E47" s="792">
        <f>+'Attainment by Race Trends'!BC46</f>
        <v>71.794240410776425</v>
      </c>
      <c r="F47" s="793">
        <f>+'Attainment by Race Trends'!BE46</f>
        <v>29.438077765123861</v>
      </c>
      <c r="G47" s="794">
        <f>+'Attainment by Race Trends'!BG46</f>
        <v>17.01167284449523</v>
      </c>
      <c r="H47" s="795">
        <f>+'Attainment by Race Trends'!BI46</f>
        <v>17.52702582692168</v>
      </c>
      <c r="I47" s="796">
        <f>('Attainment by Race Trends'!AY46-'Attainment by Race Trends'!AX46)</f>
        <v>2.2469252006972482</v>
      </c>
      <c r="J47" s="796">
        <f>('Attainment by Race Trends'!BA46-'Attainment by Race Trends'!AZ46)</f>
        <v>2.9301125015096261</v>
      </c>
      <c r="K47" s="797">
        <f>('Attainment by Race Trends'!BC46-'Attainment by Race Trends'!BB46)</f>
        <v>4.1942404107764162</v>
      </c>
      <c r="L47" s="796">
        <f>('Attainment by Race Trends'!BE46-'Attainment by Race Trends'!BD46)</f>
        <v>3.438077765123861</v>
      </c>
      <c r="M47" s="796">
        <f>('Attainment by Race Trends'!BG46-'Attainment by Race Trends'!BF46)</f>
        <v>1.2116728444952329</v>
      </c>
      <c r="N47" s="796">
        <f>('Attainment by Race Trends'!BI46-'Attainment by Race Trends'!BH46)</f>
        <v>2.92702582692168</v>
      </c>
      <c r="O47" s="819"/>
      <c r="P47" s="819"/>
      <c r="Q47" s="819"/>
      <c r="R47" s="819"/>
      <c r="S47" s="819"/>
      <c r="T47" s="819"/>
      <c r="U47" s="819"/>
      <c r="V47" s="819"/>
    </row>
    <row r="48" spans="1:22" x14ac:dyDescent="0.2">
      <c r="A48" s="806" t="s">
        <v>31</v>
      </c>
      <c r="B48" s="806"/>
      <c r="C48" s="792">
        <f>+'Attainment by Race Trends'!AY47</f>
        <v>95.664495524486711</v>
      </c>
      <c r="D48" s="792">
        <f>+'Attainment by Race Trends'!BA47</f>
        <v>81.759608975783166</v>
      </c>
      <c r="E48" s="792">
        <f>+'Attainment by Race Trends'!BC47</f>
        <v>62.583193206064806</v>
      </c>
      <c r="F48" s="793">
        <f>+'Attainment by Race Trends'!BE47</f>
        <v>36.369163443326428</v>
      </c>
      <c r="G48" s="794">
        <f>+'Attainment by Race Trends'!BG47</f>
        <v>20.739835592090646</v>
      </c>
      <c r="H48" s="795">
        <f>+'Attainment by Race Trends'!BI47</f>
        <v>15.174723395837161</v>
      </c>
      <c r="I48" s="796">
        <f>('Attainment by Race Trends'!AY47-'Attainment by Race Trends'!AX47)</f>
        <v>2.4644955244867077</v>
      </c>
      <c r="J48" s="796">
        <f>('Attainment by Race Trends'!BA47-'Attainment by Race Trends'!AZ47)</f>
        <v>2.2596089757831663</v>
      </c>
      <c r="K48" s="797">
        <f>('Attainment by Race Trends'!BC47-'Attainment by Race Trends'!BB47)</f>
        <v>1.88319320606481</v>
      </c>
      <c r="L48" s="796">
        <f>('Attainment by Race Trends'!BE47-'Attainment by Race Trends'!BD47)</f>
        <v>3.8691634433264355</v>
      </c>
      <c r="M48" s="796">
        <f>('Attainment by Race Trends'!BG47-'Attainment by Race Trends'!BF47)</f>
        <v>2.3398355920906475</v>
      </c>
      <c r="N48" s="796">
        <f>('Attainment by Race Trends'!BI47-'Attainment by Race Trends'!BH47)</f>
        <v>1.5747233958371627</v>
      </c>
      <c r="O48" s="819"/>
      <c r="P48" s="819"/>
      <c r="Q48" s="819"/>
      <c r="R48" s="819"/>
      <c r="S48" s="819"/>
      <c r="T48" s="819"/>
      <c r="U48" s="819"/>
      <c r="V48" s="819"/>
    </row>
    <row r="49" spans="1:22" x14ac:dyDescent="0.2">
      <c r="A49" s="806" t="s">
        <v>32</v>
      </c>
      <c r="B49" s="806"/>
      <c r="C49" s="792">
        <f>+'Attainment by Race Trends'!AY48</f>
        <v>90.710072964450177</v>
      </c>
      <c r="D49" s="792">
        <f>+'Attainment by Race Trends'!BA48</f>
        <v>86.53813217754292</v>
      </c>
      <c r="E49" s="792">
        <f>+'Attainment by Race Trends'!BC48</f>
        <v>72.702111330644499</v>
      </c>
      <c r="F49" s="793">
        <f>+'Attainment by Race Trends'!BE48</f>
        <v>29.490509636966312</v>
      </c>
      <c r="G49" s="794">
        <f>+'Attainment by Race Trends'!BG48</f>
        <v>18.257362797463411</v>
      </c>
      <c r="H49" s="795">
        <f>+'Attainment by Race Trends'!BI48</f>
        <v>19.435508891102366</v>
      </c>
      <c r="I49" s="796">
        <f>('Attainment by Race Trends'!AY48-'Attainment by Race Trends'!AX48)</f>
        <v>2.6100729644501826</v>
      </c>
      <c r="J49" s="796">
        <f>('Attainment by Race Trends'!BA48-'Attainment by Race Trends'!AZ48)</f>
        <v>4.6381321775429285</v>
      </c>
      <c r="K49" s="797">
        <f>('Attainment by Race Trends'!BC48-'Attainment by Race Trends'!BB48)</f>
        <v>6.2021113306444846</v>
      </c>
      <c r="L49" s="796">
        <f>('Attainment by Race Trends'!BE48-'Attainment by Race Trends'!BD48)</f>
        <v>2.990509636966312</v>
      </c>
      <c r="M49" s="796">
        <f>('Attainment by Race Trends'!BG48-'Attainment by Race Trends'!BF48)</f>
        <v>2.1573627974634135</v>
      </c>
      <c r="N49" s="796">
        <f>('Attainment by Race Trends'!BI48-'Attainment by Race Trends'!BH48)</f>
        <v>2.4355088911023657</v>
      </c>
      <c r="O49" s="819"/>
      <c r="P49" s="819"/>
      <c r="Q49" s="819"/>
      <c r="R49" s="819"/>
      <c r="S49" s="819"/>
      <c r="T49" s="819"/>
      <c r="U49" s="819"/>
      <c r="V49" s="819"/>
    </row>
    <row r="50" spans="1:22" x14ac:dyDescent="0.2">
      <c r="A50" s="806" t="s">
        <v>34</v>
      </c>
      <c r="B50" s="806"/>
      <c r="C50" s="792">
        <f>+'Attainment by Race Trends'!AY49</f>
        <v>94.927913694871535</v>
      </c>
      <c r="D50" s="792">
        <f>+'Attainment by Race Trends'!BA49</f>
        <v>86.40786240786241</v>
      </c>
      <c r="E50" s="792">
        <f>+'Attainment by Race Trends'!BC49</f>
        <v>55.551606482797844</v>
      </c>
      <c r="F50" s="793">
        <f>+'Attainment by Race Trends'!BE49</f>
        <v>33.622880628284243</v>
      </c>
      <c r="G50" s="794">
        <f>+'Attainment by Race Trends'!BG49</f>
        <v>23.272727272727273</v>
      </c>
      <c r="H50" s="795">
        <f>+'Attainment by Race Trends'!BI49</f>
        <v>10.825988058003981</v>
      </c>
      <c r="I50" s="796">
        <f>('Attainment by Race Trends'!AY49-'Attainment by Race Trends'!AX49)</f>
        <v>3.0279136948715575</v>
      </c>
      <c r="J50" s="796">
        <f>('Attainment by Race Trends'!BA49-'Attainment by Race Trends'!AZ49)</f>
        <v>2.8078624078624017</v>
      </c>
      <c r="K50" s="797">
        <f>('Attainment by Race Trends'!BC49-'Attainment by Race Trends'!BB49)</f>
        <v>4.8516064827978411</v>
      </c>
      <c r="L50" s="796">
        <f>('Attainment by Race Trends'!BE49-'Attainment by Race Trends'!BD49)</f>
        <v>4.7228806282842442</v>
      </c>
      <c r="M50" s="796">
        <f>('Attainment by Race Trends'!BG49-'Attainment by Race Trends'!BF49)</f>
        <v>5.6727272727272755</v>
      </c>
      <c r="N50" s="796">
        <f>('Attainment by Race Trends'!BI49-'Attainment by Race Trends'!BH49)</f>
        <v>1.8259880580039791</v>
      </c>
      <c r="O50" s="819"/>
      <c r="P50" s="819"/>
      <c r="Q50" s="819"/>
      <c r="R50" s="819"/>
      <c r="S50" s="819"/>
      <c r="T50" s="819"/>
      <c r="U50" s="819"/>
      <c r="V50" s="819"/>
    </row>
    <row r="51" spans="1:22" x14ac:dyDescent="0.2">
      <c r="A51" s="799" t="s">
        <v>40</v>
      </c>
      <c r="B51" s="799"/>
      <c r="C51" s="800">
        <f>+'Attainment by Race Trends'!AY50</f>
        <v>93.646689719925803</v>
      </c>
      <c r="D51" s="800" t="str">
        <f>+'Attainment by Race Trends'!BA50</f>
        <v>—</v>
      </c>
      <c r="E51" s="804">
        <f>+'Attainment by Race Trends'!BC50</f>
        <v>75.757824693994905</v>
      </c>
      <c r="F51" s="801">
        <f>+'Attainment by Race Trends'!BE50</f>
        <v>31.013122037236357</v>
      </c>
      <c r="G51" s="813" t="str">
        <f>+'Attainment by Race Trends'!BG50</f>
        <v>—</v>
      </c>
      <c r="H51" s="803">
        <f>+'Attainment by Race Trends'!BI50</f>
        <v>15.345436622032366</v>
      </c>
      <c r="I51" s="804">
        <f>('Attainment by Race Trends'!AY50-'Attainment by Race Trends'!AX50)</f>
        <v>2.5466897199258085</v>
      </c>
      <c r="J51" s="813" t="str">
        <f>IF('Attainment by Race Trends'!BA50="—", "—",('Attainment by Race Trends'!BA50-'Attainment by Race Trends'!AZ50))</f>
        <v>—</v>
      </c>
      <c r="K51" s="803" t="str">
        <f>IF('Attainment by Race Trends'!BB50="—","—",('Attainment by Race Trends'!BC50-'Attainment by Race Trends'!BB50))</f>
        <v>—</v>
      </c>
      <c r="L51" s="804">
        <f>('Attainment by Race Trends'!BE50-'Attainment by Race Trends'!BD50)</f>
        <v>3.8131220372363543</v>
      </c>
      <c r="M51" s="813" t="str">
        <f>IF('Attainment by Race Trends'!BF50="—", "—",('Attainment by Race Trends'!BG50-'Attainment by Race Trends'!BF50))</f>
        <v>—</v>
      </c>
      <c r="N51" s="813" t="str">
        <f>IF('Attainment by Race Trends'!BH50="—","—",('Attainment by Race Trends'!BI50-'Attainment by Race Trends'!BH50))</f>
        <v>—</v>
      </c>
      <c r="O51" s="819"/>
      <c r="P51" s="819"/>
      <c r="Q51" s="819"/>
      <c r="R51" s="819"/>
      <c r="S51" s="819"/>
      <c r="T51" s="819"/>
      <c r="U51" s="819"/>
      <c r="V51" s="819"/>
    </row>
    <row r="52" spans="1:22" x14ac:dyDescent="0.2">
      <c r="A52" s="799" t="s">
        <v>41</v>
      </c>
      <c r="B52" s="799"/>
      <c r="C52" s="800">
        <f>+'Attainment by Race Trends'!AY51</f>
        <v>91.216914222085592</v>
      </c>
      <c r="D52" s="800">
        <f>+'Attainment by Race Trends'!BA51</f>
        <v>85.499799509269778</v>
      </c>
      <c r="E52" s="804">
        <f>+'Attainment by Race Trends'!BC51</f>
        <v>74.703248210179396</v>
      </c>
      <c r="F52" s="801">
        <f>+'Attainment by Race Trends'!BE51</f>
        <v>28.590899566070604</v>
      </c>
      <c r="G52" s="813">
        <f>+'Attainment by Race Trends'!BG51</f>
        <v>16.215867980464093</v>
      </c>
      <c r="H52" s="803">
        <f>+'Attainment by Race Trends'!BI51</f>
        <v>19.69547447701861</v>
      </c>
      <c r="I52" s="804">
        <f>('Attainment by Race Trends'!AY51-'Attainment by Race Trends'!AX51)</f>
        <v>2.3169142220855861</v>
      </c>
      <c r="J52" s="804">
        <f>('Attainment by Race Trends'!BA51-'Attainment by Race Trends'!AZ51)</f>
        <v>3.3997995092697977</v>
      </c>
      <c r="K52" s="805">
        <f>('Attainment by Race Trends'!BC51-'Attainment by Race Trends'!BB51)</f>
        <v>3.7032482101793818</v>
      </c>
      <c r="L52" s="804">
        <f>('Attainment by Race Trends'!BE51-'Attainment by Race Trends'!BD51)</f>
        <v>3.3908995660706047</v>
      </c>
      <c r="M52" s="813">
        <f>('Attainment by Race Trends'!BG51-'Attainment by Race Trends'!BF51)</f>
        <v>1.9158679804640943</v>
      </c>
      <c r="N52" s="813">
        <f>('Attainment by Race Trends'!BI51-'Attainment by Race Trends'!BH51)</f>
        <v>2.995474477018611</v>
      </c>
      <c r="O52" s="819"/>
      <c r="P52" s="819"/>
      <c r="Q52" s="819"/>
      <c r="R52" s="819"/>
      <c r="S52" s="819"/>
      <c r="T52" s="819"/>
      <c r="U52" s="819"/>
      <c r="V52" s="819"/>
    </row>
    <row r="53" spans="1:22" x14ac:dyDescent="0.2">
      <c r="A53" s="799" t="s">
        <v>45</v>
      </c>
      <c r="B53" s="799"/>
      <c r="C53" s="800">
        <f>+'Attainment by Race Trends'!AY52</f>
        <v>93.656935209964516</v>
      </c>
      <c r="D53" s="800">
        <f>+'Attainment by Race Trends'!BA52</f>
        <v>71.389719880337239</v>
      </c>
      <c r="E53" s="804">
        <f>+'Attainment by Race Trends'!BC52</f>
        <v>66.090558491644046</v>
      </c>
      <c r="F53" s="801">
        <f>+'Attainment by Race Trends'!BE52</f>
        <v>30.853431642079336</v>
      </c>
      <c r="G53" s="813">
        <f>+'Attainment by Race Trends'!BG52</f>
        <v>16.834375849877617</v>
      </c>
      <c r="H53" s="803">
        <f>+'Attainment by Race Trends'!BI52</f>
        <v>16.883302385373518</v>
      </c>
      <c r="I53" s="804">
        <f>('Attainment by Race Trends'!AY52-'Attainment by Race Trends'!AX52)</f>
        <v>2.1569352099645158</v>
      </c>
      <c r="J53" s="813" t="str">
        <f>IF('Attainment by Race Trends'!AZ52="—", "—",('Attainment by Race Trends'!BA52-'Attainment by Race Trends'!AZ52))</f>
        <v>—</v>
      </c>
      <c r="K53" s="805">
        <f>('Attainment by Race Trends'!BC52-'Attainment by Race Trends'!BB52)</f>
        <v>1.7905584916440489</v>
      </c>
      <c r="L53" s="804">
        <f>('Attainment by Race Trends'!BE52-'Attainment by Race Trends'!BD52)</f>
        <v>3.7534316420793346</v>
      </c>
      <c r="M53" s="813" t="str">
        <f>IF('Attainment by Race Trends'!BF52="—","—",('Attainment by Race Trends'!BG52-'Attainment by Race Trends'!BF52))</f>
        <v>—</v>
      </c>
      <c r="N53" s="804">
        <f>('Attainment by Race Trends'!BI52-'Attainment by Race Trends'!BH52)</f>
        <v>1.5833023853735195</v>
      </c>
      <c r="O53" s="819"/>
      <c r="P53" s="819"/>
      <c r="Q53" s="819"/>
      <c r="R53" s="819"/>
      <c r="S53" s="819"/>
      <c r="T53" s="819"/>
      <c r="U53" s="819"/>
      <c r="V53" s="819"/>
    </row>
    <row r="54" spans="1:22" x14ac:dyDescent="0.2">
      <c r="A54" s="799" t="s">
        <v>49</v>
      </c>
      <c r="B54" s="799"/>
      <c r="C54" s="815">
        <f>+'Attainment by Race Trends'!AY53</f>
        <v>94.117044118762323</v>
      </c>
      <c r="D54" s="815">
        <f>+'Attainment by Race Trends'!BA53</f>
        <v>82.007006886741223</v>
      </c>
      <c r="E54" s="815">
        <f>+'Attainment by Race Trends'!BC53</f>
        <v>69.103451866507001</v>
      </c>
      <c r="F54" s="817">
        <f>+'Attainment by Race Trends'!BE53</f>
        <v>30.828950923327771</v>
      </c>
      <c r="G54" s="816">
        <f>+'Attainment by Race Trends'!BG53</f>
        <v>15.07297638900236</v>
      </c>
      <c r="H54" s="818">
        <f>+'Attainment by Race Trends'!BI53</f>
        <v>14.692039360649764</v>
      </c>
      <c r="I54" s="815">
        <f>('Attainment by Race Trends'!AY53-'Attainment by Race Trends'!AX53)</f>
        <v>2.8170441187623112</v>
      </c>
      <c r="J54" s="815">
        <f>('Attainment by Race Trends'!BA53-'Attainment by Race Trends'!AZ53)</f>
        <v>2.6070068867412175</v>
      </c>
      <c r="K54" s="820">
        <f>('Attainment by Race Trends'!BC53-'Attainment by Race Trends'!BB53)</f>
        <v>7.5034518665069996</v>
      </c>
      <c r="L54" s="815">
        <f>('Attainment by Race Trends'!BE53-'Attainment by Race Trends'!BD53)</f>
        <v>3.9289509233277684</v>
      </c>
      <c r="M54" s="815">
        <f>('Attainment by Race Trends'!BG53-'Attainment by Race Trends'!BF53)</f>
        <v>2.372976389002357</v>
      </c>
      <c r="N54" s="815">
        <f>('Attainment by Race Trends'!BI53-'Attainment by Race Trends'!BH53)</f>
        <v>3.092039360649764</v>
      </c>
      <c r="O54" s="819"/>
      <c r="P54" s="819"/>
      <c r="Q54" s="819"/>
      <c r="R54" s="819"/>
      <c r="S54" s="819"/>
      <c r="T54" s="819"/>
      <c r="U54" s="819"/>
      <c r="V54" s="819"/>
    </row>
    <row r="55" spans="1:22" x14ac:dyDescent="0.2">
      <c r="A55" s="821" t="s">
        <v>184</v>
      </c>
      <c r="B55" s="821"/>
      <c r="C55" s="792">
        <f>+'Attainment by Race Trends'!AY54</f>
        <v>93.061570973776838</v>
      </c>
      <c r="D55" s="792">
        <f>+'Attainment by Race Trends'!BA54</f>
        <v>85.057702111881852</v>
      </c>
      <c r="E55" s="792">
        <f>+'Attainment by Race Trends'!BC54</f>
        <v>70.394749229946711</v>
      </c>
      <c r="F55" s="793">
        <f>+'Attainment by Race Trends'!BE54</f>
        <v>39.407654049560307</v>
      </c>
      <c r="G55" s="794">
        <f>+'Attainment by Race Trends'!BG54</f>
        <v>22.561181024999062</v>
      </c>
      <c r="H55" s="795">
        <f>+'Attainment by Race Trends'!BI54</f>
        <v>17.667378027559224</v>
      </c>
      <c r="I55" s="796">
        <f>('Attainment by Race Trends'!AY54-'Attainment by Race Trends'!AX54)</f>
        <v>3.0873347110583467</v>
      </c>
      <c r="J55" s="796">
        <f>('Attainment by Race Trends'!BA54-'Attainment by Race Trends'!AZ54)</f>
        <v>3.1026399355851026</v>
      </c>
      <c r="K55" s="797">
        <f>('Attainment by Race Trends'!BC54-'Attainment by Race Trends'!BB54)</f>
        <v>3.9243407878328185</v>
      </c>
      <c r="L55" s="796">
        <f>('Attainment by Race Trends'!BE54-'Attainment by Race Trends'!BD54)</f>
        <v>5.2421991376116495</v>
      </c>
      <c r="M55" s="796">
        <f>('Attainment by Race Trends'!BG54-'Attainment by Race Trends'!BF54)</f>
        <v>3.109272694528908</v>
      </c>
      <c r="N55" s="796">
        <f>('Attainment by Race Trends'!BI54-'Attainment by Race Trends'!BH54)</f>
        <v>2.2624681558415816</v>
      </c>
      <c r="O55" s="819"/>
      <c r="P55" s="819"/>
      <c r="Q55" s="819"/>
      <c r="R55" s="819"/>
      <c r="S55" s="819"/>
      <c r="T55" s="819"/>
      <c r="U55" s="819"/>
      <c r="V55" s="819"/>
    </row>
    <row r="56" spans="1:22" ht="18" x14ac:dyDescent="0.2">
      <c r="A56" s="791" t="s">
        <v>226</v>
      </c>
      <c r="B56" s="806"/>
      <c r="C56" s="792">
        <f>(C55/C$7)*100</f>
        <v>100.65208143258795</v>
      </c>
      <c r="D56" s="792">
        <f>(D55/D$7)*100</f>
        <v>99.781814088885795</v>
      </c>
      <c r="E56" s="792">
        <f t="shared" ref="E56:F56" si="3">(E55/E$7)*100</f>
        <v>104.88940754452661</v>
      </c>
      <c r="F56" s="798">
        <f t="shared" si="3"/>
        <v>112.69867889767697</v>
      </c>
      <c r="G56" s="792">
        <f>(G55/G$7)*100</f>
        <v>108.09828223827031</v>
      </c>
      <c r="H56" s="797">
        <f>(H55/H$7)*100</f>
        <v>115.12409796531784</v>
      </c>
      <c r="I56" s="796"/>
      <c r="J56" s="796"/>
      <c r="K56" s="797"/>
      <c r="L56" s="796"/>
      <c r="M56" s="796"/>
      <c r="N56" s="796"/>
      <c r="O56" s="819"/>
      <c r="P56" s="819"/>
      <c r="Q56" s="819"/>
      <c r="R56" s="819"/>
      <c r="S56" s="819"/>
      <c r="T56" s="819"/>
      <c r="U56" s="819"/>
      <c r="V56" s="819"/>
    </row>
    <row r="57" spans="1:22" x14ac:dyDescent="0.2">
      <c r="A57" s="799" t="s">
        <v>21</v>
      </c>
      <c r="B57" s="799"/>
      <c r="C57" s="800">
        <f>+'Attainment by Race Trends'!AY56</f>
        <v>94.217715573935052</v>
      </c>
      <c r="D57" s="800">
        <f>+'Attainment by Race Trends'!BA56</f>
        <v>86.169100997785463</v>
      </c>
      <c r="E57" s="800">
        <f>+'Attainment by Race Trends'!BC56</f>
        <v>72.322934898680018</v>
      </c>
      <c r="F57" s="801">
        <f>+'Attainment by Race Trends'!BE56</f>
        <v>43.300300116233885</v>
      </c>
      <c r="G57" s="802">
        <f>+'Attainment by Race Trends'!BG56</f>
        <v>19.523169689881975</v>
      </c>
      <c r="H57" s="803">
        <f>+'Attainment by Race Trends'!BI56</f>
        <v>17.901125356215367</v>
      </c>
      <c r="I57" s="804">
        <f>('Attainment by Race Trends'!AY56-'Attainment by Race Trends'!AX56)</f>
        <v>3.2177155739350667</v>
      </c>
      <c r="J57" s="804">
        <f>('Attainment by Race Trends'!BA56-'Attainment by Race Trends'!AZ56)</f>
        <v>4.369100997785452</v>
      </c>
      <c r="K57" s="805">
        <f>('Attainment by Race Trends'!BC56-'Attainment by Race Trends'!BB56)</f>
        <v>4.6229348986800147</v>
      </c>
      <c r="L57" s="804">
        <f>('Attainment by Race Trends'!BE56-'Attainment by Race Trends'!BD56)</f>
        <v>5.1003001162338819</v>
      </c>
      <c r="M57" s="804">
        <f>('Attainment by Race Trends'!BG56-'Attainment by Race Trends'!BF56)</f>
        <v>1.7231696898819742</v>
      </c>
      <c r="N57" s="804">
        <f>('Attainment by Race Trends'!BI56-'Attainment by Race Trends'!BH56)</f>
        <v>3.6011253562153662</v>
      </c>
      <c r="O57" s="819"/>
      <c r="P57" s="819"/>
      <c r="Q57" s="819"/>
      <c r="R57" s="819"/>
      <c r="S57" s="819"/>
      <c r="T57" s="819"/>
      <c r="U57" s="819"/>
      <c r="V57" s="819"/>
    </row>
    <row r="58" spans="1:22" x14ac:dyDescent="0.2">
      <c r="A58" s="799" t="s">
        <v>28</v>
      </c>
      <c r="B58" s="799"/>
      <c r="C58" s="800">
        <f>+'Attainment by Race Trends'!AY57</f>
        <v>92.6415701695623</v>
      </c>
      <c r="D58" s="800">
        <f>+'Attainment by Race Trends'!BA57</f>
        <v>79.517926356589157</v>
      </c>
      <c r="E58" s="800">
        <f>+'Attainment by Race Trends'!BC57</f>
        <v>88.905507654407884</v>
      </c>
      <c r="F58" s="801">
        <f>+'Attainment by Race Trends'!BE57</f>
        <v>30.283379588143688</v>
      </c>
      <c r="G58" s="802">
        <f>+'Attainment by Race Trends'!BG57</f>
        <v>19.379844961240313</v>
      </c>
      <c r="H58" s="803">
        <f>+'Attainment by Race Trends'!BI57</f>
        <v>27.705437269048041</v>
      </c>
      <c r="I58" s="804">
        <f>('Attainment by Race Trends'!AY57-'Attainment by Race Trends'!AX57)</f>
        <v>1.7415701695622801</v>
      </c>
      <c r="J58" s="813" t="str">
        <f>IF('Attainment by Race Trends'!AZ57="—", "—",('Attainment by Race Trends'!BA57-'Attainment by Race Trends'!AZ57))</f>
        <v>—</v>
      </c>
      <c r="K58" s="803" t="str">
        <f>IF('Attainment by Race Trends'!BB57="—","—",('Attainment by Race Trends'!BC57-'Attainment by Race Trends'!BB57))</f>
        <v>—</v>
      </c>
      <c r="L58" s="804">
        <f>('Attainment by Race Trends'!BE57-'Attainment by Race Trends'!BD57)</f>
        <v>2.4833795881436842</v>
      </c>
      <c r="M58" s="813" t="str">
        <f>IF('Attainment by Race Trends'!BF57="—","—",('Attainment by Race Trends'!BG57-'Attainment by Race Trends'!BF57))</f>
        <v>—</v>
      </c>
      <c r="N58" s="813" t="str">
        <f>IF('Attainment by Race Trends'!BH57="—","—",('Attainment by Race Trends'!BI57-'Attainment by Race Trends'!BH57))</f>
        <v>—</v>
      </c>
      <c r="O58" s="819"/>
      <c r="P58" s="819"/>
      <c r="Q58" s="819"/>
      <c r="R58" s="819"/>
      <c r="S58" s="819"/>
      <c r="T58" s="819"/>
      <c r="U58" s="819"/>
      <c r="V58" s="819"/>
    </row>
    <row r="59" spans="1:22" x14ac:dyDescent="0.2">
      <c r="A59" s="799" t="s">
        <v>29</v>
      </c>
      <c r="B59" s="799"/>
      <c r="C59" s="800">
        <f>+'Attainment by Race Trends'!AY58</f>
        <v>93.897231554202108</v>
      </c>
      <c r="D59" s="800">
        <f>+'Attainment by Race Trends'!BA58</f>
        <v>85.040570678392356</v>
      </c>
      <c r="E59" s="800">
        <f>+'Attainment by Race Trends'!BC58</f>
        <v>69.271909340340486</v>
      </c>
      <c r="F59" s="801">
        <f>+'Attainment by Race Trends'!BE58</f>
        <v>46.036880649588937</v>
      </c>
      <c r="G59" s="802">
        <f>+'Attainment by Race Trends'!BG58</f>
        <v>24.980782310235199</v>
      </c>
      <c r="H59" s="803">
        <f>+'Attainment by Race Trends'!BI58</f>
        <v>17.956907877938153</v>
      </c>
      <c r="I59" s="804">
        <f>('Attainment by Race Trends'!AY58-'Attainment by Race Trends'!AX58)</f>
        <v>2.5972315542021107</v>
      </c>
      <c r="J59" s="804">
        <f>('Attainment by Race Trends'!BA58-'Attainment by Race Trends'!AZ58)</f>
        <v>2.7405706783923449</v>
      </c>
      <c r="K59" s="805">
        <f>('Attainment by Race Trends'!BC58-'Attainment by Race Trends'!BB58)</f>
        <v>3.3719093403404798</v>
      </c>
      <c r="L59" s="804">
        <f>('Attainment by Race Trends'!BE58-'Attainment by Race Trends'!BD58)</f>
        <v>5.8368806495889416</v>
      </c>
      <c r="M59" s="804">
        <f>('Attainment by Race Trends'!BG58-'Attainment by Race Trends'!BF58)</f>
        <v>2.5807823102352003</v>
      </c>
      <c r="N59" s="804">
        <f>('Attainment by Race Trends'!BI58-'Attainment by Race Trends'!BH58)</f>
        <v>1.2569078779381542</v>
      </c>
      <c r="O59" s="819"/>
      <c r="P59" s="819"/>
      <c r="Q59" s="819"/>
      <c r="R59" s="819"/>
      <c r="S59" s="819"/>
      <c r="T59" s="819"/>
      <c r="U59" s="819"/>
      <c r="V59" s="819"/>
    </row>
    <row r="60" spans="1:22" x14ac:dyDescent="0.2">
      <c r="A60" s="799" t="s">
        <v>36</v>
      </c>
      <c r="B60" s="799"/>
      <c r="C60" s="800">
        <f>+'Attainment by Race Trends'!AY59</f>
        <v>93.45799828250216</v>
      </c>
      <c r="D60" s="800">
        <f>+'Attainment by Race Trends'!BA59</f>
        <v>88.727709507530264</v>
      </c>
      <c r="E60" s="800">
        <f>+'Attainment by Race Trends'!BC59</f>
        <v>76.170766319772937</v>
      </c>
      <c r="F60" s="801">
        <f>+'Attainment by Race Trends'!BE59</f>
        <v>36.501048631646896</v>
      </c>
      <c r="G60" s="802">
        <f>+'Attainment by Race Trends'!BG59</f>
        <v>29.40959068650097</v>
      </c>
      <c r="H60" s="803">
        <f>+'Attainment by Race Trends'!BI59</f>
        <v>29.150898770104067</v>
      </c>
      <c r="I60" s="804">
        <f>('Attainment by Race Trends'!AY59-'Attainment by Race Trends'!AX59)</f>
        <v>1.6579982825021631</v>
      </c>
      <c r="J60" s="813" t="str">
        <f>IF('Attainment by Race Trends'!AZ59="—", "—",('Attainment by Race Trends'!BA59-'Attainment by Race Trends'!AZ59))</f>
        <v>—</v>
      </c>
      <c r="K60" s="805">
        <f>('Attainment by Race Trends'!BC59-'Attainment by Race Trends'!BB59)</f>
        <v>-0.12923368022705972</v>
      </c>
      <c r="L60" s="804">
        <f>('Attainment by Race Trends'!BE59-'Attainment by Race Trends'!BD59)</f>
        <v>4.0010486316469027</v>
      </c>
      <c r="M60" s="813" t="str">
        <f>IF('Attainment by Race Trends'!BF59="—", "—",('Attainment by Race Trends'!BG59-'Attainment by Race Trends'!BF59))</f>
        <v>—</v>
      </c>
      <c r="N60" s="804">
        <f>('Attainment by Race Trends'!BI59-'Attainment by Race Trends'!BH59)</f>
        <v>6.6508987701040674</v>
      </c>
      <c r="O60" s="819"/>
      <c r="P60" s="819"/>
      <c r="Q60" s="819"/>
      <c r="R60" s="819"/>
      <c r="S60" s="819"/>
      <c r="T60" s="819"/>
      <c r="U60" s="819"/>
      <c r="V60" s="819"/>
    </row>
    <row r="61" spans="1:22" x14ac:dyDescent="0.2">
      <c r="A61" s="806" t="s">
        <v>37</v>
      </c>
      <c r="B61" s="806"/>
      <c r="C61" s="796">
        <f>+'Attainment by Race Trends'!AY60</f>
        <v>93.756318011535939</v>
      </c>
      <c r="D61" s="796">
        <f>+'Attainment by Race Trends'!BA60</f>
        <v>88.205914834616692</v>
      </c>
      <c r="E61" s="792">
        <f>+'Attainment by Race Trends'!BC60</f>
        <v>72.869511240405245</v>
      </c>
      <c r="F61" s="793">
        <f>+'Attainment by Race Trends'!BE60</f>
        <v>43.027504809841041</v>
      </c>
      <c r="G61" s="794">
        <f>+'Attainment by Race Trends'!BG60</f>
        <v>23.452950872381553</v>
      </c>
      <c r="H61" s="795">
        <f>+'Attainment by Race Trends'!BI60</f>
        <v>17.311196861117416</v>
      </c>
      <c r="I61" s="796">
        <f>('Attainment by Race Trends'!AY60-'Attainment by Race Trends'!AX60)</f>
        <v>3.9563180115359415</v>
      </c>
      <c r="J61" s="796">
        <f>('Attainment by Race Trends'!BA60-'Attainment by Race Trends'!AZ60)</f>
        <v>3.8059148346166864</v>
      </c>
      <c r="K61" s="797">
        <f>('Attainment by Race Trends'!BC60-'Attainment by Race Trends'!BB60)</f>
        <v>2.5695112404052338</v>
      </c>
      <c r="L61" s="796">
        <f>('Attainment by Race Trends'!BE60-'Attainment by Race Trends'!BD60)</f>
        <v>7.1275048098410352</v>
      </c>
      <c r="M61" s="808">
        <f>('Attainment by Race Trends'!BG60-'Attainment by Race Trends'!BF60)</f>
        <v>2.5529508723815546</v>
      </c>
      <c r="N61" s="796">
        <f>('Attainment by Race Trends'!BI60-'Attainment by Race Trends'!BH60)</f>
        <v>1.7111968611174166</v>
      </c>
      <c r="O61" s="819"/>
      <c r="P61" s="819"/>
      <c r="Q61" s="819"/>
      <c r="R61" s="819"/>
      <c r="S61" s="819"/>
      <c r="T61" s="819"/>
      <c r="U61" s="819"/>
      <c r="V61" s="819"/>
    </row>
    <row r="62" spans="1:22" x14ac:dyDescent="0.2">
      <c r="A62" s="806" t="s">
        <v>39</v>
      </c>
      <c r="B62" s="806"/>
      <c r="C62" s="796">
        <f>+'Attainment by Race Trends'!AY61</f>
        <v>93.048339533784855</v>
      </c>
      <c r="D62" s="796">
        <f>+'Attainment by Race Trends'!BA61</f>
        <v>83.497466871845816</v>
      </c>
      <c r="E62" s="792">
        <f>+'Attainment by Race Trends'!BC61</f>
        <v>68.928942503110719</v>
      </c>
      <c r="F62" s="793">
        <f>+'Attainment by Race Trends'!BE61</f>
        <v>42.063011846471014</v>
      </c>
      <c r="G62" s="794">
        <f>+'Attainment by Race Trends'!BG61</f>
        <v>23.53809859939815</v>
      </c>
      <c r="H62" s="795">
        <f>+'Attainment by Race Trends'!BI61</f>
        <v>18.135377311511686</v>
      </c>
      <c r="I62" s="796">
        <f>('Attainment by Race Trends'!AY61-'Attainment by Race Trends'!AX61)</f>
        <v>3.7483395337848577</v>
      </c>
      <c r="J62" s="796">
        <f>('Attainment by Race Trends'!BA61-'Attainment by Race Trends'!AZ61)</f>
        <v>2.6974668718458048</v>
      </c>
      <c r="K62" s="797">
        <f>('Attainment by Race Trends'!BC61-'Attainment by Race Trends'!BB61)</f>
        <v>4.1289425031107214</v>
      </c>
      <c r="L62" s="796">
        <f>('Attainment by Race Trends'!BE61-'Attainment by Race Trends'!BD61)</f>
        <v>6.0630118464710065</v>
      </c>
      <c r="M62" s="796">
        <f>('Attainment by Race Trends'!BG61-'Attainment by Race Trends'!BF61)</f>
        <v>2.8380985993981511</v>
      </c>
      <c r="N62" s="796">
        <f>('Attainment by Race Trends'!BI61-'Attainment by Race Trends'!BH61)</f>
        <v>2.4353773115116866</v>
      </c>
      <c r="O62" s="819"/>
      <c r="P62" s="819"/>
      <c r="Q62" s="819"/>
      <c r="R62" s="819"/>
      <c r="S62" s="819"/>
      <c r="T62" s="819"/>
      <c r="U62" s="819"/>
      <c r="V62" s="819"/>
    </row>
    <row r="63" spans="1:22" x14ac:dyDescent="0.2">
      <c r="A63" s="806" t="s">
        <v>43</v>
      </c>
      <c r="B63" s="806"/>
      <c r="C63" s="796">
        <f>+'Attainment by Race Trends'!AY62</f>
        <v>92.214191300510507</v>
      </c>
      <c r="D63" s="796">
        <f>+'Attainment by Race Trends'!BA62</f>
        <v>85.574061245534978</v>
      </c>
      <c r="E63" s="792">
        <f>+'Attainment by Race Trends'!BC62</f>
        <v>70.313739174570941</v>
      </c>
      <c r="F63" s="793">
        <f>+'Attainment by Race Trends'!BE62</f>
        <v>32.171490430166941</v>
      </c>
      <c r="G63" s="794">
        <f>+'Attainment by Race Trends'!BG62</f>
        <v>19.503595709969378</v>
      </c>
      <c r="H63" s="795">
        <f>+'Attainment by Race Trends'!BI62</f>
        <v>15.486047224777675</v>
      </c>
      <c r="I63" s="796">
        <f>('Attainment by Race Trends'!AY62-'Attainment by Race Trends'!AX62)</f>
        <v>2.4141913005104954</v>
      </c>
      <c r="J63" s="796">
        <f>('Attainment by Race Trends'!BA62-'Attainment by Race Trends'!AZ62)</f>
        <v>2.9740612455349691</v>
      </c>
      <c r="K63" s="797">
        <f>('Attainment by Race Trends'!BC62-'Attainment by Race Trends'!BB62)</f>
        <v>3.9137391745709351</v>
      </c>
      <c r="L63" s="796">
        <f>('Attainment by Race Trends'!BE62-'Attainment by Race Trends'!BD62)</f>
        <v>4.2714904301669385</v>
      </c>
      <c r="M63" s="796">
        <f>('Attainment by Race Trends'!BG62-'Attainment by Race Trends'!BF62)</f>
        <v>4.7035957099693757</v>
      </c>
      <c r="N63" s="796">
        <f>('Attainment by Race Trends'!BI62-'Attainment by Race Trends'!BH62)</f>
        <v>2.1860472247776777</v>
      </c>
      <c r="O63" s="819"/>
      <c r="P63" s="819"/>
      <c r="Q63" s="819"/>
      <c r="R63" s="819"/>
      <c r="S63" s="819"/>
      <c r="T63" s="819"/>
      <c r="U63" s="819"/>
      <c r="V63" s="819"/>
    </row>
    <row r="64" spans="1:22" x14ac:dyDescent="0.2">
      <c r="A64" s="806" t="s">
        <v>44</v>
      </c>
      <c r="B64" s="806"/>
      <c r="C64" s="796">
        <f>+'Attainment by Race Trends'!AY63</f>
        <v>91.175350648896952</v>
      </c>
      <c r="D64" s="796">
        <f>+'Attainment by Race Trends'!BA63</f>
        <v>85.064872657376256</v>
      </c>
      <c r="E64" s="792">
        <f>+'Attainment by Race Trends'!BC63</f>
        <v>72.129368608532573</v>
      </c>
      <c r="F64" s="793">
        <f>+'Attainment by Race Trends'!BE63</f>
        <v>37.549038444743324</v>
      </c>
      <c r="G64" s="794">
        <f>+'Attainment by Race Trends'!BG63</f>
        <v>20.872176838058625</v>
      </c>
      <c r="H64" s="795">
        <f>+'Attainment by Race Trends'!BI63</f>
        <v>13.230558733678535</v>
      </c>
      <c r="I64" s="796">
        <f>('Attainment by Race Trends'!AY63-'Attainment by Race Trends'!AX63)</f>
        <v>4.4753506488969492</v>
      </c>
      <c r="J64" s="796">
        <f>('Attainment by Race Trends'!BA63-'Attainment by Race Trends'!AZ63)</f>
        <v>8.8648726573762673</v>
      </c>
      <c r="K64" s="797">
        <f>('Attainment by Race Trends'!BC63-'Attainment by Race Trends'!BB63)</f>
        <v>11.629368608532573</v>
      </c>
      <c r="L64" s="796">
        <f>('Attainment by Race Trends'!BE63-'Attainment by Race Trends'!BD63)</f>
        <v>4.8490384447433286</v>
      </c>
      <c r="M64" s="796">
        <f>('Attainment by Race Trends'!BG63-'Attainment by Race Trends'!BF63)</f>
        <v>2.8721768380586248</v>
      </c>
      <c r="N64" s="796">
        <f>('Attainment by Race Trends'!BI63-'Attainment by Race Trends'!BH63)</f>
        <v>2.030558733678534</v>
      </c>
      <c r="O64" s="819"/>
      <c r="P64" s="819"/>
      <c r="Q64" s="819"/>
      <c r="R64" s="819"/>
      <c r="S64" s="819"/>
      <c r="T64" s="819"/>
      <c r="U64" s="819"/>
      <c r="V64" s="819"/>
    </row>
    <row r="65" spans="1:22" x14ac:dyDescent="0.2">
      <c r="A65" s="785" t="s">
        <v>47</v>
      </c>
      <c r="B65" s="785"/>
      <c r="C65" s="796">
        <f>+'Attainment by Race Trends'!AY64</f>
        <v>92.377963603433486</v>
      </c>
      <c r="D65" s="796" t="str">
        <f>+'Attainment by Race Trends'!BA64</f>
        <v>—</v>
      </c>
      <c r="E65" s="792">
        <f>+'Attainment by Race Trends'!BC64</f>
        <v>87.446163662466105</v>
      </c>
      <c r="F65" s="793">
        <f>+'Attainment by Race Trends'!BE64</f>
        <v>36.455573645725956</v>
      </c>
      <c r="G65" s="794" t="str">
        <f>+'Attainment by Race Trends'!BG64</f>
        <v>—</v>
      </c>
      <c r="H65" s="795">
        <f>+'Attainment by Race Trends'!BI64</f>
        <v>35.508055511245814</v>
      </c>
      <c r="I65" s="796">
        <f>('Attainment by Race Trends'!AY64-'Attainment by Race Trends'!AX64)</f>
        <v>0.77796360343347715</v>
      </c>
      <c r="J65" s="808" t="str">
        <f>IF('Attainment by Race Trends'!AZ64="—","—",('Attainment by Race Trends'!BA64-'Attainment by Race Trends'!AZ64))</f>
        <v>—</v>
      </c>
      <c r="K65" s="795" t="str">
        <f>IF('Attainment by Race Trends'!BB64="—","—",('Attainment by Race Trends'!BC64-'Attainment by Race Trends'!BB64))</f>
        <v>—</v>
      </c>
      <c r="L65" s="796">
        <f>('Attainment by Race Trends'!BE64-'Attainment by Race Trends'!BD64)</f>
        <v>2.4555736457259556</v>
      </c>
      <c r="M65" s="808" t="str">
        <f>IF('Attainment by Race Trends'!BF64="—","—",('Attainment by Race Trends'!BG64-'Attainment by Race Trends'!BF64))</f>
        <v>—</v>
      </c>
      <c r="N65" s="808" t="str">
        <f>IF('Attainment by Race Trends'!BH64="—","—",('Attainment by Race Trends'!BI64-'Attainment by Race Trends'!BH64))</f>
        <v>—</v>
      </c>
      <c r="O65" s="819"/>
      <c r="P65" s="819"/>
      <c r="Q65" s="819"/>
      <c r="R65" s="819"/>
      <c r="S65" s="819"/>
      <c r="T65" s="819"/>
      <c r="U65" s="819"/>
      <c r="V65" s="819"/>
    </row>
    <row r="66" spans="1:22" x14ac:dyDescent="0.2">
      <c r="A66" s="822" t="s">
        <v>62</v>
      </c>
      <c r="B66" s="822"/>
      <c r="C66" s="823">
        <f>+'Attainment by Race Trends'!AY65</f>
        <v>99.43583404646445</v>
      </c>
      <c r="D66" s="823">
        <f>+'Attainment by Race Trends'!BA65</f>
        <v>86.389373122795078</v>
      </c>
      <c r="E66" s="823">
        <f>+'Attainment by Race Trends'!BC65</f>
        <v>67.815580286168526</v>
      </c>
      <c r="F66" s="824">
        <f>+'Attainment by Race Trends'!BE65</f>
        <v>92.031948274222685</v>
      </c>
      <c r="G66" s="825">
        <f>+'Attainment by Race Trends'!BG65</f>
        <v>25.61415935716224</v>
      </c>
      <c r="H66" s="826">
        <f>+'Attainment by Race Trends'!BI65</f>
        <v>41.532591414944356</v>
      </c>
      <c r="I66" s="823">
        <f>('Attainment by Race Trends'!AY65-'Attainment by Race Trends'!AX65)</f>
        <v>4.4358340464644499</v>
      </c>
      <c r="J66" s="823">
        <f>('Attainment by Race Trends'!BA65-'Attainment by Race Trends'!AZ65)</f>
        <v>4.6893731227950752</v>
      </c>
      <c r="K66" s="827">
        <f>('Attainment by Race Trends'!BC65-'Attainment by Race Trends'!BB65)</f>
        <v>4.9155802861685132</v>
      </c>
      <c r="L66" s="823">
        <f>('Attainment by Race Trends'!BE65-'Attainment by Race Trends'!BD65)</f>
        <v>9.6319482742226938</v>
      </c>
      <c r="M66" s="823">
        <f>('Attainment by Race Trends'!BG65-'Attainment by Race Trends'!BF65)</f>
        <v>3.5141593571622387</v>
      </c>
      <c r="N66" s="823">
        <f>('Attainment by Race Trends'!BI65-'Attainment by Race Trends'!BH65)</f>
        <v>4.6325914149443577</v>
      </c>
      <c r="O66" s="819"/>
      <c r="P66" s="819"/>
      <c r="Q66" s="819"/>
      <c r="R66" s="819"/>
      <c r="S66" s="819"/>
      <c r="T66" s="819"/>
      <c r="U66" s="819"/>
      <c r="V66" s="819"/>
    </row>
    <row r="67" spans="1:22" x14ac:dyDescent="0.2">
      <c r="A67" s="831" t="s">
        <v>229</v>
      </c>
      <c r="B67" s="831"/>
      <c r="C67" s="796"/>
      <c r="D67" s="796"/>
      <c r="E67" s="796"/>
      <c r="F67" s="808"/>
      <c r="G67" s="808"/>
      <c r="H67" s="808"/>
      <c r="I67" s="796"/>
      <c r="J67" s="796"/>
      <c r="K67" s="796"/>
      <c r="L67" s="796"/>
      <c r="M67" s="796"/>
      <c r="N67" s="796"/>
      <c r="O67" s="819"/>
      <c r="P67" s="819"/>
      <c r="Q67" s="819"/>
      <c r="R67" s="819"/>
      <c r="S67" s="819"/>
      <c r="T67" s="819"/>
      <c r="U67" s="819"/>
      <c r="V67" s="819"/>
    </row>
    <row r="68" spans="1:22" ht="34.5" customHeight="1" x14ac:dyDescent="0.2">
      <c r="A68" s="848" t="s">
        <v>227</v>
      </c>
      <c r="B68" s="849"/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19"/>
      <c r="P68" s="819"/>
      <c r="Q68" s="819"/>
      <c r="R68" s="819"/>
      <c r="S68" s="819"/>
      <c r="T68" s="819"/>
      <c r="U68" s="819"/>
      <c r="V68" s="819"/>
    </row>
    <row r="69" spans="1:22" ht="17.25" customHeight="1" x14ac:dyDescent="0.2">
      <c r="A69" s="846" t="s">
        <v>241</v>
      </c>
      <c r="B69" s="828"/>
      <c r="C69" s="766"/>
      <c r="D69" s="766"/>
      <c r="E69" s="766"/>
      <c r="F69" s="766"/>
      <c r="G69" s="766"/>
      <c r="H69" s="766"/>
      <c r="J69" s="766"/>
      <c r="K69" s="766"/>
      <c r="L69" s="766"/>
      <c r="M69" s="766"/>
      <c r="N69" s="766"/>
      <c r="O69" s="819"/>
      <c r="P69" s="819"/>
      <c r="Q69" s="819"/>
      <c r="R69" s="819"/>
      <c r="S69" s="819"/>
      <c r="T69" s="819"/>
      <c r="U69" s="819"/>
      <c r="V69" s="819"/>
    </row>
    <row r="70" spans="1:22" ht="20.25" customHeight="1" x14ac:dyDescent="0.2">
      <c r="A70" s="829" t="s">
        <v>228</v>
      </c>
      <c r="B70" s="828"/>
      <c r="C70" s="766"/>
      <c r="D70" s="766"/>
      <c r="E70" s="766"/>
      <c r="F70" s="766"/>
      <c r="G70" s="766"/>
      <c r="H70" s="766"/>
      <c r="J70" s="766"/>
      <c r="K70" s="766"/>
      <c r="L70" s="766"/>
      <c r="M70" s="766"/>
      <c r="N70" s="766"/>
      <c r="O70" s="819"/>
      <c r="P70" s="819"/>
      <c r="Q70" s="819"/>
      <c r="R70" s="819"/>
      <c r="S70" s="819"/>
      <c r="T70" s="819"/>
      <c r="U70" s="819"/>
      <c r="V70" s="819"/>
    </row>
    <row r="71" spans="1:22" ht="50.25" customHeight="1" x14ac:dyDescent="0.2">
      <c r="A71" s="830" t="s">
        <v>170</v>
      </c>
      <c r="B71" s="847" t="s">
        <v>242</v>
      </c>
      <c r="C71" s="858"/>
      <c r="D71" s="858"/>
      <c r="E71" s="858"/>
      <c r="F71" s="858"/>
      <c r="G71" s="858"/>
      <c r="H71" s="858"/>
      <c r="I71" s="859"/>
      <c r="J71" s="859"/>
      <c r="K71" s="859"/>
      <c r="L71" s="859"/>
      <c r="M71" s="859"/>
      <c r="N71" s="859"/>
    </row>
    <row r="72" spans="1:22" x14ac:dyDescent="0.2">
      <c r="N72" s="754" t="s">
        <v>240</v>
      </c>
    </row>
    <row r="76" spans="1:22" x14ac:dyDescent="0.2">
      <c r="K76" s="766"/>
    </row>
  </sheetData>
  <mergeCells count="2">
    <mergeCell ref="B71:N71"/>
    <mergeCell ref="A68:N68"/>
  </mergeCells>
  <phoneticPr fontId="8" type="noConversion"/>
  <pageMargins left="0.75" right="0.75" top="1" bottom="1" header="0.5" footer="0.5"/>
  <pageSetup scale="64" orientation="portrait" r:id="rId1"/>
  <headerFooter alignWithMargins="0">
    <oddFooter>&amp;LSREB Fact Book&amp;R&amp;D</oddFooter>
  </headerFooter>
  <colBreaks count="1" manualBreakCount="1">
    <brk id="14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DS82"/>
  <sheetViews>
    <sheetView workbookViewId="0">
      <pane xSplit="1" ySplit="6" topLeftCell="CZ7" activePane="bottomRight" state="frozen"/>
      <selection pane="topRight" activeCell="B1" sqref="B1"/>
      <selection pane="bottomLeft" activeCell="A7" sqref="A7"/>
      <selection pane="bottomRight" activeCell="CU65" sqref="CU65"/>
    </sheetView>
  </sheetViews>
  <sheetFormatPr defaultRowHeight="12.75" x14ac:dyDescent="0.2"/>
  <cols>
    <col min="1" max="1" width="14.33203125" style="1" customWidth="1"/>
    <col min="2" max="2" width="10" style="2" customWidth="1"/>
    <col min="3" max="3" width="10" style="1" customWidth="1"/>
    <col min="4" max="4" width="9" style="48" customWidth="1"/>
    <col min="5" max="8" width="9" style="49" customWidth="1"/>
    <col min="9" max="9" width="9.88671875" style="99" customWidth="1"/>
    <col min="10" max="10" width="10" style="57" customWidth="1"/>
    <col min="11" max="12" width="9" style="49" customWidth="1"/>
    <col min="13" max="13" width="10" style="57" customWidth="1"/>
    <col min="14" max="15" width="9" style="49" customWidth="1"/>
    <col min="16" max="16" width="10" style="57" customWidth="1"/>
    <col min="17" max="18" width="9" style="49" customWidth="1"/>
    <col min="19" max="19" width="11.21875" style="4" customWidth="1"/>
    <col min="20" max="20" width="10" style="2" customWidth="1"/>
    <col min="21" max="22" width="9" style="49" customWidth="1"/>
    <col min="23" max="23" width="10" style="1" customWidth="1"/>
    <col min="24" max="25" width="9" style="49" customWidth="1"/>
    <col min="26" max="26" width="10" style="1" customWidth="1"/>
    <col min="27" max="28" width="9" style="49" customWidth="1"/>
    <col min="29" max="31" width="9" style="48" customWidth="1"/>
    <col min="32" max="32" width="9.88671875" style="99" customWidth="1"/>
    <col min="33" max="34" width="10" style="2" customWidth="1"/>
    <col min="35" max="36" width="9" style="49" customWidth="1"/>
    <col min="37" max="38" width="10" style="2" customWidth="1"/>
    <col min="39" max="40" width="9" style="49" customWidth="1"/>
    <col min="41" max="41" width="10" style="2" customWidth="1"/>
    <col min="42" max="43" width="9" style="49" customWidth="1"/>
    <col min="44" max="44" width="10" style="85" customWidth="1"/>
    <col min="45" max="45" width="9.6640625" style="99" customWidth="1"/>
    <col min="46" max="46" width="10.21875" style="2" customWidth="1"/>
    <col min="47" max="48" width="10.21875" style="1" customWidth="1"/>
    <col min="49" max="49" width="10" style="2" customWidth="1"/>
    <col min="50" max="50" width="10" style="49" customWidth="1"/>
    <col min="51" max="51" width="9" style="49" customWidth="1"/>
    <col min="52" max="52" width="9.44140625" style="2" customWidth="1"/>
    <col min="53" max="54" width="9" style="49" customWidth="1"/>
    <col min="55" max="55" width="9.44140625" style="2" customWidth="1"/>
    <col min="56" max="57" width="9" style="49" customWidth="1"/>
    <col min="58" max="60" width="9" style="48" customWidth="1"/>
    <col min="61" max="61" width="9.5546875" style="49" bestFit="1" customWidth="1"/>
    <col min="62" max="63" width="9.5546875" style="49" customWidth="1"/>
    <col min="64" max="64" width="9.5546875" style="48" bestFit="1" customWidth="1"/>
    <col min="65" max="66" width="9" style="48" customWidth="1"/>
    <col min="67" max="67" width="10.44140625" style="48" customWidth="1"/>
    <col min="68" max="78" width="9" style="48" customWidth="1"/>
    <col min="79" max="79" width="10" style="49" customWidth="1"/>
    <col min="80" max="80" width="9.44140625" style="2" customWidth="1"/>
    <col min="81" max="83" width="9" style="49" customWidth="1"/>
    <col min="84" max="84" width="9.33203125" style="49" customWidth="1"/>
    <col min="85" max="85" width="9.44140625" style="2" customWidth="1"/>
    <col min="86" max="88" width="9" style="49" customWidth="1"/>
    <col min="89" max="89" width="11.77734375" style="1" bestFit="1" customWidth="1"/>
    <col min="90" max="90" width="11.44140625" style="1" customWidth="1"/>
    <col min="91" max="93" width="10.77734375" style="1" bestFit="1" customWidth="1"/>
    <col min="94" max="94" width="11.77734375" style="1" bestFit="1" customWidth="1"/>
    <col min="95" max="96" width="9.5546875" style="1" bestFit="1" customWidth="1"/>
    <col min="97" max="98" width="8.88671875" style="1"/>
    <col min="99" max="99" width="11.77734375" style="1" bestFit="1" customWidth="1"/>
    <col min="100" max="100" width="9.5546875" style="1" bestFit="1" customWidth="1"/>
    <col min="101" max="103" width="8.88671875" style="1"/>
    <col min="104" max="104" width="9.77734375" style="1" customWidth="1"/>
    <col min="105" max="105" width="10.21875" style="1" customWidth="1"/>
    <col min="106" max="108" width="8.88671875" style="1"/>
    <col min="109" max="110" width="9.5546875" style="1" bestFit="1" customWidth="1"/>
    <col min="111" max="113" width="8.88671875" style="1"/>
    <col min="114" max="115" width="9.5546875" style="1" bestFit="1" customWidth="1"/>
    <col min="116" max="116" width="10" style="1" bestFit="1" customWidth="1"/>
    <col min="117" max="117" width="8.88671875" style="730"/>
    <col min="118" max="118" width="8.88671875" style="1"/>
    <col min="119" max="120" width="9.5546875" style="1" bestFit="1" customWidth="1"/>
    <col min="121" max="121" width="10" style="1" bestFit="1" customWidth="1"/>
    <col min="122" max="122" width="8.88671875" style="730"/>
    <col min="123" max="16384" width="8.88671875" style="1"/>
  </cols>
  <sheetData>
    <row r="1" spans="1:123" x14ac:dyDescent="0.2">
      <c r="B1" s="30" t="s">
        <v>55</v>
      </c>
      <c r="C1" s="28"/>
      <c r="D1" s="2"/>
      <c r="E1" s="95"/>
      <c r="F1" s="95"/>
      <c r="G1" s="95"/>
      <c r="H1" s="95"/>
      <c r="I1" s="4"/>
      <c r="J1" s="169"/>
      <c r="K1" s="95"/>
      <c r="L1" s="95"/>
      <c r="M1" s="169"/>
      <c r="N1" s="95"/>
      <c r="O1" s="95"/>
      <c r="P1" s="169"/>
      <c r="Q1" s="95"/>
      <c r="R1" s="95"/>
      <c r="S1" s="382"/>
      <c r="T1" s="28"/>
      <c r="U1" s="95"/>
      <c r="V1" s="95"/>
      <c r="W1" s="28"/>
      <c r="X1" s="95"/>
      <c r="Y1" s="95"/>
      <c r="Z1" s="28"/>
      <c r="AA1" s="95"/>
      <c r="AB1" s="95"/>
      <c r="AC1" s="170"/>
      <c r="AD1" s="170"/>
      <c r="AE1" s="170"/>
      <c r="AF1" s="2"/>
      <c r="AG1" s="29"/>
      <c r="AH1" s="29"/>
      <c r="AI1" s="95"/>
      <c r="AJ1" s="95"/>
      <c r="AK1" s="29"/>
      <c r="AL1" s="29"/>
      <c r="AM1" s="95"/>
      <c r="AN1" s="95"/>
      <c r="AO1" s="29"/>
      <c r="AP1" s="95"/>
      <c r="AQ1" s="95"/>
      <c r="AR1" s="79"/>
      <c r="AS1" s="2"/>
      <c r="AT1" s="202"/>
      <c r="AU1" s="2"/>
      <c r="AV1" s="2"/>
      <c r="AW1" s="29"/>
      <c r="AX1" s="95"/>
      <c r="AY1" s="95"/>
      <c r="AZ1" s="29"/>
      <c r="BA1" s="95"/>
      <c r="BB1" s="95"/>
      <c r="BC1" s="29"/>
      <c r="BD1" s="95"/>
      <c r="BE1" s="95"/>
      <c r="BF1" s="170"/>
      <c r="BG1" s="170"/>
      <c r="BH1" s="170"/>
      <c r="BI1" s="508"/>
      <c r="BJ1" s="95"/>
      <c r="BK1" s="95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520" t="s">
        <v>197</v>
      </c>
      <c r="CB1" s="29"/>
      <c r="CC1" s="95"/>
      <c r="CD1" s="95"/>
      <c r="CE1" s="95"/>
      <c r="CF1" s="95"/>
      <c r="CG1" s="29"/>
      <c r="CH1" s="95"/>
      <c r="CI1" s="95"/>
      <c r="CJ1" s="95"/>
      <c r="CQ1" s="3"/>
      <c r="CR1" s="3"/>
      <c r="CS1" s="3"/>
      <c r="CT1" s="3"/>
      <c r="CV1" s="3"/>
      <c r="CW1" s="3"/>
      <c r="CX1" s="3"/>
      <c r="CY1" s="3"/>
    </row>
    <row r="2" spans="1:123" x14ac:dyDescent="0.2">
      <c r="B2" s="40">
        <v>1940</v>
      </c>
      <c r="C2" s="34">
        <v>1950</v>
      </c>
      <c r="D2" s="27" t="s">
        <v>69</v>
      </c>
      <c r="E2" s="35"/>
      <c r="F2" s="35"/>
      <c r="G2" s="35"/>
      <c r="H2" s="35"/>
      <c r="I2" s="97" t="s">
        <v>76</v>
      </c>
      <c r="J2" s="137"/>
      <c r="K2" s="35"/>
      <c r="L2" s="35"/>
      <c r="M2" s="137"/>
      <c r="N2" s="35"/>
      <c r="O2" s="35"/>
      <c r="P2" s="137"/>
      <c r="Q2" s="35"/>
      <c r="R2" s="35"/>
      <c r="S2" s="47">
        <v>1980</v>
      </c>
      <c r="T2" s="37"/>
      <c r="U2" s="35"/>
      <c r="V2" s="35"/>
      <c r="W2" s="74"/>
      <c r="X2" s="35"/>
      <c r="Y2" s="35"/>
      <c r="Z2" s="35"/>
      <c r="AA2" s="171"/>
      <c r="AB2" s="35"/>
      <c r="AC2" s="172"/>
      <c r="AD2" s="172"/>
      <c r="AE2" s="172"/>
      <c r="AF2" s="97" t="s">
        <v>89</v>
      </c>
      <c r="AG2" s="37"/>
      <c r="AH2" s="74"/>
      <c r="AI2" s="35"/>
      <c r="AJ2" s="35"/>
      <c r="AK2" s="37"/>
      <c r="AL2" s="74"/>
      <c r="AM2" s="35"/>
      <c r="AN2" s="35"/>
      <c r="AO2" s="37"/>
      <c r="AP2" s="35"/>
      <c r="AQ2" s="35"/>
      <c r="AR2" s="80"/>
      <c r="AS2" s="97" t="s">
        <v>68</v>
      </c>
      <c r="AT2" s="37"/>
      <c r="AU2" s="173"/>
      <c r="AV2" s="173"/>
      <c r="AW2" s="44"/>
      <c r="AX2" s="174"/>
      <c r="AY2" s="174"/>
      <c r="AZ2" s="44"/>
      <c r="BA2" s="174"/>
      <c r="BB2" s="174"/>
      <c r="BC2" s="44"/>
      <c r="BD2" s="174"/>
      <c r="BE2" s="174"/>
      <c r="BF2" s="175"/>
      <c r="BG2" s="175"/>
      <c r="BH2" s="175"/>
      <c r="BI2" s="521" t="s">
        <v>196</v>
      </c>
      <c r="BJ2" s="170"/>
      <c r="BK2" s="170"/>
      <c r="BL2" s="119"/>
      <c r="BM2" s="131"/>
      <c r="BN2" s="131"/>
      <c r="BO2" s="45"/>
      <c r="BP2" s="175"/>
      <c r="BQ2" s="175"/>
      <c r="BR2" s="45"/>
      <c r="BS2" s="175"/>
      <c r="BT2" s="175"/>
      <c r="BU2" s="45"/>
      <c r="BV2" s="175"/>
      <c r="BW2" s="175"/>
      <c r="BX2" s="175"/>
      <c r="BY2" s="175"/>
      <c r="BZ2" s="175"/>
      <c r="CA2" s="522" t="s">
        <v>147</v>
      </c>
      <c r="CB2" s="45"/>
      <c r="CC2" s="175"/>
      <c r="CD2" s="175"/>
      <c r="CE2" s="175"/>
      <c r="CF2" s="523" t="s">
        <v>166</v>
      </c>
      <c r="CG2" s="45"/>
      <c r="CH2" s="175"/>
      <c r="CI2" s="175"/>
      <c r="CJ2" s="175"/>
      <c r="CK2" s="523" t="s">
        <v>179</v>
      </c>
      <c r="CL2" s="45"/>
      <c r="CM2" s="174"/>
      <c r="CN2" s="174"/>
      <c r="CO2" s="174"/>
      <c r="CP2" s="184" t="s">
        <v>191</v>
      </c>
      <c r="CR2" s="506"/>
      <c r="CU2" s="842" t="s">
        <v>206</v>
      </c>
      <c r="CZ2" s="381" t="s">
        <v>213</v>
      </c>
      <c r="DA2" s="131"/>
      <c r="DB2" s="131"/>
      <c r="DC2" s="131"/>
      <c r="DD2" s="835"/>
      <c r="DE2" s="67" t="s">
        <v>219</v>
      </c>
      <c r="DF2" s="67"/>
      <c r="DG2" s="67"/>
      <c r="DH2" s="67"/>
      <c r="DI2" s="67"/>
      <c r="DJ2" s="67" t="s">
        <v>222</v>
      </c>
      <c r="DO2" s="841" t="s">
        <v>231</v>
      </c>
    </row>
    <row r="3" spans="1:123" ht="60" customHeight="1" x14ac:dyDescent="0.2">
      <c r="A3" s="3"/>
      <c r="B3" s="526"/>
      <c r="C3" s="41"/>
      <c r="D3" s="42" t="s">
        <v>57</v>
      </c>
      <c r="E3" s="43" t="s">
        <v>70</v>
      </c>
      <c r="F3" s="43" t="s">
        <v>71</v>
      </c>
      <c r="G3" s="43" t="s">
        <v>72</v>
      </c>
      <c r="H3" s="43" t="s">
        <v>73</v>
      </c>
      <c r="I3" s="98" t="s">
        <v>57</v>
      </c>
      <c r="J3" s="44" t="s">
        <v>58</v>
      </c>
      <c r="K3" s="43" t="s">
        <v>77</v>
      </c>
      <c r="L3" s="43" t="s">
        <v>71</v>
      </c>
      <c r="M3" s="44" t="s">
        <v>59</v>
      </c>
      <c r="N3" s="43" t="s">
        <v>78</v>
      </c>
      <c r="O3" s="43" t="s">
        <v>79</v>
      </c>
      <c r="P3" s="44" t="s">
        <v>60</v>
      </c>
      <c r="Q3" s="43" t="s">
        <v>80</v>
      </c>
      <c r="R3" s="43" t="s">
        <v>81</v>
      </c>
      <c r="S3" s="47" t="s">
        <v>57</v>
      </c>
      <c r="T3" s="44" t="s">
        <v>58</v>
      </c>
      <c r="U3" s="43" t="s">
        <v>77</v>
      </c>
      <c r="V3" s="43" t="s">
        <v>71</v>
      </c>
      <c r="W3" s="44" t="s">
        <v>59</v>
      </c>
      <c r="X3" s="43" t="s">
        <v>78</v>
      </c>
      <c r="Y3" s="43" t="s">
        <v>79</v>
      </c>
      <c r="Z3" s="44" t="s">
        <v>60</v>
      </c>
      <c r="AA3" s="43" t="s">
        <v>80</v>
      </c>
      <c r="AB3" s="43" t="s">
        <v>81</v>
      </c>
      <c r="AC3" s="42" t="s">
        <v>86</v>
      </c>
      <c r="AD3" s="42" t="s">
        <v>87</v>
      </c>
      <c r="AE3" s="42" t="s">
        <v>88</v>
      </c>
      <c r="AF3" s="98" t="s">
        <v>57</v>
      </c>
      <c r="AG3" s="44" t="s">
        <v>58</v>
      </c>
      <c r="AH3" s="44" t="s">
        <v>92</v>
      </c>
      <c r="AI3" s="43" t="s">
        <v>90</v>
      </c>
      <c r="AJ3" s="43" t="s">
        <v>91</v>
      </c>
      <c r="AK3" s="44" t="s">
        <v>59</v>
      </c>
      <c r="AL3" s="44" t="s">
        <v>95</v>
      </c>
      <c r="AM3" s="43" t="s">
        <v>93</v>
      </c>
      <c r="AN3" s="43" t="s">
        <v>94</v>
      </c>
      <c r="AO3" s="44" t="s">
        <v>60</v>
      </c>
      <c r="AP3" s="43" t="s">
        <v>80</v>
      </c>
      <c r="AQ3" s="43" t="s">
        <v>81</v>
      </c>
      <c r="AR3" s="81" t="s">
        <v>61</v>
      </c>
      <c r="AS3" s="98" t="s">
        <v>57</v>
      </c>
      <c r="AT3" s="45" t="s">
        <v>126</v>
      </c>
      <c r="AU3" s="45" t="s">
        <v>77</v>
      </c>
      <c r="AV3" s="45" t="s">
        <v>71</v>
      </c>
      <c r="AW3" s="45" t="s">
        <v>125</v>
      </c>
      <c r="AX3" s="42" t="s">
        <v>121</v>
      </c>
      <c r="AY3" s="42" t="s">
        <v>122</v>
      </c>
      <c r="AZ3" s="45" t="s">
        <v>129</v>
      </c>
      <c r="BA3" s="42" t="s">
        <v>78</v>
      </c>
      <c r="BB3" s="42" t="s">
        <v>79</v>
      </c>
      <c r="BC3" s="45" t="s">
        <v>60</v>
      </c>
      <c r="BD3" s="42" t="s">
        <v>80</v>
      </c>
      <c r="BE3" s="42" t="s">
        <v>81</v>
      </c>
      <c r="BF3" s="176" t="s">
        <v>130</v>
      </c>
      <c r="BG3" s="176" t="s">
        <v>87</v>
      </c>
      <c r="BH3" s="176" t="s">
        <v>96</v>
      </c>
      <c r="BI3" s="98" t="s">
        <v>105</v>
      </c>
      <c r="BJ3" s="42" t="s">
        <v>106</v>
      </c>
      <c r="BK3" s="42" t="s">
        <v>107</v>
      </c>
      <c r="BL3" s="45" t="s">
        <v>126</v>
      </c>
      <c r="BM3" s="45" t="s">
        <v>77</v>
      </c>
      <c r="BN3" s="45" t="s">
        <v>71</v>
      </c>
      <c r="BO3" s="45" t="s">
        <v>125</v>
      </c>
      <c r="BP3" s="42" t="s">
        <v>121</v>
      </c>
      <c r="BQ3" s="42" t="s">
        <v>122</v>
      </c>
      <c r="BR3" s="45" t="s">
        <v>129</v>
      </c>
      <c r="BS3" s="42" t="s">
        <v>78</v>
      </c>
      <c r="BT3" s="42" t="s">
        <v>79</v>
      </c>
      <c r="BU3" s="45" t="s">
        <v>60</v>
      </c>
      <c r="BV3" s="42" t="s">
        <v>80</v>
      </c>
      <c r="BW3" s="42" t="s">
        <v>81</v>
      </c>
      <c r="BX3" s="176" t="s">
        <v>130</v>
      </c>
      <c r="BY3" s="42" t="s">
        <v>87</v>
      </c>
      <c r="BZ3" s="42" t="s">
        <v>96</v>
      </c>
      <c r="CA3" s="190" t="s">
        <v>57</v>
      </c>
      <c r="CB3" s="44" t="s">
        <v>173</v>
      </c>
      <c r="CC3" s="43" t="s">
        <v>174</v>
      </c>
      <c r="CD3" s="43" t="s">
        <v>175</v>
      </c>
      <c r="CE3" s="43" t="s">
        <v>60</v>
      </c>
      <c r="CF3" s="180" t="s">
        <v>57</v>
      </c>
      <c r="CG3" s="44" t="s">
        <v>173</v>
      </c>
      <c r="CH3" s="43" t="s">
        <v>174</v>
      </c>
      <c r="CI3" s="43" t="s">
        <v>175</v>
      </c>
      <c r="CJ3" s="43" t="s">
        <v>60</v>
      </c>
      <c r="CK3" s="180" t="s">
        <v>57</v>
      </c>
      <c r="CL3" s="44" t="s">
        <v>173</v>
      </c>
      <c r="CM3" s="43" t="s">
        <v>174</v>
      </c>
      <c r="CN3" s="43" t="s">
        <v>175</v>
      </c>
      <c r="CO3" s="43" t="s">
        <v>60</v>
      </c>
      <c r="CP3" s="98" t="s">
        <v>57</v>
      </c>
      <c r="CQ3" s="45" t="s">
        <v>173</v>
      </c>
      <c r="CR3" s="42" t="s">
        <v>174</v>
      </c>
      <c r="CS3" s="42" t="s">
        <v>199</v>
      </c>
      <c r="CT3" s="42" t="s">
        <v>60</v>
      </c>
      <c r="CU3" s="98" t="s">
        <v>57</v>
      </c>
      <c r="CV3" s="45" t="s">
        <v>173</v>
      </c>
      <c r="CW3" s="42" t="s">
        <v>174</v>
      </c>
      <c r="CX3" s="42" t="s">
        <v>199</v>
      </c>
      <c r="CY3" s="42" t="s">
        <v>60</v>
      </c>
      <c r="CZ3" s="98" t="s">
        <v>57</v>
      </c>
      <c r="DA3" s="600" t="s">
        <v>173</v>
      </c>
      <c r="DB3" s="601" t="s">
        <v>174</v>
      </c>
      <c r="DC3" s="601" t="s">
        <v>199</v>
      </c>
      <c r="DD3" s="589" t="s">
        <v>60</v>
      </c>
      <c r="DE3" s="98" t="s">
        <v>57</v>
      </c>
      <c r="DF3" s="600" t="s">
        <v>173</v>
      </c>
      <c r="DG3" s="601" t="s">
        <v>174</v>
      </c>
      <c r="DH3" s="601" t="s">
        <v>199</v>
      </c>
      <c r="DI3" s="589" t="s">
        <v>60</v>
      </c>
      <c r="DJ3" s="98" t="s">
        <v>57</v>
      </c>
      <c r="DK3" s="600" t="s">
        <v>173</v>
      </c>
      <c r="DL3" s="601" t="s">
        <v>174</v>
      </c>
      <c r="DM3" s="731" t="s">
        <v>199</v>
      </c>
      <c r="DN3" s="589" t="s">
        <v>60</v>
      </c>
      <c r="DO3" s="98" t="s">
        <v>57</v>
      </c>
      <c r="DP3" s="600" t="s">
        <v>173</v>
      </c>
      <c r="DQ3" s="601" t="s">
        <v>174</v>
      </c>
      <c r="DR3" s="731" t="s">
        <v>199</v>
      </c>
      <c r="DS3" s="589" t="s">
        <v>60</v>
      </c>
    </row>
    <row r="4" spans="1:123" x14ac:dyDescent="0.2">
      <c r="A4" s="525" t="s">
        <v>180</v>
      </c>
      <c r="B4" s="527">
        <v>74775836</v>
      </c>
      <c r="C4" s="462">
        <v>87483480</v>
      </c>
      <c r="D4" s="461">
        <f>+D5+D23+D38+D52+D63</f>
        <v>99438084</v>
      </c>
      <c r="E4" s="452">
        <f t="shared" ref="E4:CH4" si="0">+E5+E23+E38+E52+E63</f>
        <v>43258756</v>
      </c>
      <c r="F4" s="452">
        <f t="shared" si="0"/>
        <v>46322418</v>
      </c>
      <c r="G4" s="452">
        <f t="shared" si="0"/>
        <v>4671797</v>
      </c>
      <c r="H4" s="452">
        <f t="shared" si="0"/>
        <v>5185153</v>
      </c>
      <c r="I4" s="453">
        <f t="shared" si="0"/>
        <v>106833937</v>
      </c>
      <c r="J4" s="454">
        <f t="shared" si="0"/>
        <v>95319285</v>
      </c>
      <c r="K4" s="452">
        <f t="shared" si="0"/>
        <v>45145132</v>
      </c>
      <c r="L4" s="452">
        <f t="shared" si="0"/>
        <v>50174153</v>
      </c>
      <c r="M4" s="454">
        <f t="shared" si="0"/>
        <v>10248774</v>
      </c>
      <c r="N4" s="452">
        <f t="shared" si="0"/>
        <v>4655623</v>
      </c>
      <c r="O4" s="452">
        <f t="shared" si="0"/>
        <v>5593151</v>
      </c>
      <c r="P4" s="454">
        <f t="shared" si="0"/>
        <v>3896750</v>
      </c>
      <c r="Q4" s="452">
        <f t="shared" si="0"/>
        <v>1902635</v>
      </c>
      <c r="R4" s="452">
        <f t="shared" si="0"/>
        <v>1994115</v>
      </c>
      <c r="S4" s="455">
        <f t="shared" si="0"/>
        <v>132835687</v>
      </c>
      <c r="T4" s="456">
        <f t="shared" si="0"/>
        <v>110233308</v>
      </c>
      <c r="U4" s="452">
        <f t="shared" si="0"/>
        <v>52018709</v>
      </c>
      <c r="V4" s="452">
        <f t="shared" si="0"/>
        <v>58214599</v>
      </c>
      <c r="W4" s="456">
        <f t="shared" si="0"/>
        <v>13018605</v>
      </c>
      <c r="X4" s="452">
        <f t="shared" si="0"/>
        <v>5815526</v>
      </c>
      <c r="Y4" s="452">
        <f t="shared" si="0"/>
        <v>7203079</v>
      </c>
      <c r="Z4" s="456">
        <f t="shared" si="0"/>
        <v>6739290</v>
      </c>
      <c r="AA4" s="452">
        <f t="shared" si="0"/>
        <v>3246773</v>
      </c>
      <c r="AB4" s="452">
        <f t="shared" si="0"/>
        <v>3492517</v>
      </c>
      <c r="AC4" s="454">
        <f t="shared" si="0"/>
        <v>2727688</v>
      </c>
      <c r="AD4" s="454">
        <f t="shared" si="0"/>
        <v>1276060</v>
      </c>
      <c r="AE4" s="454">
        <f t="shared" si="0"/>
        <v>1451628</v>
      </c>
      <c r="AF4" s="453">
        <f t="shared" si="0"/>
        <v>158868436</v>
      </c>
      <c r="AG4" s="456">
        <f t="shared" si="0"/>
        <v>132023308</v>
      </c>
      <c r="AH4" s="456">
        <f t="shared" si="0"/>
        <v>125898648</v>
      </c>
      <c r="AI4" s="452">
        <f t="shared" si="0"/>
        <v>59790642</v>
      </c>
      <c r="AJ4" s="452">
        <f t="shared" si="0"/>
        <v>66108006</v>
      </c>
      <c r="AK4" s="456">
        <f t="shared" si="0"/>
        <v>16761234</v>
      </c>
      <c r="AL4" s="456">
        <f t="shared" si="0"/>
        <v>16432555</v>
      </c>
      <c r="AM4" s="452">
        <f t="shared" si="0"/>
        <v>7343902</v>
      </c>
      <c r="AN4" s="452">
        <f t="shared" si="0"/>
        <v>9088653</v>
      </c>
      <c r="AO4" s="456">
        <f t="shared" si="0"/>
        <v>11226793</v>
      </c>
      <c r="AP4" s="452">
        <f t="shared" si="0"/>
        <v>5569274</v>
      </c>
      <c r="AQ4" s="452">
        <f t="shared" si="0"/>
        <v>5657519</v>
      </c>
      <c r="AR4" s="457">
        <f t="shared" si="0"/>
        <v>5310440</v>
      </c>
      <c r="AS4" s="453">
        <f t="shared" si="0"/>
        <v>182211639</v>
      </c>
      <c r="AT4" s="456">
        <f t="shared" si="0"/>
        <v>143085659</v>
      </c>
      <c r="AU4" s="458">
        <f t="shared" si="0"/>
        <v>68622786</v>
      </c>
      <c r="AV4" s="458">
        <f t="shared" si="0"/>
        <v>74462873</v>
      </c>
      <c r="AW4" s="456">
        <f t="shared" si="0"/>
        <v>133786263</v>
      </c>
      <c r="AX4" s="452">
        <f t="shared" si="0"/>
        <v>64027316</v>
      </c>
      <c r="AY4" s="452">
        <f t="shared" si="0"/>
        <v>69758947</v>
      </c>
      <c r="AZ4" s="456">
        <f t="shared" si="0"/>
        <v>19858095</v>
      </c>
      <c r="BA4" s="452">
        <f t="shared" si="0"/>
        <v>8980716</v>
      </c>
      <c r="BB4" s="452">
        <f t="shared" si="0"/>
        <v>10877379</v>
      </c>
      <c r="BC4" s="456">
        <f t="shared" si="0"/>
        <v>18270377</v>
      </c>
      <c r="BD4" s="452">
        <f t="shared" si="0"/>
        <v>9186431</v>
      </c>
      <c r="BE4" s="452">
        <f t="shared" si="0"/>
        <v>9083946</v>
      </c>
      <c r="BF4" s="454">
        <f t="shared" si="0"/>
        <v>19267885</v>
      </c>
      <c r="BG4" s="454">
        <f t="shared" si="0"/>
        <v>9474184</v>
      </c>
      <c r="BH4" s="454">
        <f t="shared" si="0"/>
        <v>9793701</v>
      </c>
      <c r="BI4" s="303">
        <f t="shared" ref="BI4:BL4" si="1">+BI5+BI23+BI38+BI52+BI63</f>
        <v>202053193</v>
      </c>
      <c r="BJ4" s="510">
        <f t="shared" ref="BJ4:BK4" si="2">+BJ5+BJ23+BJ38+BJ52+BJ63</f>
        <v>97209127</v>
      </c>
      <c r="BK4" s="510">
        <f t="shared" si="2"/>
        <v>104844066</v>
      </c>
      <c r="BL4" s="510">
        <f t="shared" si="1"/>
        <v>156003144</v>
      </c>
      <c r="BM4" s="510">
        <f t="shared" ref="BM4:BN4" si="3">+BM5+BM23+BM38+BM52+BM63</f>
        <v>75557622</v>
      </c>
      <c r="BN4" s="510">
        <f t="shared" si="3"/>
        <v>80445522</v>
      </c>
      <c r="BO4" s="510">
        <f t="shared" ref="BO4:BW4" si="4">+BO5+BO23+BO38+BO52+BO63</f>
        <v>139027540</v>
      </c>
      <c r="BP4" s="510">
        <f t="shared" si="4"/>
        <v>67144752</v>
      </c>
      <c r="BQ4" s="510">
        <f t="shared" si="4"/>
        <v>71882788</v>
      </c>
      <c r="BR4" s="510">
        <f t="shared" si="4"/>
        <v>23168136</v>
      </c>
      <c r="BS4" s="510">
        <f t="shared" si="4"/>
        <v>10572867</v>
      </c>
      <c r="BT4" s="510">
        <f t="shared" si="4"/>
        <v>12595269</v>
      </c>
      <c r="BU4" s="510">
        <f t="shared" si="4"/>
        <v>26466221</v>
      </c>
      <c r="BV4" s="510">
        <f t="shared" si="4"/>
        <v>13245900</v>
      </c>
      <c r="BW4" s="510">
        <f t="shared" si="4"/>
        <v>13220321</v>
      </c>
      <c r="BX4" s="510">
        <f t="shared" ref="BX4:BZ4" si="5">+BX5+BX23+BX38+BX52+BX63</f>
        <v>22881913</v>
      </c>
      <c r="BY4" s="510">
        <f t="shared" si="5"/>
        <v>11078638</v>
      </c>
      <c r="BZ4" s="510">
        <f t="shared" si="5"/>
        <v>11803275</v>
      </c>
      <c r="CA4" s="459">
        <f t="shared" si="0"/>
        <v>195646383</v>
      </c>
      <c r="CB4" s="456">
        <f t="shared" si="0"/>
        <v>150742930</v>
      </c>
      <c r="CC4" s="452">
        <f t="shared" si="0"/>
        <v>21846370</v>
      </c>
      <c r="CD4" s="452">
        <f t="shared" si="0"/>
        <v>23057083</v>
      </c>
      <c r="CE4" s="452">
        <f t="shared" si="0"/>
        <v>23964281</v>
      </c>
      <c r="CF4" s="460">
        <f t="shared" si="0"/>
        <v>197794576</v>
      </c>
      <c r="CG4" s="456">
        <f t="shared" si="0"/>
        <v>152690957</v>
      </c>
      <c r="CH4" s="452">
        <f t="shared" si="0"/>
        <v>22166023</v>
      </c>
      <c r="CI4" s="452">
        <f t="shared" ref="CI4:CO4" si="6">+CI5+CI23+CI38+CI52+CI63</f>
        <v>22937596</v>
      </c>
      <c r="CJ4" s="452">
        <f t="shared" si="6"/>
        <v>24725562</v>
      </c>
      <c r="CK4" s="460">
        <f t="shared" si="6"/>
        <v>199812920</v>
      </c>
      <c r="CL4" s="452">
        <f t="shared" si="6"/>
        <v>154635503</v>
      </c>
      <c r="CM4" s="452">
        <f t="shared" si="6"/>
        <v>22618460</v>
      </c>
      <c r="CN4" s="452">
        <f t="shared" si="6"/>
        <v>22558957</v>
      </c>
      <c r="CO4" s="452">
        <f t="shared" si="6"/>
        <v>25287089</v>
      </c>
      <c r="CP4" s="460">
        <f t="shared" ref="CP4:CS4" si="7">+CP5+CP23+CP38+CP52+CP63</f>
        <v>202053193</v>
      </c>
      <c r="CQ4" s="300">
        <f t="shared" si="7"/>
        <v>156003144</v>
      </c>
      <c r="CR4" s="300">
        <f t="shared" si="7"/>
        <v>23168136</v>
      </c>
      <c r="CS4" s="300">
        <f t="shared" si="7"/>
        <v>22881913</v>
      </c>
      <c r="CT4" s="300">
        <f>+CT5+CT23+CT38+CT52+CT63</f>
        <v>26466221</v>
      </c>
      <c r="CU4" s="460">
        <f t="shared" ref="CU4:DD4" si="8">+CU5+CU23+CU38+CU52+CU63</f>
        <v>204348469</v>
      </c>
      <c r="CV4" s="300">
        <f t="shared" si="8"/>
        <v>157438474</v>
      </c>
      <c r="CW4" s="300">
        <f t="shared" si="8"/>
        <v>23497289</v>
      </c>
      <c r="CX4" s="300">
        <f>+CX5+CX23+CX38+CX52+CX63</f>
        <v>23412706</v>
      </c>
      <c r="CY4" s="590">
        <f t="shared" si="8"/>
        <v>27341167</v>
      </c>
      <c r="CZ4" s="300">
        <f t="shared" si="8"/>
        <v>206597203</v>
      </c>
      <c r="DA4" s="513">
        <f t="shared" si="8"/>
        <v>158851029</v>
      </c>
      <c r="DB4" s="513">
        <f t="shared" si="8"/>
        <v>23900027</v>
      </c>
      <c r="DC4" s="513">
        <f t="shared" si="8"/>
        <v>23819900</v>
      </c>
      <c r="DD4" s="590">
        <f t="shared" si="8"/>
        <v>28160679</v>
      </c>
      <c r="DE4" s="590">
        <f t="shared" ref="DE4:DF4" si="9">+DE5+DE23+DE38+DE52+DE63</f>
        <v>208797616</v>
      </c>
      <c r="DF4" s="590">
        <f t="shared" si="9"/>
        <v>140911329</v>
      </c>
      <c r="DG4" s="590">
        <f t="shared" ref="DG4:DK4" si="10">+DG5+DG23+DG38+DG52+DG63</f>
        <v>24250831</v>
      </c>
      <c r="DH4" s="590">
        <f t="shared" si="10"/>
        <v>24394536</v>
      </c>
      <c r="DI4" s="590">
        <f t="shared" si="10"/>
        <v>28948817</v>
      </c>
      <c r="DJ4" s="590">
        <f t="shared" si="10"/>
        <v>216447163</v>
      </c>
      <c r="DK4" s="590">
        <f t="shared" si="10"/>
        <v>142711173</v>
      </c>
      <c r="DL4" s="590">
        <f t="shared" ref="DL4" si="11">+DL5+DL23+DL38+DL52+DL63</f>
        <v>25568681</v>
      </c>
      <c r="DM4" s="590">
        <f t="shared" ref="DM4:DQ4" si="12">+DM5+DM23+DM38+DM52+DM63</f>
        <v>26896071</v>
      </c>
      <c r="DN4" s="590">
        <f t="shared" si="12"/>
        <v>31653207</v>
      </c>
      <c r="DO4" s="590">
        <f t="shared" si="12"/>
        <v>218475480</v>
      </c>
      <c r="DP4" s="590">
        <f t="shared" si="12"/>
        <v>143232044</v>
      </c>
      <c r="DQ4" s="590">
        <f t="shared" si="12"/>
        <v>25918800</v>
      </c>
      <c r="DR4" s="590">
        <f t="shared" ref="DR4:DS4" si="13">+DR5+DR23+DR38+DR52+DR63</f>
        <v>27991057</v>
      </c>
      <c r="DS4" s="590">
        <f t="shared" si="13"/>
        <v>32331742</v>
      </c>
    </row>
    <row r="5" spans="1:123" x14ac:dyDescent="0.2">
      <c r="A5" s="221" t="s">
        <v>63</v>
      </c>
      <c r="B5" s="287">
        <f>SUM(B7:B22)</f>
        <v>20760728</v>
      </c>
      <c r="C5" s="440">
        <f t="shared" ref="C5:CF5" si="14">SUM(C7:C22)</f>
        <v>24647210</v>
      </c>
      <c r="D5" s="441">
        <f t="shared" si="14"/>
        <v>28514719</v>
      </c>
      <c r="E5" s="306">
        <f t="shared" si="14"/>
        <v>11324628</v>
      </c>
      <c r="F5" s="306">
        <f t="shared" si="14"/>
        <v>12151136</v>
      </c>
      <c r="G5" s="306">
        <f t="shared" si="14"/>
        <v>2338284</v>
      </c>
      <c r="H5" s="306">
        <f t="shared" si="14"/>
        <v>2700671</v>
      </c>
      <c r="I5" s="309">
        <f t="shared" si="14"/>
        <v>32908243</v>
      </c>
      <c r="J5" s="288">
        <f t="shared" si="14"/>
        <v>27640073</v>
      </c>
      <c r="K5" s="306">
        <f t="shared" si="14"/>
        <v>13086747</v>
      </c>
      <c r="L5" s="306">
        <f t="shared" si="14"/>
        <v>14553326</v>
      </c>
      <c r="M5" s="288">
        <f t="shared" si="14"/>
        <v>5107646</v>
      </c>
      <c r="N5" s="306">
        <f t="shared" si="14"/>
        <v>2308026</v>
      </c>
      <c r="O5" s="306">
        <f t="shared" si="14"/>
        <v>2799620</v>
      </c>
      <c r="P5" s="288">
        <f t="shared" si="14"/>
        <v>1220317</v>
      </c>
      <c r="Q5" s="306">
        <f t="shared" si="14"/>
        <v>583605</v>
      </c>
      <c r="R5" s="306">
        <f t="shared" si="14"/>
        <v>636712</v>
      </c>
      <c r="S5" s="309">
        <f t="shared" si="14"/>
        <v>43292147</v>
      </c>
      <c r="T5" s="290">
        <f t="shared" si="14"/>
        <v>34118235</v>
      </c>
      <c r="U5" s="306">
        <f t="shared" si="14"/>
        <v>16124385</v>
      </c>
      <c r="V5" s="306">
        <f t="shared" si="14"/>
        <v>17993850</v>
      </c>
      <c r="W5" s="290">
        <f t="shared" si="14"/>
        <v>6556927</v>
      </c>
      <c r="X5" s="306">
        <f t="shared" si="14"/>
        <v>2924000</v>
      </c>
      <c r="Y5" s="306">
        <f t="shared" si="14"/>
        <v>3632927</v>
      </c>
      <c r="Z5" s="290">
        <f t="shared" si="14"/>
        <v>2121402</v>
      </c>
      <c r="AA5" s="306">
        <f t="shared" si="14"/>
        <v>1006320</v>
      </c>
      <c r="AB5" s="306">
        <f t="shared" si="14"/>
        <v>1115082</v>
      </c>
      <c r="AC5" s="449">
        <f t="shared" si="14"/>
        <v>464687</v>
      </c>
      <c r="AD5" s="449">
        <f t="shared" si="14"/>
        <v>208594</v>
      </c>
      <c r="AE5" s="288">
        <f t="shared" si="14"/>
        <v>256093</v>
      </c>
      <c r="AF5" s="309">
        <f t="shared" si="14"/>
        <v>53926454</v>
      </c>
      <c r="AG5" s="257">
        <f t="shared" si="14"/>
        <v>43346825</v>
      </c>
      <c r="AH5" s="285">
        <f t="shared" si="14"/>
        <v>41015834</v>
      </c>
      <c r="AI5" s="306">
        <f t="shared" si="14"/>
        <v>19486175</v>
      </c>
      <c r="AJ5" s="306">
        <f t="shared" si="14"/>
        <v>21529659</v>
      </c>
      <c r="AK5" s="257">
        <f t="shared" si="14"/>
        <v>8481889</v>
      </c>
      <c r="AL5" s="285">
        <f t="shared" si="14"/>
        <v>8412502</v>
      </c>
      <c r="AM5" s="306">
        <f t="shared" si="14"/>
        <v>3736845</v>
      </c>
      <c r="AN5" s="306">
        <f t="shared" si="14"/>
        <v>4675657</v>
      </c>
      <c r="AO5" s="257">
        <f t="shared" si="14"/>
        <v>3533865</v>
      </c>
      <c r="AP5" s="306">
        <f t="shared" si="14"/>
        <v>1728026</v>
      </c>
      <c r="AQ5" s="306">
        <f t="shared" si="14"/>
        <v>1805839</v>
      </c>
      <c r="AR5" s="450">
        <f t="shared" si="14"/>
        <v>964253</v>
      </c>
      <c r="AS5" s="309">
        <f t="shared" si="14"/>
        <v>64536998</v>
      </c>
      <c r="AT5" s="257">
        <f t="shared" si="14"/>
        <v>49395127</v>
      </c>
      <c r="AU5" s="257">
        <f t="shared" si="14"/>
        <v>23695610</v>
      </c>
      <c r="AV5" s="257">
        <f t="shared" si="14"/>
        <v>25699517</v>
      </c>
      <c r="AW5" s="285">
        <f t="shared" si="14"/>
        <v>45486361</v>
      </c>
      <c r="AX5" s="306">
        <f t="shared" si="14"/>
        <v>21772371</v>
      </c>
      <c r="AY5" s="306">
        <f t="shared" si="14"/>
        <v>23713990</v>
      </c>
      <c r="AZ5" s="257">
        <f t="shared" si="14"/>
        <v>10616527</v>
      </c>
      <c r="BA5" s="306">
        <f t="shared" si="14"/>
        <v>4785827</v>
      </c>
      <c r="BB5" s="306">
        <f t="shared" si="14"/>
        <v>5830700</v>
      </c>
      <c r="BC5" s="257">
        <f t="shared" si="14"/>
        <v>6192878</v>
      </c>
      <c r="BD5" s="306">
        <f t="shared" si="14"/>
        <v>3127144</v>
      </c>
      <c r="BE5" s="306">
        <f t="shared" si="14"/>
        <v>3065734</v>
      </c>
      <c r="BF5" s="449">
        <f t="shared" si="14"/>
        <v>4525344</v>
      </c>
      <c r="BG5" s="449">
        <f t="shared" si="14"/>
        <v>2263622</v>
      </c>
      <c r="BH5" s="288">
        <f t="shared" si="14"/>
        <v>2261722</v>
      </c>
      <c r="BI5" s="309">
        <f t="shared" ref="BI5:BL5" si="15">SUM(BI7:BI22)</f>
        <v>74140773</v>
      </c>
      <c r="BJ5" s="288">
        <f t="shared" ref="BJ5:BK5" si="16">SUM(BJ7:BJ22)</f>
        <v>35510048</v>
      </c>
      <c r="BK5" s="288">
        <f t="shared" si="16"/>
        <v>38630725</v>
      </c>
      <c r="BL5" s="288">
        <f t="shared" si="15"/>
        <v>55558168</v>
      </c>
      <c r="BM5" s="288">
        <f t="shared" ref="BM5:BN5" si="17">SUM(BM7:BM22)</f>
        <v>26861821</v>
      </c>
      <c r="BN5" s="288">
        <f t="shared" si="17"/>
        <v>28696347</v>
      </c>
      <c r="BO5" s="288">
        <f t="shared" ref="BO5:BW5" si="18">SUM(BO7:BO22)</f>
        <v>48435566</v>
      </c>
      <c r="BP5" s="288">
        <f t="shared" si="18"/>
        <v>23341375</v>
      </c>
      <c r="BQ5" s="288">
        <f t="shared" si="18"/>
        <v>25094191</v>
      </c>
      <c r="BR5" s="288">
        <f t="shared" si="18"/>
        <v>12877208</v>
      </c>
      <c r="BS5" s="288">
        <f t="shared" si="18"/>
        <v>5841073</v>
      </c>
      <c r="BT5" s="288">
        <f t="shared" si="18"/>
        <v>7036135</v>
      </c>
      <c r="BU5" s="288">
        <f t="shared" si="18"/>
        <v>9683808</v>
      </c>
      <c r="BV5" s="288">
        <f t="shared" si="18"/>
        <v>4863597</v>
      </c>
      <c r="BW5" s="288">
        <f t="shared" si="18"/>
        <v>4820211</v>
      </c>
      <c r="BX5" s="288">
        <f t="shared" ref="BX5:BZ5" si="19">SUM(BX7:BX22)</f>
        <v>5705397</v>
      </c>
      <c r="BY5" s="288">
        <f t="shared" si="19"/>
        <v>2807154</v>
      </c>
      <c r="BZ5" s="288">
        <f t="shared" si="19"/>
        <v>2898243</v>
      </c>
      <c r="CA5" s="451">
        <f t="shared" si="14"/>
        <v>70753477</v>
      </c>
      <c r="CB5" s="257">
        <f t="shared" si="14"/>
        <v>52978456</v>
      </c>
      <c r="CC5" s="306">
        <f t="shared" si="14"/>
        <v>11990435</v>
      </c>
      <c r="CD5" s="306">
        <f t="shared" si="14"/>
        <v>5784586</v>
      </c>
      <c r="CE5" s="306">
        <f t="shared" si="14"/>
        <v>8468466</v>
      </c>
      <c r="CF5" s="284">
        <f t="shared" si="14"/>
        <v>71799388</v>
      </c>
      <c r="CG5" s="257">
        <f t="shared" ref="CG5:CO5" si="20">SUM(CG7:CG22)</f>
        <v>53845758</v>
      </c>
      <c r="CH5" s="306">
        <f t="shared" si="20"/>
        <v>12208649</v>
      </c>
      <c r="CI5" s="306">
        <f t="shared" si="20"/>
        <v>5744981</v>
      </c>
      <c r="CJ5" s="306">
        <f t="shared" si="20"/>
        <v>8796668</v>
      </c>
      <c r="CK5" s="284">
        <f t="shared" si="20"/>
        <v>72742748</v>
      </c>
      <c r="CL5" s="257">
        <f t="shared" si="20"/>
        <v>54594944</v>
      </c>
      <c r="CM5" s="306">
        <f t="shared" si="20"/>
        <v>12505513</v>
      </c>
      <c r="CN5" s="306">
        <f t="shared" si="20"/>
        <v>5642291</v>
      </c>
      <c r="CO5" s="306">
        <f t="shared" si="20"/>
        <v>9080183</v>
      </c>
      <c r="CP5" s="284">
        <f t="shared" ref="CP5:CS5" si="21">SUM(CP7:CP22)</f>
        <v>74140773</v>
      </c>
      <c r="CQ5" s="513">
        <f t="shared" si="21"/>
        <v>55558168</v>
      </c>
      <c r="CR5" s="513">
        <f t="shared" si="21"/>
        <v>12877208</v>
      </c>
      <c r="CS5" s="513">
        <f t="shared" si="21"/>
        <v>5705397</v>
      </c>
      <c r="CT5" s="513">
        <f>SUM(CT7:CT22)</f>
        <v>9683808</v>
      </c>
      <c r="CU5" s="284">
        <f t="shared" ref="CU5:DD5" si="22">SUM(CU7:CU22)</f>
        <v>75184723</v>
      </c>
      <c r="CV5" s="513">
        <f t="shared" si="22"/>
        <v>56258342</v>
      </c>
      <c r="CW5" s="513">
        <f t="shared" si="22"/>
        <v>13116248</v>
      </c>
      <c r="CX5" s="513">
        <f>SUM(CX7:CX22)</f>
        <v>5810133</v>
      </c>
      <c r="CY5" s="587">
        <f t="shared" si="22"/>
        <v>10053457</v>
      </c>
      <c r="CZ5" s="513">
        <f t="shared" si="22"/>
        <v>76214718</v>
      </c>
      <c r="DA5" s="513">
        <f t="shared" si="22"/>
        <v>56998328</v>
      </c>
      <c r="DB5" s="513">
        <f t="shared" si="22"/>
        <v>13361869</v>
      </c>
      <c r="DC5" s="513">
        <f t="shared" si="22"/>
        <v>5842327</v>
      </c>
      <c r="DD5" s="587">
        <f t="shared" si="22"/>
        <v>10386883</v>
      </c>
      <c r="DE5" s="587">
        <f t="shared" ref="DE5:DF5" si="23">SUM(DE7:DE22)</f>
        <v>77209746</v>
      </c>
      <c r="DF5" s="587">
        <f t="shared" si="23"/>
        <v>49388407</v>
      </c>
      <c r="DG5" s="587">
        <f t="shared" ref="DG5:DK5" si="24">SUM(DG7:DG22)</f>
        <v>13592135</v>
      </c>
      <c r="DH5" s="587">
        <f t="shared" si="24"/>
        <v>5949413</v>
      </c>
      <c r="DI5" s="587">
        <f t="shared" si="24"/>
        <v>10708589</v>
      </c>
      <c r="DJ5" s="587">
        <f t="shared" si="24"/>
        <v>80711975</v>
      </c>
      <c r="DK5" s="587">
        <f t="shared" si="24"/>
        <v>50418496</v>
      </c>
      <c r="DL5" s="587">
        <f t="shared" ref="DL5" si="25">SUM(DL7:DL22)</f>
        <v>14462976</v>
      </c>
      <c r="DM5" s="587">
        <f t="shared" ref="DM5:DQ5" si="26">SUM(DM7:DM22)</f>
        <v>6506668</v>
      </c>
      <c r="DN5" s="587">
        <f t="shared" si="26"/>
        <v>11797935</v>
      </c>
      <c r="DO5" s="587">
        <f t="shared" si="26"/>
        <v>81785538</v>
      </c>
      <c r="DP5" s="587">
        <f t="shared" si="26"/>
        <v>50777150</v>
      </c>
      <c r="DQ5" s="587">
        <f t="shared" si="26"/>
        <v>14721020</v>
      </c>
      <c r="DR5" s="587">
        <f t="shared" ref="DR5:DS5" si="27">SUM(DR7:DR22)</f>
        <v>6830184</v>
      </c>
      <c r="DS5" s="587">
        <f t="shared" si="27"/>
        <v>12106084</v>
      </c>
    </row>
    <row r="6" spans="1:123" x14ac:dyDescent="0.2">
      <c r="A6" s="223" t="s">
        <v>181</v>
      </c>
      <c r="B6" s="10"/>
      <c r="C6" s="19"/>
      <c r="E6" s="48"/>
      <c r="F6" s="48"/>
      <c r="G6" s="48"/>
      <c r="H6" s="57"/>
      <c r="J6" s="138"/>
      <c r="K6" s="48"/>
      <c r="L6" s="48"/>
      <c r="M6" s="138"/>
      <c r="N6" s="48"/>
      <c r="O6" s="48"/>
      <c r="P6" s="138"/>
      <c r="Q6" s="48"/>
      <c r="R6" s="57"/>
      <c r="S6" s="99"/>
      <c r="T6" s="136"/>
      <c r="U6" s="48"/>
      <c r="V6" s="48"/>
      <c r="W6" s="136"/>
      <c r="X6" s="48"/>
      <c r="Y6" s="48"/>
      <c r="Z6" s="136"/>
      <c r="AA6" s="48"/>
      <c r="AB6" s="48"/>
      <c r="AC6" s="177"/>
      <c r="AD6" s="177"/>
      <c r="AE6" s="138"/>
      <c r="AG6" s="5"/>
      <c r="AH6" s="78"/>
      <c r="AI6" s="48"/>
      <c r="AJ6" s="48"/>
      <c r="AK6" s="5"/>
      <c r="AL6" s="78"/>
      <c r="AM6" s="48"/>
      <c r="AN6" s="48"/>
      <c r="AO6" s="5"/>
      <c r="AP6" s="57"/>
      <c r="AQ6" s="48"/>
      <c r="AR6" s="82"/>
      <c r="AT6" s="5"/>
      <c r="AU6" s="178"/>
      <c r="AV6" s="178"/>
      <c r="AW6" s="78"/>
      <c r="AX6" s="48"/>
      <c r="AY6" s="57"/>
      <c r="AZ6" s="5"/>
      <c r="BA6" s="48"/>
      <c r="BB6" s="48"/>
      <c r="BC6" s="5"/>
      <c r="BD6" s="48"/>
      <c r="BE6" s="48"/>
      <c r="BF6" s="177"/>
      <c r="BG6" s="177"/>
      <c r="BH6" s="138"/>
      <c r="BI6" s="99"/>
      <c r="BJ6" s="57"/>
      <c r="BK6" s="57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92"/>
      <c r="CB6" s="5"/>
      <c r="CC6" s="48"/>
      <c r="CD6" s="48"/>
      <c r="CE6" s="48"/>
      <c r="CF6" s="99"/>
      <c r="CG6" s="5"/>
      <c r="CH6" s="48"/>
      <c r="CJ6" s="48"/>
      <c r="CK6" s="70"/>
      <c r="CL6" s="2"/>
      <c r="CP6" s="70"/>
      <c r="CQ6" s="506"/>
      <c r="CU6" s="70"/>
      <c r="CV6" s="506"/>
      <c r="CY6" s="69"/>
      <c r="DA6" s="49"/>
      <c r="DD6" s="69"/>
    </row>
    <row r="7" spans="1:123" x14ac:dyDescent="0.2">
      <c r="A7" s="221" t="s">
        <v>0</v>
      </c>
      <c r="B7" s="528">
        <v>1354736</v>
      </c>
      <c r="C7" s="8">
        <v>1559445</v>
      </c>
      <c r="D7" s="48">
        <v>1669871</v>
      </c>
      <c r="E7" s="49">
        <v>593285</v>
      </c>
      <c r="F7" s="49">
        <v>638973</v>
      </c>
      <c r="G7" s="49">
        <v>196165</v>
      </c>
      <c r="H7" s="50">
        <v>241448</v>
      </c>
      <c r="I7" s="99">
        <v>1808798</v>
      </c>
      <c r="J7" s="138">
        <f t="shared" ref="J7:J22" si="28">+K7+L7</f>
        <v>1399206</v>
      </c>
      <c r="K7" s="49">
        <v>660345</v>
      </c>
      <c r="L7" s="49">
        <v>738861</v>
      </c>
      <c r="M7" s="138">
        <f t="shared" ref="M7:M22" si="29">+N7+O7</f>
        <v>406635</v>
      </c>
      <c r="N7" s="49">
        <v>177519</v>
      </c>
      <c r="O7" s="49">
        <v>229116</v>
      </c>
      <c r="P7" s="138">
        <f t="shared" ref="P7:P22" si="30">+Q7+R7</f>
        <v>5312</v>
      </c>
      <c r="Q7" s="49">
        <v>2647</v>
      </c>
      <c r="R7" s="50">
        <v>2665</v>
      </c>
      <c r="S7" s="9">
        <v>2217315</v>
      </c>
      <c r="T7" s="51">
        <v>1712044</v>
      </c>
      <c r="U7" s="49">
        <v>804503</v>
      </c>
      <c r="V7" s="49">
        <v>907541</v>
      </c>
      <c r="W7" s="51">
        <f t="shared" ref="W7:W22" si="31">+X7+Y7</f>
        <v>477273</v>
      </c>
      <c r="X7" s="49">
        <v>206582</v>
      </c>
      <c r="Y7" s="49">
        <v>270691</v>
      </c>
      <c r="Z7" s="52">
        <v>16166</v>
      </c>
      <c r="AA7" s="49">
        <v>7481</v>
      </c>
      <c r="AB7" s="49">
        <v>8685</v>
      </c>
      <c r="AC7" s="177">
        <v>10900</v>
      </c>
      <c r="AD7" s="177">
        <v>4576</v>
      </c>
      <c r="AE7" s="138">
        <v>6324</v>
      </c>
      <c r="AF7" s="99">
        <v>2545969</v>
      </c>
      <c r="AG7" s="53">
        <v>1963783</v>
      </c>
      <c r="AH7" s="78">
        <f t="shared" ref="AH7:AH22" si="32">+AI7+AJ7</f>
        <v>1955332</v>
      </c>
      <c r="AI7" s="49">
        <v>922257</v>
      </c>
      <c r="AJ7" s="49">
        <v>1033075</v>
      </c>
      <c r="AK7" s="51">
        <v>556648</v>
      </c>
      <c r="AL7" s="78">
        <f t="shared" ref="AL7:AL22" si="33">+AM7+AN7</f>
        <v>555421</v>
      </c>
      <c r="AM7" s="49">
        <v>238244</v>
      </c>
      <c r="AN7" s="49">
        <v>317177</v>
      </c>
      <c r="AO7" s="51">
        <v>12345</v>
      </c>
      <c r="AP7" s="50">
        <v>5965</v>
      </c>
      <c r="AQ7" s="49">
        <v>6380</v>
      </c>
      <c r="AR7" s="82">
        <f t="shared" ref="AR7:AR22" si="34">+AF7-AH7-AL7-AO7</f>
        <v>22871</v>
      </c>
      <c r="AS7" s="99">
        <v>2887400</v>
      </c>
      <c r="AT7" s="51">
        <v>2157934</v>
      </c>
      <c r="AU7" s="178">
        <v>1030234</v>
      </c>
      <c r="AV7" s="178">
        <v>1127700</v>
      </c>
      <c r="AW7" s="78">
        <f t="shared" ref="AW7:AW22" si="35">+AX7+AY7</f>
        <v>2139281</v>
      </c>
      <c r="AX7" s="49">
        <v>1020007</v>
      </c>
      <c r="AY7" s="50">
        <v>1119274</v>
      </c>
      <c r="AZ7" s="51">
        <v>657233</v>
      </c>
      <c r="BA7" s="49">
        <v>287485</v>
      </c>
      <c r="BB7" s="49">
        <v>369748</v>
      </c>
      <c r="BC7" s="51">
        <v>36486</v>
      </c>
      <c r="BD7" s="49">
        <v>20543</v>
      </c>
      <c r="BE7" s="49">
        <v>15943</v>
      </c>
      <c r="BF7" s="177">
        <v>72233</v>
      </c>
      <c r="BG7" s="177">
        <v>35635</v>
      </c>
      <c r="BH7" s="138">
        <v>36598</v>
      </c>
      <c r="BI7" s="181">
        <v>3142304</v>
      </c>
      <c r="BJ7" s="50">
        <v>1487450</v>
      </c>
      <c r="BK7" s="50">
        <v>1654854</v>
      </c>
      <c r="BL7" s="57">
        <v>2287448</v>
      </c>
      <c r="BM7" s="57">
        <v>1101808</v>
      </c>
      <c r="BN7" s="57">
        <v>1185640</v>
      </c>
      <c r="BO7" s="57">
        <v>2230592</v>
      </c>
      <c r="BP7" s="57">
        <v>1070239</v>
      </c>
      <c r="BQ7" s="57">
        <v>1160353</v>
      </c>
      <c r="BR7" s="57">
        <v>749101</v>
      </c>
      <c r="BS7" s="57">
        <v>331915</v>
      </c>
      <c r="BT7" s="57">
        <v>417186</v>
      </c>
      <c r="BU7" s="57">
        <v>86356</v>
      </c>
      <c r="BV7" s="57">
        <v>49158</v>
      </c>
      <c r="BW7" s="57">
        <v>37198</v>
      </c>
      <c r="BX7" s="138">
        <f>+BY7+BZ7</f>
        <v>105755</v>
      </c>
      <c r="BY7" s="57">
        <v>53727</v>
      </c>
      <c r="BZ7" s="57">
        <v>52028</v>
      </c>
      <c r="CA7" s="191">
        <v>3015910</v>
      </c>
      <c r="CB7" s="51">
        <v>2221291</v>
      </c>
      <c r="CC7" s="49">
        <v>709114</v>
      </c>
      <c r="CD7" s="49">
        <v>85505</v>
      </c>
      <c r="CE7" s="49">
        <v>56260</v>
      </c>
      <c r="CF7" s="181">
        <v>3052298</v>
      </c>
      <c r="CG7" s="51">
        <v>2243752</v>
      </c>
      <c r="CH7" s="49">
        <v>720674</v>
      </c>
      <c r="CI7" s="49">
        <v>87872</v>
      </c>
      <c r="CJ7" s="49">
        <v>59715</v>
      </c>
      <c r="CK7" s="56">
        <v>3083943</v>
      </c>
      <c r="CL7" s="54">
        <v>2259463</v>
      </c>
      <c r="CM7" s="55">
        <v>729457</v>
      </c>
      <c r="CN7" s="55">
        <v>95023</v>
      </c>
      <c r="CO7" s="55">
        <v>66327</v>
      </c>
      <c r="CP7" s="56">
        <v>3142304</v>
      </c>
      <c r="CQ7" s="505">
        <v>2287448</v>
      </c>
      <c r="CR7" s="505">
        <v>749101</v>
      </c>
      <c r="CS7" s="55">
        <v>105755</v>
      </c>
      <c r="CT7" s="505">
        <v>86356</v>
      </c>
      <c r="CU7" s="56">
        <v>3168795</v>
      </c>
      <c r="CV7" s="505">
        <v>2298964</v>
      </c>
      <c r="CW7" s="505">
        <v>758175</v>
      </c>
      <c r="CX7" s="306">
        <f>CU7-CV7-CW7</f>
        <v>111656</v>
      </c>
      <c r="CY7" s="591">
        <v>91611</v>
      </c>
      <c r="CZ7" s="49">
        <v>3192004</v>
      </c>
      <c r="DA7" s="49">
        <v>2309064</v>
      </c>
      <c r="DB7" s="49">
        <v>770560</v>
      </c>
      <c r="DC7" s="49">
        <v>111437</v>
      </c>
      <c r="DD7" s="594">
        <v>95055</v>
      </c>
      <c r="DE7" s="49">
        <v>3213252</v>
      </c>
      <c r="DF7" s="49">
        <v>2256581</v>
      </c>
      <c r="DG7" s="1">
        <v>778726</v>
      </c>
      <c r="DH7" s="49">
        <v>115814</v>
      </c>
      <c r="DI7" s="49">
        <v>95467</v>
      </c>
      <c r="DJ7" s="49">
        <v>3282252</v>
      </c>
      <c r="DK7" s="727">
        <v>2279702</v>
      </c>
      <c r="DL7" s="49">
        <v>816758</v>
      </c>
      <c r="DM7" s="730">
        <v>120563</v>
      </c>
      <c r="DN7" s="49">
        <v>96774</v>
      </c>
      <c r="DO7" s="49">
        <v>3300713</v>
      </c>
      <c r="DP7" s="727">
        <v>2285863</v>
      </c>
      <c r="DQ7" s="49">
        <v>825982</v>
      </c>
      <c r="DR7" s="730">
        <v>129431</v>
      </c>
      <c r="DS7" s="49">
        <v>98289</v>
      </c>
    </row>
    <row r="8" spans="1:123" x14ac:dyDescent="0.2">
      <c r="A8" s="221" t="s">
        <v>1</v>
      </c>
      <c r="B8" s="528">
        <v>968286</v>
      </c>
      <c r="C8" s="8">
        <v>1000830</v>
      </c>
      <c r="D8" s="48">
        <v>964032</v>
      </c>
      <c r="E8" s="49">
        <v>380577</v>
      </c>
      <c r="F8" s="49">
        <v>405758</v>
      </c>
      <c r="G8" s="49">
        <v>81338</v>
      </c>
      <c r="H8" s="50">
        <v>96359</v>
      </c>
      <c r="I8" s="99">
        <v>1057512</v>
      </c>
      <c r="J8" s="138">
        <f t="shared" si="28"/>
        <v>896784</v>
      </c>
      <c r="K8" s="49">
        <v>425396</v>
      </c>
      <c r="L8" s="49">
        <v>471388</v>
      </c>
      <c r="M8" s="138">
        <f t="shared" si="29"/>
        <v>158531</v>
      </c>
      <c r="N8" s="49">
        <v>70893</v>
      </c>
      <c r="O8" s="49">
        <v>87638</v>
      </c>
      <c r="P8" s="138">
        <f t="shared" si="30"/>
        <v>3592</v>
      </c>
      <c r="Q8" s="49">
        <v>1856</v>
      </c>
      <c r="R8" s="50">
        <v>1736</v>
      </c>
      <c r="S8" s="9">
        <v>1337118</v>
      </c>
      <c r="T8" s="51">
        <v>1144700</v>
      </c>
      <c r="U8" s="49">
        <v>539284</v>
      </c>
      <c r="V8" s="49">
        <v>605416</v>
      </c>
      <c r="W8" s="51">
        <f t="shared" si="31"/>
        <v>173979</v>
      </c>
      <c r="X8" s="49">
        <v>76189</v>
      </c>
      <c r="Y8" s="49">
        <v>97790</v>
      </c>
      <c r="Z8" s="52">
        <v>7384</v>
      </c>
      <c r="AA8" s="49">
        <v>3413</v>
      </c>
      <c r="AB8" s="49">
        <v>3971</v>
      </c>
      <c r="AC8" s="177">
        <v>10794</v>
      </c>
      <c r="AD8" s="177">
        <v>4661</v>
      </c>
      <c r="AE8" s="138">
        <v>6133</v>
      </c>
      <c r="AF8" s="99">
        <v>1496150</v>
      </c>
      <c r="AG8" s="53">
        <v>1282917</v>
      </c>
      <c r="AH8" s="78">
        <f t="shared" si="32"/>
        <v>1277449</v>
      </c>
      <c r="AI8" s="49">
        <v>601469</v>
      </c>
      <c r="AJ8" s="49">
        <v>675980</v>
      </c>
      <c r="AK8" s="51">
        <v>195058</v>
      </c>
      <c r="AL8" s="78">
        <f t="shared" si="33"/>
        <v>194544</v>
      </c>
      <c r="AM8" s="49">
        <v>83782</v>
      </c>
      <c r="AN8" s="49">
        <v>110762</v>
      </c>
      <c r="AO8" s="51">
        <v>9097</v>
      </c>
      <c r="AP8" s="50">
        <v>4674</v>
      </c>
      <c r="AQ8" s="49">
        <v>4423</v>
      </c>
      <c r="AR8" s="82">
        <f t="shared" si="34"/>
        <v>15060</v>
      </c>
      <c r="AS8" s="99">
        <v>1731200</v>
      </c>
      <c r="AT8" s="51">
        <v>1443509</v>
      </c>
      <c r="AU8" s="178">
        <v>690234</v>
      </c>
      <c r="AV8" s="178">
        <v>753275</v>
      </c>
      <c r="AW8" s="78">
        <f t="shared" si="35"/>
        <v>1425174</v>
      </c>
      <c r="AX8" s="49">
        <v>679858</v>
      </c>
      <c r="AY8" s="50">
        <v>745316</v>
      </c>
      <c r="AZ8" s="51">
        <v>225985</v>
      </c>
      <c r="BA8" s="49">
        <v>100399</v>
      </c>
      <c r="BB8" s="49">
        <v>125586</v>
      </c>
      <c r="BC8" s="51">
        <v>40019</v>
      </c>
      <c r="BD8" s="49">
        <v>23149</v>
      </c>
      <c r="BE8" s="49">
        <v>16870</v>
      </c>
      <c r="BF8" s="177">
        <v>61706</v>
      </c>
      <c r="BG8" s="177">
        <v>31495</v>
      </c>
      <c r="BH8" s="138">
        <v>30211</v>
      </c>
      <c r="BI8" s="181">
        <v>1904101</v>
      </c>
      <c r="BJ8" s="50">
        <v>913199</v>
      </c>
      <c r="BK8" s="50">
        <v>990902</v>
      </c>
      <c r="BL8" s="57">
        <v>1554774</v>
      </c>
      <c r="BM8" s="57">
        <v>752312</v>
      </c>
      <c r="BN8" s="57">
        <v>802462</v>
      </c>
      <c r="BO8" s="57">
        <v>1505365</v>
      </c>
      <c r="BP8" s="57">
        <v>725802</v>
      </c>
      <c r="BQ8" s="57">
        <v>779563</v>
      </c>
      <c r="BR8" s="57">
        <v>261148</v>
      </c>
      <c r="BS8" s="57">
        <v>118520</v>
      </c>
      <c r="BT8" s="57">
        <v>142628</v>
      </c>
      <c r="BU8" s="57">
        <v>82357</v>
      </c>
      <c r="BV8" s="57">
        <v>44130</v>
      </c>
      <c r="BW8" s="57">
        <v>38227</v>
      </c>
      <c r="BX8" s="138">
        <f t="shared" ref="BX8:BX22" si="36">+BY8+BZ8</f>
        <v>88179</v>
      </c>
      <c r="BY8" s="57">
        <v>42367</v>
      </c>
      <c r="BZ8" s="57">
        <v>45812</v>
      </c>
      <c r="CA8" s="191">
        <v>1842453</v>
      </c>
      <c r="CB8" s="51">
        <v>1512741</v>
      </c>
      <c r="CC8" s="49">
        <v>247323</v>
      </c>
      <c r="CD8" s="49">
        <v>82389</v>
      </c>
      <c r="CE8" s="49">
        <v>66483</v>
      </c>
      <c r="CF8" s="181">
        <v>1863115</v>
      </c>
      <c r="CG8" s="51">
        <v>1528921</v>
      </c>
      <c r="CH8" s="49">
        <v>249957</v>
      </c>
      <c r="CI8" s="49">
        <v>84237</v>
      </c>
      <c r="CJ8" s="49">
        <v>71079</v>
      </c>
      <c r="CK8" s="56">
        <v>1888459</v>
      </c>
      <c r="CL8" s="54">
        <v>1545946</v>
      </c>
      <c r="CM8" s="55">
        <v>255376</v>
      </c>
      <c r="CN8" s="55">
        <v>87137</v>
      </c>
      <c r="CO8" s="55">
        <v>76669</v>
      </c>
      <c r="CP8" s="56">
        <v>1904101</v>
      </c>
      <c r="CQ8" s="505">
        <v>1554774</v>
      </c>
      <c r="CR8" s="505">
        <v>261148</v>
      </c>
      <c r="CS8" s="55">
        <v>88179</v>
      </c>
      <c r="CT8" s="505">
        <v>82357</v>
      </c>
      <c r="CU8" s="56">
        <v>1922911</v>
      </c>
      <c r="CV8" s="505">
        <v>1566246</v>
      </c>
      <c r="CW8" s="505">
        <v>265416</v>
      </c>
      <c r="CX8" s="306">
        <f t="shared" ref="CX8:CX22" si="37">CU8-CV8-CW8</f>
        <v>91249</v>
      </c>
      <c r="CY8" s="591">
        <v>87066</v>
      </c>
      <c r="CZ8" s="49">
        <v>1938675</v>
      </c>
      <c r="DA8" s="49">
        <v>1577579</v>
      </c>
      <c r="DB8" s="49">
        <v>268707</v>
      </c>
      <c r="DC8" s="49">
        <v>89739</v>
      </c>
      <c r="DD8" s="594">
        <v>91013</v>
      </c>
      <c r="DE8" s="49">
        <v>1951058</v>
      </c>
      <c r="DF8" s="49">
        <v>1523889</v>
      </c>
      <c r="DG8" s="1">
        <v>270175</v>
      </c>
      <c r="DH8" s="49">
        <v>93597</v>
      </c>
      <c r="DI8" s="49">
        <v>94882</v>
      </c>
      <c r="DJ8" s="49">
        <v>1987819</v>
      </c>
      <c r="DK8" s="49">
        <v>1538245</v>
      </c>
      <c r="DL8" s="49">
        <v>282880</v>
      </c>
      <c r="DM8" s="730">
        <v>98028</v>
      </c>
      <c r="DN8" s="49">
        <v>99470</v>
      </c>
      <c r="DO8" s="49">
        <v>1990448</v>
      </c>
      <c r="DP8" s="49">
        <v>1537148</v>
      </c>
      <c r="DQ8" s="49">
        <v>281785</v>
      </c>
      <c r="DR8" s="730">
        <v>113033</v>
      </c>
      <c r="DS8" s="49">
        <v>101002</v>
      </c>
    </row>
    <row r="9" spans="1:123" x14ac:dyDescent="0.2">
      <c r="A9" s="221" t="s">
        <v>2</v>
      </c>
      <c r="B9" s="528">
        <v>158428</v>
      </c>
      <c r="C9" s="8">
        <v>189215</v>
      </c>
      <c r="D9" s="48">
        <v>245692</v>
      </c>
      <c r="E9" s="49">
        <v>104211</v>
      </c>
      <c r="F9" s="49">
        <v>110108</v>
      </c>
      <c r="G9" s="49">
        <v>15612</v>
      </c>
      <c r="H9" s="49">
        <v>15761</v>
      </c>
      <c r="I9" s="99">
        <v>287395</v>
      </c>
      <c r="J9" s="138">
        <f t="shared" si="28"/>
        <v>250674</v>
      </c>
      <c r="K9" s="49">
        <v>119437</v>
      </c>
      <c r="L9" s="49">
        <v>131237</v>
      </c>
      <c r="M9" s="138">
        <f t="shared" si="29"/>
        <v>34892</v>
      </c>
      <c r="N9" s="49">
        <v>16282</v>
      </c>
      <c r="O9" s="49">
        <v>18610</v>
      </c>
      <c r="P9" s="138">
        <f t="shared" si="30"/>
        <v>2411</v>
      </c>
      <c r="Q9" s="49">
        <v>1228</v>
      </c>
      <c r="R9" s="49">
        <v>1183</v>
      </c>
      <c r="S9" s="9">
        <v>344657</v>
      </c>
      <c r="T9" s="73">
        <f>+U9+V9</f>
        <v>290601</v>
      </c>
      <c r="U9" s="49">
        <v>136948</v>
      </c>
      <c r="V9" s="49">
        <v>153653</v>
      </c>
      <c r="W9" s="51">
        <f t="shared" si="31"/>
        <v>46592</v>
      </c>
      <c r="X9" s="49">
        <v>21005</v>
      </c>
      <c r="Y9" s="49">
        <v>25587</v>
      </c>
      <c r="Z9" s="75">
        <f>+AA9+AB9</f>
        <v>3948</v>
      </c>
      <c r="AA9" s="49">
        <v>1979</v>
      </c>
      <c r="AB9" s="49">
        <v>1969</v>
      </c>
      <c r="AC9" s="177">
        <v>3196</v>
      </c>
      <c r="AD9" s="177">
        <v>1376</v>
      </c>
      <c r="AE9" s="138">
        <v>1820</v>
      </c>
      <c r="AF9" s="99">
        <v>428499</v>
      </c>
      <c r="AG9" s="53">
        <v>355185</v>
      </c>
      <c r="AH9" s="78">
        <f t="shared" si="32"/>
        <v>351751</v>
      </c>
      <c r="AI9" s="49">
        <v>167449</v>
      </c>
      <c r="AJ9" s="49">
        <v>184302</v>
      </c>
      <c r="AK9" s="51">
        <v>62720</v>
      </c>
      <c r="AL9" s="78">
        <f t="shared" si="33"/>
        <v>62131</v>
      </c>
      <c r="AM9" s="49">
        <v>27940</v>
      </c>
      <c r="AN9" s="49">
        <v>34191</v>
      </c>
      <c r="AO9" s="51">
        <v>7565</v>
      </c>
      <c r="AP9" s="49">
        <v>3955</v>
      </c>
      <c r="AQ9" s="49">
        <v>3610</v>
      </c>
      <c r="AR9" s="82">
        <f t="shared" si="34"/>
        <v>7052</v>
      </c>
      <c r="AS9" s="99">
        <v>514658</v>
      </c>
      <c r="AT9" s="51">
        <v>401337</v>
      </c>
      <c r="AU9" s="178">
        <v>191629</v>
      </c>
      <c r="AV9" s="178">
        <v>209708</v>
      </c>
      <c r="AW9" s="78">
        <f t="shared" si="35"/>
        <v>392794</v>
      </c>
      <c r="AX9" s="49">
        <v>187087</v>
      </c>
      <c r="AY9" s="49">
        <v>205707</v>
      </c>
      <c r="AZ9" s="51">
        <v>86825</v>
      </c>
      <c r="BA9" s="49">
        <v>39478</v>
      </c>
      <c r="BB9" s="49">
        <v>47347</v>
      </c>
      <c r="BC9" s="51">
        <v>18301</v>
      </c>
      <c r="BD9" s="49">
        <v>9767</v>
      </c>
      <c r="BE9" s="49">
        <v>8534</v>
      </c>
      <c r="BF9" s="177">
        <v>26496</v>
      </c>
      <c r="BG9" s="177">
        <v>13071</v>
      </c>
      <c r="BH9" s="138">
        <v>13425</v>
      </c>
      <c r="BI9" s="181">
        <v>596009</v>
      </c>
      <c r="BJ9" s="50">
        <v>282154</v>
      </c>
      <c r="BK9" s="50">
        <v>313855</v>
      </c>
      <c r="BL9" s="57">
        <v>444812</v>
      </c>
      <c r="BM9" s="57">
        <v>212433</v>
      </c>
      <c r="BN9" s="57">
        <v>232379</v>
      </c>
      <c r="BO9" s="57">
        <v>422057</v>
      </c>
      <c r="BP9" s="57">
        <v>200718</v>
      </c>
      <c r="BQ9" s="57">
        <v>221339</v>
      </c>
      <c r="BR9" s="57">
        <v>112571</v>
      </c>
      <c r="BS9" s="57">
        <v>50782</v>
      </c>
      <c r="BT9" s="57">
        <v>61789</v>
      </c>
      <c r="BU9" s="57">
        <v>35108</v>
      </c>
      <c r="BV9" s="57">
        <v>18302</v>
      </c>
      <c r="BW9" s="57">
        <v>16806</v>
      </c>
      <c r="BX9" s="138">
        <f t="shared" si="36"/>
        <v>38626</v>
      </c>
      <c r="BY9" s="57">
        <v>18939</v>
      </c>
      <c r="BZ9" s="57">
        <v>19687</v>
      </c>
      <c r="CA9" s="191">
        <v>565305</v>
      </c>
      <c r="CB9" s="51">
        <v>428927</v>
      </c>
      <c r="CC9" s="49">
        <v>103294</v>
      </c>
      <c r="CD9" s="49">
        <v>33084</v>
      </c>
      <c r="CE9" s="49">
        <v>27213</v>
      </c>
      <c r="CF9" s="181">
        <v>573425</v>
      </c>
      <c r="CG9" s="51">
        <v>433611</v>
      </c>
      <c r="CH9" s="49">
        <v>105984</v>
      </c>
      <c r="CI9" s="49">
        <v>33830</v>
      </c>
      <c r="CJ9" s="49">
        <v>28423</v>
      </c>
      <c r="CK9" s="56">
        <v>586450</v>
      </c>
      <c r="CL9" s="54">
        <v>442197</v>
      </c>
      <c r="CM9" s="55">
        <v>109659</v>
      </c>
      <c r="CN9" s="55">
        <v>34594</v>
      </c>
      <c r="CO9" s="55">
        <v>30279</v>
      </c>
      <c r="CP9" s="56">
        <v>596009</v>
      </c>
      <c r="CQ9" s="505">
        <v>444812</v>
      </c>
      <c r="CR9" s="505">
        <v>112571</v>
      </c>
      <c r="CS9" s="55">
        <v>38626</v>
      </c>
      <c r="CT9" s="505">
        <v>35108</v>
      </c>
      <c r="CU9" s="56">
        <v>603421</v>
      </c>
      <c r="CV9" s="505">
        <v>448058</v>
      </c>
      <c r="CW9" s="505">
        <v>115344</v>
      </c>
      <c r="CX9" s="306">
        <f t="shared" si="37"/>
        <v>40019</v>
      </c>
      <c r="CY9" s="591">
        <v>36805</v>
      </c>
      <c r="CZ9" s="49">
        <v>610658</v>
      </c>
      <c r="DA9" s="49">
        <v>451220</v>
      </c>
      <c r="DB9" s="49">
        <v>118054</v>
      </c>
      <c r="DC9" s="49">
        <v>41014</v>
      </c>
      <c r="DD9" s="594">
        <v>38299</v>
      </c>
      <c r="DE9" s="49">
        <v>620032</v>
      </c>
      <c r="DF9" s="49">
        <v>430046</v>
      </c>
      <c r="DG9" s="1">
        <v>121477</v>
      </c>
      <c r="DH9" s="49">
        <v>43492</v>
      </c>
      <c r="DI9" s="49">
        <v>40242</v>
      </c>
      <c r="DJ9" s="49">
        <v>652636</v>
      </c>
      <c r="DK9" s="49">
        <v>445757</v>
      </c>
      <c r="DL9" s="49">
        <v>128898</v>
      </c>
      <c r="DM9" s="730">
        <v>45050</v>
      </c>
      <c r="DN9" s="49">
        <v>44801</v>
      </c>
      <c r="DO9" s="49">
        <v>662547</v>
      </c>
      <c r="DP9" s="49">
        <v>449466</v>
      </c>
      <c r="DQ9" s="49">
        <v>132020</v>
      </c>
      <c r="DR9" s="730">
        <v>47597</v>
      </c>
      <c r="DS9" s="49">
        <v>45728</v>
      </c>
    </row>
    <row r="10" spans="1:123" x14ac:dyDescent="0.2">
      <c r="A10" s="221" t="s">
        <v>3</v>
      </c>
      <c r="B10" s="528">
        <v>1082389</v>
      </c>
      <c r="C10" s="8">
        <v>1637240</v>
      </c>
      <c r="D10" s="48">
        <v>2845445</v>
      </c>
      <c r="E10" s="49">
        <v>1166313</v>
      </c>
      <c r="F10" s="49">
        <v>1260760</v>
      </c>
      <c r="G10" s="49">
        <v>202167</v>
      </c>
      <c r="H10" s="50">
        <v>216205</v>
      </c>
      <c r="I10" s="99">
        <v>3967881</v>
      </c>
      <c r="J10" s="138">
        <f t="shared" si="28"/>
        <v>3487376</v>
      </c>
      <c r="K10" s="49">
        <v>1627049</v>
      </c>
      <c r="L10" s="49">
        <v>1860327</v>
      </c>
      <c r="M10" s="138">
        <f t="shared" si="29"/>
        <v>467311</v>
      </c>
      <c r="N10" s="49">
        <v>215076</v>
      </c>
      <c r="O10" s="49">
        <v>252235</v>
      </c>
      <c r="P10" s="138">
        <f t="shared" si="30"/>
        <v>252148</v>
      </c>
      <c r="Q10" s="49">
        <v>117850</v>
      </c>
      <c r="R10" s="50">
        <v>134298</v>
      </c>
      <c r="S10" s="9">
        <v>6250125</v>
      </c>
      <c r="T10" s="51">
        <v>5042362</v>
      </c>
      <c r="U10" s="49">
        <v>2351894</v>
      </c>
      <c r="V10" s="49">
        <v>2690468</v>
      </c>
      <c r="W10" s="51">
        <f t="shared" si="31"/>
        <v>634348</v>
      </c>
      <c r="X10" s="49">
        <v>286844</v>
      </c>
      <c r="Y10" s="49">
        <v>347504</v>
      </c>
      <c r="Z10" s="52">
        <v>520215</v>
      </c>
      <c r="AA10" s="49">
        <v>239521</v>
      </c>
      <c r="AB10" s="49">
        <v>280694</v>
      </c>
      <c r="AC10" s="177">
        <v>46994</v>
      </c>
      <c r="AD10" s="177">
        <v>20109</v>
      </c>
      <c r="AE10" s="138">
        <v>26885</v>
      </c>
      <c r="AF10" s="99">
        <v>8887168</v>
      </c>
      <c r="AG10" s="53">
        <v>7691434</v>
      </c>
      <c r="AH10" s="78">
        <f t="shared" si="32"/>
        <v>6859111</v>
      </c>
      <c r="AI10" s="49">
        <v>3243820</v>
      </c>
      <c r="AJ10" s="49">
        <v>3615291</v>
      </c>
      <c r="AK10" s="51">
        <v>946774</v>
      </c>
      <c r="AL10" s="78">
        <f t="shared" si="33"/>
        <v>915427</v>
      </c>
      <c r="AM10" s="49">
        <v>413817</v>
      </c>
      <c r="AN10" s="49">
        <v>501610</v>
      </c>
      <c r="AO10" s="51">
        <v>996125</v>
      </c>
      <c r="AP10" s="50">
        <v>474003</v>
      </c>
      <c r="AQ10" s="49">
        <v>522122</v>
      </c>
      <c r="AR10" s="82">
        <f t="shared" si="34"/>
        <v>116505</v>
      </c>
      <c r="AS10" s="99">
        <v>11024645</v>
      </c>
      <c r="AT10" s="51">
        <v>9052318</v>
      </c>
      <c r="AU10" s="178">
        <v>4321471</v>
      </c>
      <c r="AV10" s="178">
        <v>4730847</v>
      </c>
      <c r="AW10" s="78">
        <f t="shared" si="35"/>
        <v>7721842</v>
      </c>
      <c r="AX10" s="49">
        <v>3687607</v>
      </c>
      <c r="AY10" s="50">
        <v>4034235</v>
      </c>
      <c r="AZ10" s="51">
        <v>1285014</v>
      </c>
      <c r="BA10" s="49">
        <v>590433</v>
      </c>
      <c r="BB10" s="49">
        <v>694581</v>
      </c>
      <c r="BC10" s="51">
        <v>1695497</v>
      </c>
      <c r="BD10" s="49">
        <v>818666</v>
      </c>
      <c r="BE10" s="49">
        <v>876831</v>
      </c>
      <c r="BF10" s="177">
        <v>687313</v>
      </c>
      <c r="BG10" s="177">
        <v>335197</v>
      </c>
      <c r="BH10" s="138">
        <v>352116</v>
      </c>
      <c r="BI10" s="181">
        <v>12931148</v>
      </c>
      <c r="BJ10" s="50">
        <v>6185462</v>
      </c>
      <c r="BK10" s="50">
        <v>6745686</v>
      </c>
      <c r="BL10" s="57">
        <v>10380705</v>
      </c>
      <c r="BM10" s="57">
        <v>4996703</v>
      </c>
      <c r="BN10" s="57">
        <v>5384002</v>
      </c>
      <c r="BO10" s="57">
        <v>8196397</v>
      </c>
      <c r="BP10" s="57">
        <v>3955148</v>
      </c>
      <c r="BQ10" s="57">
        <v>4241249</v>
      </c>
      <c r="BR10" s="57">
        <v>1735303</v>
      </c>
      <c r="BS10" s="57">
        <v>800269</v>
      </c>
      <c r="BT10" s="57">
        <v>935034</v>
      </c>
      <c r="BU10" s="57">
        <v>2593704</v>
      </c>
      <c r="BV10" s="57">
        <v>1246492</v>
      </c>
      <c r="BW10" s="57">
        <v>1347212</v>
      </c>
      <c r="BX10" s="138">
        <f t="shared" si="36"/>
        <v>815140</v>
      </c>
      <c r="BY10" s="57">
        <v>388490</v>
      </c>
      <c r="BZ10" s="57">
        <v>426650</v>
      </c>
      <c r="CA10" s="191">
        <v>12412464</v>
      </c>
      <c r="CB10" s="51">
        <v>9945996</v>
      </c>
      <c r="CC10" s="49">
        <v>1581165</v>
      </c>
      <c r="CD10" s="49">
        <v>885303</v>
      </c>
      <c r="CE10" s="49">
        <v>2293178</v>
      </c>
      <c r="CF10" s="181">
        <v>12566850</v>
      </c>
      <c r="CG10" s="51">
        <v>10093696</v>
      </c>
      <c r="CH10" s="49">
        <v>1622196</v>
      </c>
      <c r="CI10" s="49">
        <v>850958</v>
      </c>
      <c r="CJ10" s="49">
        <v>2367189</v>
      </c>
      <c r="CK10" s="56">
        <v>12683655</v>
      </c>
      <c r="CL10" s="54">
        <v>10192519</v>
      </c>
      <c r="CM10" s="55">
        <v>1665822</v>
      </c>
      <c r="CN10" s="55">
        <v>825314</v>
      </c>
      <c r="CO10" s="55">
        <v>2443754</v>
      </c>
      <c r="CP10" s="56">
        <v>12931148</v>
      </c>
      <c r="CQ10" s="505">
        <v>10380705</v>
      </c>
      <c r="CR10" s="505">
        <v>1735303</v>
      </c>
      <c r="CS10" s="55">
        <v>815140</v>
      </c>
      <c r="CT10" s="505">
        <v>2593704</v>
      </c>
      <c r="CU10" s="56">
        <v>13099541</v>
      </c>
      <c r="CV10" s="505">
        <v>10482850</v>
      </c>
      <c r="CW10" s="505">
        <v>1775966</v>
      </c>
      <c r="CX10" s="306">
        <f t="shared" si="37"/>
        <v>840725</v>
      </c>
      <c r="CY10" s="591">
        <v>2677986</v>
      </c>
      <c r="CZ10" s="49">
        <v>13307799</v>
      </c>
      <c r="DA10" s="49">
        <v>10639507</v>
      </c>
      <c r="DB10" s="49">
        <v>1822474</v>
      </c>
      <c r="DC10" s="49">
        <v>845818</v>
      </c>
      <c r="DD10" s="594">
        <v>2772558</v>
      </c>
      <c r="DE10" s="49">
        <v>13523012</v>
      </c>
      <c r="DF10" s="49">
        <v>8327906</v>
      </c>
      <c r="DG10" s="1">
        <v>1869427</v>
      </c>
      <c r="DH10" s="49">
        <v>869750</v>
      </c>
      <c r="DI10" s="49">
        <v>2868263</v>
      </c>
      <c r="DJ10" s="49">
        <v>14394281</v>
      </c>
      <c r="DK10" s="49">
        <v>8606703</v>
      </c>
      <c r="DL10" s="49">
        <v>2036510</v>
      </c>
      <c r="DM10" s="730">
        <v>985556</v>
      </c>
      <c r="DN10" s="49">
        <v>3235668</v>
      </c>
      <c r="DO10" s="49">
        <v>14703671</v>
      </c>
      <c r="DP10" s="49">
        <v>8727205</v>
      </c>
      <c r="DQ10" s="49">
        <v>2082501</v>
      </c>
      <c r="DR10" s="730">
        <v>1036241</v>
      </c>
      <c r="DS10" s="49">
        <v>3356171</v>
      </c>
    </row>
    <row r="11" spans="1:123" x14ac:dyDescent="0.2">
      <c r="A11" s="221" t="s">
        <v>4</v>
      </c>
      <c r="B11" s="528">
        <v>1533488</v>
      </c>
      <c r="C11" s="8">
        <v>1778475</v>
      </c>
      <c r="D11" s="48">
        <v>2014845</v>
      </c>
      <c r="E11" s="49">
        <v>725314</v>
      </c>
      <c r="F11" s="49">
        <v>785981</v>
      </c>
      <c r="G11" s="49">
        <v>224618</v>
      </c>
      <c r="H11" s="50">
        <v>278932</v>
      </c>
      <c r="I11" s="99">
        <v>2355810</v>
      </c>
      <c r="J11" s="138">
        <f t="shared" si="28"/>
        <v>1827032</v>
      </c>
      <c r="K11" s="49">
        <v>866945</v>
      </c>
      <c r="L11" s="49">
        <v>960087</v>
      </c>
      <c r="M11" s="138">
        <f t="shared" si="29"/>
        <v>524481</v>
      </c>
      <c r="N11" s="49">
        <v>230192</v>
      </c>
      <c r="O11" s="49">
        <v>294289</v>
      </c>
      <c r="P11" s="138">
        <f t="shared" si="30"/>
        <v>12233</v>
      </c>
      <c r="Q11" s="49">
        <v>6266</v>
      </c>
      <c r="R11" s="50">
        <v>5967</v>
      </c>
      <c r="S11" s="9">
        <v>3085528</v>
      </c>
      <c r="T11" s="51">
        <v>2334255</v>
      </c>
      <c r="U11" s="49">
        <v>1102079</v>
      </c>
      <c r="V11" s="49">
        <v>1232176</v>
      </c>
      <c r="W11" s="51">
        <f t="shared" si="31"/>
        <v>701817</v>
      </c>
      <c r="X11" s="49">
        <v>306462</v>
      </c>
      <c r="Y11" s="49">
        <v>395355</v>
      </c>
      <c r="Z11" s="52">
        <v>28258</v>
      </c>
      <c r="AA11" s="49">
        <v>13375</v>
      </c>
      <c r="AB11" s="49">
        <v>14883</v>
      </c>
      <c r="AC11" s="177">
        <v>19466</v>
      </c>
      <c r="AD11" s="177">
        <v>8220</v>
      </c>
      <c r="AE11" s="138">
        <v>11246</v>
      </c>
      <c r="AF11" s="99">
        <v>4023420</v>
      </c>
      <c r="AG11" s="53">
        <v>2997958</v>
      </c>
      <c r="AH11" s="78">
        <f t="shared" si="32"/>
        <v>2968205</v>
      </c>
      <c r="AI11" s="49">
        <v>1418694</v>
      </c>
      <c r="AJ11" s="49">
        <v>1549511</v>
      </c>
      <c r="AK11" s="51">
        <v>954209</v>
      </c>
      <c r="AL11" s="78">
        <f t="shared" si="33"/>
        <v>950868</v>
      </c>
      <c r="AM11" s="49">
        <v>417451</v>
      </c>
      <c r="AN11" s="49">
        <v>533417</v>
      </c>
      <c r="AO11" s="51">
        <v>52191</v>
      </c>
      <c r="AP11" s="50">
        <v>29362</v>
      </c>
      <c r="AQ11" s="49">
        <v>22829</v>
      </c>
      <c r="AR11" s="82">
        <f t="shared" si="34"/>
        <v>52156</v>
      </c>
      <c r="AS11" s="99">
        <v>5185965</v>
      </c>
      <c r="AT11" s="51">
        <v>3576248</v>
      </c>
      <c r="AU11" s="178">
        <v>1735538</v>
      </c>
      <c r="AV11" s="178">
        <v>1840710</v>
      </c>
      <c r="AW11" s="78">
        <f t="shared" si="35"/>
        <v>3472812</v>
      </c>
      <c r="AX11" s="49">
        <v>1674426</v>
      </c>
      <c r="AY11" s="50">
        <v>1798386</v>
      </c>
      <c r="AZ11" s="51">
        <v>1333161</v>
      </c>
      <c r="BA11" s="49">
        <v>598092</v>
      </c>
      <c r="BB11" s="49">
        <v>735069</v>
      </c>
      <c r="BC11" s="51">
        <v>213190</v>
      </c>
      <c r="BD11" s="49">
        <v>128243</v>
      </c>
      <c r="BE11" s="49">
        <v>84947</v>
      </c>
      <c r="BF11" s="177">
        <v>276556</v>
      </c>
      <c r="BG11" s="177">
        <v>147240</v>
      </c>
      <c r="BH11" s="138">
        <v>129316</v>
      </c>
      <c r="BI11" s="181">
        <v>6154545</v>
      </c>
      <c r="BJ11" s="50">
        <v>2927724</v>
      </c>
      <c r="BK11" s="50">
        <v>3226821</v>
      </c>
      <c r="BL11" s="57">
        <v>3968238</v>
      </c>
      <c r="BM11" s="57">
        <v>1927723</v>
      </c>
      <c r="BN11" s="57">
        <v>2040515</v>
      </c>
      <c r="BO11" s="57">
        <v>3737726</v>
      </c>
      <c r="BP11" s="57">
        <v>1803187</v>
      </c>
      <c r="BQ11" s="57">
        <v>1934539</v>
      </c>
      <c r="BR11" s="57">
        <v>1739498</v>
      </c>
      <c r="BS11" s="57">
        <v>774479</v>
      </c>
      <c r="BT11" s="57">
        <v>965019</v>
      </c>
      <c r="BU11" s="57">
        <v>418623</v>
      </c>
      <c r="BV11" s="57">
        <v>229571</v>
      </c>
      <c r="BW11" s="57">
        <v>189052</v>
      </c>
      <c r="BX11" s="138">
        <f t="shared" si="36"/>
        <v>446809</v>
      </c>
      <c r="BY11" s="57">
        <v>225522</v>
      </c>
      <c r="BZ11" s="57">
        <v>221287</v>
      </c>
      <c r="CA11" s="191">
        <v>5945347</v>
      </c>
      <c r="CB11" s="51">
        <v>3906838</v>
      </c>
      <c r="CC11" s="49">
        <v>1617445</v>
      </c>
      <c r="CD11" s="49">
        <v>421064</v>
      </c>
      <c r="CE11" s="49">
        <v>359478</v>
      </c>
      <c r="CF11" s="181">
        <v>6069802</v>
      </c>
      <c r="CG11" s="51">
        <v>3973866</v>
      </c>
      <c r="CH11" s="49">
        <v>1671508</v>
      </c>
      <c r="CI11" s="49">
        <v>424428</v>
      </c>
      <c r="CJ11" s="49">
        <v>377578</v>
      </c>
      <c r="CK11" s="56">
        <v>6155887</v>
      </c>
      <c r="CL11" s="54">
        <v>4009958</v>
      </c>
      <c r="CM11" s="55">
        <v>1719375</v>
      </c>
      <c r="CN11" s="55">
        <v>426554</v>
      </c>
      <c r="CO11" s="55">
        <v>389266</v>
      </c>
      <c r="CP11" s="56">
        <v>6154545</v>
      </c>
      <c r="CQ11" s="505">
        <v>3968238</v>
      </c>
      <c r="CR11" s="505">
        <v>1739498</v>
      </c>
      <c r="CS11" s="55">
        <v>446809</v>
      </c>
      <c r="CT11" s="505">
        <v>418623</v>
      </c>
      <c r="CU11" s="56">
        <v>6243020</v>
      </c>
      <c r="CV11" s="505">
        <v>4016700</v>
      </c>
      <c r="CW11" s="505">
        <v>1776855</v>
      </c>
      <c r="CX11" s="306">
        <f t="shared" si="37"/>
        <v>449465</v>
      </c>
      <c r="CY11" s="591">
        <v>437227</v>
      </c>
      <c r="CZ11" s="49">
        <v>6326651</v>
      </c>
      <c r="DA11" s="49">
        <v>4056186</v>
      </c>
      <c r="DB11" s="49">
        <v>1812411</v>
      </c>
      <c r="DC11" s="49">
        <v>458054</v>
      </c>
      <c r="DD11" s="594">
        <v>448846</v>
      </c>
      <c r="DE11" s="49">
        <v>6403956</v>
      </c>
      <c r="DF11" s="49">
        <v>3812750</v>
      </c>
      <c r="DG11" s="1">
        <v>1843831</v>
      </c>
      <c r="DH11" s="49">
        <v>460434</v>
      </c>
      <c r="DI11" s="49">
        <v>461061</v>
      </c>
      <c r="DJ11" s="49">
        <v>6683767</v>
      </c>
      <c r="DK11" s="49">
        <v>3880273</v>
      </c>
      <c r="DL11" s="49">
        <v>1973154</v>
      </c>
      <c r="DM11" s="730">
        <v>514449</v>
      </c>
      <c r="DN11" s="49">
        <v>491368</v>
      </c>
      <c r="DO11" s="49">
        <v>6785395</v>
      </c>
      <c r="DP11" s="49">
        <v>3895137</v>
      </c>
      <c r="DQ11" s="49">
        <v>2034955</v>
      </c>
      <c r="DR11" s="730">
        <v>549854</v>
      </c>
      <c r="DS11" s="49">
        <v>499428</v>
      </c>
    </row>
    <row r="12" spans="1:123" x14ac:dyDescent="0.2">
      <c r="A12" s="221" t="s">
        <v>5</v>
      </c>
      <c r="B12" s="528">
        <v>1440929</v>
      </c>
      <c r="C12" s="8">
        <v>1552505</v>
      </c>
      <c r="D12" s="48">
        <v>1609957</v>
      </c>
      <c r="E12" s="49">
        <v>723030</v>
      </c>
      <c r="F12" s="49">
        <v>770755</v>
      </c>
      <c r="G12" s="49">
        <v>54820</v>
      </c>
      <c r="H12" s="50">
        <v>61352</v>
      </c>
      <c r="I12" s="99">
        <v>1713298</v>
      </c>
      <c r="J12" s="138">
        <f t="shared" si="28"/>
        <v>1599747</v>
      </c>
      <c r="K12" s="49">
        <v>758138</v>
      </c>
      <c r="L12" s="49">
        <v>841609</v>
      </c>
      <c r="M12" s="138">
        <f t="shared" si="29"/>
        <v>111101</v>
      </c>
      <c r="N12" s="49">
        <v>49878</v>
      </c>
      <c r="O12" s="49">
        <v>61223</v>
      </c>
      <c r="P12" s="138">
        <f t="shared" si="30"/>
        <v>4299</v>
      </c>
      <c r="Q12" s="49">
        <v>2244</v>
      </c>
      <c r="R12" s="50">
        <v>2055</v>
      </c>
      <c r="S12" s="9">
        <v>2086692</v>
      </c>
      <c r="T12" s="51">
        <v>1938499</v>
      </c>
      <c r="U12" s="49">
        <v>916164</v>
      </c>
      <c r="V12" s="49">
        <v>1022335</v>
      </c>
      <c r="W12" s="51">
        <f t="shared" si="31"/>
        <v>126397</v>
      </c>
      <c r="X12" s="49">
        <v>56395</v>
      </c>
      <c r="Y12" s="49">
        <v>70002</v>
      </c>
      <c r="Z12" s="52">
        <v>12610</v>
      </c>
      <c r="AA12" s="49">
        <v>6045</v>
      </c>
      <c r="AB12" s="49">
        <v>6565</v>
      </c>
      <c r="AC12" s="177">
        <v>8796</v>
      </c>
      <c r="AD12" s="177">
        <v>3576</v>
      </c>
      <c r="AE12" s="138">
        <v>5220</v>
      </c>
      <c r="AF12" s="99">
        <v>2333833</v>
      </c>
      <c r="AG12" s="53">
        <v>2170449</v>
      </c>
      <c r="AH12" s="78">
        <f t="shared" si="32"/>
        <v>2163659</v>
      </c>
      <c r="AI12" s="49">
        <v>1016860</v>
      </c>
      <c r="AJ12" s="49">
        <v>1146799</v>
      </c>
      <c r="AK12" s="51">
        <v>146827</v>
      </c>
      <c r="AL12" s="78">
        <f t="shared" si="33"/>
        <v>146133</v>
      </c>
      <c r="AM12" s="49">
        <v>64491</v>
      </c>
      <c r="AN12" s="49">
        <v>81642</v>
      </c>
      <c r="AO12" s="51">
        <v>10150</v>
      </c>
      <c r="AP12" s="50">
        <v>5276</v>
      </c>
      <c r="AQ12" s="49">
        <v>4874</v>
      </c>
      <c r="AR12" s="82">
        <f t="shared" si="34"/>
        <v>13891</v>
      </c>
      <c r="AS12" s="99">
        <v>2646397</v>
      </c>
      <c r="AT12" s="51">
        <v>2419631</v>
      </c>
      <c r="AU12" s="178">
        <v>1151192</v>
      </c>
      <c r="AV12" s="178">
        <v>1268439</v>
      </c>
      <c r="AW12" s="78">
        <f t="shared" si="35"/>
        <v>2404049</v>
      </c>
      <c r="AX12" s="49">
        <v>1142178</v>
      </c>
      <c r="AY12" s="50">
        <v>1261871</v>
      </c>
      <c r="AZ12" s="51">
        <v>170321</v>
      </c>
      <c r="BA12" s="49">
        <v>79221</v>
      </c>
      <c r="BB12" s="49">
        <v>91100</v>
      </c>
      <c r="BC12" s="51">
        <v>28131</v>
      </c>
      <c r="BD12" s="49">
        <v>17218</v>
      </c>
      <c r="BE12" s="49">
        <v>10913</v>
      </c>
      <c r="BF12" s="177">
        <v>56445</v>
      </c>
      <c r="BG12" s="177">
        <v>29012</v>
      </c>
      <c r="BH12" s="138">
        <v>27433</v>
      </c>
      <c r="BI12" s="181">
        <v>2879829</v>
      </c>
      <c r="BJ12" s="50">
        <v>1384210</v>
      </c>
      <c r="BK12" s="50">
        <v>1495619</v>
      </c>
      <c r="BL12" s="57">
        <v>2599546</v>
      </c>
      <c r="BM12" s="57">
        <v>1248630</v>
      </c>
      <c r="BN12" s="57">
        <v>1350916</v>
      </c>
      <c r="BO12" s="57">
        <v>2564470</v>
      </c>
      <c r="BP12" s="57">
        <v>1229792</v>
      </c>
      <c r="BQ12" s="57">
        <v>1334678</v>
      </c>
      <c r="BR12" s="57">
        <v>200327</v>
      </c>
      <c r="BS12" s="57">
        <v>95027</v>
      </c>
      <c r="BT12" s="57">
        <v>105300</v>
      </c>
      <c r="BU12" s="57">
        <v>59210</v>
      </c>
      <c r="BV12" s="57">
        <v>33166</v>
      </c>
      <c r="BW12" s="57">
        <v>26044</v>
      </c>
      <c r="BX12" s="138">
        <f t="shared" si="36"/>
        <v>79956</v>
      </c>
      <c r="BY12" s="57">
        <v>40553</v>
      </c>
      <c r="BZ12" s="57">
        <v>39403</v>
      </c>
      <c r="CA12" s="191">
        <v>2808673</v>
      </c>
      <c r="CB12" s="51">
        <v>2555335</v>
      </c>
      <c r="CC12" s="49">
        <v>186256</v>
      </c>
      <c r="CD12" s="49">
        <v>67082</v>
      </c>
      <c r="CE12" s="49">
        <v>44119</v>
      </c>
      <c r="CF12" s="181">
        <v>2840521</v>
      </c>
      <c r="CG12" s="51">
        <v>2582511</v>
      </c>
      <c r="CH12" s="49">
        <v>188277</v>
      </c>
      <c r="CI12" s="49">
        <v>69733</v>
      </c>
      <c r="CJ12" s="49">
        <v>46429</v>
      </c>
      <c r="CK12" s="56">
        <v>2853559</v>
      </c>
      <c r="CL12" s="54">
        <v>2587562</v>
      </c>
      <c r="CM12" s="55">
        <v>191594</v>
      </c>
      <c r="CN12" s="55">
        <v>74403</v>
      </c>
      <c r="CO12" s="55">
        <v>49728</v>
      </c>
      <c r="CP12" s="56">
        <v>2879829</v>
      </c>
      <c r="CQ12" s="505">
        <v>2599546</v>
      </c>
      <c r="CR12" s="505">
        <v>200327</v>
      </c>
      <c r="CS12" s="55">
        <v>79956</v>
      </c>
      <c r="CT12" s="505">
        <v>59210</v>
      </c>
      <c r="CU12" s="56">
        <v>2902918</v>
      </c>
      <c r="CV12" s="505">
        <v>2615442</v>
      </c>
      <c r="CW12" s="505">
        <v>205571</v>
      </c>
      <c r="CX12" s="306">
        <f t="shared" si="37"/>
        <v>81905</v>
      </c>
      <c r="CY12" s="591">
        <v>62299</v>
      </c>
      <c r="CZ12" s="49">
        <v>2922675</v>
      </c>
      <c r="DA12" s="49">
        <v>2629294</v>
      </c>
      <c r="DB12" s="49">
        <v>207680</v>
      </c>
      <c r="DC12" s="49">
        <v>84965</v>
      </c>
      <c r="DD12" s="594">
        <v>66113</v>
      </c>
      <c r="DE12" s="49">
        <v>2937179</v>
      </c>
      <c r="DF12" s="49">
        <v>2596287</v>
      </c>
      <c r="DG12" s="1">
        <v>210236</v>
      </c>
      <c r="DH12" s="49">
        <v>87280</v>
      </c>
      <c r="DI12" s="49">
        <v>68177</v>
      </c>
      <c r="DJ12" s="49">
        <v>2988790</v>
      </c>
      <c r="DK12" s="49">
        <v>2621431</v>
      </c>
      <c r="DL12" s="49">
        <v>223191</v>
      </c>
      <c r="DM12" s="730">
        <v>94074</v>
      </c>
      <c r="DN12" s="49">
        <v>70554</v>
      </c>
      <c r="DO12" s="49">
        <v>2995509</v>
      </c>
      <c r="DP12" s="49">
        <v>2626648</v>
      </c>
      <c r="DQ12" s="49">
        <v>223064</v>
      </c>
      <c r="DR12" s="730">
        <v>96817</v>
      </c>
      <c r="DS12" s="49">
        <v>72292</v>
      </c>
    </row>
    <row r="13" spans="1:123" x14ac:dyDescent="0.2">
      <c r="A13" s="221" t="s">
        <v>6</v>
      </c>
      <c r="B13" s="528">
        <v>1204647</v>
      </c>
      <c r="C13" s="8">
        <v>1415145</v>
      </c>
      <c r="D13" s="48">
        <v>1639215</v>
      </c>
      <c r="E13" s="49">
        <v>569406</v>
      </c>
      <c r="F13" s="49">
        <v>606148</v>
      </c>
      <c r="G13" s="49">
        <v>212029</v>
      </c>
      <c r="H13" s="50">
        <v>251632</v>
      </c>
      <c r="I13" s="99">
        <v>1809914</v>
      </c>
      <c r="J13" s="138">
        <f t="shared" si="28"/>
        <v>1335486</v>
      </c>
      <c r="K13" s="49">
        <v>634495</v>
      </c>
      <c r="L13" s="49">
        <v>700991</v>
      </c>
      <c r="M13" s="138">
        <f t="shared" si="29"/>
        <v>469899</v>
      </c>
      <c r="N13" s="49">
        <v>209408</v>
      </c>
      <c r="O13" s="49">
        <v>260491</v>
      </c>
      <c r="P13" s="138">
        <f t="shared" si="30"/>
        <v>32123</v>
      </c>
      <c r="Q13" s="49">
        <v>15578</v>
      </c>
      <c r="R13" s="50">
        <v>16545</v>
      </c>
      <c r="S13" s="9">
        <v>2281481</v>
      </c>
      <c r="T13" s="51">
        <v>1635229</v>
      </c>
      <c r="U13" s="49">
        <v>780790</v>
      </c>
      <c r="V13" s="49">
        <v>854439</v>
      </c>
      <c r="W13" s="51">
        <f t="shared" si="31"/>
        <v>577085</v>
      </c>
      <c r="X13" s="49">
        <v>253416</v>
      </c>
      <c r="Y13" s="49">
        <v>323669</v>
      </c>
      <c r="Z13" s="52">
        <v>49861</v>
      </c>
      <c r="AA13" s="49">
        <v>23434</v>
      </c>
      <c r="AB13" s="49">
        <v>26427</v>
      </c>
      <c r="AC13" s="177">
        <v>17575</v>
      </c>
      <c r="AD13" s="177">
        <v>8508</v>
      </c>
      <c r="AE13" s="138">
        <v>9067</v>
      </c>
      <c r="AF13" s="99">
        <v>2536994</v>
      </c>
      <c r="AG13" s="53">
        <v>1813602</v>
      </c>
      <c r="AH13" s="78">
        <f t="shared" si="32"/>
        <v>1775436</v>
      </c>
      <c r="AI13" s="49">
        <v>843797</v>
      </c>
      <c r="AJ13" s="49">
        <v>931639</v>
      </c>
      <c r="AK13" s="51">
        <v>678809</v>
      </c>
      <c r="AL13" s="78">
        <f t="shared" si="33"/>
        <v>675611</v>
      </c>
      <c r="AM13" s="49">
        <v>293951</v>
      </c>
      <c r="AN13" s="49">
        <v>381660</v>
      </c>
      <c r="AO13" s="51">
        <v>53137</v>
      </c>
      <c r="AP13" s="50">
        <v>25252</v>
      </c>
      <c r="AQ13" s="49">
        <v>27885</v>
      </c>
      <c r="AR13" s="82">
        <f t="shared" si="34"/>
        <v>32810</v>
      </c>
      <c r="AS13" s="99">
        <v>2775468</v>
      </c>
      <c r="AT13" s="51">
        <v>1896770</v>
      </c>
      <c r="AU13" s="178">
        <v>908316</v>
      </c>
      <c r="AV13" s="178">
        <v>988454</v>
      </c>
      <c r="AW13" s="78">
        <f t="shared" si="35"/>
        <v>1858253</v>
      </c>
      <c r="AX13" s="49">
        <v>889572</v>
      </c>
      <c r="AY13" s="50">
        <v>968681</v>
      </c>
      <c r="AZ13" s="51">
        <v>784799</v>
      </c>
      <c r="BA13" s="49">
        <v>348557</v>
      </c>
      <c r="BB13" s="49">
        <v>436242</v>
      </c>
      <c r="BC13" s="51">
        <v>63345</v>
      </c>
      <c r="BD13" s="49">
        <v>31205</v>
      </c>
      <c r="BE13" s="49">
        <v>32140</v>
      </c>
      <c r="BF13" s="177">
        <v>93899</v>
      </c>
      <c r="BG13" s="177">
        <v>46454</v>
      </c>
      <c r="BH13" s="138">
        <v>47445</v>
      </c>
      <c r="BI13" s="181">
        <v>2900712</v>
      </c>
      <c r="BJ13" s="50">
        <v>1387668</v>
      </c>
      <c r="BK13" s="50">
        <v>1513044</v>
      </c>
      <c r="BL13" s="57">
        <v>1947396</v>
      </c>
      <c r="BM13" s="57">
        <v>946616</v>
      </c>
      <c r="BN13" s="57">
        <v>1000780</v>
      </c>
      <c r="BO13" s="57">
        <v>1876912</v>
      </c>
      <c r="BP13" s="57">
        <v>907846</v>
      </c>
      <c r="BQ13" s="57">
        <v>969066</v>
      </c>
      <c r="BR13" s="57">
        <v>836423</v>
      </c>
      <c r="BS13" s="57">
        <v>381174</v>
      </c>
      <c r="BT13" s="57">
        <v>455249</v>
      </c>
      <c r="BU13" s="57">
        <v>106388</v>
      </c>
      <c r="BV13" s="57">
        <v>59578</v>
      </c>
      <c r="BW13" s="57">
        <v>46810</v>
      </c>
      <c r="BX13" s="138">
        <f t="shared" si="36"/>
        <v>116893</v>
      </c>
      <c r="BY13" s="57">
        <v>59878</v>
      </c>
      <c r="BZ13" s="57">
        <v>57015</v>
      </c>
      <c r="CA13" s="191">
        <v>2766825</v>
      </c>
      <c r="CB13" s="51">
        <v>1879849</v>
      </c>
      <c r="CC13" s="49">
        <v>786314</v>
      </c>
      <c r="CD13" s="49">
        <v>100662</v>
      </c>
      <c r="CE13" s="49">
        <v>77921</v>
      </c>
      <c r="CF13" s="181">
        <v>2750274</v>
      </c>
      <c r="CG13" s="51">
        <v>1892021</v>
      </c>
      <c r="CH13" s="49">
        <v>757558</v>
      </c>
      <c r="CI13" s="49">
        <v>100695</v>
      </c>
      <c r="CJ13" s="49">
        <v>80378</v>
      </c>
      <c r="CK13" s="56">
        <v>2846792</v>
      </c>
      <c r="CL13" s="54">
        <v>1935347</v>
      </c>
      <c r="CM13" s="55">
        <v>809693</v>
      </c>
      <c r="CN13" s="55">
        <v>101752</v>
      </c>
      <c r="CO13" s="55">
        <v>88342</v>
      </c>
      <c r="CP13" s="56">
        <v>2900712</v>
      </c>
      <c r="CQ13" s="505">
        <v>1947396</v>
      </c>
      <c r="CR13" s="505">
        <v>836423</v>
      </c>
      <c r="CS13" s="55">
        <v>116893</v>
      </c>
      <c r="CT13" s="505">
        <v>106388</v>
      </c>
      <c r="CU13" s="56">
        <v>2943594</v>
      </c>
      <c r="CV13" s="505">
        <v>1965984</v>
      </c>
      <c r="CW13" s="505">
        <v>852775</v>
      </c>
      <c r="CX13" s="306">
        <f t="shared" si="37"/>
        <v>124835</v>
      </c>
      <c r="CY13" s="591">
        <v>113964</v>
      </c>
      <c r="CZ13" s="49">
        <v>2980393</v>
      </c>
      <c r="DA13" s="49">
        <v>1985974</v>
      </c>
      <c r="DB13" s="49">
        <v>865553</v>
      </c>
      <c r="DC13" s="49">
        <v>127254</v>
      </c>
      <c r="DD13" s="594">
        <v>120768</v>
      </c>
      <c r="DE13" s="49">
        <v>3010361</v>
      </c>
      <c r="DF13" s="49">
        <v>1917243</v>
      </c>
      <c r="DG13" s="1">
        <v>876450</v>
      </c>
      <c r="DH13" s="49">
        <v>127952</v>
      </c>
      <c r="DI13" s="49">
        <v>125390</v>
      </c>
      <c r="DJ13" s="49">
        <v>3095255</v>
      </c>
      <c r="DK13" s="49">
        <v>1945585</v>
      </c>
      <c r="DL13" s="49">
        <v>914644</v>
      </c>
      <c r="DM13" s="730">
        <v>138761</v>
      </c>
      <c r="DN13" s="49">
        <v>135643</v>
      </c>
      <c r="DO13" s="49">
        <v>3115020</v>
      </c>
      <c r="DP13" s="49">
        <v>1950539</v>
      </c>
      <c r="DQ13" s="49">
        <v>930771</v>
      </c>
      <c r="DR13" s="730">
        <v>145845</v>
      </c>
      <c r="DS13" s="49">
        <v>136193</v>
      </c>
    </row>
    <row r="14" spans="1:123" x14ac:dyDescent="0.2">
      <c r="A14" s="221" t="s">
        <v>7</v>
      </c>
      <c r="B14" s="528">
        <v>1054688</v>
      </c>
      <c r="C14" s="8">
        <v>1362490</v>
      </c>
      <c r="D14" s="48">
        <v>1692562</v>
      </c>
      <c r="E14" s="49">
        <v>694881</v>
      </c>
      <c r="F14" s="49">
        <v>740719</v>
      </c>
      <c r="G14" s="49">
        <v>125515</v>
      </c>
      <c r="H14" s="50">
        <v>131447</v>
      </c>
      <c r="I14" s="99">
        <v>2082549</v>
      </c>
      <c r="J14" s="138">
        <f t="shared" si="28"/>
        <v>1746979</v>
      </c>
      <c r="K14" s="49">
        <v>834194</v>
      </c>
      <c r="L14" s="49">
        <v>912785</v>
      </c>
      <c r="M14" s="138">
        <f t="shared" si="29"/>
        <v>322508</v>
      </c>
      <c r="N14" s="49">
        <v>151524</v>
      </c>
      <c r="O14" s="49">
        <v>170984</v>
      </c>
      <c r="P14" s="138">
        <f t="shared" si="30"/>
        <v>24319</v>
      </c>
      <c r="Q14" s="49">
        <v>11808</v>
      </c>
      <c r="R14" s="50">
        <v>12511</v>
      </c>
      <c r="S14" s="9">
        <v>2499096</v>
      </c>
      <c r="T14" s="51">
        <v>1930154</v>
      </c>
      <c r="U14" s="49">
        <v>914634</v>
      </c>
      <c r="V14" s="49">
        <v>1015520</v>
      </c>
      <c r="W14" s="51">
        <f t="shared" si="31"/>
        <v>491502</v>
      </c>
      <c r="X14" s="49">
        <v>222784</v>
      </c>
      <c r="Y14" s="49">
        <v>268718</v>
      </c>
      <c r="Z14" s="52">
        <v>32628</v>
      </c>
      <c r="AA14" s="49">
        <v>14907</v>
      </c>
      <c r="AB14" s="49">
        <v>17721</v>
      </c>
      <c r="AC14" s="177">
        <v>41810</v>
      </c>
      <c r="AD14" s="177">
        <v>19492</v>
      </c>
      <c r="AE14" s="138">
        <v>22318</v>
      </c>
      <c r="AF14" s="99">
        <v>3122665</v>
      </c>
      <c r="AG14" s="53">
        <v>2299041</v>
      </c>
      <c r="AH14" s="78">
        <f t="shared" si="32"/>
        <v>2260526</v>
      </c>
      <c r="AI14" s="49">
        <v>1082145</v>
      </c>
      <c r="AJ14" s="49">
        <v>1178381</v>
      </c>
      <c r="AK14" s="51">
        <v>707379</v>
      </c>
      <c r="AL14" s="78">
        <f t="shared" si="33"/>
        <v>702460</v>
      </c>
      <c r="AM14" s="49">
        <v>315912</v>
      </c>
      <c r="AN14" s="49">
        <v>386548</v>
      </c>
      <c r="AO14" s="51">
        <v>66901</v>
      </c>
      <c r="AP14" s="50">
        <v>32786</v>
      </c>
      <c r="AQ14" s="49">
        <v>34115</v>
      </c>
      <c r="AR14" s="82">
        <f t="shared" si="34"/>
        <v>92778</v>
      </c>
      <c r="AS14" s="99">
        <v>3495595</v>
      </c>
      <c r="AT14" s="51">
        <v>2346587</v>
      </c>
      <c r="AU14" s="178">
        <v>1119496</v>
      </c>
      <c r="AV14" s="178">
        <v>1227091</v>
      </c>
      <c r="AW14" s="78">
        <f t="shared" si="35"/>
        <v>2285532</v>
      </c>
      <c r="AX14" s="49">
        <v>1089429</v>
      </c>
      <c r="AY14" s="50">
        <v>1196103</v>
      </c>
      <c r="AZ14" s="51">
        <v>894968</v>
      </c>
      <c r="BA14" s="49">
        <v>396614</v>
      </c>
      <c r="BB14" s="49">
        <v>498354</v>
      </c>
      <c r="BC14" s="51">
        <v>124429</v>
      </c>
      <c r="BD14" s="49">
        <v>62149</v>
      </c>
      <c r="BE14" s="49">
        <v>62280</v>
      </c>
      <c r="BF14" s="177">
        <v>254040</v>
      </c>
      <c r="BG14" s="177">
        <v>121151</v>
      </c>
      <c r="BH14" s="138">
        <v>132889</v>
      </c>
      <c r="BI14" s="181">
        <v>3826074</v>
      </c>
      <c r="BJ14" s="50">
        <v>1799720</v>
      </c>
      <c r="BK14" s="50">
        <v>2026354</v>
      </c>
      <c r="BL14" s="57">
        <v>2385383</v>
      </c>
      <c r="BM14" s="57">
        <v>1146361</v>
      </c>
      <c r="BN14" s="57">
        <v>1239022</v>
      </c>
      <c r="BO14" s="57">
        <v>2249904</v>
      </c>
      <c r="BP14" s="57">
        <v>1077007</v>
      </c>
      <c r="BQ14" s="57">
        <v>1172897</v>
      </c>
      <c r="BR14" s="57">
        <v>1058905</v>
      </c>
      <c r="BS14" s="57">
        <v>468929</v>
      </c>
      <c r="BT14" s="57">
        <v>589976</v>
      </c>
      <c r="BU14" s="57">
        <v>252330</v>
      </c>
      <c r="BV14" s="57">
        <v>131990</v>
      </c>
      <c r="BW14" s="57">
        <v>120340</v>
      </c>
      <c r="BX14" s="138">
        <f t="shared" si="36"/>
        <v>381786</v>
      </c>
      <c r="BY14" s="57">
        <v>184430</v>
      </c>
      <c r="BZ14" s="57">
        <v>197356</v>
      </c>
      <c r="CA14" s="191">
        <v>3699555</v>
      </c>
      <c r="CB14" s="51">
        <v>2361630</v>
      </c>
      <c r="CC14" s="49">
        <v>1000748</v>
      </c>
      <c r="CD14" s="49">
        <v>337177</v>
      </c>
      <c r="CE14" s="49">
        <v>190933</v>
      </c>
      <c r="CF14" s="181">
        <v>3724359</v>
      </c>
      <c r="CG14" s="51">
        <v>2374619</v>
      </c>
      <c r="CH14" s="49">
        <v>1013175</v>
      </c>
      <c r="CI14" s="49">
        <v>336565</v>
      </c>
      <c r="CJ14" s="49">
        <v>199913</v>
      </c>
      <c r="CK14" s="56">
        <v>3765056</v>
      </c>
      <c r="CL14" s="54">
        <v>2379129</v>
      </c>
      <c r="CM14" s="55">
        <v>1035588</v>
      </c>
      <c r="CN14" s="55">
        <v>350339</v>
      </c>
      <c r="CO14" s="55">
        <v>216267</v>
      </c>
      <c r="CP14" s="56">
        <v>3826074</v>
      </c>
      <c r="CQ14" s="505">
        <v>2385383</v>
      </c>
      <c r="CR14" s="505">
        <v>1058905</v>
      </c>
      <c r="CS14" s="55">
        <v>381786</v>
      </c>
      <c r="CT14" s="505">
        <v>252330</v>
      </c>
      <c r="CU14" s="56">
        <v>3872031</v>
      </c>
      <c r="CV14" s="505">
        <v>2395795</v>
      </c>
      <c r="CW14" s="505">
        <v>1078556</v>
      </c>
      <c r="CX14" s="306">
        <f t="shared" si="37"/>
        <v>397680</v>
      </c>
      <c r="CY14" s="591">
        <v>264657</v>
      </c>
      <c r="CZ14" s="49">
        <v>3922966</v>
      </c>
      <c r="DA14" s="49">
        <v>2412909</v>
      </c>
      <c r="DB14" s="49">
        <v>1095961</v>
      </c>
      <c r="DC14" s="49">
        <v>414096</v>
      </c>
      <c r="DD14" s="594">
        <v>277050</v>
      </c>
      <c r="DE14" s="49">
        <v>3970798</v>
      </c>
      <c r="DF14" s="49">
        <v>2275216</v>
      </c>
      <c r="DG14" s="1">
        <v>1113771</v>
      </c>
      <c r="DH14" s="49">
        <v>432918</v>
      </c>
      <c r="DI14" s="49">
        <v>289361</v>
      </c>
      <c r="DJ14" s="49">
        <v>4102486</v>
      </c>
      <c r="DK14" s="49">
        <v>2272082</v>
      </c>
      <c r="DL14" s="49">
        <v>1169317</v>
      </c>
      <c r="DM14" s="730">
        <v>499383</v>
      </c>
      <c r="DN14" s="49">
        <v>321985</v>
      </c>
      <c r="DO14" s="49">
        <v>4122508</v>
      </c>
      <c r="DP14" s="49">
        <v>2262748</v>
      </c>
      <c r="DQ14" s="49">
        <v>1191325</v>
      </c>
      <c r="DR14" s="730">
        <v>492902</v>
      </c>
      <c r="DS14" s="49">
        <v>329396</v>
      </c>
    </row>
    <row r="15" spans="1:123" x14ac:dyDescent="0.2">
      <c r="A15" s="221" t="s">
        <v>8</v>
      </c>
      <c r="B15" s="528">
        <v>1043584</v>
      </c>
      <c r="C15" s="8">
        <v>1073260</v>
      </c>
      <c r="D15" s="48">
        <v>1064976</v>
      </c>
      <c r="E15" s="49">
        <v>329133</v>
      </c>
      <c r="F15" s="49">
        <v>352826</v>
      </c>
      <c r="G15" s="49">
        <v>173898</v>
      </c>
      <c r="H15" s="50">
        <v>209119</v>
      </c>
      <c r="I15" s="99">
        <v>1111789</v>
      </c>
      <c r="J15" s="138">
        <f t="shared" si="28"/>
        <v>767465</v>
      </c>
      <c r="K15" s="49">
        <v>363480</v>
      </c>
      <c r="L15" s="49">
        <v>403985</v>
      </c>
      <c r="M15" s="138">
        <f t="shared" si="29"/>
        <v>341539</v>
      </c>
      <c r="N15" s="49">
        <v>151520</v>
      </c>
      <c r="O15" s="49">
        <v>190019</v>
      </c>
      <c r="P15" s="138">
        <f t="shared" si="30"/>
        <v>3500</v>
      </c>
      <c r="Q15" s="49">
        <v>1770</v>
      </c>
      <c r="R15" s="50">
        <v>1730</v>
      </c>
      <c r="S15" s="9">
        <v>1367792</v>
      </c>
      <c r="T15" s="51">
        <v>953267</v>
      </c>
      <c r="U15" s="49">
        <v>448481</v>
      </c>
      <c r="V15" s="49">
        <v>504786</v>
      </c>
      <c r="W15" s="51">
        <f t="shared" si="31"/>
        <v>396276</v>
      </c>
      <c r="X15" s="49">
        <v>173374</v>
      </c>
      <c r="Y15" s="49">
        <v>222902</v>
      </c>
      <c r="Z15" s="52">
        <v>10791</v>
      </c>
      <c r="AA15" s="49">
        <v>4975</v>
      </c>
      <c r="AB15" s="49">
        <v>5816</v>
      </c>
      <c r="AC15" s="177">
        <v>7098</v>
      </c>
      <c r="AD15" s="177">
        <v>3017</v>
      </c>
      <c r="AE15" s="138">
        <v>4081</v>
      </c>
      <c r="AF15" s="99">
        <v>1538997</v>
      </c>
      <c r="AG15" s="53">
        <v>1062133</v>
      </c>
      <c r="AH15" s="78">
        <f t="shared" si="32"/>
        <v>1057109</v>
      </c>
      <c r="AI15" s="49">
        <v>498157</v>
      </c>
      <c r="AJ15" s="49">
        <v>558952</v>
      </c>
      <c r="AK15" s="51">
        <v>463860</v>
      </c>
      <c r="AL15" s="78">
        <f t="shared" si="33"/>
        <v>462835</v>
      </c>
      <c r="AM15" s="49">
        <v>199051</v>
      </c>
      <c r="AN15" s="49">
        <v>263784</v>
      </c>
      <c r="AO15" s="51">
        <v>7766</v>
      </c>
      <c r="AP15" s="50">
        <v>3840</v>
      </c>
      <c r="AQ15" s="49">
        <v>3926</v>
      </c>
      <c r="AR15" s="82">
        <f t="shared" si="34"/>
        <v>11287</v>
      </c>
      <c r="AS15" s="99">
        <v>1757517</v>
      </c>
      <c r="AT15" s="51">
        <v>1170083</v>
      </c>
      <c r="AU15" s="178">
        <v>559031</v>
      </c>
      <c r="AV15" s="178">
        <v>611052</v>
      </c>
      <c r="AW15" s="78">
        <f t="shared" si="35"/>
        <v>1160401</v>
      </c>
      <c r="AX15" s="49">
        <v>553570</v>
      </c>
      <c r="AY15" s="50">
        <v>606831</v>
      </c>
      <c r="AZ15" s="51">
        <v>552617</v>
      </c>
      <c r="BA15" s="49">
        <v>243779</v>
      </c>
      <c r="BB15" s="49">
        <v>308838</v>
      </c>
      <c r="BC15" s="51">
        <v>19769</v>
      </c>
      <c r="BD15" s="49">
        <v>11250</v>
      </c>
      <c r="BE15" s="49">
        <v>8519</v>
      </c>
      <c r="BF15" s="177">
        <v>34817</v>
      </c>
      <c r="BG15" s="177">
        <v>17151</v>
      </c>
      <c r="BH15" s="138">
        <v>17666</v>
      </c>
      <c r="BI15" s="181">
        <v>1890674</v>
      </c>
      <c r="BJ15" s="50">
        <v>893122</v>
      </c>
      <c r="BK15" s="50">
        <v>997552</v>
      </c>
      <c r="BL15" s="57">
        <v>1210578</v>
      </c>
      <c r="BM15" s="57">
        <v>585049</v>
      </c>
      <c r="BN15" s="57">
        <v>625529</v>
      </c>
      <c r="BO15" s="57">
        <v>1187826</v>
      </c>
      <c r="BP15" s="57">
        <v>571984</v>
      </c>
      <c r="BQ15" s="57">
        <v>615842</v>
      </c>
      <c r="BR15" s="57">
        <v>630289</v>
      </c>
      <c r="BS15" s="57">
        <v>282918</v>
      </c>
      <c r="BT15" s="57">
        <v>347371</v>
      </c>
      <c r="BU15" s="57">
        <v>37822</v>
      </c>
      <c r="BV15" s="57">
        <v>22335</v>
      </c>
      <c r="BW15" s="57">
        <v>15487</v>
      </c>
      <c r="BX15" s="138">
        <f t="shared" si="36"/>
        <v>49807</v>
      </c>
      <c r="BY15" s="57">
        <v>25155</v>
      </c>
      <c r="BZ15" s="57">
        <v>24652</v>
      </c>
      <c r="CA15" s="191">
        <v>1829680</v>
      </c>
      <c r="CB15" s="51">
        <v>1186227</v>
      </c>
      <c r="CC15" s="49">
        <v>602006</v>
      </c>
      <c r="CD15" s="49">
        <v>41447</v>
      </c>
      <c r="CE15" s="49">
        <v>26233</v>
      </c>
      <c r="CF15" s="181">
        <v>1845409</v>
      </c>
      <c r="CG15" s="51">
        <v>1188854</v>
      </c>
      <c r="CH15" s="49">
        <v>614531</v>
      </c>
      <c r="CI15" s="49">
        <v>42024</v>
      </c>
      <c r="CJ15" s="49">
        <v>28208</v>
      </c>
      <c r="CK15" s="56">
        <v>1855677</v>
      </c>
      <c r="CL15" s="54">
        <v>1188247</v>
      </c>
      <c r="CM15" s="55">
        <v>621322</v>
      </c>
      <c r="CN15" s="55">
        <v>46108</v>
      </c>
      <c r="CO15" s="55">
        <v>31729</v>
      </c>
      <c r="CP15" s="56">
        <v>1890674</v>
      </c>
      <c r="CQ15" s="505">
        <v>1210578</v>
      </c>
      <c r="CR15" s="505">
        <v>630289</v>
      </c>
      <c r="CS15" s="55">
        <v>49807</v>
      </c>
      <c r="CT15" s="505">
        <v>37822</v>
      </c>
      <c r="CU15" s="56">
        <v>1904657</v>
      </c>
      <c r="CV15" s="505">
        <v>1215722</v>
      </c>
      <c r="CW15" s="505">
        <v>636480</v>
      </c>
      <c r="CX15" s="306">
        <f t="shared" si="37"/>
        <v>52455</v>
      </c>
      <c r="CY15" s="591">
        <v>42198</v>
      </c>
      <c r="CZ15" s="49">
        <v>1914622</v>
      </c>
      <c r="DA15" s="49">
        <v>1217402</v>
      </c>
      <c r="DB15" s="49">
        <v>648086</v>
      </c>
      <c r="DC15" s="49">
        <v>48931</v>
      </c>
      <c r="DD15" s="594">
        <v>42171</v>
      </c>
      <c r="DE15" s="49">
        <v>1928088</v>
      </c>
      <c r="DF15" s="49">
        <v>1192657</v>
      </c>
      <c r="DG15" s="1">
        <v>656202</v>
      </c>
      <c r="DH15" s="49">
        <v>51325</v>
      </c>
      <c r="DI15" s="49">
        <v>45715</v>
      </c>
      <c r="DJ15" s="49">
        <v>1952337</v>
      </c>
      <c r="DK15" s="49">
        <v>1192659</v>
      </c>
      <c r="DL15" s="49">
        <v>674020</v>
      </c>
      <c r="DM15" s="730">
        <v>56429</v>
      </c>
      <c r="DN15" s="49">
        <v>46689</v>
      </c>
      <c r="DO15" s="49">
        <v>1957022</v>
      </c>
      <c r="DP15" s="49">
        <v>1191441</v>
      </c>
      <c r="DQ15" s="49">
        <v>686306</v>
      </c>
      <c r="DR15" s="730">
        <v>55045</v>
      </c>
      <c r="DS15" s="49">
        <v>41837</v>
      </c>
    </row>
    <row r="16" spans="1:123" x14ac:dyDescent="0.2">
      <c r="A16" s="221" t="s">
        <v>9</v>
      </c>
      <c r="B16" s="528">
        <v>1649820</v>
      </c>
      <c r="C16" s="8">
        <v>2020140</v>
      </c>
      <c r="D16" s="48">
        <v>2307171</v>
      </c>
      <c r="E16" s="49">
        <v>870006</v>
      </c>
      <c r="F16" s="49">
        <v>940776</v>
      </c>
      <c r="G16" s="49">
        <v>230613</v>
      </c>
      <c r="H16" s="50">
        <v>265776</v>
      </c>
      <c r="I16" s="99">
        <v>2646272</v>
      </c>
      <c r="J16" s="138">
        <f t="shared" si="28"/>
        <v>2129774</v>
      </c>
      <c r="K16" s="49">
        <v>1006635</v>
      </c>
      <c r="L16" s="49">
        <v>1123139</v>
      </c>
      <c r="M16" s="138">
        <f t="shared" si="29"/>
        <v>495857</v>
      </c>
      <c r="N16" s="49">
        <v>225165</v>
      </c>
      <c r="O16" s="49">
        <v>270692</v>
      </c>
      <c r="P16" s="138">
        <f t="shared" si="30"/>
        <v>7833</v>
      </c>
      <c r="Q16" s="49">
        <v>4089</v>
      </c>
      <c r="R16" s="50">
        <v>3744</v>
      </c>
      <c r="S16" s="9">
        <v>3403219</v>
      </c>
      <c r="T16" s="51">
        <v>2688364</v>
      </c>
      <c r="U16" s="49">
        <v>1263552</v>
      </c>
      <c r="V16" s="49">
        <v>1424812</v>
      </c>
      <c r="W16" s="51">
        <f t="shared" si="31"/>
        <v>646267</v>
      </c>
      <c r="X16" s="49">
        <v>288284</v>
      </c>
      <c r="Y16" s="49">
        <v>357983</v>
      </c>
      <c r="Z16" s="52">
        <v>25127</v>
      </c>
      <c r="AA16" s="49">
        <v>11988</v>
      </c>
      <c r="AB16" s="49">
        <v>13139</v>
      </c>
      <c r="AC16" s="177">
        <v>42081</v>
      </c>
      <c r="AD16" s="177">
        <v>18792</v>
      </c>
      <c r="AE16" s="138">
        <v>23289</v>
      </c>
      <c r="AF16" s="99">
        <v>4253494</v>
      </c>
      <c r="AG16" s="53">
        <v>3343688</v>
      </c>
      <c r="AH16" s="78">
        <f t="shared" si="32"/>
        <v>3325862</v>
      </c>
      <c r="AI16" s="49">
        <v>1579217</v>
      </c>
      <c r="AJ16" s="49">
        <v>1746645</v>
      </c>
      <c r="AK16" s="51">
        <v>822754</v>
      </c>
      <c r="AL16" s="78">
        <f t="shared" si="33"/>
        <v>820174</v>
      </c>
      <c r="AM16" s="49">
        <v>361133</v>
      </c>
      <c r="AN16" s="49">
        <v>459041</v>
      </c>
      <c r="AO16" s="51">
        <v>33761</v>
      </c>
      <c r="AP16" s="50">
        <v>18534</v>
      </c>
      <c r="AQ16" s="49">
        <v>15227</v>
      </c>
      <c r="AR16" s="82">
        <f t="shared" si="34"/>
        <v>73697</v>
      </c>
      <c r="AS16" s="99">
        <v>5282994</v>
      </c>
      <c r="AT16" s="51">
        <v>3995351</v>
      </c>
      <c r="AU16" s="178">
        <v>1917559</v>
      </c>
      <c r="AV16" s="178">
        <v>2077792</v>
      </c>
      <c r="AW16" s="78">
        <f t="shared" si="35"/>
        <v>3920336</v>
      </c>
      <c r="AX16" s="49">
        <v>1873207</v>
      </c>
      <c r="AY16" s="50">
        <v>2047129</v>
      </c>
      <c r="AZ16" s="51">
        <v>1025276</v>
      </c>
      <c r="BA16" s="49">
        <v>458381</v>
      </c>
      <c r="BB16" s="49">
        <v>566895</v>
      </c>
      <c r="BC16" s="51">
        <v>174906</v>
      </c>
      <c r="BD16" s="49">
        <v>106882</v>
      </c>
      <c r="BE16" s="49">
        <v>68024</v>
      </c>
      <c r="BF16" s="177">
        <v>262367</v>
      </c>
      <c r="BG16" s="177">
        <v>138963</v>
      </c>
      <c r="BH16" s="138">
        <v>123404</v>
      </c>
      <c r="BI16" s="181">
        <v>6239345</v>
      </c>
      <c r="BJ16" s="50">
        <v>2961611</v>
      </c>
      <c r="BK16" s="50">
        <v>3277734</v>
      </c>
      <c r="BL16" s="57">
        <v>4566223</v>
      </c>
      <c r="BM16" s="57">
        <v>2190490</v>
      </c>
      <c r="BN16" s="57">
        <v>2375733</v>
      </c>
      <c r="BO16" s="57">
        <v>4376254</v>
      </c>
      <c r="BP16" s="57">
        <v>2090140</v>
      </c>
      <c r="BQ16" s="57">
        <v>2286114</v>
      </c>
      <c r="BR16" s="57">
        <v>1242244</v>
      </c>
      <c r="BS16" s="57">
        <v>553287</v>
      </c>
      <c r="BT16" s="57">
        <v>688957</v>
      </c>
      <c r="BU16" s="57">
        <v>376264</v>
      </c>
      <c r="BV16" s="57">
        <v>204860</v>
      </c>
      <c r="BW16" s="57">
        <v>171404</v>
      </c>
      <c r="BX16" s="138">
        <f t="shared" si="36"/>
        <v>430878</v>
      </c>
      <c r="BY16" s="57">
        <v>217834</v>
      </c>
      <c r="BZ16" s="57">
        <v>213044</v>
      </c>
      <c r="CA16" s="191">
        <v>5849056</v>
      </c>
      <c r="CB16" s="51">
        <v>4319074</v>
      </c>
      <c r="CC16" s="49">
        <v>1141063</v>
      </c>
      <c r="CD16" s="49">
        <v>388919</v>
      </c>
      <c r="CE16" s="49">
        <v>306240</v>
      </c>
      <c r="CF16" s="181">
        <v>5964892</v>
      </c>
      <c r="CG16" s="51">
        <v>4392326</v>
      </c>
      <c r="CH16" s="49">
        <v>1169811</v>
      </c>
      <c r="CI16" s="49">
        <v>402755</v>
      </c>
      <c r="CJ16" s="49">
        <v>322538</v>
      </c>
      <c r="CK16" s="56">
        <v>6065043</v>
      </c>
      <c r="CL16" s="54">
        <v>4463915</v>
      </c>
      <c r="CM16" s="55">
        <v>1193121</v>
      </c>
      <c r="CN16" s="55">
        <v>408007</v>
      </c>
      <c r="CO16" s="55">
        <v>329069</v>
      </c>
      <c r="CP16" s="56">
        <v>6239345</v>
      </c>
      <c r="CQ16" s="505">
        <v>4566223</v>
      </c>
      <c r="CR16" s="505">
        <v>1242244</v>
      </c>
      <c r="CS16" s="55">
        <v>430878</v>
      </c>
      <c r="CT16" s="505">
        <v>376264</v>
      </c>
      <c r="CU16" s="56">
        <v>6329422</v>
      </c>
      <c r="CV16" s="505">
        <v>4633100</v>
      </c>
      <c r="CW16" s="505">
        <v>1264241</v>
      </c>
      <c r="CX16" s="306">
        <f t="shared" si="37"/>
        <v>432081</v>
      </c>
      <c r="CY16" s="591">
        <v>392326</v>
      </c>
      <c r="CZ16" s="49">
        <v>6409433</v>
      </c>
      <c r="DA16" s="49">
        <v>4695790</v>
      </c>
      <c r="DB16" s="49">
        <v>1286439</v>
      </c>
      <c r="DC16" s="49">
        <v>424435</v>
      </c>
      <c r="DD16" s="594">
        <v>404840</v>
      </c>
      <c r="DE16" s="49">
        <v>6489102</v>
      </c>
      <c r="DF16" s="49">
        <v>4489625</v>
      </c>
      <c r="DG16" s="1">
        <v>1306723</v>
      </c>
      <c r="DH16" s="49">
        <v>438650</v>
      </c>
      <c r="DI16" s="49">
        <v>416728</v>
      </c>
      <c r="DJ16" s="49">
        <v>6762644</v>
      </c>
      <c r="DK16" s="49">
        <v>4607089</v>
      </c>
      <c r="DL16" s="49">
        <v>1386316</v>
      </c>
      <c r="DM16" s="730">
        <v>492607</v>
      </c>
      <c r="DN16" s="49">
        <v>450020</v>
      </c>
      <c r="DO16" s="49">
        <v>6877185</v>
      </c>
      <c r="DP16" s="49">
        <v>4675664</v>
      </c>
      <c r="DQ16" s="49">
        <v>1407993</v>
      </c>
      <c r="DR16" s="730">
        <v>510824</v>
      </c>
      <c r="DS16" s="49">
        <v>461251</v>
      </c>
    </row>
    <row r="17" spans="1:123" x14ac:dyDescent="0.2">
      <c r="A17" s="221" t="s">
        <v>10</v>
      </c>
      <c r="B17" s="528">
        <v>1213129</v>
      </c>
      <c r="C17" s="8">
        <v>1242615</v>
      </c>
      <c r="D17" s="48">
        <v>1299842</v>
      </c>
      <c r="E17" s="49">
        <v>574224</v>
      </c>
      <c r="F17" s="49">
        <v>621565</v>
      </c>
      <c r="G17" s="49">
        <v>48110</v>
      </c>
      <c r="H17" s="50">
        <v>55943</v>
      </c>
      <c r="I17" s="99">
        <v>1422569</v>
      </c>
      <c r="J17" s="138">
        <f t="shared" si="28"/>
        <v>1295728</v>
      </c>
      <c r="K17" s="49">
        <v>610079</v>
      </c>
      <c r="L17" s="49">
        <v>685649</v>
      </c>
      <c r="M17" s="138">
        <f t="shared" si="29"/>
        <v>78185</v>
      </c>
      <c r="N17" s="49">
        <v>34511</v>
      </c>
      <c r="O17" s="49">
        <v>43674</v>
      </c>
      <c r="P17" s="138">
        <f t="shared" si="30"/>
        <v>13931</v>
      </c>
      <c r="Q17" s="49">
        <v>7171</v>
      </c>
      <c r="R17" s="50">
        <v>6760</v>
      </c>
      <c r="S17" s="9">
        <v>1769761</v>
      </c>
      <c r="T17" s="51">
        <v>1557792</v>
      </c>
      <c r="U17" s="49">
        <v>734010</v>
      </c>
      <c r="V17" s="49">
        <v>823782</v>
      </c>
      <c r="W17" s="51">
        <f t="shared" si="31"/>
        <v>96304</v>
      </c>
      <c r="X17" s="49">
        <v>43502</v>
      </c>
      <c r="Y17" s="49">
        <v>52802</v>
      </c>
      <c r="Z17" s="52">
        <v>23254</v>
      </c>
      <c r="AA17" s="49">
        <v>11858</v>
      </c>
      <c r="AB17" s="49">
        <v>11396</v>
      </c>
      <c r="AC17" s="177">
        <v>91510</v>
      </c>
      <c r="AD17" s="177">
        <v>41611</v>
      </c>
      <c r="AE17" s="138">
        <v>49899</v>
      </c>
      <c r="AF17" s="99">
        <v>1995424</v>
      </c>
      <c r="AG17" s="53">
        <v>1702518</v>
      </c>
      <c r="AH17" s="78">
        <f t="shared" si="32"/>
        <v>1686085</v>
      </c>
      <c r="AI17" s="49">
        <v>794251</v>
      </c>
      <c r="AJ17" s="49">
        <v>891834</v>
      </c>
      <c r="AK17" s="51">
        <v>123734</v>
      </c>
      <c r="AL17" s="78">
        <f t="shared" si="33"/>
        <v>122947</v>
      </c>
      <c r="AM17" s="49">
        <v>56952</v>
      </c>
      <c r="AN17" s="49">
        <v>65995</v>
      </c>
      <c r="AO17" s="51">
        <v>38012</v>
      </c>
      <c r="AP17" s="50">
        <v>20156</v>
      </c>
      <c r="AQ17" s="49">
        <v>17856</v>
      </c>
      <c r="AR17" s="82">
        <f t="shared" si="34"/>
        <v>148380</v>
      </c>
      <c r="AS17" s="99">
        <v>2203173</v>
      </c>
      <c r="AT17" s="51">
        <v>1771056</v>
      </c>
      <c r="AU17" s="178">
        <v>845619</v>
      </c>
      <c r="AV17" s="178">
        <v>925437</v>
      </c>
      <c r="AW17" s="78">
        <f t="shared" si="35"/>
        <v>1737873</v>
      </c>
      <c r="AX17" s="49">
        <v>827825</v>
      </c>
      <c r="AY17" s="50">
        <v>910048</v>
      </c>
      <c r="AZ17" s="51">
        <v>141575</v>
      </c>
      <c r="BA17" s="49">
        <v>67620</v>
      </c>
      <c r="BB17" s="49">
        <v>73955</v>
      </c>
      <c r="BC17" s="51">
        <v>80063</v>
      </c>
      <c r="BD17" s="49">
        <v>44107</v>
      </c>
      <c r="BE17" s="49">
        <v>35956</v>
      </c>
      <c r="BF17" s="177">
        <v>290542</v>
      </c>
      <c r="BG17" s="177">
        <v>140265</v>
      </c>
      <c r="BH17" s="138">
        <v>150277</v>
      </c>
      <c r="BI17" s="181">
        <v>2411893</v>
      </c>
      <c r="BJ17" s="50">
        <v>1169681</v>
      </c>
      <c r="BK17" s="50">
        <v>1242212</v>
      </c>
      <c r="BL17" s="57">
        <v>1896453</v>
      </c>
      <c r="BM17" s="57">
        <v>920186</v>
      </c>
      <c r="BN17" s="57">
        <v>976267</v>
      </c>
      <c r="BO17" s="57">
        <v>1807824</v>
      </c>
      <c r="BP17" s="57">
        <v>872124</v>
      </c>
      <c r="BQ17" s="57">
        <v>935700</v>
      </c>
      <c r="BR17" s="57">
        <v>158176</v>
      </c>
      <c r="BS17" s="57">
        <v>77116</v>
      </c>
      <c r="BT17" s="57">
        <v>81060</v>
      </c>
      <c r="BU17" s="57">
        <v>148928</v>
      </c>
      <c r="BV17" s="57">
        <v>80869</v>
      </c>
      <c r="BW17" s="57">
        <v>68059</v>
      </c>
      <c r="BX17" s="138">
        <f t="shared" si="36"/>
        <v>357264</v>
      </c>
      <c r="BY17" s="57">
        <v>172379</v>
      </c>
      <c r="BZ17" s="57">
        <v>184885</v>
      </c>
      <c r="CA17" s="191">
        <v>2311130</v>
      </c>
      <c r="CB17" s="51">
        <v>1829721</v>
      </c>
      <c r="CC17" s="49">
        <v>150746</v>
      </c>
      <c r="CD17" s="49">
        <v>330663</v>
      </c>
      <c r="CE17" s="49">
        <v>121785</v>
      </c>
      <c r="CF17" s="181">
        <v>2336187</v>
      </c>
      <c r="CG17" s="51">
        <v>1851156</v>
      </c>
      <c r="CH17" s="49">
        <v>153522</v>
      </c>
      <c r="CI17" s="49">
        <v>331509</v>
      </c>
      <c r="CJ17" s="49">
        <v>129183</v>
      </c>
      <c r="CK17" s="56">
        <v>2353051</v>
      </c>
      <c r="CL17" s="54">
        <v>1864854</v>
      </c>
      <c r="CM17" s="55">
        <v>153751</v>
      </c>
      <c r="CN17" s="55">
        <v>334446</v>
      </c>
      <c r="CO17" s="55">
        <v>137695</v>
      </c>
      <c r="CP17" s="56">
        <v>2411893</v>
      </c>
      <c r="CQ17" s="505">
        <v>1896453</v>
      </c>
      <c r="CR17" s="505">
        <v>158176</v>
      </c>
      <c r="CS17" s="55">
        <v>357264</v>
      </c>
      <c r="CT17" s="505">
        <v>148928</v>
      </c>
      <c r="CU17" s="56">
        <v>2442300</v>
      </c>
      <c r="CV17" s="505">
        <v>1912580</v>
      </c>
      <c r="CW17" s="505">
        <v>160388</v>
      </c>
      <c r="CX17" s="306">
        <f t="shared" si="37"/>
        <v>369332</v>
      </c>
      <c r="CY17" s="591">
        <v>157211</v>
      </c>
      <c r="CZ17" s="49">
        <v>2467328</v>
      </c>
      <c r="DA17" s="49">
        <v>1924382</v>
      </c>
      <c r="DB17" s="49">
        <v>163228</v>
      </c>
      <c r="DC17" s="49">
        <v>379718</v>
      </c>
      <c r="DD17" s="594">
        <v>163420</v>
      </c>
      <c r="DE17" s="49">
        <v>2487647</v>
      </c>
      <c r="DF17" s="49">
        <v>1833930</v>
      </c>
      <c r="DG17" s="1">
        <v>163651</v>
      </c>
      <c r="DH17" s="49">
        <v>385431</v>
      </c>
      <c r="DI17" s="49">
        <v>169473</v>
      </c>
      <c r="DJ17" s="727">
        <v>2557863</v>
      </c>
      <c r="DK17" s="49">
        <v>1852170</v>
      </c>
      <c r="DL17" s="49">
        <v>175937</v>
      </c>
      <c r="DM17" s="730">
        <v>408956</v>
      </c>
      <c r="DN17" s="49">
        <v>188004</v>
      </c>
      <c r="DO17" s="727">
        <v>2571636</v>
      </c>
      <c r="DP17" s="49">
        <v>1857205</v>
      </c>
      <c r="DQ17" s="49">
        <v>173789</v>
      </c>
      <c r="DR17" s="730">
        <v>422039</v>
      </c>
      <c r="DS17" s="49">
        <v>190584</v>
      </c>
    </row>
    <row r="18" spans="1:123" x14ac:dyDescent="0.2">
      <c r="A18" s="221" t="s">
        <v>11</v>
      </c>
      <c r="B18" s="528">
        <v>841138</v>
      </c>
      <c r="C18" s="8">
        <v>1006575</v>
      </c>
      <c r="D18" s="48">
        <v>1135907</v>
      </c>
      <c r="E18" s="49">
        <v>385191</v>
      </c>
      <c r="F18" s="49">
        <v>416915</v>
      </c>
      <c r="G18" s="49">
        <v>149932</v>
      </c>
      <c r="H18" s="50">
        <v>183869</v>
      </c>
      <c r="I18" s="99">
        <v>1283837</v>
      </c>
      <c r="J18" s="138">
        <f t="shared" si="28"/>
        <v>953168</v>
      </c>
      <c r="K18" s="49">
        <v>453026</v>
      </c>
      <c r="L18" s="49">
        <v>500142</v>
      </c>
      <c r="M18" s="138">
        <f t="shared" si="29"/>
        <v>328066</v>
      </c>
      <c r="N18" s="49">
        <v>146580</v>
      </c>
      <c r="O18" s="49">
        <v>181486</v>
      </c>
      <c r="P18" s="138">
        <f t="shared" si="30"/>
        <v>4069</v>
      </c>
      <c r="Q18" s="49">
        <v>2143</v>
      </c>
      <c r="R18" s="50">
        <v>1926</v>
      </c>
      <c r="S18" s="9">
        <v>1733022</v>
      </c>
      <c r="T18" s="51">
        <v>1261250</v>
      </c>
      <c r="U18" s="49">
        <v>598168</v>
      </c>
      <c r="V18" s="49">
        <v>663082</v>
      </c>
      <c r="W18" s="51">
        <f t="shared" si="31"/>
        <v>446412</v>
      </c>
      <c r="X18" s="49">
        <v>198326</v>
      </c>
      <c r="Y18" s="49">
        <v>248086</v>
      </c>
      <c r="Z18" s="52">
        <v>14824</v>
      </c>
      <c r="AA18" s="49">
        <v>6902</v>
      </c>
      <c r="AB18" s="49">
        <v>7922</v>
      </c>
      <c r="AC18" s="177">
        <v>9758</v>
      </c>
      <c r="AD18" s="177">
        <v>4074</v>
      </c>
      <c r="AE18" s="138">
        <v>5684</v>
      </c>
      <c r="AF18" s="99">
        <v>2167590</v>
      </c>
      <c r="AG18" s="53">
        <v>1581298</v>
      </c>
      <c r="AH18" s="78">
        <f t="shared" si="32"/>
        <v>1572902</v>
      </c>
      <c r="AI18" s="49">
        <v>753149</v>
      </c>
      <c r="AJ18" s="49">
        <v>819753</v>
      </c>
      <c r="AK18" s="51">
        <v>564369</v>
      </c>
      <c r="AL18" s="78">
        <f t="shared" si="33"/>
        <v>562706</v>
      </c>
      <c r="AM18" s="49">
        <v>247142</v>
      </c>
      <c r="AN18" s="49">
        <v>315564</v>
      </c>
      <c r="AO18" s="51">
        <v>14485</v>
      </c>
      <c r="AP18" s="50">
        <v>7486</v>
      </c>
      <c r="AQ18" s="49">
        <v>6999</v>
      </c>
      <c r="AR18" s="82">
        <f t="shared" si="34"/>
        <v>17497</v>
      </c>
      <c r="AS18" s="99">
        <v>2596010</v>
      </c>
      <c r="AT18" s="51">
        <v>1844670</v>
      </c>
      <c r="AU18" s="178">
        <v>886233</v>
      </c>
      <c r="AV18" s="178">
        <v>958437</v>
      </c>
      <c r="AW18" s="78">
        <f t="shared" si="35"/>
        <v>1822934</v>
      </c>
      <c r="AX18" s="49">
        <v>873664</v>
      </c>
      <c r="AY18" s="50">
        <v>949270</v>
      </c>
      <c r="AZ18" s="51">
        <v>681366</v>
      </c>
      <c r="BA18" s="49">
        <v>301655</v>
      </c>
      <c r="BB18" s="49">
        <v>379711</v>
      </c>
      <c r="BC18" s="51">
        <v>45477</v>
      </c>
      <c r="BD18" s="49">
        <v>27142</v>
      </c>
      <c r="BE18" s="49">
        <v>18335</v>
      </c>
      <c r="BF18" s="177">
        <v>69974</v>
      </c>
      <c r="BG18" s="177">
        <v>36151</v>
      </c>
      <c r="BH18" s="138">
        <v>33823</v>
      </c>
      <c r="BI18" s="181">
        <v>3035053</v>
      </c>
      <c r="BJ18" s="50">
        <v>1439441</v>
      </c>
      <c r="BK18" s="50">
        <v>1595612</v>
      </c>
      <c r="BL18" s="57">
        <v>2144145</v>
      </c>
      <c r="BM18" s="57">
        <v>1034245</v>
      </c>
      <c r="BN18" s="57">
        <v>1109900</v>
      </c>
      <c r="BO18" s="57">
        <v>2071439</v>
      </c>
      <c r="BP18" s="57">
        <v>993833</v>
      </c>
      <c r="BQ18" s="57">
        <v>1077606</v>
      </c>
      <c r="BR18" s="57">
        <v>780533</v>
      </c>
      <c r="BS18" s="57">
        <v>348625</v>
      </c>
      <c r="BT18" s="57">
        <v>431908</v>
      </c>
      <c r="BU18" s="57">
        <v>115062</v>
      </c>
      <c r="BV18" s="57">
        <v>65314</v>
      </c>
      <c r="BW18" s="57">
        <v>49748</v>
      </c>
      <c r="BX18" s="138">
        <f t="shared" si="36"/>
        <v>110375</v>
      </c>
      <c r="BY18" s="57">
        <v>56571</v>
      </c>
      <c r="BZ18" s="57">
        <v>53804</v>
      </c>
      <c r="CA18" s="191">
        <v>2851898</v>
      </c>
      <c r="CB18" s="51">
        <v>2017362</v>
      </c>
      <c r="CC18" s="49">
        <v>740620</v>
      </c>
      <c r="CD18" s="49">
        <v>93916</v>
      </c>
      <c r="CE18" s="49">
        <v>81432</v>
      </c>
      <c r="CF18" s="181">
        <v>2908381</v>
      </c>
      <c r="CG18" s="51">
        <v>2060774</v>
      </c>
      <c r="CH18" s="49">
        <v>752231</v>
      </c>
      <c r="CI18" s="49">
        <v>95376</v>
      </c>
      <c r="CJ18" s="49">
        <v>85905</v>
      </c>
      <c r="CK18" s="56">
        <v>2974320</v>
      </c>
      <c r="CL18" s="54">
        <v>2106732</v>
      </c>
      <c r="CM18" s="55">
        <v>766665</v>
      </c>
      <c r="CN18" s="55">
        <v>100923</v>
      </c>
      <c r="CO18" s="55">
        <v>94593</v>
      </c>
      <c r="CP18" s="56">
        <v>3035053</v>
      </c>
      <c r="CQ18" s="505">
        <v>2144145</v>
      </c>
      <c r="CR18" s="505">
        <v>780533</v>
      </c>
      <c r="CS18" s="55">
        <v>110375</v>
      </c>
      <c r="CT18" s="505">
        <v>115062</v>
      </c>
      <c r="CU18" s="56">
        <v>3076869</v>
      </c>
      <c r="CV18" s="505">
        <v>2170318</v>
      </c>
      <c r="CW18" s="505">
        <v>789446</v>
      </c>
      <c r="CX18" s="306">
        <f t="shared" si="37"/>
        <v>117105</v>
      </c>
      <c r="CY18" s="591">
        <v>120670</v>
      </c>
      <c r="CZ18" s="49">
        <v>3115808</v>
      </c>
      <c r="DA18" s="49">
        <v>2194070</v>
      </c>
      <c r="DB18" s="49">
        <v>798366</v>
      </c>
      <c r="DC18" s="49">
        <v>122592</v>
      </c>
      <c r="DD18" s="594">
        <v>125186</v>
      </c>
      <c r="DE18" s="49">
        <v>3156752</v>
      </c>
      <c r="DF18" s="49">
        <v>2144951</v>
      </c>
      <c r="DG18" s="1">
        <v>806269</v>
      </c>
      <c r="DH18" s="49">
        <v>123813</v>
      </c>
      <c r="DI18" s="49">
        <v>128831</v>
      </c>
      <c r="DJ18" s="727">
        <v>3319832</v>
      </c>
      <c r="DK18" s="49">
        <v>2247643</v>
      </c>
      <c r="DL18" s="49">
        <v>849904</v>
      </c>
      <c r="DM18" s="730">
        <v>131428</v>
      </c>
      <c r="DN18" s="49">
        <v>136778</v>
      </c>
      <c r="DO18" s="727">
        <v>3388476</v>
      </c>
      <c r="DP18" s="49">
        <v>2292473</v>
      </c>
      <c r="DQ18" s="49">
        <v>860249</v>
      </c>
      <c r="DR18" s="730">
        <v>139599</v>
      </c>
      <c r="DS18" s="49">
        <v>140423</v>
      </c>
    </row>
    <row r="19" spans="1:123" x14ac:dyDescent="0.2">
      <c r="A19" s="221" t="s">
        <v>12</v>
      </c>
      <c r="B19" s="528">
        <v>1497856</v>
      </c>
      <c r="C19" s="8">
        <v>1756800</v>
      </c>
      <c r="D19" s="48">
        <v>1911755</v>
      </c>
      <c r="E19" s="49">
        <v>774454</v>
      </c>
      <c r="F19" s="49">
        <v>850982</v>
      </c>
      <c r="G19" s="49">
        <v>131528</v>
      </c>
      <c r="H19" s="50">
        <v>154791</v>
      </c>
      <c r="I19" s="99">
        <v>2127946</v>
      </c>
      <c r="J19" s="138">
        <f t="shared" si="28"/>
        <v>1838467</v>
      </c>
      <c r="K19" s="49">
        <v>864385</v>
      </c>
      <c r="L19" s="49">
        <v>974082</v>
      </c>
      <c r="M19" s="138">
        <f t="shared" si="29"/>
        <v>286235</v>
      </c>
      <c r="N19" s="49">
        <v>126732</v>
      </c>
      <c r="O19" s="49">
        <v>159503</v>
      </c>
      <c r="P19" s="138">
        <f t="shared" si="30"/>
        <v>5630</v>
      </c>
      <c r="Q19" s="49">
        <v>2743</v>
      </c>
      <c r="R19" s="50">
        <v>2887</v>
      </c>
      <c r="S19" s="9">
        <v>2692256</v>
      </c>
      <c r="T19" s="51">
        <v>2306001</v>
      </c>
      <c r="U19" s="49">
        <v>1082419</v>
      </c>
      <c r="V19" s="49">
        <v>1223582</v>
      </c>
      <c r="W19" s="51">
        <f t="shared" si="31"/>
        <v>355728</v>
      </c>
      <c r="X19" s="49">
        <v>155823</v>
      </c>
      <c r="Y19" s="49">
        <v>199905</v>
      </c>
      <c r="Z19" s="52">
        <v>16817</v>
      </c>
      <c r="AA19" s="49">
        <v>7497</v>
      </c>
      <c r="AB19" s="49">
        <v>9320</v>
      </c>
      <c r="AC19" s="177">
        <v>12433</v>
      </c>
      <c r="AD19" s="177">
        <v>5404</v>
      </c>
      <c r="AE19" s="138">
        <v>7029</v>
      </c>
      <c r="AF19" s="99">
        <v>3139066</v>
      </c>
      <c r="AG19" s="53">
        <v>2678299</v>
      </c>
      <c r="AH19" s="78">
        <f t="shared" si="32"/>
        <v>2668070</v>
      </c>
      <c r="AI19" s="49">
        <v>1255632</v>
      </c>
      <c r="AJ19" s="49">
        <v>1412438</v>
      </c>
      <c r="AK19" s="51">
        <v>431249</v>
      </c>
      <c r="AL19" s="78">
        <f t="shared" si="33"/>
        <v>429880</v>
      </c>
      <c r="AM19" s="49">
        <v>186447</v>
      </c>
      <c r="AN19" s="49">
        <v>243433</v>
      </c>
      <c r="AO19" s="51">
        <v>15921</v>
      </c>
      <c r="AP19" s="50">
        <v>8098</v>
      </c>
      <c r="AQ19" s="49">
        <v>7823</v>
      </c>
      <c r="AR19" s="82">
        <f t="shared" si="34"/>
        <v>25195</v>
      </c>
      <c r="AS19" s="99">
        <v>3744928</v>
      </c>
      <c r="AT19" s="51">
        <v>3111747</v>
      </c>
      <c r="AU19" s="178">
        <v>1485091</v>
      </c>
      <c r="AV19" s="178">
        <v>1626656</v>
      </c>
      <c r="AW19" s="78">
        <f t="shared" si="35"/>
        <v>3083367</v>
      </c>
      <c r="AX19" s="49">
        <v>1469008</v>
      </c>
      <c r="AY19" s="50">
        <v>1614359</v>
      </c>
      <c r="AZ19" s="51">
        <v>527712</v>
      </c>
      <c r="BA19" s="49">
        <v>233834</v>
      </c>
      <c r="BB19" s="49">
        <v>293878</v>
      </c>
      <c r="BC19" s="51">
        <v>59646</v>
      </c>
      <c r="BD19" s="49">
        <v>35740</v>
      </c>
      <c r="BE19" s="49">
        <v>23906</v>
      </c>
      <c r="BF19" s="177">
        <v>105469</v>
      </c>
      <c r="BG19" s="177">
        <v>55641</v>
      </c>
      <c r="BH19" s="138">
        <v>49828</v>
      </c>
      <c r="BI19" s="181">
        <v>4208374</v>
      </c>
      <c r="BJ19" s="50">
        <v>2006695</v>
      </c>
      <c r="BK19" s="50">
        <v>2201679</v>
      </c>
      <c r="BL19" s="57">
        <v>3435527</v>
      </c>
      <c r="BM19" s="57">
        <v>1652479</v>
      </c>
      <c r="BN19" s="57">
        <v>1783048</v>
      </c>
      <c r="BO19" s="57">
        <v>3347599</v>
      </c>
      <c r="BP19" s="57">
        <v>1602893</v>
      </c>
      <c r="BQ19" s="57">
        <v>1744706</v>
      </c>
      <c r="BR19" s="57">
        <v>620772</v>
      </c>
      <c r="BS19" s="57">
        <v>278290</v>
      </c>
      <c r="BT19" s="57">
        <v>342482</v>
      </c>
      <c r="BU19" s="57">
        <v>136336</v>
      </c>
      <c r="BV19" s="57">
        <v>77170</v>
      </c>
      <c r="BW19" s="57">
        <v>59166</v>
      </c>
      <c r="BX19" s="138">
        <f t="shared" si="36"/>
        <v>152075</v>
      </c>
      <c r="BY19" s="57">
        <v>75926</v>
      </c>
      <c r="BZ19" s="57">
        <v>76149</v>
      </c>
      <c r="CA19" s="191">
        <v>4061516</v>
      </c>
      <c r="CB19" s="51">
        <v>3333335</v>
      </c>
      <c r="CC19" s="49">
        <v>592927</v>
      </c>
      <c r="CD19" s="49">
        <v>135254</v>
      </c>
      <c r="CE19" s="49">
        <v>101091</v>
      </c>
      <c r="CF19" s="181">
        <v>4126506</v>
      </c>
      <c r="CG19" s="51">
        <v>3386266</v>
      </c>
      <c r="CH19" s="49">
        <v>601510</v>
      </c>
      <c r="CI19" s="49">
        <v>138730</v>
      </c>
      <c r="CJ19" s="49">
        <v>107823</v>
      </c>
      <c r="CK19" s="56">
        <v>4170177</v>
      </c>
      <c r="CL19" s="54">
        <v>3416169</v>
      </c>
      <c r="CM19" s="55">
        <v>609010</v>
      </c>
      <c r="CN19" s="55">
        <v>144998</v>
      </c>
      <c r="CO19" s="55">
        <v>118165</v>
      </c>
      <c r="CP19" s="56">
        <v>4208374</v>
      </c>
      <c r="CQ19" s="505">
        <v>3435527</v>
      </c>
      <c r="CR19" s="505">
        <v>620772</v>
      </c>
      <c r="CS19" s="55">
        <v>152075</v>
      </c>
      <c r="CT19" s="505">
        <v>136336</v>
      </c>
      <c r="CU19" s="56">
        <v>4253035</v>
      </c>
      <c r="CV19" s="505">
        <v>3460140</v>
      </c>
      <c r="CW19" s="505">
        <v>630862</v>
      </c>
      <c r="CX19" s="306">
        <f t="shared" si="37"/>
        <v>162033</v>
      </c>
      <c r="CY19" s="591">
        <v>144377</v>
      </c>
      <c r="CZ19" s="49">
        <v>4294543</v>
      </c>
      <c r="DA19" s="49">
        <v>3482121</v>
      </c>
      <c r="DB19" s="49">
        <v>641188</v>
      </c>
      <c r="DC19" s="49">
        <v>169543</v>
      </c>
      <c r="DD19" s="594">
        <v>149636</v>
      </c>
      <c r="DE19" s="49">
        <v>4333913</v>
      </c>
      <c r="DF19" s="49">
        <v>3410326</v>
      </c>
      <c r="DG19" s="1">
        <v>651047</v>
      </c>
      <c r="DH19" s="49">
        <v>176752</v>
      </c>
      <c r="DI19" s="49">
        <v>153525</v>
      </c>
      <c r="DJ19" s="727">
        <v>4473487</v>
      </c>
      <c r="DK19" s="49">
        <v>3483621</v>
      </c>
      <c r="DL19" s="49">
        <v>688804</v>
      </c>
      <c r="DM19" s="730">
        <v>185778</v>
      </c>
      <c r="DN19" s="49">
        <v>165216</v>
      </c>
      <c r="DO19" s="727">
        <v>4527198</v>
      </c>
      <c r="DP19" s="49">
        <v>3522010</v>
      </c>
      <c r="DQ19" s="49">
        <v>696665</v>
      </c>
      <c r="DR19" s="730">
        <v>181313</v>
      </c>
      <c r="DS19" s="49">
        <v>168404</v>
      </c>
    </row>
    <row r="20" spans="1:123" x14ac:dyDescent="0.2">
      <c r="A20" s="221" t="s">
        <v>13</v>
      </c>
      <c r="B20" s="528">
        <v>3413739</v>
      </c>
      <c r="C20" s="8">
        <v>4212755</v>
      </c>
      <c r="D20" s="48">
        <v>5030559</v>
      </c>
      <c r="E20" s="49">
        <v>2157421</v>
      </c>
      <c r="F20" s="49">
        <v>2285184</v>
      </c>
      <c r="G20" s="49">
        <v>277128</v>
      </c>
      <c r="H20" s="50">
        <v>310826</v>
      </c>
      <c r="I20" s="99">
        <v>5817155</v>
      </c>
      <c r="J20" s="138">
        <f t="shared" si="28"/>
        <v>5149567</v>
      </c>
      <c r="K20" s="49">
        <v>2451357</v>
      </c>
      <c r="L20" s="49">
        <v>2698210</v>
      </c>
      <c r="M20" s="138">
        <f t="shared" si="29"/>
        <v>642566</v>
      </c>
      <c r="N20" s="49">
        <v>296433</v>
      </c>
      <c r="O20" s="49">
        <v>346133</v>
      </c>
      <c r="P20" s="138">
        <f t="shared" si="30"/>
        <v>825217</v>
      </c>
      <c r="Q20" s="49">
        <v>394480</v>
      </c>
      <c r="R20" s="50">
        <v>430737</v>
      </c>
      <c r="S20" s="9">
        <v>7944161</v>
      </c>
      <c r="T20" s="51">
        <v>5695864</v>
      </c>
      <c r="U20" s="49">
        <v>2729499</v>
      </c>
      <c r="V20" s="49">
        <v>2966365</v>
      </c>
      <c r="W20" s="51">
        <f t="shared" si="31"/>
        <v>832470</v>
      </c>
      <c r="X20" s="49">
        <v>380311</v>
      </c>
      <c r="Y20" s="49">
        <v>452159</v>
      </c>
      <c r="Z20" s="52">
        <v>1312586</v>
      </c>
      <c r="AA20" s="49">
        <v>630966</v>
      </c>
      <c r="AB20" s="49">
        <v>681620</v>
      </c>
      <c r="AC20" s="177">
        <v>95434</v>
      </c>
      <c r="AD20" s="177">
        <v>44564</v>
      </c>
      <c r="AE20" s="138">
        <v>50870</v>
      </c>
      <c r="AF20" s="99">
        <v>10310605</v>
      </c>
      <c r="AG20" s="53">
        <v>8108606</v>
      </c>
      <c r="AH20" s="78">
        <f t="shared" si="32"/>
        <v>6852820</v>
      </c>
      <c r="AI20" s="49">
        <v>3287607</v>
      </c>
      <c r="AJ20" s="49">
        <v>3565213</v>
      </c>
      <c r="AK20" s="51">
        <v>1117250</v>
      </c>
      <c r="AL20" s="78">
        <f t="shared" si="33"/>
        <v>1104676</v>
      </c>
      <c r="AM20" s="49">
        <v>508233</v>
      </c>
      <c r="AN20" s="49">
        <v>596443</v>
      </c>
      <c r="AO20" s="51">
        <v>2127731</v>
      </c>
      <c r="AP20" s="50">
        <v>1043177</v>
      </c>
      <c r="AQ20" s="49">
        <v>1084554</v>
      </c>
      <c r="AR20" s="82">
        <f t="shared" si="34"/>
        <v>225378</v>
      </c>
      <c r="AS20" s="99">
        <v>12790893</v>
      </c>
      <c r="AT20" s="51">
        <v>9523380</v>
      </c>
      <c r="AU20" s="178">
        <v>4605815</v>
      </c>
      <c r="AV20" s="178">
        <v>4917565</v>
      </c>
      <c r="AW20" s="78">
        <f t="shared" si="35"/>
        <v>7468667</v>
      </c>
      <c r="AX20" s="49">
        <v>3602606</v>
      </c>
      <c r="AY20" s="50">
        <v>3866061</v>
      </c>
      <c r="AZ20" s="51">
        <v>1381219</v>
      </c>
      <c r="BA20" s="49">
        <v>641229</v>
      </c>
      <c r="BB20" s="49">
        <v>739990</v>
      </c>
      <c r="BC20" s="51">
        <v>3412036</v>
      </c>
      <c r="BD20" s="49">
        <v>1696823</v>
      </c>
      <c r="BE20" s="49">
        <v>1715213</v>
      </c>
      <c r="BF20" s="177">
        <v>1886294</v>
      </c>
      <c r="BG20" s="177">
        <v>947994</v>
      </c>
      <c r="BH20" s="138">
        <v>938300</v>
      </c>
      <c r="BI20" s="181">
        <v>15448794</v>
      </c>
      <c r="BJ20" s="50">
        <v>7512165</v>
      </c>
      <c r="BK20" s="50">
        <v>7936629</v>
      </c>
      <c r="BL20" s="57">
        <v>11682057</v>
      </c>
      <c r="BM20" s="57">
        <v>5696953</v>
      </c>
      <c r="BN20" s="57">
        <v>5985104</v>
      </c>
      <c r="BO20" s="57">
        <v>8016776</v>
      </c>
      <c r="BP20" s="57">
        <v>3899007</v>
      </c>
      <c r="BQ20" s="57">
        <v>4117769</v>
      </c>
      <c r="BR20" s="57">
        <v>1746320</v>
      </c>
      <c r="BS20" s="57">
        <v>811655</v>
      </c>
      <c r="BT20" s="57">
        <v>934665</v>
      </c>
      <c r="BU20" s="57">
        <v>4893339</v>
      </c>
      <c r="BV20" s="57">
        <v>2424486</v>
      </c>
      <c r="BW20" s="57">
        <v>2468853</v>
      </c>
      <c r="BX20" s="138">
        <f t="shared" si="36"/>
        <v>2020417</v>
      </c>
      <c r="BY20" s="57">
        <v>1003557</v>
      </c>
      <c r="BZ20" s="57">
        <v>1016860</v>
      </c>
      <c r="CA20" s="191">
        <v>14482842</v>
      </c>
      <c r="CB20" s="51">
        <v>10569946</v>
      </c>
      <c r="CC20" s="49">
        <v>1579064</v>
      </c>
      <c r="CD20" s="49">
        <v>2333832</v>
      </c>
      <c r="CE20" s="49">
        <v>4440184</v>
      </c>
      <c r="CF20" s="181">
        <v>14807376</v>
      </c>
      <c r="CG20" s="51">
        <v>10902435</v>
      </c>
      <c r="CH20" s="49">
        <v>1618505</v>
      </c>
      <c r="CI20" s="49">
        <v>2286436</v>
      </c>
      <c r="CJ20" s="49">
        <v>4604278</v>
      </c>
      <c r="CK20" s="56">
        <v>15054425</v>
      </c>
      <c r="CL20" s="54">
        <v>11245357</v>
      </c>
      <c r="CM20" s="55">
        <v>1664388</v>
      </c>
      <c r="CN20" s="55">
        <v>2144680</v>
      </c>
      <c r="CO20" s="55">
        <v>4706286</v>
      </c>
      <c r="CP20" s="56">
        <v>15448794</v>
      </c>
      <c r="CQ20" s="505">
        <v>11682057</v>
      </c>
      <c r="CR20" s="505">
        <v>1746320</v>
      </c>
      <c r="CS20" s="55">
        <v>2020417</v>
      </c>
      <c r="CT20" s="505">
        <v>4893339</v>
      </c>
      <c r="CU20" s="56">
        <v>15772881</v>
      </c>
      <c r="CV20" s="505">
        <v>11972636</v>
      </c>
      <c r="CW20" s="505">
        <v>1791646</v>
      </c>
      <c r="CX20" s="306">
        <f t="shared" si="37"/>
        <v>2008599</v>
      </c>
      <c r="CY20" s="591">
        <v>5066355</v>
      </c>
      <c r="CZ20" s="49">
        <v>16080717</v>
      </c>
      <c r="DA20" s="49">
        <v>12275690</v>
      </c>
      <c r="DB20" s="49">
        <v>1833850</v>
      </c>
      <c r="DC20" s="49">
        <v>1971177</v>
      </c>
      <c r="DD20" s="594">
        <v>5216403</v>
      </c>
      <c r="DE20" s="49">
        <v>16386630</v>
      </c>
      <c r="DF20" s="49">
        <v>8245355</v>
      </c>
      <c r="DG20" s="1">
        <v>1882690</v>
      </c>
      <c r="DH20" s="49">
        <v>1974588</v>
      </c>
      <c r="DI20" s="49">
        <v>5358510</v>
      </c>
      <c r="DJ20" s="727">
        <v>17472861</v>
      </c>
      <c r="DK20" s="49">
        <v>8475882</v>
      </c>
      <c r="DL20" s="49">
        <v>2051007</v>
      </c>
      <c r="DM20" s="730">
        <v>2103633</v>
      </c>
      <c r="DN20" s="49">
        <v>5880798</v>
      </c>
      <c r="DO20" s="727">
        <v>17775280</v>
      </c>
      <c r="DP20" s="49">
        <v>8537887</v>
      </c>
      <c r="DQ20" s="49">
        <v>2097614</v>
      </c>
      <c r="DR20" s="730">
        <v>2240946</v>
      </c>
      <c r="DS20" s="49">
        <v>6024554</v>
      </c>
    </row>
    <row r="21" spans="1:123" x14ac:dyDescent="0.2">
      <c r="A21" s="221" t="s">
        <v>14</v>
      </c>
      <c r="B21" s="528">
        <v>1375568</v>
      </c>
      <c r="C21" s="8">
        <v>1800165</v>
      </c>
      <c r="D21" s="48">
        <v>2083159</v>
      </c>
      <c r="E21" s="49">
        <v>816819</v>
      </c>
      <c r="F21" s="49">
        <v>870337</v>
      </c>
      <c r="G21" s="49">
        <v>192961</v>
      </c>
      <c r="H21" s="50">
        <v>203042</v>
      </c>
      <c r="I21" s="99">
        <v>2446082</v>
      </c>
      <c r="J21" s="138">
        <f t="shared" si="28"/>
        <v>2029501</v>
      </c>
      <c r="K21" s="49">
        <v>972256</v>
      </c>
      <c r="L21" s="49">
        <v>1057245</v>
      </c>
      <c r="M21" s="138">
        <f t="shared" si="29"/>
        <v>404829</v>
      </c>
      <c r="N21" s="49">
        <v>190874</v>
      </c>
      <c r="O21" s="49">
        <v>213955</v>
      </c>
      <c r="P21" s="138">
        <f t="shared" si="30"/>
        <v>20734</v>
      </c>
      <c r="Q21" s="49">
        <v>10290</v>
      </c>
      <c r="R21" s="50">
        <v>10444</v>
      </c>
      <c r="S21" s="9">
        <v>3132882</v>
      </c>
      <c r="T21" s="51">
        <v>2527888</v>
      </c>
      <c r="U21" s="49">
        <v>1204809</v>
      </c>
      <c r="V21" s="49">
        <v>1323079</v>
      </c>
      <c r="W21" s="51">
        <f t="shared" si="31"/>
        <v>519382</v>
      </c>
      <c r="X21" s="49">
        <v>239660</v>
      </c>
      <c r="Y21" s="49">
        <v>279722</v>
      </c>
      <c r="Z21" s="52">
        <v>39868</v>
      </c>
      <c r="AA21" s="49">
        <v>18507</v>
      </c>
      <c r="AB21" s="49">
        <v>21361</v>
      </c>
      <c r="AC21" s="177">
        <v>42318</v>
      </c>
      <c r="AD21" s="177">
        <v>18535</v>
      </c>
      <c r="AE21" s="138">
        <v>23783</v>
      </c>
      <c r="AF21" s="99">
        <v>3974814</v>
      </c>
      <c r="AG21" s="53">
        <v>3163904</v>
      </c>
      <c r="AH21" s="78">
        <f t="shared" si="32"/>
        <v>3113046</v>
      </c>
      <c r="AI21" s="49">
        <v>1496446</v>
      </c>
      <c r="AJ21" s="49">
        <v>1616600</v>
      </c>
      <c r="AK21" s="51">
        <v>676995</v>
      </c>
      <c r="AL21" s="78">
        <f t="shared" si="33"/>
        <v>673569</v>
      </c>
      <c r="AM21" s="49">
        <v>307890</v>
      </c>
      <c r="AN21" s="49">
        <v>365679</v>
      </c>
      <c r="AO21" s="51">
        <v>84416</v>
      </c>
      <c r="AP21" s="50">
        <v>43434</v>
      </c>
      <c r="AQ21" s="49">
        <v>40982</v>
      </c>
      <c r="AR21" s="82">
        <f t="shared" si="34"/>
        <v>103783</v>
      </c>
      <c r="AS21" s="99">
        <v>4666574</v>
      </c>
      <c r="AT21" s="51">
        <v>3504612</v>
      </c>
      <c r="AU21" s="178">
        <v>1688814</v>
      </c>
      <c r="AV21" s="178">
        <v>1815798</v>
      </c>
      <c r="AW21" s="78">
        <f t="shared" si="35"/>
        <v>3418030</v>
      </c>
      <c r="AX21" s="49">
        <v>1645543</v>
      </c>
      <c r="AY21" s="50">
        <v>1772487</v>
      </c>
      <c r="AZ21" s="51">
        <v>833512</v>
      </c>
      <c r="BA21" s="49">
        <v>382449</v>
      </c>
      <c r="BB21" s="49">
        <v>451063</v>
      </c>
      <c r="BC21" s="51">
        <v>175188</v>
      </c>
      <c r="BD21" s="49">
        <v>90852</v>
      </c>
      <c r="BE21" s="49">
        <v>84336</v>
      </c>
      <c r="BF21" s="177">
        <v>328450</v>
      </c>
      <c r="BG21" s="177">
        <v>159179</v>
      </c>
      <c r="BH21" s="138">
        <v>169271</v>
      </c>
      <c r="BI21" s="181">
        <v>5281767</v>
      </c>
      <c r="BJ21" s="50">
        <v>2536417</v>
      </c>
      <c r="BK21" s="50">
        <v>2745350</v>
      </c>
      <c r="BL21" s="57">
        <v>3828654</v>
      </c>
      <c r="BM21" s="57">
        <v>1858977</v>
      </c>
      <c r="BN21" s="57">
        <v>1969677</v>
      </c>
      <c r="BO21" s="57">
        <v>3626387</v>
      </c>
      <c r="BP21" s="57">
        <v>1755278</v>
      </c>
      <c r="BQ21" s="57">
        <v>1871109</v>
      </c>
      <c r="BR21" s="57">
        <v>967505</v>
      </c>
      <c r="BS21" s="57">
        <v>447678</v>
      </c>
      <c r="BT21" s="57">
        <v>519827</v>
      </c>
      <c r="BU21" s="57">
        <v>331031</v>
      </c>
      <c r="BV21" s="57">
        <v>170315</v>
      </c>
      <c r="BW21" s="57">
        <v>160716</v>
      </c>
      <c r="BX21" s="138">
        <f t="shared" si="36"/>
        <v>485608</v>
      </c>
      <c r="BY21" s="57">
        <v>229762</v>
      </c>
      <c r="BZ21" s="57">
        <v>255846</v>
      </c>
      <c r="CA21" s="191">
        <v>5053592</v>
      </c>
      <c r="CB21" s="51">
        <v>3711785</v>
      </c>
      <c r="CC21" s="49">
        <v>914079</v>
      </c>
      <c r="CD21" s="49">
        <v>427728</v>
      </c>
      <c r="CE21" s="49">
        <v>266790</v>
      </c>
      <c r="CF21" s="181">
        <v>5108315</v>
      </c>
      <c r="CG21" s="51">
        <v>3737975</v>
      </c>
      <c r="CH21" s="49">
        <v>930862</v>
      </c>
      <c r="CI21" s="49">
        <v>439478</v>
      </c>
      <c r="CJ21" s="49">
        <v>278566</v>
      </c>
      <c r="CK21" s="56">
        <v>5148433</v>
      </c>
      <c r="CL21" s="54">
        <v>3759105</v>
      </c>
      <c r="CM21" s="55">
        <v>944589</v>
      </c>
      <c r="CN21" s="55">
        <v>444739</v>
      </c>
      <c r="CO21" s="55">
        <v>291117</v>
      </c>
      <c r="CP21" s="56">
        <v>5281767</v>
      </c>
      <c r="CQ21" s="505">
        <v>3828654</v>
      </c>
      <c r="CR21" s="505">
        <v>967505</v>
      </c>
      <c r="CS21" s="55">
        <v>485608</v>
      </c>
      <c r="CT21" s="505">
        <v>331031</v>
      </c>
      <c r="CU21" s="56">
        <v>5354277</v>
      </c>
      <c r="CV21" s="505">
        <v>3873612</v>
      </c>
      <c r="CW21" s="505">
        <v>977398</v>
      </c>
      <c r="CX21" s="306">
        <f t="shared" si="37"/>
        <v>503267</v>
      </c>
      <c r="CY21" s="591">
        <v>347009</v>
      </c>
      <c r="CZ21" s="49">
        <v>5433053</v>
      </c>
      <c r="DA21" s="49">
        <v>3915527</v>
      </c>
      <c r="DB21" s="49">
        <v>992135</v>
      </c>
      <c r="DC21" s="49">
        <v>525391</v>
      </c>
      <c r="DD21" s="594">
        <v>363982</v>
      </c>
      <c r="DE21" s="49">
        <v>5499463</v>
      </c>
      <c r="DF21" s="49">
        <v>3709209</v>
      </c>
      <c r="DG21" s="1">
        <v>1003887</v>
      </c>
      <c r="DH21" s="49">
        <v>538879</v>
      </c>
      <c r="DI21" s="49">
        <v>380602</v>
      </c>
      <c r="DJ21" s="727">
        <v>5685318</v>
      </c>
      <c r="DK21" s="49">
        <v>3753743</v>
      </c>
      <c r="DL21" s="49">
        <v>1046000</v>
      </c>
      <c r="DM21" s="730">
        <v>610740</v>
      </c>
      <c r="DN21" s="49">
        <v>418669</v>
      </c>
      <c r="DO21" s="727">
        <v>5721173</v>
      </c>
      <c r="DP21" s="49">
        <v>3757704</v>
      </c>
      <c r="DQ21" s="49">
        <v>1050527</v>
      </c>
      <c r="DR21" s="730">
        <v>642927</v>
      </c>
      <c r="DS21" s="49">
        <v>426580</v>
      </c>
    </row>
    <row r="22" spans="1:123" x14ac:dyDescent="0.2">
      <c r="A22" s="473" t="s">
        <v>15</v>
      </c>
      <c r="B22" s="529">
        <v>928303</v>
      </c>
      <c r="C22" s="392">
        <v>1039555</v>
      </c>
      <c r="D22" s="384">
        <v>999731</v>
      </c>
      <c r="E22" s="385">
        <v>460363</v>
      </c>
      <c r="F22" s="385">
        <v>493349</v>
      </c>
      <c r="G22" s="385">
        <v>21850</v>
      </c>
      <c r="H22" s="385">
        <v>24169</v>
      </c>
      <c r="I22" s="386">
        <v>969436</v>
      </c>
      <c r="J22" s="387">
        <f t="shared" si="28"/>
        <v>933119</v>
      </c>
      <c r="K22" s="385">
        <v>439530</v>
      </c>
      <c r="L22" s="385">
        <v>493589</v>
      </c>
      <c r="M22" s="387">
        <f t="shared" si="29"/>
        <v>35011</v>
      </c>
      <c r="N22" s="385">
        <v>15439</v>
      </c>
      <c r="O22" s="385">
        <v>19572</v>
      </c>
      <c r="P22" s="387">
        <f t="shared" si="30"/>
        <v>2966</v>
      </c>
      <c r="Q22" s="385">
        <v>1442</v>
      </c>
      <c r="R22" s="385">
        <v>1524</v>
      </c>
      <c r="S22" s="393">
        <v>1147042</v>
      </c>
      <c r="T22" s="394">
        <v>1099965</v>
      </c>
      <c r="U22" s="385">
        <v>517151</v>
      </c>
      <c r="V22" s="385">
        <v>582814</v>
      </c>
      <c r="W22" s="394">
        <f t="shared" si="31"/>
        <v>35095</v>
      </c>
      <c r="X22" s="385">
        <v>15043</v>
      </c>
      <c r="Y22" s="385">
        <v>20052</v>
      </c>
      <c r="Z22" s="394">
        <v>7065</v>
      </c>
      <c r="AA22" s="385">
        <v>3472</v>
      </c>
      <c r="AB22" s="385">
        <v>3593</v>
      </c>
      <c r="AC22" s="387">
        <v>4524</v>
      </c>
      <c r="AD22" s="387">
        <v>2079</v>
      </c>
      <c r="AE22" s="387">
        <v>2445</v>
      </c>
      <c r="AF22" s="386">
        <v>1171766</v>
      </c>
      <c r="AG22" s="344">
        <v>1132010</v>
      </c>
      <c r="AH22" s="249">
        <f t="shared" si="32"/>
        <v>1128471</v>
      </c>
      <c r="AI22" s="385">
        <v>525225</v>
      </c>
      <c r="AJ22" s="385">
        <v>603246</v>
      </c>
      <c r="AK22" s="394">
        <v>33254</v>
      </c>
      <c r="AL22" s="249">
        <f t="shared" si="33"/>
        <v>33120</v>
      </c>
      <c r="AM22" s="385">
        <v>14409</v>
      </c>
      <c r="AN22" s="385">
        <v>18711</v>
      </c>
      <c r="AO22" s="394">
        <v>4262</v>
      </c>
      <c r="AP22" s="385">
        <v>2028</v>
      </c>
      <c r="AQ22" s="385">
        <v>2234</v>
      </c>
      <c r="AR22" s="388">
        <f t="shared" si="34"/>
        <v>5913</v>
      </c>
      <c r="AS22" s="386">
        <v>1233581</v>
      </c>
      <c r="AT22" s="395">
        <v>1179894</v>
      </c>
      <c r="AU22" s="389">
        <v>559338</v>
      </c>
      <c r="AV22" s="389">
        <v>620556</v>
      </c>
      <c r="AW22" s="249">
        <f t="shared" si="35"/>
        <v>1175016</v>
      </c>
      <c r="AX22" s="385">
        <v>556784</v>
      </c>
      <c r="AY22" s="385">
        <v>618232</v>
      </c>
      <c r="AZ22" s="394">
        <v>34944</v>
      </c>
      <c r="BA22" s="385">
        <v>16601</v>
      </c>
      <c r="BB22" s="385">
        <v>18343</v>
      </c>
      <c r="BC22" s="394">
        <v>6395</v>
      </c>
      <c r="BD22" s="385">
        <v>3408</v>
      </c>
      <c r="BE22" s="385">
        <v>2987</v>
      </c>
      <c r="BF22" s="387">
        <v>18743</v>
      </c>
      <c r="BG22" s="387">
        <v>9023</v>
      </c>
      <c r="BH22" s="387">
        <v>9720</v>
      </c>
      <c r="BI22" s="391">
        <v>1290151</v>
      </c>
      <c r="BJ22" s="385">
        <v>623329</v>
      </c>
      <c r="BK22" s="385">
        <v>666822</v>
      </c>
      <c r="BL22" s="384">
        <v>1226229</v>
      </c>
      <c r="BM22" s="384">
        <v>590856</v>
      </c>
      <c r="BN22" s="384">
        <v>635373</v>
      </c>
      <c r="BO22" s="384">
        <v>1218038</v>
      </c>
      <c r="BP22" s="384">
        <v>586377</v>
      </c>
      <c r="BQ22" s="384">
        <v>631661</v>
      </c>
      <c r="BR22" s="384">
        <v>38093</v>
      </c>
      <c r="BS22" s="384">
        <v>20409</v>
      </c>
      <c r="BT22" s="384">
        <v>17684</v>
      </c>
      <c r="BU22" s="384">
        <v>10950</v>
      </c>
      <c r="BV22" s="384">
        <v>5861</v>
      </c>
      <c r="BW22" s="384">
        <v>5089</v>
      </c>
      <c r="BX22" s="387">
        <f t="shared" si="36"/>
        <v>25829</v>
      </c>
      <c r="BY22" s="384">
        <v>12064</v>
      </c>
      <c r="BZ22" s="384">
        <v>13765</v>
      </c>
      <c r="CA22" s="390">
        <v>1257231</v>
      </c>
      <c r="CB22" s="394">
        <v>1198399</v>
      </c>
      <c r="CC22" s="385">
        <v>38271</v>
      </c>
      <c r="CD22" s="385">
        <v>20561</v>
      </c>
      <c r="CE22" s="385">
        <v>9126</v>
      </c>
      <c r="CF22" s="391">
        <v>1261678</v>
      </c>
      <c r="CG22" s="394">
        <v>1202975</v>
      </c>
      <c r="CH22" s="385">
        <v>38348</v>
      </c>
      <c r="CI22" s="385">
        <v>20355</v>
      </c>
      <c r="CJ22" s="385">
        <v>9463</v>
      </c>
      <c r="CK22" s="245">
        <v>1257821</v>
      </c>
      <c r="CL22" s="246">
        <v>1198444</v>
      </c>
      <c r="CM22" s="246">
        <v>36103</v>
      </c>
      <c r="CN22" s="246">
        <v>23274</v>
      </c>
      <c r="CO22" s="246">
        <v>10897</v>
      </c>
      <c r="CP22" s="245">
        <v>1290151</v>
      </c>
      <c r="CQ22" s="505">
        <v>1226229</v>
      </c>
      <c r="CR22" s="505">
        <v>38093</v>
      </c>
      <c r="CS22" s="55">
        <v>25829</v>
      </c>
      <c r="CT22" s="505">
        <v>10950</v>
      </c>
      <c r="CU22" s="245">
        <v>1295051</v>
      </c>
      <c r="CV22" s="505">
        <v>1230195</v>
      </c>
      <c r="CW22" s="505">
        <v>37129</v>
      </c>
      <c r="CX22" s="306">
        <f t="shared" si="37"/>
        <v>27727</v>
      </c>
      <c r="CY22" s="591">
        <v>11696</v>
      </c>
      <c r="CZ22" s="385">
        <v>1297393</v>
      </c>
      <c r="DA22" s="50">
        <v>1231613</v>
      </c>
      <c r="DB22" s="50">
        <v>37177</v>
      </c>
      <c r="DC22" s="50">
        <v>28163</v>
      </c>
      <c r="DD22" s="595">
        <v>11543</v>
      </c>
      <c r="DE22" s="49">
        <v>1298503</v>
      </c>
      <c r="DF22" s="49">
        <v>1222436</v>
      </c>
      <c r="DG22" s="1">
        <v>37573</v>
      </c>
      <c r="DH22" s="49">
        <v>28738</v>
      </c>
      <c r="DI22" s="49">
        <v>12362</v>
      </c>
      <c r="DJ22" s="727">
        <v>1300347</v>
      </c>
      <c r="DK22" s="49">
        <v>1215911</v>
      </c>
      <c r="DL22" s="49">
        <v>45636</v>
      </c>
      <c r="DM22" s="730">
        <v>21233</v>
      </c>
      <c r="DN22" s="49">
        <v>15498</v>
      </c>
      <c r="DO22" s="727">
        <v>1291757</v>
      </c>
      <c r="DP22" s="49">
        <v>1208012</v>
      </c>
      <c r="DQ22" s="49">
        <v>45474</v>
      </c>
      <c r="DR22" s="730">
        <v>25771</v>
      </c>
      <c r="DS22" s="49">
        <v>13952</v>
      </c>
    </row>
    <row r="23" spans="1:123" x14ac:dyDescent="0.2">
      <c r="A23" s="223" t="s">
        <v>182</v>
      </c>
      <c r="B23" s="530">
        <f>SUM(B25:B37)</f>
        <v>0</v>
      </c>
      <c r="C23" s="446">
        <f t="shared" ref="C23:CF23" si="38">SUM(C25:C37)</f>
        <v>0</v>
      </c>
      <c r="D23" s="441">
        <f t="shared" si="38"/>
        <v>15352456</v>
      </c>
      <c r="E23" s="441">
        <f t="shared" si="38"/>
        <v>7012751</v>
      </c>
      <c r="F23" s="441">
        <f t="shared" si="38"/>
        <v>7251254</v>
      </c>
      <c r="G23" s="441">
        <f t="shared" si="38"/>
        <v>564956</v>
      </c>
      <c r="H23" s="444">
        <f t="shared" si="38"/>
        <v>523495</v>
      </c>
      <c r="I23" s="443">
        <f t="shared" si="38"/>
        <v>18590679</v>
      </c>
      <c r="J23" s="444">
        <f t="shared" si="38"/>
        <v>17018031</v>
      </c>
      <c r="K23" s="441">
        <f t="shared" si="38"/>
        <v>8193207</v>
      </c>
      <c r="L23" s="441">
        <f t="shared" si="38"/>
        <v>8824824</v>
      </c>
      <c r="M23" s="444">
        <f t="shared" si="38"/>
        <v>778643</v>
      </c>
      <c r="N23" s="441">
        <f t="shared" si="38"/>
        <v>373996</v>
      </c>
      <c r="O23" s="441">
        <f t="shared" si="38"/>
        <v>404647</v>
      </c>
      <c r="P23" s="444">
        <f t="shared" si="38"/>
        <v>1874845</v>
      </c>
      <c r="Q23" s="441">
        <f t="shared" si="38"/>
        <v>929692</v>
      </c>
      <c r="R23" s="444">
        <f t="shared" si="38"/>
        <v>945153</v>
      </c>
      <c r="S23" s="443">
        <f t="shared" si="38"/>
        <v>25156945</v>
      </c>
      <c r="T23" s="290">
        <f t="shared" si="38"/>
        <v>19676129</v>
      </c>
      <c r="U23" s="441">
        <f t="shared" si="38"/>
        <v>9483292</v>
      </c>
      <c r="V23" s="441">
        <f t="shared" si="38"/>
        <v>10192837</v>
      </c>
      <c r="W23" s="290">
        <f t="shared" si="38"/>
        <v>1125745</v>
      </c>
      <c r="X23" s="441">
        <f t="shared" si="38"/>
        <v>542548</v>
      </c>
      <c r="Y23" s="441">
        <f t="shared" si="38"/>
        <v>583197</v>
      </c>
      <c r="Z23" s="290">
        <f t="shared" si="38"/>
        <v>2793435</v>
      </c>
      <c r="AA23" s="441">
        <f t="shared" si="38"/>
        <v>1382517</v>
      </c>
      <c r="AB23" s="441">
        <f t="shared" si="38"/>
        <v>1410918</v>
      </c>
      <c r="AC23" s="441">
        <f t="shared" si="38"/>
        <v>1521862</v>
      </c>
      <c r="AD23" s="441">
        <f t="shared" si="38"/>
        <v>719149</v>
      </c>
      <c r="AE23" s="444">
        <f t="shared" si="38"/>
        <v>802713</v>
      </c>
      <c r="AF23" s="443">
        <f t="shared" si="38"/>
        <v>33115217</v>
      </c>
      <c r="AG23" s="290">
        <f t="shared" si="38"/>
        <v>26241893</v>
      </c>
      <c r="AH23" s="285">
        <f t="shared" si="38"/>
        <v>23809060</v>
      </c>
      <c r="AI23" s="441">
        <f t="shared" si="38"/>
        <v>11557565</v>
      </c>
      <c r="AJ23" s="441">
        <f t="shared" si="38"/>
        <v>12251495</v>
      </c>
      <c r="AK23" s="290">
        <f t="shared" si="38"/>
        <v>1599373</v>
      </c>
      <c r="AL23" s="285">
        <f t="shared" si="38"/>
        <v>1553066</v>
      </c>
      <c r="AM23" s="441">
        <f t="shared" si="38"/>
        <v>758741</v>
      </c>
      <c r="AN23" s="441">
        <f t="shared" si="38"/>
        <v>794325</v>
      </c>
      <c r="AO23" s="290">
        <f t="shared" si="38"/>
        <v>4892564</v>
      </c>
      <c r="AP23" s="444">
        <f t="shared" si="38"/>
        <v>2486256</v>
      </c>
      <c r="AQ23" s="441">
        <f t="shared" si="38"/>
        <v>2406308</v>
      </c>
      <c r="AR23" s="445">
        <f t="shared" si="38"/>
        <v>2860527</v>
      </c>
      <c r="AS23" s="443">
        <f t="shared" si="38"/>
        <v>39924912</v>
      </c>
      <c r="AT23" s="290">
        <f t="shared" si="38"/>
        <v>28965948</v>
      </c>
      <c r="AU23" s="447">
        <f t="shared" si="38"/>
        <v>14146591</v>
      </c>
      <c r="AV23" s="447">
        <f t="shared" si="38"/>
        <v>14819357</v>
      </c>
      <c r="AW23" s="285">
        <f t="shared" si="38"/>
        <v>25596208</v>
      </c>
      <c r="AX23" s="441">
        <f t="shared" si="38"/>
        <v>12475268</v>
      </c>
      <c r="AY23" s="444">
        <f t="shared" si="38"/>
        <v>13120940</v>
      </c>
      <c r="AZ23" s="290">
        <f t="shared" si="38"/>
        <v>1790682</v>
      </c>
      <c r="BA23" s="441">
        <f t="shared" si="38"/>
        <v>880291</v>
      </c>
      <c r="BB23" s="441">
        <f t="shared" si="38"/>
        <v>910391</v>
      </c>
      <c r="BC23" s="290">
        <f t="shared" si="38"/>
        <v>7658940</v>
      </c>
      <c r="BD23" s="441">
        <f t="shared" si="38"/>
        <v>3867970</v>
      </c>
      <c r="BE23" s="441">
        <f t="shared" si="38"/>
        <v>3790970</v>
      </c>
      <c r="BF23" s="441">
        <f t="shared" si="38"/>
        <v>9168282</v>
      </c>
      <c r="BG23" s="441">
        <f t="shared" si="38"/>
        <v>4479802</v>
      </c>
      <c r="BH23" s="444">
        <f t="shared" si="38"/>
        <v>4688480</v>
      </c>
      <c r="BI23" s="509">
        <f t="shared" si="38"/>
        <v>46148030</v>
      </c>
      <c r="BJ23" s="511">
        <f t="shared" si="38"/>
        <v>22605488</v>
      </c>
      <c r="BK23" s="511">
        <f t="shared" si="38"/>
        <v>23542542</v>
      </c>
      <c r="BL23" s="511">
        <f t="shared" si="38"/>
        <v>33756603</v>
      </c>
      <c r="BM23" s="511">
        <f t="shared" si="38"/>
        <v>16617948</v>
      </c>
      <c r="BN23" s="511">
        <f t="shared" si="38"/>
        <v>17138655</v>
      </c>
      <c r="BO23" s="511">
        <f t="shared" si="38"/>
        <v>27255942</v>
      </c>
      <c r="BP23" s="511">
        <f t="shared" si="38"/>
        <v>13398075</v>
      </c>
      <c r="BQ23" s="511">
        <f t="shared" si="38"/>
        <v>13857867</v>
      </c>
      <c r="BR23" s="511">
        <f t="shared" si="38"/>
        <v>2070312</v>
      </c>
      <c r="BS23" s="511">
        <f t="shared" si="38"/>
        <v>1031771</v>
      </c>
      <c r="BT23" s="511">
        <f t="shared" si="38"/>
        <v>1038541</v>
      </c>
      <c r="BU23" s="511">
        <f t="shared" si="38"/>
        <v>10605291</v>
      </c>
      <c r="BV23" s="511">
        <f t="shared" si="38"/>
        <v>5307296</v>
      </c>
      <c r="BW23" s="511">
        <f t="shared" si="38"/>
        <v>5297995</v>
      </c>
      <c r="BX23" s="511">
        <f t="shared" si="38"/>
        <v>10321115</v>
      </c>
      <c r="BY23" s="511">
        <f t="shared" si="38"/>
        <v>4955769</v>
      </c>
      <c r="BZ23" s="511">
        <f t="shared" si="38"/>
        <v>5365346</v>
      </c>
      <c r="CA23" s="448">
        <f t="shared" si="38"/>
        <v>44403923</v>
      </c>
      <c r="CB23" s="290">
        <f t="shared" si="38"/>
        <v>32014534</v>
      </c>
      <c r="CC23" s="441">
        <f t="shared" si="38"/>
        <v>1951589</v>
      </c>
      <c r="CD23" s="441">
        <f t="shared" si="38"/>
        <v>10437800</v>
      </c>
      <c r="CE23" s="441">
        <f t="shared" si="38"/>
        <v>9884675</v>
      </c>
      <c r="CF23" s="443">
        <f t="shared" si="38"/>
        <v>45019529</v>
      </c>
      <c r="CG23" s="290">
        <f t="shared" ref="CG23:CP23" si="39">SUM(CG25:CG37)</f>
        <v>32678165</v>
      </c>
      <c r="CH23" s="441">
        <f t="shared" si="39"/>
        <v>1975090</v>
      </c>
      <c r="CI23" s="442">
        <f t="shared" si="39"/>
        <v>10366274</v>
      </c>
      <c r="CJ23" s="441">
        <f t="shared" si="39"/>
        <v>10162269</v>
      </c>
      <c r="CK23" s="284">
        <f t="shared" si="39"/>
        <v>45550233</v>
      </c>
      <c r="CL23" s="257">
        <f t="shared" si="39"/>
        <v>33297140</v>
      </c>
      <c r="CM23" s="306">
        <f t="shared" si="39"/>
        <v>2022712</v>
      </c>
      <c r="CN23" s="306">
        <f t="shared" si="39"/>
        <v>10230381</v>
      </c>
      <c r="CO23" s="306">
        <f t="shared" si="39"/>
        <v>10348169</v>
      </c>
      <c r="CP23" s="359">
        <f t="shared" si="39"/>
        <v>46148030</v>
      </c>
      <c r="CQ23" s="513">
        <f t="shared" ref="CQ23:DJ23" si="40">SUM(CQ25:CQ37)</f>
        <v>33756603</v>
      </c>
      <c r="CR23" s="513">
        <f t="shared" si="40"/>
        <v>2070312</v>
      </c>
      <c r="CS23" s="513">
        <f t="shared" si="40"/>
        <v>10321115</v>
      </c>
      <c r="CT23" s="513">
        <f t="shared" si="40"/>
        <v>10605291</v>
      </c>
      <c r="CU23" s="359">
        <f t="shared" si="40"/>
        <v>46829886</v>
      </c>
      <c r="CV23" s="513">
        <f t="shared" si="40"/>
        <v>34233405</v>
      </c>
      <c r="CW23" s="513">
        <f t="shared" si="40"/>
        <v>2092565</v>
      </c>
      <c r="CX23" s="513">
        <f>SUM(CX25:CX37)</f>
        <v>10503916</v>
      </c>
      <c r="CY23" s="587">
        <f t="shared" si="40"/>
        <v>10927638</v>
      </c>
      <c r="CZ23" s="599">
        <f t="shared" si="40"/>
        <v>47495337</v>
      </c>
      <c r="DA23" s="599">
        <f t="shared" si="40"/>
        <v>34650201</v>
      </c>
      <c r="DB23" s="599">
        <f t="shared" si="40"/>
        <v>2134990</v>
      </c>
      <c r="DC23" s="599">
        <f t="shared" si="40"/>
        <v>10707566</v>
      </c>
      <c r="DD23" s="596">
        <f t="shared" si="40"/>
        <v>11206293</v>
      </c>
      <c r="DE23" s="596">
        <f t="shared" si="40"/>
        <v>48160748</v>
      </c>
      <c r="DF23" s="596">
        <f t="shared" si="40"/>
        <v>27783856</v>
      </c>
      <c r="DG23" s="596">
        <f t="shared" si="40"/>
        <v>2172903</v>
      </c>
      <c r="DH23" s="596">
        <f t="shared" si="40"/>
        <v>10955601</v>
      </c>
      <c r="DI23" s="596">
        <f t="shared" si="40"/>
        <v>11482275</v>
      </c>
      <c r="DJ23" s="596">
        <f t="shared" si="40"/>
        <v>50692004</v>
      </c>
      <c r="DK23" s="596">
        <f>SUM(DK25:DK37)</f>
        <v>28419544</v>
      </c>
      <c r="DL23" s="596">
        <f>SUM(DL25:DL37)</f>
        <v>2298860</v>
      </c>
      <c r="DM23" s="596">
        <f t="shared" ref="DM23:DO23" si="41">SUM(DM25:DM37)</f>
        <v>12145190</v>
      </c>
      <c r="DN23" s="596">
        <f t="shared" si="41"/>
        <v>12502152</v>
      </c>
      <c r="DO23" s="596">
        <f t="shared" si="41"/>
        <v>51376461</v>
      </c>
      <c r="DP23" s="596">
        <f>SUM(DP25:DP37)</f>
        <v>28660263</v>
      </c>
      <c r="DQ23" s="596">
        <f>SUM(DQ25:DQ37)</f>
        <v>2311637</v>
      </c>
      <c r="DR23" s="596">
        <f t="shared" ref="DR23:DS23" si="42">SUM(DR25:DR37)</f>
        <v>12749522</v>
      </c>
      <c r="DS23" s="596">
        <f t="shared" si="42"/>
        <v>12730528</v>
      </c>
    </row>
    <row r="24" spans="1:123" x14ac:dyDescent="0.2">
      <c r="A24" s="223" t="s">
        <v>181</v>
      </c>
      <c r="B24" s="10"/>
      <c r="C24" s="19"/>
      <c r="E24" s="48"/>
      <c r="F24" s="48"/>
      <c r="G24" s="48"/>
      <c r="H24" s="57"/>
      <c r="J24" s="138"/>
      <c r="K24" s="48"/>
      <c r="L24" s="48"/>
      <c r="M24" s="138"/>
      <c r="N24" s="48"/>
      <c r="O24" s="48"/>
      <c r="P24" s="138"/>
      <c r="Q24" s="48"/>
      <c r="R24" s="57"/>
      <c r="S24" s="99"/>
      <c r="T24" s="136"/>
      <c r="U24" s="48"/>
      <c r="V24" s="48"/>
      <c r="W24" s="136"/>
      <c r="X24" s="48"/>
      <c r="Y24" s="48"/>
      <c r="Z24" s="136"/>
      <c r="AA24" s="48"/>
      <c r="AB24" s="48"/>
      <c r="AC24" s="177"/>
      <c r="AD24" s="177"/>
      <c r="AE24" s="138"/>
      <c r="AG24" s="5"/>
      <c r="AH24" s="78"/>
      <c r="AI24" s="48"/>
      <c r="AJ24" s="48"/>
      <c r="AK24" s="5"/>
      <c r="AL24" s="78"/>
      <c r="AM24" s="48"/>
      <c r="AN24" s="48"/>
      <c r="AO24" s="5"/>
      <c r="AP24" s="57"/>
      <c r="AQ24" s="48"/>
      <c r="AR24" s="82"/>
      <c r="AT24" s="5"/>
      <c r="AU24" s="178"/>
      <c r="AV24" s="178"/>
      <c r="AW24" s="78"/>
      <c r="AX24" s="48"/>
      <c r="AY24" s="57"/>
      <c r="AZ24" s="5"/>
      <c r="BA24" s="48"/>
      <c r="BB24" s="48"/>
      <c r="BC24" s="5"/>
      <c r="BD24" s="48"/>
      <c r="BE24" s="48"/>
      <c r="BF24" s="177"/>
      <c r="BG24" s="177"/>
      <c r="BH24" s="138"/>
      <c r="BI24" s="99"/>
      <c r="BJ24" s="99"/>
      <c r="BK24" s="99"/>
      <c r="BL24" s="138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138"/>
      <c r="BY24" s="57"/>
      <c r="BZ24" s="57"/>
      <c r="CA24" s="192"/>
      <c r="CB24" s="5"/>
      <c r="CC24" s="48"/>
      <c r="CD24" s="48"/>
      <c r="CE24" s="48"/>
      <c r="CF24" s="99"/>
      <c r="CG24" s="5"/>
      <c r="CH24" s="48"/>
      <c r="CJ24" s="48"/>
      <c r="CK24" s="56"/>
      <c r="CL24" s="54"/>
      <c r="CM24" s="55"/>
      <c r="CN24" s="55"/>
      <c r="CO24" s="55"/>
      <c r="CP24" s="56"/>
      <c r="CQ24" s="505"/>
      <c r="CR24" s="505"/>
      <c r="CS24" s="55"/>
      <c r="CT24" s="505"/>
      <c r="CU24" s="56"/>
      <c r="CV24" s="505"/>
      <c r="CW24" s="505"/>
      <c r="CX24" s="505"/>
      <c r="CY24" s="591"/>
      <c r="CZ24" s="49"/>
      <c r="DA24" s="49"/>
      <c r="DB24" s="49"/>
      <c r="DC24" s="49"/>
      <c r="DD24" s="594"/>
      <c r="DH24" s="49">
        <v>0</v>
      </c>
      <c r="DJ24" s="727">
        <v>0</v>
      </c>
      <c r="DK24" s="728"/>
      <c r="DL24" s="49"/>
      <c r="DM24" s="730">
        <v>0</v>
      </c>
      <c r="DN24" s="49"/>
      <c r="DO24" s="727"/>
      <c r="DP24" s="728"/>
      <c r="DQ24" s="49"/>
      <c r="DS24" s="49"/>
    </row>
    <row r="25" spans="1:123" x14ac:dyDescent="0.2">
      <c r="A25" s="218" t="s">
        <v>17</v>
      </c>
      <c r="B25" s="10"/>
      <c r="C25" s="19"/>
      <c r="D25" s="48">
        <v>104887</v>
      </c>
      <c r="E25" s="49">
        <v>49635</v>
      </c>
      <c r="F25" s="49">
        <v>35805</v>
      </c>
      <c r="G25" s="49">
        <v>10596</v>
      </c>
      <c r="H25" s="50">
        <v>8851</v>
      </c>
      <c r="I25" s="99">
        <v>134948</v>
      </c>
      <c r="J25" s="138">
        <f t="shared" ref="J25:J37" si="43">+K25+L25</f>
        <v>110906</v>
      </c>
      <c r="K25" s="49">
        <v>61189</v>
      </c>
      <c r="L25" s="49">
        <v>49717</v>
      </c>
      <c r="M25" s="138">
        <f t="shared" ref="M25:M37" si="44">+N25+O25</f>
        <v>3597</v>
      </c>
      <c r="N25" s="49">
        <v>2153</v>
      </c>
      <c r="O25" s="49">
        <v>1444</v>
      </c>
      <c r="P25" s="138">
        <f t="shared" ref="P25:P37" si="45">+Q25+R25</f>
        <v>2382</v>
      </c>
      <c r="Q25" s="49">
        <v>1307</v>
      </c>
      <c r="R25" s="50">
        <v>1075</v>
      </c>
      <c r="S25" s="99">
        <v>211397</v>
      </c>
      <c r="T25" s="136">
        <f t="shared" ref="T25:T37" si="46">+U25+V25</f>
        <v>169303</v>
      </c>
      <c r="U25" s="49">
        <v>91867</v>
      </c>
      <c r="V25" s="49">
        <v>77436</v>
      </c>
      <c r="W25" s="136">
        <f t="shared" ref="W25:W37" si="47">+X25+Y25</f>
        <v>6170</v>
      </c>
      <c r="X25" s="49">
        <v>3594</v>
      </c>
      <c r="Y25" s="49">
        <v>2576</v>
      </c>
      <c r="Z25" s="136">
        <f t="shared" ref="Z25:Z37" si="48">+AA25+AB25</f>
        <v>3851</v>
      </c>
      <c r="AA25" s="49">
        <v>2077</v>
      </c>
      <c r="AB25" s="49">
        <v>1774</v>
      </c>
      <c r="AC25" s="177">
        <v>31670</v>
      </c>
      <c r="AD25" s="177">
        <v>15702</v>
      </c>
      <c r="AE25" s="138">
        <v>15968</v>
      </c>
      <c r="AF25" s="99">
        <v>323429</v>
      </c>
      <c r="AG25" s="5">
        <v>255459</v>
      </c>
      <c r="AH25" s="78">
        <f t="shared" ref="AH25:AH37" si="49">+AI25+AJ25</f>
        <v>251089</v>
      </c>
      <c r="AI25" s="49">
        <v>134403</v>
      </c>
      <c r="AJ25" s="49">
        <v>116686</v>
      </c>
      <c r="AK25" s="5">
        <v>11092</v>
      </c>
      <c r="AL25" s="78">
        <f t="shared" ref="AL25:AL37" si="50">+AM25+AN25</f>
        <v>10867</v>
      </c>
      <c r="AM25" s="49">
        <v>6064</v>
      </c>
      <c r="AN25" s="49">
        <v>4803</v>
      </c>
      <c r="AO25" s="5">
        <v>8825</v>
      </c>
      <c r="AP25" s="50">
        <v>4603</v>
      </c>
      <c r="AQ25" s="49">
        <v>4222</v>
      </c>
      <c r="AR25" s="82">
        <f t="shared" ref="AR25:AR37" si="51">+AF25-AH25-AL25-AO25</f>
        <v>52648</v>
      </c>
      <c r="AS25" s="99">
        <v>379556</v>
      </c>
      <c r="AT25" s="5">
        <v>281473</v>
      </c>
      <c r="AU25" s="178">
        <v>147676</v>
      </c>
      <c r="AV25" s="178">
        <v>133797</v>
      </c>
      <c r="AW25" s="78">
        <f t="shared" ref="AW25:AW37" si="52">+AX25+AY25</f>
        <v>276088</v>
      </c>
      <c r="AX25" s="49">
        <v>144963</v>
      </c>
      <c r="AY25" s="50">
        <v>131125</v>
      </c>
      <c r="AZ25" s="5">
        <v>11730</v>
      </c>
      <c r="BA25" s="49">
        <v>6337</v>
      </c>
      <c r="BB25" s="49">
        <v>5393</v>
      </c>
      <c r="BC25" s="5">
        <v>12263</v>
      </c>
      <c r="BD25" s="49">
        <v>6423</v>
      </c>
      <c r="BE25" s="49">
        <v>5840</v>
      </c>
      <c r="BF25" s="177">
        <v>86353</v>
      </c>
      <c r="BG25" s="177">
        <v>41663</v>
      </c>
      <c r="BH25" s="138">
        <v>44690</v>
      </c>
      <c r="BI25" s="181">
        <v>439507</v>
      </c>
      <c r="BJ25" s="50">
        <v>227888</v>
      </c>
      <c r="BK25" s="50">
        <v>211619</v>
      </c>
      <c r="BL25" s="57">
        <v>318650</v>
      </c>
      <c r="BM25" s="57">
        <v>168010</v>
      </c>
      <c r="BN25" s="57">
        <v>150640</v>
      </c>
      <c r="BO25" s="57">
        <v>307323</v>
      </c>
      <c r="BP25" s="57">
        <v>161702</v>
      </c>
      <c r="BQ25" s="57">
        <v>145621</v>
      </c>
      <c r="BR25" s="57">
        <v>13896</v>
      </c>
      <c r="BS25" s="57">
        <v>7857</v>
      </c>
      <c r="BT25" s="57">
        <v>6039</v>
      </c>
      <c r="BU25" s="57">
        <v>19539</v>
      </c>
      <c r="BV25" s="57">
        <v>10328</v>
      </c>
      <c r="BW25" s="57">
        <v>9211</v>
      </c>
      <c r="BX25" s="138">
        <f t="shared" ref="BX25:BX37" si="53">+BY25+BZ25</f>
        <v>106961</v>
      </c>
      <c r="BY25" s="57">
        <v>52021</v>
      </c>
      <c r="BZ25" s="57">
        <v>54940</v>
      </c>
      <c r="CA25" s="191">
        <v>418136</v>
      </c>
      <c r="CB25" s="5">
        <v>306214</v>
      </c>
      <c r="CC25" s="49">
        <v>13434</v>
      </c>
      <c r="CD25" s="49">
        <v>98488</v>
      </c>
      <c r="CE25" s="49">
        <v>18483</v>
      </c>
      <c r="CF25" s="181">
        <v>422721</v>
      </c>
      <c r="CG25" s="5">
        <v>307994</v>
      </c>
      <c r="CH25" s="49">
        <v>13492</v>
      </c>
      <c r="CI25" s="49">
        <v>101235</v>
      </c>
      <c r="CJ25" s="49">
        <v>19868</v>
      </c>
      <c r="CK25" s="56">
        <v>423408</v>
      </c>
      <c r="CL25" s="54">
        <v>307813</v>
      </c>
      <c r="CM25" s="55">
        <v>14362</v>
      </c>
      <c r="CN25" s="55">
        <v>101233</v>
      </c>
      <c r="CO25" s="55">
        <v>20857</v>
      </c>
      <c r="CP25" s="56">
        <v>439507</v>
      </c>
      <c r="CQ25" s="505">
        <v>318650</v>
      </c>
      <c r="CR25" s="505">
        <v>13896</v>
      </c>
      <c r="CS25" s="55">
        <v>106961</v>
      </c>
      <c r="CT25" s="505">
        <v>19539</v>
      </c>
      <c r="CU25" s="56">
        <v>448609</v>
      </c>
      <c r="CV25" s="505">
        <v>325709</v>
      </c>
      <c r="CW25" s="505">
        <v>14273</v>
      </c>
      <c r="CX25" s="306">
        <f t="shared" ref="CX25:CX37" si="54">CU25-CV25-CW25</f>
        <v>108627</v>
      </c>
      <c r="CY25" s="591">
        <v>19568</v>
      </c>
      <c r="CZ25" s="49">
        <v>457070</v>
      </c>
      <c r="DA25" s="49">
        <v>330422</v>
      </c>
      <c r="DB25" s="49">
        <v>14621</v>
      </c>
      <c r="DC25" s="49">
        <v>112027</v>
      </c>
      <c r="DD25" s="594">
        <v>20734</v>
      </c>
      <c r="DE25" s="49">
        <v>461441</v>
      </c>
      <c r="DF25" s="49">
        <v>318357</v>
      </c>
      <c r="DG25" s="1">
        <v>14853</v>
      </c>
      <c r="DH25" s="49">
        <v>114640</v>
      </c>
      <c r="DI25" s="49">
        <v>22801</v>
      </c>
      <c r="DJ25" s="727">
        <v>469523</v>
      </c>
      <c r="DK25" s="49">
        <v>316043</v>
      </c>
      <c r="DL25" s="49">
        <v>15302</v>
      </c>
      <c r="DM25" s="730">
        <v>111692</v>
      </c>
      <c r="DN25" s="49">
        <v>25926</v>
      </c>
      <c r="DO25" s="727">
        <v>478951</v>
      </c>
      <c r="DP25" s="49">
        <v>320221</v>
      </c>
      <c r="DQ25" s="49">
        <v>14926</v>
      </c>
      <c r="DR25" s="730">
        <v>130489</v>
      </c>
      <c r="DS25" s="49">
        <v>26133</v>
      </c>
    </row>
    <row r="26" spans="1:123" x14ac:dyDescent="0.2">
      <c r="A26" s="218" t="s">
        <v>18</v>
      </c>
      <c r="B26" s="10"/>
      <c r="C26" s="19"/>
      <c r="D26" s="48">
        <v>661102</v>
      </c>
      <c r="E26" s="49">
        <v>301685</v>
      </c>
      <c r="F26" s="49">
        <v>307142</v>
      </c>
      <c r="G26" s="49">
        <v>26683</v>
      </c>
      <c r="H26" s="50">
        <v>25592</v>
      </c>
      <c r="I26" s="99">
        <v>915737</v>
      </c>
      <c r="J26" s="138">
        <f t="shared" si="43"/>
        <v>853185</v>
      </c>
      <c r="K26" s="49">
        <v>408560</v>
      </c>
      <c r="L26" s="49">
        <v>444625</v>
      </c>
      <c r="M26" s="138">
        <f t="shared" si="44"/>
        <v>22800</v>
      </c>
      <c r="N26" s="49">
        <v>11086</v>
      </c>
      <c r="O26" s="49">
        <v>11714</v>
      </c>
      <c r="P26" s="138">
        <f t="shared" si="45"/>
        <v>134022</v>
      </c>
      <c r="Q26" s="49">
        <v>65347</v>
      </c>
      <c r="R26" s="50">
        <v>68675</v>
      </c>
      <c r="S26" s="99">
        <v>1558891</v>
      </c>
      <c r="T26" s="136">
        <f t="shared" si="46"/>
        <v>1258351</v>
      </c>
      <c r="U26" s="49">
        <v>602706</v>
      </c>
      <c r="V26" s="49">
        <v>655645</v>
      </c>
      <c r="W26" s="136">
        <f t="shared" si="47"/>
        <v>34605</v>
      </c>
      <c r="X26" s="49">
        <v>17778</v>
      </c>
      <c r="Y26" s="49">
        <v>16827</v>
      </c>
      <c r="Z26" s="136">
        <f t="shared" si="48"/>
        <v>192709</v>
      </c>
      <c r="AA26" s="49">
        <v>94035</v>
      </c>
      <c r="AB26" s="49">
        <v>98674</v>
      </c>
      <c r="AC26" s="177">
        <v>71674</v>
      </c>
      <c r="AD26" s="177">
        <v>32799</v>
      </c>
      <c r="AE26" s="138">
        <v>38875</v>
      </c>
      <c r="AF26" s="99">
        <v>2301177</v>
      </c>
      <c r="AG26" s="5">
        <v>1960882</v>
      </c>
      <c r="AH26" s="78">
        <f t="shared" si="49"/>
        <v>1792254</v>
      </c>
      <c r="AI26" s="49">
        <v>859788</v>
      </c>
      <c r="AJ26" s="49">
        <v>932466</v>
      </c>
      <c r="AK26" s="5">
        <v>59507</v>
      </c>
      <c r="AL26" s="78">
        <f t="shared" si="50"/>
        <v>57917</v>
      </c>
      <c r="AM26" s="49">
        <v>29859</v>
      </c>
      <c r="AN26" s="49">
        <v>28058</v>
      </c>
      <c r="AO26" s="5">
        <v>329455</v>
      </c>
      <c r="AP26" s="50">
        <v>163051</v>
      </c>
      <c r="AQ26" s="49">
        <v>166404</v>
      </c>
      <c r="AR26" s="82">
        <f t="shared" si="51"/>
        <v>121551</v>
      </c>
      <c r="AS26" s="99">
        <v>3256184</v>
      </c>
      <c r="AT26" s="5">
        <v>2630184</v>
      </c>
      <c r="AU26" s="178">
        <v>1275586</v>
      </c>
      <c r="AV26" s="178">
        <v>1354598</v>
      </c>
      <c r="AW26" s="78">
        <f t="shared" si="52"/>
        <v>2325203</v>
      </c>
      <c r="AX26" s="49">
        <v>1124420</v>
      </c>
      <c r="AY26" s="50">
        <v>1200783</v>
      </c>
      <c r="AZ26" s="5">
        <v>89281</v>
      </c>
      <c r="BA26" s="49">
        <v>47328</v>
      </c>
      <c r="BB26" s="49">
        <v>41953</v>
      </c>
      <c r="BC26" s="5">
        <v>625518</v>
      </c>
      <c r="BD26" s="49">
        <v>317378</v>
      </c>
      <c r="BE26" s="49">
        <v>308140</v>
      </c>
      <c r="BF26" s="177">
        <v>536719</v>
      </c>
      <c r="BG26" s="177">
        <v>267081</v>
      </c>
      <c r="BH26" s="138">
        <v>269638</v>
      </c>
      <c r="BI26" s="181">
        <v>4088405</v>
      </c>
      <c r="BJ26" s="50">
        <v>1996057</v>
      </c>
      <c r="BK26" s="50">
        <v>2092348</v>
      </c>
      <c r="BL26" s="57">
        <v>3395905</v>
      </c>
      <c r="BM26" s="57">
        <v>1658888</v>
      </c>
      <c r="BN26" s="57">
        <v>1737017</v>
      </c>
      <c r="BO26" s="57">
        <v>2701375</v>
      </c>
      <c r="BP26" s="57">
        <v>1315183</v>
      </c>
      <c r="BQ26" s="57">
        <v>1386192</v>
      </c>
      <c r="BR26" s="57">
        <v>146870</v>
      </c>
      <c r="BS26" s="57">
        <v>76681</v>
      </c>
      <c r="BT26" s="57">
        <v>70189</v>
      </c>
      <c r="BU26" s="57">
        <v>940258</v>
      </c>
      <c r="BV26" s="57">
        <v>465125</v>
      </c>
      <c r="BW26" s="57">
        <v>475133</v>
      </c>
      <c r="BX26" s="138">
        <f t="shared" si="53"/>
        <v>545630</v>
      </c>
      <c r="BY26" s="57">
        <v>260488</v>
      </c>
      <c r="BZ26" s="57">
        <v>285142</v>
      </c>
      <c r="CA26" s="191">
        <v>3949023</v>
      </c>
      <c r="CB26" s="5">
        <v>3176729</v>
      </c>
      <c r="CC26" s="49">
        <v>120755</v>
      </c>
      <c r="CD26" s="49">
        <v>651539</v>
      </c>
      <c r="CE26" s="49">
        <v>916410</v>
      </c>
      <c r="CF26" s="181">
        <v>4082038</v>
      </c>
      <c r="CG26" s="5">
        <v>3323383</v>
      </c>
      <c r="CH26" s="49">
        <v>128730</v>
      </c>
      <c r="CI26" s="49">
        <v>629925</v>
      </c>
      <c r="CJ26" s="49">
        <v>966979</v>
      </c>
      <c r="CK26" s="56">
        <v>4173579</v>
      </c>
      <c r="CL26" s="54">
        <v>3435545</v>
      </c>
      <c r="CM26" s="55">
        <v>137911</v>
      </c>
      <c r="CN26" s="55">
        <v>600123</v>
      </c>
      <c r="CO26" s="55">
        <v>1005441</v>
      </c>
      <c r="CP26" s="56">
        <v>4088405</v>
      </c>
      <c r="CQ26" s="505">
        <v>3395905</v>
      </c>
      <c r="CR26" s="505">
        <v>146870</v>
      </c>
      <c r="CS26" s="55">
        <v>545630</v>
      </c>
      <c r="CT26" s="505">
        <v>940258</v>
      </c>
      <c r="CU26" s="56">
        <v>4148642</v>
      </c>
      <c r="CV26" s="505">
        <v>3437037</v>
      </c>
      <c r="CW26" s="505">
        <v>150452</v>
      </c>
      <c r="CX26" s="306">
        <f t="shared" si="54"/>
        <v>561153</v>
      </c>
      <c r="CY26" s="591">
        <v>968103</v>
      </c>
      <c r="CZ26" s="49">
        <v>4209589</v>
      </c>
      <c r="DA26" s="49">
        <v>3474224</v>
      </c>
      <c r="DB26" s="49">
        <v>156744</v>
      </c>
      <c r="DC26" s="49">
        <v>578621</v>
      </c>
      <c r="DD26" s="594">
        <v>992893</v>
      </c>
      <c r="DE26" s="49">
        <v>4274066</v>
      </c>
      <c r="DF26" s="49">
        <v>2765913</v>
      </c>
      <c r="DG26" s="1">
        <v>161401</v>
      </c>
      <c r="DH26" s="49">
        <v>594097</v>
      </c>
      <c r="DI26" s="49">
        <v>1018541</v>
      </c>
      <c r="DJ26" s="727">
        <v>4536954</v>
      </c>
      <c r="DK26" s="49">
        <v>2862388</v>
      </c>
      <c r="DL26" s="49">
        <v>182629</v>
      </c>
      <c r="DM26" s="730">
        <v>691174</v>
      </c>
      <c r="DN26" s="49">
        <v>1122913</v>
      </c>
      <c r="DO26" s="727">
        <v>4626409</v>
      </c>
      <c r="DP26" s="49">
        <v>2904722</v>
      </c>
      <c r="DQ26" s="49">
        <v>182951</v>
      </c>
      <c r="DR26" s="730">
        <v>762021</v>
      </c>
      <c r="DS26" s="49">
        <v>1153404</v>
      </c>
    </row>
    <row r="27" spans="1:123" x14ac:dyDescent="0.2">
      <c r="A27" s="218" t="s">
        <v>19</v>
      </c>
      <c r="B27" s="10"/>
      <c r="C27" s="19"/>
      <c r="D27" s="48">
        <v>8868907</v>
      </c>
      <c r="E27" s="49">
        <v>3999765</v>
      </c>
      <c r="F27" s="49">
        <v>4221628</v>
      </c>
      <c r="G27" s="49">
        <v>332642</v>
      </c>
      <c r="H27" s="50">
        <v>314872</v>
      </c>
      <c r="I27" s="99">
        <v>10875983</v>
      </c>
      <c r="J27" s="138">
        <f t="shared" si="43"/>
        <v>9852177</v>
      </c>
      <c r="K27" s="49">
        <v>4708762</v>
      </c>
      <c r="L27" s="49">
        <v>5143415</v>
      </c>
      <c r="M27" s="138">
        <f t="shared" si="44"/>
        <v>653291</v>
      </c>
      <c r="N27" s="49">
        <v>310127</v>
      </c>
      <c r="O27" s="49">
        <v>343164</v>
      </c>
      <c r="P27" s="138">
        <f t="shared" si="45"/>
        <v>1358628</v>
      </c>
      <c r="Q27" s="49">
        <v>672504</v>
      </c>
      <c r="R27" s="50">
        <v>686124</v>
      </c>
      <c r="S27" s="99">
        <v>14043986</v>
      </c>
      <c r="T27" s="136">
        <f t="shared" si="46"/>
        <v>10221156</v>
      </c>
      <c r="U27" s="49">
        <v>4880415</v>
      </c>
      <c r="V27" s="49">
        <v>5340741</v>
      </c>
      <c r="W27" s="136">
        <f t="shared" si="47"/>
        <v>922793</v>
      </c>
      <c r="X27" s="49">
        <v>435897</v>
      </c>
      <c r="Y27" s="49">
        <v>486896</v>
      </c>
      <c r="Z27" s="136">
        <f t="shared" si="48"/>
        <v>2037978</v>
      </c>
      <c r="AA27" s="49">
        <v>1007191</v>
      </c>
      <c r="AB27" s="49">
        <v>1030787</v>
      </c>
      <c r="AC27" s="177">
        <v>834812</v>
      </c>
      <c r="AD27" s="177">
        <v>394540</v>
      </c>
      <c r="AE27" s="138">
        <v>440272</v>
      </c>
      <c r="AF27" s="99">
        <v>18695499</v>
      </c>
      <c r="AG27" s="5">
        <v>13717272</v>
      </c>
      <c r="AH27" s="78">
        <f t="shared" si="49"/>
        <v>11944913</v>
      </c>
      <c r="AI27" s="49">
        <v>5792000</v>
      </c>
      <c r="AJ27" s="49">
        <v>6152913</v>
      </c>
      <c r="AK27" s="5">
        <v>1270977</v>
      </c>
      <c r="AL27" s="78">
        <f t="shared" si="50"/>
        <v>1231759</v>
      </c>
      <c r="AM27" s="49">
        <v>589225</v>
      </c>
      <c r="AN27" s="49">
        <v>642534</v>
      </c>
      <c r="AO27" s="5">
        <v>3705112</v>
      </c>
      <c r="AP27" s="50">
        <v>1889010</v>
      </c>
      <c r="AQ27" s="49">
        <v>1816102</v>
      </c>
      <c r="AR27" s="82">
        <f t="shared" si="51"/>
        <v>1813715</v>
      </c>
      <c r="AS27" s="99">
        <v>21298900</v>
      </c>
      <c r="AT27" s="5">
        <v>13688929</v>
      </c>
      <c r="AU27" s="178">
        <v>6657686</v>
      </c>
      <c r="AV27" s="178">
        <v>7031243</v>
      </c>
      <c r="AW27" s="78">
        <f t="shared" si="52"/>
        <v>11370641</v>
      </c>
      <c r="AX27" s="49">
        <v>5516425</v>
      </c>
      <c r="AY27" s="50">
        <v>5854216</v>
      </c>
      <c r="AZ27" s="5">
        <v>1332801</v>
      </c>
      <c r="BA27" s="49">
        <v>634446</v>
      </c>
      <c r="BB27" s="49">
        <v>698355</v>
      </c>
      <c r="BC27" s="5">
        <v>5500767</v>
      </c>
      <c r="BD27" s="49">
        <v>2758151</v>
      </c>
      <c r="BE27" s="49">
        <v>2742616</v>
      </c>
      <c r="BF27" s="177">
        <v>6277170</v>
      </c>
      <c r="BG27" s="177">
        <v>3064625</v>
      </c>
      <c r="BH27" s="138">
        <v>3212545</v>
      </c>
      <c r="BI27" s="181">
        <v>23787044</v>
      </c>
      <c r="BJ27" s="50">
        <v>11599768</v>
      </c>
      <c r="BK27" s="50">
        <v>12187276</v>
      </c>
      <c r="BL27" s="57">
        <v>15389074</v>
      </c>
      <c r="BM27" s="57">
        <v>7560673</v>
      </c>
      <c r="BN27" s="57">
        <v>7828401</v>
      </c>
      <c r="BO27" s="57">
        <v>11129185</v>
      </c>
      <c r="BP27" s="57">
        <v>5463904</v>
      </c>
      <c r="BQ27" s="57">
        <v>5665281</v>
      </c>
      <c r="BR27" s="57">
        <v>1419037</v>
      </c>
      <c r="BS27" s="57">
        <v>684549</v>
      </c>
      <c r="BT27" s="57">
        <v>734488</v>
      </c>
      <c r="BU27" s="57">
        <v>7330114</v>
      </c>
      <c r="BV27" s="57">
        <v>3650830</v>
      </c>
      <c r="BW27" s="57">
        <v>3679284</v>
      </c>
      <c r="BX27" s="138">
        <f t="shared" si="53"/>
        <v>6978933</v>
      </c>
      <c r="BY27" s="57">
        <v>3354546</v>
      </c>
      <c r="BZ27" s="57">
        <v>3624387</v>
      </c>
      <c r="CA27" s="191">
        <v>23080916</v>
      </c>
      <c r="CB27" s="5">
        <v>14607635</v>
      </c>
      <c r="CC27" s="49">
        <v>1377559</v>
      </c>
      <c r="CD27" s="49">
        <v>7095722</v>
      </c>
      <c r="CE27" s="49">
        <v>6868669</v>
      </c>
      <c r="CF27" s="181">
        <v>23237728</v>
      </c>
      <c r="CG27" s="5">
        <v>14804637</v>
      </c>
      <c r="CH27" s="49">
        <v>1379843</v>
      </c>
      <c r="CI27" s="49">
        <v>7053248</v>
      </c>
      <c r="CJ27" s="49">
        <v>7013562</v>
      </c>
      <c r="CK27" s="56">
        <v>23476329</v>
      </c>
      <c r="CL27" s="54">
        <v>15110977</v>
      </c>
      <c r="CM27" s="55">
        <v>1403127</v>
      </c>
      <c r="CN27" s="55">
        <v>6962225</v>
      </c>
      <c r="CO27" s="55">
        <v>7113211</v>
      </c>
      <c r="CP27" s="56">
        <v>23787044</v>
      </c>
      <c r="CQ27" s="505">
        <v>15389074</v>
      </c>
      <c r="CR27" s="505">
        <v>1419037</v>
      </c>
      <c r="CS27" s="55">
        <v>6978933</v>
      </c>
      <c r="CT27" s="505">
        <v>7330114</v>
      </c>
      <c r="CU27" s="56">
        <v>24114270</v>
      </c>
      <c r="CV27" s="505">
        <v>15646284</v>
      </c>
      <c r="CW27" s="505">
        <v>1428304</v>
      </c>
      <c r="CX27" s="306">
        <f t="shared" si="54"/>
        <v>7039682</v>
      </c>
      <c r="CY27" s="591">
        <v>7543298</v>
      </c>
      <c r="CZ27" s="49">
        <v>24444584</v>
      </c>
      <c r="DA27" s="49">
        <v>15857562</v>
      </c>
      <c r="DB27" s="49">
        <v>1443480</v>
      </c>
      <c r="DC27" s="49">
        <v>7143542</v>
      </c>
      <c r="DD27" s="594">
        <v>7723658</v>
      </c>
      <c r="DE27" s="49">
        <v>24793022</v>
      </c>
      <c r="DF27" s="49">
        <v>11191206</v>
      </c>
      <c r="DG27" s="1">
        <v>1458151</v>
      </c>
      <c r="DH27" s="49">
        <v>7316982</v>
      </c>
      <c r="DI27" s="49">
        <v>7910127</v>
      </c>
      <c r="DJ27" s="727">
        <v>26085263</v>
      </c>
      <c r="DK27" s="49">
        <v>11281942</v>
      </c>
      <c r="DL27" s="49">
        <v>1520866</v>
      </c>
      <c r="DM27" s="730">
        <v>8172674</v>
      </c>
      <c r="DN27" s="49">
        <v>8573223</v>
      </c>
      <c r="DO27" s="727">
        <v>26304241</v>
      </c>
      <c r="DP27" s="49">
        <v>11269651</v>
      </c>
      <c r="DQ27" s="49">
        <v>1523493</v>
      </c>
      <c r="DR27" s="730">
        <v>8505733</v>
      </c>
      <c r="DS27" s="49">
        <v>8703787</v>
      </c>
    </row>
    <row r="28" spans="1:123" x14ac:dyDescent="0.2">
      <c r="A28" s="218" t="s">
        <v>20</v>
      </c>
      <c r="B28" s="10"/>
      <c r="C28" s="19"/>
      <c r="D28" s="48">
        <v>940803</v>
      </c>
      <c r="E28" s="49">
        <v>444457</v>
      </c>
      <c r="F28" s="49">
        <v>469510</v>
      </c>
      <c r="G28" s="49">
        <v>13320</v>
      </c>
      <c r="H28" s="50">
        <v>13516</v>
      </c>
      <c r="I28" s="99">
        <v>1141138</v>
      </c>
      <c r="J28" s="138">
        <f t="shared" si="43"/>
        <v>1101250</v>
      </c>
      <c r="K28" s="49">
        <v>527701</v>
      </c>
      <c r="L28" s="49">
        <v>573549</v>
      </c>
      <c r="M28" s="138">
        <f t="shared" si="44"/>
        <v>28972</v>
      </c>
      <c r="N28" s="49">
        <v>14137</v>
      </c>
      <c r="O28" s="49">
        <v>14835</v>
      </c>
      <c r="P28" s="138">
        <f t="shared" si="45"/>
        <v>114987</v>
      </c>
      <c r="Q28" s="49">
        <v>57479</v>
      </c>
      <c r="R28" s="50">
        <v>57508</v>
      </c>
      <c r="S28" s="99">
        <v>1663891</v>
      </c>
      <c r="T28" s="136">
        <f t="shared" si="46"/>
        <v>1433613</v>
      </c>
      <c r="U28" s="49">
        <v>693874</v>
      </c>
      <c r="V28" s="49">
        <v>739739</v>
      </c>
      <c r="W28" s="136">
        <f t="shared" si="47"/>
        <v>48437</v>
      </c>
      <c r="X28" s="49">
        <v>24382</v>
      </c>
      <c r="Y28" s="49">
        <v>24055</v>
      </c>
      <c r="Z28" s="136">
        <f t="shared" si="48"/>
        <v>153534</v>
      </c>
      <c r="AA28" s="49">
        <v>76257</v>
      </c>
      <c r="AB28" s="49">
        <v>77277</v>
      </c>
      <c r="AC28" s="177">
        <v>26362</v>
      </c>
      <c r="AD28" s="177">
        <v>11896</v>
      </c>
      <c r="AE28" s="138">
        <v>14466</v>
      </c>
      <c r="AF28" s="99">
        <v>2107072</v>
      </c>
      <c r="AG28" s="5">
        <v>1898760</v>
      </c>
      <c r="AH28" s="78">
        <f t="shared" si="49"/>
        <v>1769702</v>
      </c>
      <c r="AI28" s="49">
        <v>855265</v>
      </c>
      <c r="AJ28" s="49">
        <v>914437</v>
      </c>
      <c r="AK28" s="5">
        <v>73691</v>
      </c>
      <c r="AL28" s="78">
        <f t="shared" si="50"/>
        <v>72134</v>
      </c>
      <c r="AM28" s="49">
        <v>36626</v>
      </c>
      <c r="AN28" s="49">
        <v>35508</v>
      </c>
      <c r="AO28" s="5">
        <v>217920</v>
      </c>
      <c r="AP28" s="50">
        <v>107640</v>
      </c>
      <c r="AQ28" s="49">
        <v>110280</v>
      </c>
      <c r="AR28" s="82">
        <f t="shared" si="51"/>
        <v>47316</v>
      </c>
      <c r="AS28" s="99">
        <v>2776632</v>
      </c>
      <c r="AT28" s="5">
        <v>2381655</v>
      </c>
      <c r="AU28" s="178">
        <v>1173214</v>
      </c>
      <c r="AV28" s="178">
        <v>1208441</v>
      </c>
      <c r="AW28" s="78">
        <f t="shared" si="52"/>
        <v>2187493</v>
      </c>
      <c r="AX28" s="49">
        <v>1073108</v>
      </c>
      <c r="AY28" s="50">
        <v>1114385</v>
      </c>
      <c r="AZ28" s="5">
        <v>94854</v>
      </c>
      <c r="BA28" s="49">
        <v>50558</v>
      </c>
      <c r="BB28" s="49">
        <v>44296</v>
      </c>
      <c r="BC28" s="5">
        <v>376826</v>
      </c>
      <c r="BD28" s="49">
        <v>195066</v>
      </c>
      <c r="BE28" s="49">
        <v>181760</v>
      </c>
      <c r="BF28" s="177">
        <v>300123</v>
      </c>
      <c r="BG28" s="177">
        <v>150988</v>
      </c>
      <c r="BH28" s="138">
        <v>149135</v>
      </c>
      <c r="BI28" s="181">
        <v>3268020</v>
      </c>
      <c r="BJ28" s="50">
        <v>1613852</v>
      </c>
      <c r="BK28" s="50">
        <v>1654168</v>
      </c>
      <c r="BL28" s="57">
        <v>2825203</v>
      </c>
      <c r="BM28" s="57">
        <v>1391972</v>
      </c>
      <c r="BN28" s="57">
        <v>1433231</v>
      </c>
      <c r="BO28" s="57">
        <v>2463280</v>
      </c>
      <c r="BP28" s="57">
        <v>1209293</v>
      </c>
      <c r="BQ28" s="57">
        <v>1253987</v>
      </c>
      <c r="BR28" s="57">
        <v>119615</v>
      </c>
      <c r="BS28" s="57">
        <v>63599</v>
      </c>
      <c r="BT28" s="57">
        <v>56016</v>
      </c>
      <c r="BU28" s="57">
        <v>531194</v>
      </c>
      <c r="BV28" s="57">
        <v>269973</v>
      </c>
      <c r="BW28" s="57">
        <v>261221</v>
      </c>
      <c r="BX28" s="138">
        <f t="shared" si="53"/>
        <v>323202</v>
      </c>
      <c r="BY28" s="57">
        <v>158281</v>
      </c>
      <c r="BZ28" s="57">
        <v>164921</v>
      </c>
      <c r="CA28" s="191">
        <v>3130207</v>
      </c>
      <c r="CB28" s="5">
        <v>2676802</v>
      </c>
      <c r="CC28" s="49">
        <v>108488</v>
      </c>
      <c r="CD28" s="49">
        <v>344917</v>
      </c>
      <c r="CE28" s="49">
        <v>504561</v>
      </c>
      <c r="CF28" s="181">
        <v>3189198</v>
      </c>
      <c r="CG28" s="5">
        <v>2741772</v>
      </c>
      <c r="CH28" s="49">
        <v>111655</v>
      </c>
      <c r="CI28" s="49">
        <v>335771</v>
      </c>
      <c r="CJ28" s="49">
        <v>520090</v>
      </c>
      <c r="CK28" s="56">
        <v>3225460</v>
      </c>
      <c r="CL28" s="54">
        <v>2795144</v>
      </c>
      <c r="CM28" s="55">
        <v>113739</v>
      </c>
      <c r="CN28" s="55">
        <v>316577</v>
      </c>
      <c r="CO28" s="55">
        <v>518603</v>
      </c>
      <c r="CP28" s="56">
        <v>3268020</v>
      </c>
      <c r="CQ28" s="505">
        <v>2825203</v>
      </c>
      <c r="CR28" s="505">
        <v>119615</v>
      </c>
      <c r="CS28" s="55">
        <v>323202</v>
      </c>
      <c r="CT28" s="505">
        <v>531194</v>
      </c>
      <c r="CU28" s="56">
        <v>3328695</v>
      </c>
      <c r="CV28" s="505">
        <v>2876798</v>
      </c>
      <c r="CW28" s="505">
        <v>123600</v>
      </c>
      <c r="CX28" s="306">
        <f t="shared" si="54"/>
        <v>328297</v>
      </c>
      <c r="CY28" s="591">
        <v>546982</v>
      </c>
      <c r="CZ28" s="49">
        <v>3388423</v>
      </c>
      <c r="DA28" s="49">
        <v>2928009</v>
      </c>
      <c r="DB28" s="49">
        <v>126669</v>
      </c>
      <c r="DC28" s="49">
        <v>333745</v>
      </c>
      <c r="DD28" s="594">
        <v>562518</v>
      </c>
      <c r="DE28" s="49">
        <v>3449352</v>
      </c>
      <c r="DF28" s="49">
        <v>2575773</v>
      </c>
      <c r="DG28" s="1">
        <v>129815</v>
      </c>
      <c r="DH28" s="49">
        <v>334050</v>
      </c>
      <c r="DI28" s="49">
        <v>575033</v>
      </c>
      <c r="DJ28" s="727">
        <v>3671853</v>
      </c>
      <c r="DK28" s="49">
        <v>2704318</v>
      </c>
      <c r="DL28" s="49">
        <v>141755</v>
      </c>
      <c r="DM28" s="730">
        <v>348963</v>
      </c>
      <c r="DN28" s="49">
        <v>633161</v>
      </c>
      <c r="DO28" s="727">
        <v>3745506</v>
      </c>
      <c r="DP28" s="49">
        <v>2755399</v>
      </c>
      <c r="DQ28" s="49">
        <v>145505</v>
      </c>
      <c r="DR28" s="730">
        <v>371032</v>
      </c>
      <c r="DS28" s="49">
        <v>646809</v>
      </c>
    </row>
    <row r="29" spans="1:123" x14ac:dyDescent="0.2">
      <c r="A29" s="218" t="s">
        <v>22</v>
      </c>
      <c r="B29" s="10"/>
      <c r="C29" s="19"/>
      <c r="D29" s="48">
        <v>308910</v>
      </c>
      <c r="E29" s="49">
        <v>51259</v>
      </c>
      <c r="F29" s="49">
        <v>44496</v>
      </c>
      <c r="G29" s="49">
        <v>113622</v>
      </c>
      <c r="H29" s="50">
        <v>99533</v>
      </c>
      <c r="I29" s="99">
        <v>384843</v>
      </c>
      <c r="J29" s="138">
        <f t="shared" si="43"/>
        <v>139520</v>
      </c>
      <c r="K29" s="49">
        <v>72392</v>
      </c>
      <c r="L29" s="49">
        <v>67128</v>
      </c>
      <c r="M29" s="138">
        <f t="shared" si="44"/>
        <v>2577</v>
      </c>
      <c r="N29" s="49">
        <v>1644</v>
      </c>
      <c r="O29" s="49">
        <v>933</v>
      </c>
      <c r="P29" s="138">
        <f t="shared" si="45"/>
        <v>9751</v>
      </c>
      <c r="Q29" s="49">
        <v>5027</v>
      </c>
      <c r="R29" s="50">
        <v>4724</v>
      </c>
      <c r="S29" s="99">
        <v>547608</v>
      </c>
      <c r="T29" s="136">
        <f t="shared" si="46"/>
        <v>178250</v>
      </c>
      <c r="U29" s="49">
        <v>93202</v>
      </c>
      <c r="V29" s="49">
        <v>85048</v>
      </c>
      <c r="W29" s="136">
        <f t="shared" si="47"/>
        <v>6100</v>
      </c>
      <c r="X29" s="49">
        <v>4025</v>
      </c>
      <c r="Y29" s="49">
        <v>2075</v>
      </c>
      <c r="Z29" s="136">
        <f t="shared" si="48"/>
        <v>29994</v>
      </c>
      <c r="AA29" s="49">
        <v>15121</v>
      </c>
      <c r="AB29" s="49">
        <v>14873</v>
      </c>
      <c r="AC29" s="177">
        <v>330834</v>
      </c>
      <c r="AD29" s="177">
        <v>160387</v>
      </c>
      <c r="AE29" s="138">
        <v>170447</v>
      </c>
      <c r="AF29" s="99">
        <v>709820</v>
      </c>
      <c r="AG29" s="5">
        <v>242654</v>
      </c>
      <c r="AH29" s="78">
        <f t="shared" si="49"/>
        <v>231390</v>
      </c>
      <c r="AI29" s="49">
        <v>122777</v>
      </c>
      <c r="AJ29" s="49">
        <v>108613</v>
      </c>
      <c r="AK29" s="5">
        <v>12478</v>
      </c>
      <c r="AL29" s="78">
        <f t="shared" si="50"/>
        <v>12069</v>
      </c>
      <c r="AM29" s="49">
        <v>7478</v>
      </c>
      <c r="AN29" s="49">
        <v>4591</v>
      </c>
      <c r="AO29" s="5">
        <v>38338</v>
      </c>
      <c r="AP29" s="50">
        <v>19663</v>
      </c>
      <c r="AQ29" s="49">
        <v>18675</v>
      </c>
      <c r="AR29" s="82">
        <f t="shared" si="51"/>
        <v>428023</v>
      </c>
      <c r="AS29" s="99">
        <v>802477</v>
      </c>
      <c r="AT29" s="5">
        <v>216549</v>
      </c>
      <c r="AU29" s="178">
        <v>115205</v>
      </c>
      <c r="AV29" s="178">
        <v>101344</v>
      </c>
      <c r="AW29" s="78">
        <f t="shared" si="52"/>
        <v>206820</v>
      </c>
      <c r="AX29" s="49">
        <v>110067</v>
      </c>
      <c r="AY29" s="50">
        <v>96753</v>
      </c>
      <c r="AZ29" s="5">
        <v>12119</v>
      </c>
      <c r="BA29" s="49">
        <v>7903</v>
      </c>
      <c r="BB29" s="49">
        <v>4216</v>
      </c>
      <c r="BC29" s="5">
        <v>40951</v>
      </c>
      <c r="BD29" s="49">
        <v>19786</v>
      </c>
      <c r="BE29" s="49">
        <v>21165</v>
      </c>
      <c r="BF29" s="177">
        <v>573809</v>
      </c>
      <c r="BG29" s="177">
        <v>271472</v>
      </c>
      <c r="BH29" s="138">
        <v>302337</v>
      </c>
      <c r="BI29" s="181">
        <v>916380</v>
      </c>
      <c r="BJ29" s="50">
        <v>450011</v>
      </c>
      <c r="BK29" s="50">
        <v>466369</v>
      </c>
      <c r="BL29" s="57">
        <v>253954</v>
      </c>
      <c r="BM29" s="57">
        <v>136132</v>
      </c>
      <c r="BN29" s="57">
        <v>117822</v>
      </c>
      <c r="BO29" s="57">
        <v>236780</v>
      </c>
      <c r="BP29" s="57">
        <v>127323</v>
      </c>
      <c r="BQ29" s="57">
        <v>109457</v>
      </c>
      <c r="BR29" s="57">
        <v>12977</v>
      </c>
      <c r="BS29" s="57">
        <v>8241</v>
      </c>
      <c r="BT29" s="57">
        <v>4736</v>
      </c>
      <c r="BU29" s="57">
        <v>59344</v>
      </c>
      <c r="BV29" s="57">
        <v>29361</v>
      </c>
      <c r="BW29" s="57">
        <v>29983</v>
      </c>
      <c r="BX29" s="138">
        <f t="shared" si="53"/>
        <v>649449</v>
      </c>
      <c r="BY29" s="57">
        <v>305638</v>
      </c>
      <c r="BZ29" s="57">
        <v>343811</v>
      </c>
      <c r="CA29" s="191">
        <v>867609</v>
      </c>
      <c r="CB29" s="5">
        <v>245296</v>
      </c>
      <c r="CC29" s="49">
        <v>16726</v>
      </c>
      <c r="CD29" s="49">
        <v>605587</v>
      </c>
      <c r="CE29" s="49">
        <v>52040</v>
      </c>
      <c r="CF29" s="181">
        <v>868474</v>
      </c>
      <c r="CG29" s="5">
        <v>248060</v>
      </c>
      <c r="CH29" s="49">
        <v>16971</v>
      </c>
      <c r="CI29" s="49">
        <v>603443</v>
      </c>
      <c r="CJ29" s="49">
        <v>53734</v>
      </c>
      <c r="CK29" s="56">
        <v>871862</v>
      </c>
      <c r="CL29" s="54">
        <v>249766</v>
      </c>
      <c r="CM29" s="55">
        <v>16951</v>
      </c>
      <c r="CN29" s="55">
        <v>605145</v>
      </c>
      <c r="CO29" s="55">
        <v>55494</v>
      </c>
      <c r="CP29" s="56">
        <v>916380</v>
      </c>
      <c r="CQ29" s="505">
        <v>253954</v>
      </c>
      <c r="CR29" s="505">
        <v>12977</v>
      </c>
      <c r="CS29" s="55">
        <v>649449</v>
      </c>
      <c r="CT29" s="505">
        <v>59344</v>
      </c>
      <c r="CU29" s="56">
        <v>928072</v>
      </c>
      <c r="CV29" s="505">
        <v>255980</v>
      </c>
      <c r="CW29" s="505">
        <v>13943</v>
      </c>
      <c r="CX29" s="306">
        <f t="shared" si="54"/>
        <v>658149</v>
      </c>
      <c r="CY29" s="591">
        <v>61420</v>
      </c>
      <c r="CZ29" s="49">
        <v>941038</v>
      </c>
      <c r="DA29" s="49">
        <v>260355</v>
      </c>
      <c r="DB29" s="49">
        <v>14744</v>
      </c>
      <c r="DC29" s="49">
        <v>665939</v>
      </c>
      <c r="DD29" s="594">
        <v>63332</v>
      </c>
      <c r="DE29" s="49">
        <v>948912</v>
      </c>
      <c r="DF29" s="49">
        <v>244941</v>
      </c>
      <c r="DG29" s="1">
        <v>16532</v>
      </c>
      <c r="DH29" s="49">
        <v>667792</v>
      </c>
      <c r="DI29" s="49">
        <v>65703</v>
      </c>
      <c r="DJ29" s="727">
        <v>985914</v>
      </c>
      <c r="DK29" s="49">
        <v>251708</v>
      </c>
      <c r="DL29" s="49">
        <v>19472</v>
      </c>
      <c r="DM29" s="730">
        <v>686092</v>
      </c>
      <c r="DN29" s="49">
        <v>74545</v>
      </c>
      <c r="DO29" s="727">
        <v>990937</v>
      </c>
      <c r="DP29" s="49">
        <v>244160</v>
      </c>
      <c r="DQ29" s="49">
        <v>16842</v>
      </c>
      <c r="DR29" s="730">
        <v>703879</v>
      </c>
      <c r="DS29" s="49">
        <v>73497</v>
      </c>
    </row>
    <row r="30" spans="1:123" x14ac:dyDescent="0.2">
      <c r="A30" s="218" t="s">
        <v>23</v>
      </c>
      <c r="B30" s="10"/>
      <c r="C30" s="19"/>
      <c r="D30" s="48">
        <v>340412</v>
      </c>
      <c r="E30" s="49">
        <v>169673</v>
      </c>
      <c r="F30" s="49">
        <v>166339</v>
      </c>
      <c r="G30" s="49">
        <v>2341</v>
      </c>
      <c r="H30" s="50">
        <v>2059</v>
      </c>
      <c r="I30" s="99">
        <v>368912</v>
      </c>
      <c r="J30" s="138">
        <f t="shared" si="43"/>
        <v>364078</v>
      </c>
      <c r="K30" s="49">
        <v>178889</v>
      </c>
      <c r="L30" s="49">
        <v>185189</v>
      </c>
      <c r="M30" s="138">
        <f t="shared" si="44"/>
        <v>795</v>
      </c>
      <c r="N30" s="49">
        <v>423</v>
      </c>
      <c r="O30" s="49">
        <v>372</v>
      </c>
      <c r="P30" s="138">
        <f t="shared" si="45"/>
        <v>6695</v>
      </c>
      <c r="Q30" s="49">
        <v>3545</v>
      </c>
      <c r="R30" s="50">
        <v>3150</v>
      </c>
      <c r="S30" s="99">
        <v>514365</v>
      </c>
      <c r="T30" s="136">
        <f t="shared" si="46"/>
        <v>491251</v>
      </c>
      <c r="U30" s="49">
        <v>240301</v>
      </c>
      <c r="V30" s="49">
        <v>250950</v>
      </c>
      <c r="W30" s="136">
        <f t="shared" si="47"/>
        <v>1165</v>
      </c>
      <c r="X30" s="49">
        <v>751</v>
      </c>
      <c r="Y30" s="49">
        <v>414</v>
      </c>
      <c r="Z30" s="136">
        <f t="shared" si="48"/>
        <v>13810</v>
      </c>
      <c r="AA30" s="49">
        <v>7913</v>
      </c>
      <c r="AB30" s="49">
        <v>5897</v>
      </c>
      <c r="AC30" s="177">
        <v>7885</v>
      </c>
      <c r="AD30" s="177">
        <v>3751</v>
      </c>
      <c r="AE30" s="138">
        <v>4134</v>
      </c>
      <c r="AF30" s="99">
        <v>601292</v>
      </c>
      <c r="AG30" s="5">
        <v>574433</v>
      </c>
      <c r="AH30" s="78">
        <f t="shared" si="49"/>
        <v>565114</v>
      </c>
      <c r="AI30" s="49">
        <v>273863</v>
      </c>
      <c r="AJ30" s="49">
        <v>291251</v>
      </c>
      <c r="AK30" s="5">
        <v>1730</v>
      </c>
      <c r="AL30" s="78">
        <f t="shared" si="50"/>
        <v>1678</v>
      </c>
      <c r="AM30" s="49">
        <v>1041</v>
      </c>
      <c r="AN30" s="49">
        <v>637</v>
      </c>
      <c r="AO30" s="5">
        <v>22295</v>
      </c>
      <c r="AP30" s="50">
        <v>12596</v>
      </c>
      <c r="AQ30" s="49">
        <v>9699</v>
      </c>
      <c r="AR30" s="82">
        <f t="shared" si="51"/>
        <v>12205</v>
      </c>
      <c r="AS30" s="99">
        <v>787505</v>
      </c>
      <c r="AT30" s="5">
        <v>730725</v>
      </c>
      <c r="AU30" s="178">
        <v>358833</v>
      </c>
      <c r="AV30" s="178">
        <v>371892</v>
      </c>
      <c r="AW30" s="78">
        <f t="shared" si="52"/>
        <v>713381</v>
      </c>
      <c r="AX30" s="49">
        <v>349683</v>
      </c>
      <c r="AY30" s="50">
        <v>363698</v>
      </c>
      <c r="AZ30" s="5">
        <v>2664</v>
      </c>
      <c r="BA30" s="49">
        <v>1695</v>
      </c>
      <c r="BB30" s="49">
        <v>969</v>
      </c>
      <c r="BC30" s="5">
        <v>44496</v>
      </c>
      <c r="BD30" s="49">
        <v>23926</v>
      </c>
      <c r="BE30" s="49">
        <v>20570</v>
      </c>
      <c r="BF30" s="177">
        <v>54116</v>
      </c>
      <c r="BG30" s="177">
        <v>27517</v>
      </c>
      <c r="BH30" s="138">
        <v>26599</v>
      </c>
      <c r="BI30" s="181">
        <v>972106</v>
      </c>
      <c r="BJ30" s="50">
        <v>479623</v>
      </c>
      <c r="BK30" s="50">
        <v>492483</v>
      </c>
      <c r="BL30" s="57">
        <v>912016</v>
      </c>
      <c r="BM30" s="57">
        <v>450550</v>
      </c>
      <c r="BN30" s="57">
        <v>461466</v>
      </c>
      <c r="BO30" s="57">
        <v>855563</v>
      </c>
      <c r="BP30" s="57">
        <v>420981</v>
      </c>
      <c r="BQ30" s="57">
        <v>434582</v>
      </c>
      <c r="BR30" s="57">
        <v>4394</v>
      </c>
      <c r="BS30" s="57">
        <v>2668</v>
      </c>
      <c r="BT30" s="57">
        <v>1726</v>
      </c>
      <c r="BU30" s="57">
        <v>77125</v>
      </c>
      <c r="BV30" s="57">
        <v>40627</v>
      </c>
      <c r="BW30" s="57">
        <v>36498</v>
      </c>
      <c r="BX30" s="138">
        <f t="shared" si="53"/>
        <v>55696</v>
      </c>
      <c r="BY30" s="57">
        <v>26405</v>
      </c>
      <c r="BZ30" s="57">
        <v>29291</v>
      </c>
      <c r="CA30" s="191">
        <v>917853</v>
      </c>
      <c r="CB30" s="5">
        <v>858305</v>
      </c>
      <c r="CC30" s="49">
        <v>3822</v>
      </c>
      <c r="CD30" s="49">
        <v>55726</v>
      </c>
      <c r="CE30" s="49">
        <v>65955</v>
      </c>
      <c r="CF30" s="181">
        <v>939967</v>
      </c>
      <c r="CG30" s="5">
        <v>883457</v>
      </c>
      <c r="CH30" s="49">
        <v>4039</v>
      </c>
      <c r="CI30" s="49">
        <v>52471</v>
      </c>
      <c r="CJ30" s="49">
        <v>69156</v>
      </c>
      <c r="CK30" s="56">
        <v>948694</v>
      </c>
      <c r="CL30" s="54">
        <v>891943</v>
      </c>
      <c r="CM30" s="55">
        <v>3989</v>
      </c>
      <c r="CN30" s="55">
        <v>52762</v>
      </c>
      <c r="CO30" s="55">
        <v>72541</v>
      </c>
      <c r="CP30" s="56">
        <v>972106</v>
      </c>
      <c r="CQ30" s="505">
        <v>912016</v>
      </c>
      <c r="CR30" s="505">
        <v>4394</v>
      </c>
      <c r="CS30" s="55">
        <v>55696</v>
      </c>
      <c r="CT30" s="505">
        <v>77125</v>
      </c>
      <c r="CU30" s="56">
        <v>986017</v>
      </c>
      <c r="CV30" s="505">
        <v>924890</v>
      </c>
      <c r="CX30" s="306">
        <f t="shared" si="54"/>
        <v>61127</v>
      </c>
      <c r="CY30" s="592">
        <v>80721</v>
      </c>
      <c r="CZ30" s="49">
        <v>999548</v>
      </c>
      <c r="DA30" s="49">
        <v>935547</v>
      </c>
      <c r="DB30" s="49">
        <v>4456</v>
      </c>
      <c r="DC30" s="49">
        <v>58398</v>
      </c>
      <c r="DD30" s="594">
        <v>84021</v>
      </c>
      <c r="DE30" s="49">
        <v>1014097</v>
      </c>
      <c r="DF30" s="49">
        <v>884001</v>
      </c>
      <c r="DG30" s="1">
        <v>4482</v>
      </c>
      <c r="DH30" s="49">
        <v>62656</v>
      </c>
      <c r="DI30" s="49">
        <v>87007</v>
      </c>
      <c r="DJ30" s="727">
        <v>1065982</v>
      </c>
      <c r="DK30" s="49">
        <v>921431</v>
      </c>
      <c r="DL30" s="49"/>
      <c r="DM30" s="730">
        <v>70019</v>
      </c>
      <c r="DN30" s="49">
        <v>94680</v>
      </c>
      <c r="DO30" s="727">
        <v>1087265</v>
      </c>
      <c r="DP30" s="49">
        <v>938873</v>
      </c>
      <c r="DQ30" s="49"/>
      <c r="DR30" s="730">
        <v>80242</v>
      </c>
      <c r="DS30" s="49">
        <v>99188</v>
      </c>
    </row>
    <row r="31" spans="1:123" x14ac:dyDescent="0.2">
      <c r="A31" s="218" t="s">
        <v>33</v>
      </c>
      <c r="B31" s="10"/>
      <c r="C31" s="19"/>
      <c r="D31" s="48">
        <v>356087</v>
      </c>
      <c r="E31" s="49">
        <v>177045</v>
      </c>
      <c r="F31" s="49">
        <v>169626</v>
      </c>
      <c r="G31" s="49">
        <v>4836</v>
      </c>
      <c r="H31" s="50">
        <v>4580</v>
      </c>
      <c r="I31" s="99">
        <v>364508</v>
      </c>
      <c r="J31" s="138">
        <f t="shared" si="43"/>
        <v>353377</v>
      </c>
      <c r="K31" s="49">
        <v>174600</v>
      </c>
      <c r="L31" s="49">
        <v>178777</v>
      </c>
      <c r="M31" s="138">
        <f t="shared" si="44"/>
        <v>630</v>
      </c>
      <c r="N31" s="49">
        <v>386</v>
      </c>
      <c r="O31" s="49">
        <v>244</v>
      </c>
      <c r="P31" s="138">
        <f t="shared" si="45"/>
        <v>3111</v>
      </c>
      <c r="Q31" s="49">
        <v>1644</v>
      </c>
      <c r="R31" s="50">
        <v>1467</v>
      </c>
      <c r="S31" s="99">
        <v>450862</v>
      </c>
      <c r="T31" s="136">
        <f t="shared" si="46"/>
        <v>429252</v>
      </c>
      <c r="U31" s="49">
        <v>210603</v>
      </c>
      <c r="V31" s="49">
        <v>218649</v>
      </c>
      <c r="W31" s="136">
        <f t="shared" si="47"/>
        <v>726</v>
      </c>
      <c r="X31" s="49">
        <v>503</v>
      </c>
      <c r="Y31" s="49">
        <v>223</v>
      </c>
      <c r="Z31" s="136">
        <f t="shared" si="48"/>
        <v>3979</v>
      </c>
      <c r="AA31" s="49">
        <v>1970</v>
      </c>
      <c r="AB31" s="49">
        <v>2009</v>
      </c>
      <c r="AC31" s="177">
        <v>16753</v>
      </c>
      <c r="AD31" s="177">
        <v>7793</v>
      </c>
      <c r="AE31" s="138">
        <v>8960</v>
      </c>
      <c r="AF31" s="99">
        <v>507851</v>
      </c>
      <c r="AG31" s="5">
        <v>480126</v>
      </c>
      <c r="AH31" s="78">
        <f t="shared" si="49"/>
        <v>476873</v>
      </c>
      <c r="AI31" s="49">
        <v>231432</v>
      </c>
      <c r="AJ31" s="49">
        <v>245441</v>
      </c>
      <c r="AK31" s="5">
        <v>986</v>
      </c>
      <c r="AL31" s="78">
        <f t="shared" si="50"/>
        <v>945</v>
      </c>
      <c r="AM31" s="49">
        <v>591</v>
      </c>
      <c r="AN31" s="49">
        <v>354</v>
      </c>
      <c r="AO31" s="5">
        <v>5425</v>
      </c>
      <c r="AP31" s="50">
        <v>2615</v>
      </c>
      <c r="AQ31" s="49">
        <v>2810</v>
      </c>
      <c r="AR31" s="82">
        <f t="shared" si="51"/>
        <v>24608</v>
      </c>
      <c r="AS31" s="99">
        <v>586621</v>
      </c>
      <c r="AT31" s="5">
        <v>545199</v>
      </c>
      <c r="AU31" s="178">
        <v>266760</v>
      </c>
      <c r="AV31" s="178">
        <v>278439</v>
      </c>
      <c r="AW31" s="78">
        <f t="shared" si="52"/>
        <v>540232</v>
      </c>
      <c r="AX31" s="49">
        <v>264456</v>
      </c>
      <c r="AY31" s="50">
        <v>275776</v>
      </c>
      <c r="AZ31" s="5">
        <v>1130</v>
      </c>
      <c r="BA31" s="49">
        <v>709</v>
      </c>
      <c r="BB31" s="49">
        <v>421</v>
      </c>
      <c r="BC31" s="5">
        <v>8612</v>
      </c>
      <c r="BD31" s="49">
        <v>4056</v>
      </c>
      <c r="BE31" s="49">
        <v>4556</v>
      </c>
      <c r="BF31" s="177">
        <v>40292</v>
      </c>
      <c r="BG31" s="177">
        <v>18984</v>
      </c>
      <c r="BH31" s="138">
        <v>21308</v>
      </c>
      <c r="BI31" s="181">
        <v>664198</v>
      </c>
      <c r="BJ31" s="50">
        <v>328050</v>
      </c>
      <c r="BK31" s="50">
        <v>336148</v>
      </c>
      <c r="BL31" s="57">
        <v>613888</v>
      </c>
      <c r="BM31" s="57">
        <v>303875</v>
      </c>
      <c r="BN31" s="57">
        <v>310013</v>
      </c>
      <c r="BO31" s="57">
        <v>605113</v>
      </c>
      <c r="BP31" s="57">
        <v>299908</v>
      </c>
      <c r="BQ31" s="57">
        <v>305205</v>
      </c>
      <c r="BR31" s="57"/>
      <c r="BS31" s="57"/>
      <c r="BT31" s="57"/>
      <c r="BU31" s="57">
        <v>13189</v>
      </c>
      <c r="BV31" s="57">
        <v>6147</v>
      </c>
      <c r="BW31" s="57">
        <v>7042</v>
      </c>
      <c r="BX31" s="138">
        <f t="shared" si="53"/>
        <v>50310</v>
      </c>
      <c r="BY31" s="57">
        <v>24175</v>
      </c>
      <c r="BZ31" s="57">
        <v>26135</v>
      </c>
      <c r="CA31" s="191">
        <v>631746</v>
      </c>
      <c r="CB31" s="7">
        <v>583121</v>
      </c>
      <c r="CC31" s="49">
        <v>2212</v>
      </c>
      <c r="CD31" s="49">
        <v>46413</v>
      </c>
      <c r="CE31" s="49">
        <v>11437</v>
      </c>
      <c r="CF31" s="181">
        <v>640386</v>
      </c>
      <c r="CG31" s="5">
        <v>591847</v>
      </c>
      <c r="CH31" s="49">
        <v>1854</v>
      </c>
      <c r="CI31" s="49">
        <v>46685</v>
      </c>
      <c r="CJ31" s="49">
        <v>12843</v>
      </c>
      <c r="CK31" s="56">
        <v>642879</v>
      </c>
      <c r="CL31" s="54">
        <v>592956</v>
      </c>
      <c r="CM31" s="55">
        <v>2176</v>
      </c>
      <c r="CN31" s="55">
        <v>47747</v>
      </c>
      <c r="CO31" s="55">
        <v>13502</v>
      </c>
      <c r="CP31" s="56">
        <v>664198</v>
      </c>
      <c r="CQ31" s="505">
        <v>613888</v>
      </c>
      <c r="CR31" s="505"/>
      <c r="CS31" s="55">
        <v>50310</v>
      </c>
      <c r="CT31" s="505">
        <v>13189</v>
      </c>
      <c r="CU31" s="56">
        <v>672126</v>
      </c>
      <c r="CV31" s="505">
        <v>619594</v>
      </c>
      <c r="CW31" s="505"/>
      <c r="CX31" s="306">
        <f t="shared" si="54"/>
        <v>52532</v>
      </c>
      <c r="CY31" s="591">
        <v>13684</v>
      </c>
      <c r="CZ31" s="49">
        <v>678572</v>
      </c>
      <c r="DA31" s="49">
        <v>625091</v>
      </c>
      <c r="DB31" s="49">
        <v>2357</v>
      </c>
      <c r="DC31" s="49">
        <v>50606</v>
      </c>
      <c r="DD31" s="594">
        <v>14633</v>
      </c>
      <c r="DE31" s="49">
        <v>683938</v>
      </c>
      <c r="DF31" s="49">
        <v>618381</v>
      </c>
      <c r="DG31" s="1">
        <v>2613</v>
      </c>
      <c r="DH31" s="49">
        <v>52875</v>
      </c>
      <c r="DI31" s="49">
        <v>15102</v>
      </c>
      <c r="DJ31" s="727">
        <v>706329</v>
      </c>
      <c r="DK31" s="49">
        <v>633603</v>
      </c>
      <c r="DL31" s="49"/>
      <c r="DM31" s="730">
        <v>52927</v>
      </c>
      <c r="DN31" s="49">
        <v>18587</v>
      </c>
      <c r="DO31" s="727">
        <v>712616</v>
      </c>
      <c r="DP31" s="49">
        <v>639560</v>
      </c>
      <c r="DQ31" s="49"/>
      <c r="DR31" s="730">
        <v>49498</v>
      </c>
      <c r="DS31" s="49">
        <v>18098</v>
      </c>
    </row>
    <row r="32" spans="1:123" x14ac:dyDescent="0.2">
      <c r="A32" s="218" t="s">
        <v>35</v>
      </c>
      <c r="B32" s="10"/>
      <c r="C32" s="19"/>
      <c r="D32" s="48">
        <v>159974</v>
      </c>
      <c r="E32" s="49">
        <v>78384</v>
      </c>
      <c r="F32" s="49">
        <v>71810</v>
      </c>
      <c r="G32" s="49">
        <v>5231</v>
      </c>
      <c r="H32" s="50">
        <v>4549</v>
      </c>
      <c r="I32" s="99">
        <v>265089</v>
      </c>
      <c r="J32" s="138">
        <f t="shared" si="43"/>
        <v>248023</v>
      </c>
      <c r="K32" s="49">
        <v>126529</v>
      </c>
      <c r="L32" s="49">
        <v>121494</v>
      </c>
      <c r="M32" s="138">
        <f t="shared" si="44"/>
        <v>11409</v>
      </c>
      <c r="N32" s="49">
        <v>5752</v>
      </c>
      <c r="O32" s="49">
        <v>5657</v>
      </c>
      <c r="P32" s="138">
        <f t="shared" si="45"/>
        <v>12512</v>
      </c>
      <c r="Q32" s="49">
        <v>6729</v>
      </c>
      <c r="R32" s="50">
        <v>5783</v>
      </c>
      <c r="S32" s="99">
        <v>479601</v>
      </c>
      <c r="T32" s="136">
        <f t="shared" si="46"/>
        <v>415128</v>
      </c>
      <c r="U32" s="49">
        <v>209234</v>
      </c>
      <c r="V32" s="49">
        <v>205894</v>
      </c>
      <c r="W32" s="136">
        <f t="shared" si="47"/>
        <v>22827</v>
      </c>
      <c r="X32" s="49">
        <v>11288</v>
      </c>
      <c r="Y32" s="49">
        <v>11539</v>
      </c>
      <c r="Z32" s="136">
        <f t="shared" si="48"/>
        <v>25771</v>
      </c>
      <c r="AA32" s="49">
        <v>13311</v>
      </c>
      <c r="AB32" s="49">
        <v>12460</v>
      </c>
      <c r="AC32" s="177">
        <v>15387</v>
      </c>
      <c r="AD32" s="177">
        <v>6967</v>
      </c>
      <c r="AE32" s="138">
        <v>8420</v>
      </c>
      <c r="AF32" s="99">
        <v>789638</v>
      </c>
      <c r="AG32" s="5">
        <v>684080</v>
      </c>
      <c r="AH32" s="78">
        <f t="shared" si="49"/>
        <v>649731</v>
      </c>
      <c r="AI32" s="49">
        <v>329389</v>
      </c>
      <c r="AJ32" s="49">
        <v>320342</v>
      </c>
      <c r="AK32" s="5">
        <v>42817</v>
      </c>
      <c r="AL32" s="78">
        <f t="shared" si="50"/>
        <v>42243</v>
      </c>
      <c r="AM32" s="49">
        <v>21263</v>
      </c>
      <c r="AN32" s="49">
        <v>20980</v>
      </c>
      <c r="AO32" s="5">
        <v>62507</v>
      </c>
      <c r="AP32" s="50">
        <v>33977</v>
      </c>
      <c r="AQ32" s="49">
        <v>28530</v>
      </c>
      <c r="AR32" s="82">
        <f t="shared" si="51"/>
        <v>35157</v>
      </c>
      <c r="AS32" s="99">
        <v>1310176</v>
      </c>
      <c r="AT32" s="5">
        <v>1033837</v>
      </c>
      <c r="AU32" s="178">
        <v>523743</v>
      </c>
      <c r="AV32" s="178">
        <v>510094</v>
      </c>
      <c r="AW32" s="78">
        <f t="shared" si="52"/>
        <v>930360</v>
      </c>
      <c r="AX32" s="49">
        <v>469488</v>
      </c>
      <c r="AY32" s="50">
        <v>460872</v>
      </c>
      <c r="AZ32" s="5">
        <v>78926</v>
      </c>
      <c r="BA32" s="49">
        <v>40070</v>
      </c>
      <c r="BB32" s="49">
        <v>38856</v>
      </c>
      <c r="BC32" s="5">
        <v>195171</v>
      </c>
      <c r="BD32" s="49">
        <v>104059</v>
      </c>
      <c r="BE32" s="49">
        <v>91112</v>
      </c>
      <c r="BF32" s="177">
        <v>197413</v>
      </c>
      <c r="BG32" s="177">
        <v>97452</v>
      </c>
      <c r="BH32" s="138">
        <v>99961</v>
      </c>
      <c r="BI32" s="181">
        <v>1768726</v>
      </c>
      <c r="BJ32" s="50">
        <v>887136</v>
      </c>
      <c r="BK32" s="50">
        <v>881590</v>
      </c>
      <c r="BL32" s="57">
        <v>1360824</v>
      </c>
      <c r="BM32" s="57">
        <v>693942</v>
      </c>
      <c r="BN32" s="57">
        <v>666882</v>
      </c>
      <c r="BO32" s="57">
        <v>1087540</v>
      </c>
      <c r="BP32" s="57">
        <v>552228</v>
      </c>
      <c r="BQ32" s="57">
        <v>535312</v>
      </c>
      <c r="BR32" s="57">
        <v>130557</v>
      </c>
      <c r="BS32" s="57">
        <v>64840</v>
      </c>
      <c r="BT32" s="57">
        <v>65717</v>
      </c>
      <c r="BU32" s="57">
        <v>360868</v>
      </c>
      <c r="BV32" s="57">
        <v>185289</v>
      </c>
      <c r="BW32" s="57">
        <v>175579</v>
      </c>
      <c r="BX32" s="138">
        <f t="shared" si="53"/>
        <v>277345</v>
      </c>
      <c r="BY32" s="57">
        <v>128354</v>
      </c>
      <c r="BZ32" s="57">
        <v>148991</v>
      </c>
      <c r="CA32" s="191">
        <v>1640801</v>
      </c>
      <c r="CB32" s="7">
        <v>1271158</v>
      </c>
      <c r="CC32" s="49">
        <v>107900</v>
      </c>
      <c r="CD32" s="49">
        <v>261743</v>
      </c>
      <c r="CE32" s="49">
        <v>316853</v>
      </c>
      <c r="CF32" s="181">
        <v>1676453</v>
      </c>
      <c r="CG32" s="5">
        <v>1299132</v>
      </c>
      <c r="CH32" s="49">
        <v>112754</v>
      </c>
      <c r="CI32" s="49">
        <v>264567</v>
      </c>
      <c r="CJ32" s="49">
        <v>333174</v>
      </c>
      <c r="CK32" s="56">
        <v>1702430</v>
      </c>
      <c r="CL32" s="54">
        <v>1323798</v>
      </c>
      <c r="CM32" s="55">
        <v>117437</v>
      </c>
      <c r="CN32" s="55">
        <v>261195</v>
      </c>
      <c r="CO32" s="55">
        <v>345721</v>
      </c>
      <c r="CP32" s="56">
        <v>1768726</v>
      </c>
      <c r="CQ32" s="505">
        <v>1360824</v>
      </c>
      <c r="CR32" s="505">
        <v>130557</v>
      </c>
      <c r="CS32" s="55">
        <v>277345</v>
      </c>
      <c r="CT32" s="505">
        <v>360868</v>
      </c>
      <c r="CU32" s="56">
        <v>1790594</v>
      </c>
      <c r="CV32" s="505">
        <v>1357737</v>
      </c>
      <c r="CW32" s="505">
        <v>134957</v>
      </c>
      <c r="CX32" s="306">
        <f t="shared" si="54"/>
        <v>297900</v>
      </c>
      <c r="CY32" s="591">
        <v>372713</v>
      </c>
      <c r="CZ32" s="49">
        <v>1813077</v>
      </c>
      <c r="DA32" s="49">
        <v>1350376</v>
      </c>
      <c r="DB32" s="49">
        <v>137382</v>
      </c>
      <c r="DC32" s="49">
        <v>325319</v>
      </c>
      <c r="DD32" s="594">
        <v>383607</v>
      </c>
      <c r="DE32" s="49">
        <v>1840605</v>
      </c>
      <c r="DF32" s="49">
        <v>1093949</v>
      </c>
      <c r="DG32" s="1">
        <v>142733</v>
      </c>
      <c r="DH32" s="49">
        <v>351811</v>
      </c>
      <c r="DI32" s="49">
        <v>395826</v>
      </c>
      <c r="DJ32" s="727">
        <v>1968167</v>
      </c>
      <c r="DK32" s="49">
        <v>1119394</v>
      </c>
      <c r="DL32" s="49">
        <v>158431</v>
      </c>
      <c r="DM32" s="730">
        <v>419559</v>
      </c>
      <c r="DN32" s="49">
        <v>443701</v>
      </c>
      <c r="DO32" s="727">
        <v>2010610</v>
      </c>
      <c r="DP32" s="49">
        <v>1129799</v>
      </c>
      <c r="DQ32" s="49">
        <v>166410</v>
      </c>
      <c r="DR32" s="730">
        <v>435927</v>
      </c>
      <c r="DS32" s="49">
        <v>460183</v>
      </c>
    </row>
    <row r="33" spans="1:123" x14ac:dyDescent="0.2">
      <c r="A33" s="218" t="s">
        <v>38</v>
      </c>
      <c r="B33" s="10"/>
      <c r="C33" s="19"/>
      <c r="D33" s="48">
        <v>444503</v>
      </c>
      <c r="E33" s="49">
        <v>208267</v>
      </c>
      <c r="F33" s="49">
        <v>207891</v>
      </c>
      <c r="G33" s="49">
        <v>14149</v>
      </c>
      <c r="H33" s="50">
        <v>14196</v>
      </c>
      <c r="I33" s="99">
        <v>489623</v>
      </c>
      <c r="J33" s="138">
        <f t="shared" si="43"/>
        <v>454193</v>
      </c>
      <c r="K33" s="49">
        <v>219260</v>
      </c>
      <c r="L33" s="49">
        <v>234933</v>
      </c>
      <c r="M33" s="138">
        <f t="shared" si="44"/>
        <v>7911</v>
      </c>
      <c r="N33" s="49">
        <v>3940</v>
      </c>
      <c r="O33" s="49">
        <v>3971</v>
      </c>
      <c r="P33" s="138">
        <f t="shared" si="45"/>
        <v>169304</v>
      </c>
      <c r="Q33" s="49">
        <v>82698</v>
      </c>
      <c r="R33" s="50">
        <v>86606</v>
      </c>
      <c r="S33" s="99">
        <v>707147</v>
      </c>
      <c r="T33" s="136">
        <f t="shared" si="46"/>
        <v>427371</v>
      </c>
      <c r="U33" s="49">
        <v>206207</v>
      </c>
      <c r="V33" s="49">
        <v>221164</v>
      </c>
      <c r="W33" s="136">
        <f t="shared" si="47"/>
        <v>10508</v>
      </c>
      <c r="X33" s="49">
        <v>5535</v>
      </c>
      <c r="Y33" s="49">
        <v>4973</v>
      </c>
      <c r="Z33" s="136">
        <f t="shared" si="48"/>
        <v>222076</v>
      </c>
      <c r="AA33" s="49">
        <v>106965</v>
      </c>
      <c r="AB33" s="49">
        <v>115111</v>
      </c>
      <c r="AC33" s="177">
        <v>45725</v>
      </c>
      <c r="AD33" s="177">
        <v>20789</v>
      </c>
      <c r="AE33" s="138">
        <v>24936</v>
      </c>
      <c r="AF33" s="99">
        <v>922590</v>
      </c>
      <c r="AG33" s="5">
        <v>734024</v>
      </c>
      <c r="AH33" s="78">
        <f t="shared" si="49"/>
        <v>525118</v>
      </c>
      <c r="AI33" s="49">
        <v>252107</v>
      </c>
      <c r="AJ33" s="49">
        <v>273011</v>
      </c>
      <c r="AK33" s="5">
        <v>16176</v>
      </c>
      <c r="AL33" s="78">
        <f t="shared" si="50"/>
        <v>15482</v>
      </c>
      <c r="AM33" s="49">
        <v>8333</v>
      </c>
      <c r="AN33" s="49">
        <v>7149</v>
      </c>
      <c r="AO33" s="5">
        <v>310224</v>
      </c>
      <c r="AP33" s="50">
        <v>149799</v>
      </c>
      <c r="AQ33" s="49">
        <v>160425</v>
      </c>
      <c r="AR33" s="82">
        <f t="shared" si="51"/>
        <v>71766</v>
      </c>
      <c r="AS33" s="99">
        <v>1134801</v>
      </c>
      <c r="AT33" s="5">
        <v>819163</v>
      </c>
      <c r="AU33" s="178">
        <v>392569</v>
      </c>
      <c r="AV33" s="178">
        <v>426594</v>
      </c>
      <c r="AW33" s="78">
        <f t="shared" si="52"/>
        <v>585792</v>
      </c>
      <c r="AX33" s="49">
        <v>280732</v>
      </c>
      <c r="AY33" s="50">
        <v>305060</v>
      </c>
      <c r="AZ33" s="5">
        <v>19291</v>
      </c>
      <c r="BA33" s="49">
        <v>10326</v>
      </c>
      <c r="BB33" s="49">
        <v>8965</v>
      </c>
      <c r="BC33" s="5">
        <v>420863</v>
      </c>
      <c r="BD33" s="49">
        <v>203071</v>
      </c>
      <c r="BE33" s="49">
        <v>217792</v>
      </c>
      <c r="BF33" s="177">
        <v>296347</v>
      </c>
      <c r="BG33" s="177">
        <v>141082</v>
      </c>
      <c r="BH33" s="138">
        <v>155265</v>
      </c>
      <c r="BI33" s="181">
        <v>1316053</v>
      </c>
      <c r="BJ33" s="50">
        <v>637637</v>
      </c>
      <c r="BK33" s="50">
        <v>678416</v>
      </c>
      <c r="BL33" s="57">
        <v>1005255</v>
      </c>
      <c r="BM33" s="57">
        <v>484197</v>
      </c>
      <c r="BN33" s="57">
        <v>521058</v>
      </c>
      <c r="BO33" s="57">
        <v>630338</v>
      </c>
      <c r="BP33" s="57">
        <v>305425</v>
      </c>
      <c r="BQ33" s="57">
        <v>324913</v>
      </c>
      <c r="BR33" s="57">
        <v>24817</v>
      </c>
      <c r="BS33" s="57">
        <v>13802</v>
      </c>
      <c r="BT33" s="57">
        <v>11015</v>
      </c>
      <c r="BU33" s="57">
        <v>530895</v>
      </c>
      <c r="BV33" s="57">
        <v>258230</v>
      </c>
      <c r="BW33" s="57">
        <v>272665</v>
      </c>
      <c r="BX33" s="138">
        <f t="shared" si="53"/>
        <v>285981</v>
      </c>
      <c r="BY33" s="57">
        <v>139638</v>
      </c>
      <c r="BZ33" s="57">
        <v>146343</v>
      </c>
      <c r="CA33" s="191">
        <v>1240342</v>
      </c>
      <c r="CB33" s="5">
        <v>899424</v>
      </c>
      <c r="CC33" s="49">
        <v>23340</v>
      </c>
      <c r="CD33" s="49">
        <v>317578</v>
      </c>
      <c r="CE33" s="49">
        <v>491137</v>
      </c>
      <c r="CF33" s="181">
        <v>1258320</v>
      </c>
      <c r="CG33" s="5">
        <v>929122</v>
      </c>
      <c r="CH33" s="49">
        <v>24256</v>
      </c>
      <c r="CI33" s="49">
        <v>304942</v>
      </c>
      <c r="CJ33" s="49">
        <v>502531</v>
      </c>
      <c r="CK33" s="56">
        <v>1280801</v>
      </c>
      <c r="CL33" s="54">
        <v>958938</v>
      </c>
      <c r="CM33" s="55">
        <v>25604</v>
      </c>
      <c r="CN33" s="55">
        <v>296259</v>
      </c>
      <c r="CO33" s="55">
        <v>515565</v>
      </c>
      <c r="CP33" s="56">
        <v>1316053</v>
      </c>
      <c r="CQ33" s="505">
        <v>1005255</v>
      </c>
      <c r="CR33" s="505">
        <v>24817</v>
      </c>
      <c r="CS33" s="55">
        <v>285981</v>
      </c>
      <c r="CT33" s="505">
        <v>530895</v>
      </c>
      <c r="CU33" s="56">
        <v>1337142</v>
      </c>
      <c r="CV33" s="505">
        <v>1015138</v>
      </c>
      <c r="CW33" s="505">
        <v>25188</v>
      </c>
      <c r="CX33" s="306">
        <f t="shared" si="54"/>
        <v>296816</v>
      </c>
      <c r="CY33" s="591">
        <v>546069</v>
      </c>
      <c r="CZ33" s="49">
        <v>1353059</v>
      </c>
      <c r="DA33" s="49">
        <v>1021448</v>
      </c>
      <c r="DB33" s="49">
        <v>25005</v>
      </c>
      <c r="DC33" s="49">
        <v>305813</v>
      </c>
      <c r="DD33" s="594">
        <v>557831</v>
      </c>
      <c r="DE33" s="49">
        <v>1358996</v>
      </c>
      <c r="DF33" s="49">
        <v>630446</v>
      </c>
      <c r="DG33" s="1">
        <v>25244</v>
      </c>
      <c r="DH33" s="49">
        <v>301477</v>
      </c>
      <c r="DI33" s="49">
        <v>564206</v>
      </c>
      <c r="DJ33" s="727">
        <v>1377548</v>
      </c>
      <c r="DK33" s="49">
        <v>617719</v>
      </c>
      <c r="DL33" s="49">
        <v>28411</v>
      </c>
      <c r="DM33" s="730">
        <v>298088</v>
      </c>
      <c r="DN33" s="49">
        <v>589076</v>
      </c>
      <c r="DO33" s="727">
        <v>1391381</v>
      </c>
      <c r="DP33" s="49">
        <v>616225</v>
      </c>
      <c r="DQ33" s="49">
        <v>25485</v>
      </c>
      <c r="DR33" s="730">
        <v>307623</v>
      </c>
      <c r="DS33" s="49">
        <v>598277</v>
      </c>
    </row>
    <row r="34" spans="1:123" x14ac:dyDescent="0.2">
      <c r="A34" s="218" t="s">
        <v>42</v>
      </c>
      <c r="B34" s="10"/>
      <c r="C34" s="19"/>
      <c r="D34" s="48">
        <v>996083</v>
      </c>
      <c r="E34" s="49">
        <v>482086</v>
      </c>
      <c r="F34" s="49">
        <v>496251</v>
      </c>
      <c r="G34" s="49">
        <v>9295</v>
      </c>
      <c r="H34" s="50">
        <v>8451</v>
      </c>
      <c r="I34" s="99">
        <v>1156024</v>
      </c>
      <c r="J34" s="138">
        <f t="shared" si="43"/>
        <v>1130529</v>
      </c>
      <c r="K34" s="49">
        <v>544150</v>
      </c>
      <c r="L34" s="49">
        <v>586379</v>
      </c>
      <c r="M34" s="138">
        <f t="shared" si="44"/>
        <v>11852</v>
      </c>
      <c r="N34" s="49">
        <v>6025</v>
      </c>
      <c r="O34" s="49">
        <v>5827</v>
      </c>
      <c r="P34" s="138">
        <f t="shared" si="45"/>
        <v>13635</v>
      </c>
      <c r="Q34" s="49">
        <v>7123</v>
      </c>
      <c r="R34" s="50">
        <v>6512</v>
      </c>
      <c r="S34" s="99">
        <v>1579841</v>
      </c>
      <c r="T34" s="136">
        <f t="shared" si="46"/>
        <v>1499311</v>
      </c>
      <c r="U34" s="49">
        <v>720969</v>
      </c>
      <c r="V34" s="49">
        <v>778342</v>
      </c>
      <c r="W34" s="136">
        <f t="shared" si="47"/>
        <v>17834</v>
      </c>
      <c r="X34" s="49">
        <v>9380</v>
      </c>
      <c r="Y34" s="49">
        <v>8454</v>
      </c>
      <c r="Z34" s="136">
        <f t="shared" si="48"/>
        <v>27457</v>
      </c>
      <c r="AA34" s="49">
        <v>14652</v>
      </c>
      <c r="AB34" s="49">
        <v>12805</v>
      </c>
      <c r="AC34" s="177">
        <v>34186</v>
      </c>
      <c r="AD34" s="177">
        <v>16058</v>
      </c>
      <c r="AE34" s="138">
        <v>18128</v>
      </c>
      <c r="AF34" s="99">
        <v>1855369</v>
      </c>
      <c r="AG34" s="5">
        <v>1748500</v>
      </c>
      <c r="AH34" s="78">
        <f t="shared" si="49"/>
        <v>1722514</v>
      </c>
      <c r="AI34" s="49">
        <v>823790</v>
      </c>
      <c r="AJ34" s="49">
        <v>898724</v>
      </c>
      <c r="AK34" s="5">
        <v>24123</v>
      </c>
      <c r="AL34" s="78">
        <f t="shared" si="50"/>
        <v>23765</v>
      </c>
      <c r="AM34" s="49">
        <v>12514</v>
      </c>
      <c r="AN34" s="49">
        <v>11251</v>
      </c>
      <c r="AO34" s="5">
        <v>50104</v>
      </c>
      <c r="AP34" s="50">
        <v>28013</v>
      </c>
      <c r="AQ34" s="49">
        <v>22091</v>
      </c>
      <c r="AR34" s="82">
        <f t="shared" si="51"/>
        <v>58986</v>
      </c>
      <c r="AS34" s="99">
        <v>2250998</v>
      </c>
      <c r="AT34" s="5">
        <v>2009396</v>
      </c>
      <c r="AU34" s="178">
        <v>971030</v>
      </c>
      <c r="AV34" s="178">
        <v>1038366</v>
      </c>
      <c r="AW34" s="78">
        <f t="shared" si="52"/>
        <v>1961219</v>
      </c>
      <c r="AX34" s="49">
        <v>945533</v>
      </c>
      <c r="AY34" s="50">
        <v>1015686</v>
      </c>
      <c r="AZ34" s="5">
        <v>30502</v>
      </c>
      <c r="BA34" s="49">
        <v>16680</v>
      </c>
      <c r="BB34" s="49">
        <v>13822</v>
      </c>
      <c r="BC34" s="5">
        <v>125163</v>
      </c>
      <c r="BD34" s="49">
        <v>70125</v>
      </c>
      <c r="BE34" s="49">
        <v>55038</v>
      </c>
      <c r="BF34" s="177">
        <v>211100</v>
      </c>
      <c r="BG34" s="177">
        <v>107853</v>
      </c>
      <c r="BH34" s="138">
        <v>103247</v>
      </c>
      <c r="BI34" s="181">
        <v>2580193</v>
      </c>
      <c r="BJ34" s="50">
        <v>1257246</v>
      </c>
      <c r="BK34" s="50">
        <v>1322947</v>
      </c>
      <c r="BL34" s="57">
        <v>2280700</v>
      </c>
      <c r="BM34" s="57">
        <v>1108302</v>
      </c>
      <c r="BN34" s="57">
        <v>1172398</v>
      </c>
      <c r="BO34" s="57">
        <v>2158385</v>
      </c>
      <c r="BP34" s="57">
        <v>1044475</v>
      </c>
      <c r="BQ34" s="57">
        <v>1113910</v>
      </c>
      <c r="BR34" s="57">
        <v>40052</v>
      </c>
      <c r="BS34" s="57">
        <v>22025</v>
      </c>
      <c r="BT34" s="57">
        <v>18027</v>
      </c>
      <c r="BU34" s="57">
        <v>208782</v>
      </c>
      <c r="BV34" s="57">
        <v>111492</v>
      </c>
      <c r="BW34" s="57">
        <v>97290</v>
      </c>
      <c r="BX34" s="138">
        <f t="shared" si="53"/>
        <v>259441</v>
      </c>
      <c r="BY34" s="57">
        <v>126919</v>
      </c>
      <c r="BZ34" s="57">
        <v>132522</v>
      </c>
      <c r="CA34" s="191">
        <v>2496987</v>
      </c>
      <c r="CB34" s="5">
        <v>2213707</v>
      </c>
      <c r="CC34" s="49">
        <v>36269</v>
      </c>
      <c r="CD34" s="49">
        <v>247011</v>
      </c>
      <c r="CE34" s="49">
        <v>189937</v>
      </c>
      <c r="CF34" s="181">
        <v>2538321</v>
      </c>
      <c r="CG34" s="5">
        <v>2252578</v>
      </c>
      <c r="CH34" s="49">
        <v>36758</v>
      </c>
      <c r="CI34" s="49">
        <v>248985</v>
      </c>
      <c r="CJ34" s="49">
        <v>198554</v>
      </c>
      <c r="CK34" s="56">
        <v>2551516</v>
      </c>
      <c r="CL34" s="54">
        <v>2262644</v>
      </c>
      <c r="CM34" s="55">
        <v>38217</v>
      </c>
      <c r="CN34" s="55">
        <v>250655</v>
      </c>
      <c r="CO34" s="55">
        <v>199269</v>
      </c>
      <c r="CP34" s="56">
        <v>2580193</v>
      </c>
      <c r="CQ34" s="505">
        <v>2280700</v>
      </c>
      <c r="CR34" s="505">
        <v>40052</v>
      </c>
      <c r="CS34" s="55">
        <v>259441</v>
      </c>
      <c r="CT34" s="505">
        <v>208782</v>
      </c>
      <c r="CU34" s="56">
        <v>2613587</v>
      </c>
      <c r="CV34" s="505">
        <v>2297671</v>
      </c>
      <c r="CW34" s="505">
        <v>41710</v>
      </c>
      <c r="CX34" s="306">
        <f t="shared" si="54"/>
        <v>274206</v>
      </c>
      <c r="CY34" s="591">
        <v>216750</v>
      </c>
      <c r="CZ34" s="49">
        <v>2643922</v>
      </c>
      <c r="DA34" s="49">
        <v>2322273</v>
      </c>
      <c r="DB34" s="49">
        <v>41748</v>
      </c>
      <c r="DC34" s="49">
        <v>279901</v>
      </c>
      <c r="DD34" s="594">
        <v>222719</v>
      </c>
      <c r="DE34" s="49">
        <v>2673399</v>
      </c>
      <c r="DF34" s="49">
        <v>2210043</v>
      </c>
      <c r="DG34" s="1">
        <v>43004</v>
      </c>
      <c r="DH34" s="49">
        <v>278157</v>
      </c>
      <c r="DI34" s="49">
        <v>229153</v>
      </c>
      <c r="DJ34" s="727">
        <v>2804461</v>
      </c>
      <c r="DK34" s="49">
        <v>2281052</v>
      </c>
      <c r="DL34" s="49">
        <v>49935</v>
      </c>
      <c r="DM34" s="730">
        <v>299458</v>
      </c>
      <c r="DN34" s="49">
        <v>257198</v>
      </c>
      <c r="DO34" s="727">
        <v>2857952</v>
      </c>
      <c r="DP34" s="49">
        <v>2318767</v>
      </c>
      <c r="DQ34" s="49">
        <v>49212</v>
      </c>
      <c r="DR34" s="730">
        <v>320672</v>
      </c>
      <c r="DS34" s="49">
        <v>264005</v>
      </c>
    </row>
    <row r="35" spans="1:123" x14ac:dyDescent="0.2">
      <c r="A35" s="218" t="s">
        <v>46</v>
      </c>
      <c r="B35" s="10"/>
      <c r="C35" s="19"/>
      <c r="D35" s="48">
        <v>419381</v>
      </c>
      <c r="E35" s="49">
        <v>204028</v>
      </c>
      <c r="F35" s="49">
        <v>208033</v>
      </c>
      <c r="G35" s="49">
        <v>3938</v>
      </c>
      <c r="H35" s="50">
        <v>3382</v>
      </c>
      <c r="I35" s="99">
        <v>492337</v>
      </c>
      <c r="J35" s="138">
        <f t="shared" si="43"/>
        <v>482753</v>
      </c>
      <c r="K35" s="49">
        <v>234201</v>
      </c>
      <c r="L35" s="49">
        <v>248552</v>
      </c>
      <c r="M35" s="138">
        <f t="shared" si="44"/>
        <v>2273</v>
      </c>
      <c r="N35" s="49">
        <v>1164</v>
      </c>
      <c r="O35" s="49">
        <v>1109</v>
      </c>
      <c r="P35" s="138">
        <f t="shared" si="45"/>
        <v>15813</v>
      </c>
      <c r="Q35" s="49">
        <v>8167</v>
      </c>
      <c r="R35" s="50">
        <v>7646</v>
      </c>
      <c r="S35" s="99">
        <v>704790</v>
      </c>
      <c r="T35" s="136">
        <f t="shared" si="46"/>
        <v>661203</v>
      </c>
      <c r="U35" s="49">
        <v>321673</v>
      </c>
      <c r="V35" s="49">
        <v>339530</v>
      </c>
      <c r="W35" s="136">
        <f t="shared" si="47"/>
        <v>4030</v>
      </c>
      <c r="X35" s="49">
        <v>2285</v>
      </c>
      <c r="Y35" s="49">
        <v>1745</v>
      </c>
      <c r="Z35" s="136">
        <f t="shared" si="48"/>
        <v>23523</v>
      </c>
      <c r="AA35" s="49">
        <v>11871</v>
      </c>
      <c r="AB35" s="49">
        <v>11652</v>
      </c>
      <c r="AC35" s="177">
        <v>15530</v>
      </c>
      <c r="AD35" s="177">
        <v>7397</v>
      </c>
      <c r="AE35" s="138">
        <v>8133</v>
      </c>
      <c r="AF35" s="99">
        <v>897321</v>
      </c>
      <c r="AG35" s="5">
        <v>847484</v>
      </c>
      <c r="AH35" s="78">
        <f t="shared" si="49"/>
        <v>828157</v>
      </c>
      <c r="AI35" s="49">
        <v>401365</v>
      </c>
      <c r="AJ35" s="49">
        <v>426792</v>
      </c>
      <c r="AK35" s="5">
        <v>5526</v>
      </c>
      <c r="AL35" s="78">
        <f t="shared" si="50"/>
        <v>5266</v>
      </c>
      <c r="AM35" s="49">
        <v>3134</v>
      </c>
      <c r="AN35" s="49">
        <v>2132</v>
      </c>
      <c r="AO35" s="5">
        <v>37082</v>
      </c>
      <c r="AP35" s="50">
        <v>18925</v>
      </c>
      <c r="AQ35" s="49">
        <v>18157</v>
      </c>
      <c r="AR35" s="82">
        <f t="shared" si="51"/>
        <v>26816</v>
      </c>
      <c r="AS35" s="99">
        <v>1197892</v>
      </c>
      <c r="AT35" s="5">
        <v>1085309</v>
      </c>
      <c r="AU35" s="178">
        <v>533349</v>
      </c>
      <c r="AV35" s="178">
        <v>551960</v>
      </c>
      <c r="AW35" s="78">
        <f t="shared" si="52"/>
        <v>1044901</v>
      </c>
      <c r="AX35" s="49">
        <v>512244</v>
      </c>
      <c r="AY35" s="50">
        <v>532657</v>
      </c>
      <c r="AZ35" s="5">
        <v>7996</v>
      </c>
      <c r="BA35" s="49">
        <v>4825</v>
      </c>
      <c r="BB35" s="49">
        <v>3171</v>
      </c>
      <c r="BC35" s="5">
        <v>91672</v>
      </c>
      <c r="BD35" s="49">
        <v>49400</v>
      </c>
      <c r="BE35" s="49">
        <v>42272</v>
      </c>
      <c r="BF35" s="177">
        <v>104587</v>
      </c>
      <c r="BG35" s="177">
        <v>54525</v>
      </c>
      <c r="BH35" s="138">
        <v>50062</v>
      </c>
      <c r="BI35" s="181">
        <v>1546535</v>
      </c>
      <c r="BJ35" s="50">
        <v>768004</v>
      </c>
      <c r="BK35" s="50">
        <v>778531</v>
      </c>
      <c r="BL35" s="57">
        <v>1408836</v>
      </c>
      <c r="BM35" s="57">
        <v>698410</v>
      </c>
      <c r="BN35" s="57">
        <v>710426</v>
      </c>
      <c r="BO35" s="57">
        <v>1295596</v>
      </c>
      <c r="BP35" s="57">
        <v>639995</v>
      </c>
      <c r="BQ35" s="57">
        <v>655601</v>
      </c>
      <c r="BR35" s="57">
        <v>13265</v>
      </c>
      <c r="BS35" s="57">
        <v>7916</v>
      </c>
      <c r="BT35" s="57">
        <v>5349</v>
      </c>
      <c r="BU35" s="57">
        <v>163418</v>
      </c>
      <c r="BV35" s="57">
        <v>84485</v>
      </c>
      <c r="BW35" s="57">
        <v>78933</v>
      </c>
      <c r="BX35" s="138">
        <f t="shared" si="53"/>
        <v>124434</v>
      </c>
      <c r="BY35" s="57">
        <v>61678</v>
      </c>
      <c r="BZ35" s="57">
        <v>62756</v>
      </c>
      <c r="CA35" s="191">
        <v>1449914</v>
      </c>
      <c r="CB35" s="5">
        <v>1318766</v>
      </c>
      <c r="CC35" s="49">
        <v>11226</v>
      </c>
      <c r="CD35" s="49">
        <v>119922</v>
      </c>
      <c r="CE35" s="49">
        <v>142517</v>
      </c>
      <c r="CF35" s="181">
        <v>1508950</v>
      </c>
      <c r="CG35" s="5">
        <v>1380406</v>
      </c>
      <c r="CH35" s="49">
        <v>11943</v>
      </c>
      <c r="CI35" s="49">
        <v>116601</v>
      </c>
      <c r="CJ35" s="49">
        <v>150679</v>
      </c>
      <c r="CK35" s="56">
        <v>1535560</v>
      </c>
      <c r="CL35" s="54">
        <v>1407637</v>
      </c>
      <c r="CM35" s="55">
        <v>12763</v>
      </c>
      <c r="CN35" s="55">
        <v>115160</v>
      </c>
      <c r="CO35" s="55">
        <v>154054</v>
      </c>
      <c r="CP35" s="56">
        <v>1546535</v>
      </c>
      <c r="CQ35" s="505">
        <v>1408836</v>
      </c>
      <c r="CR35" s="505">
        <v>13265</v>
      </c>
      <c r="CS35" s="55">
        <v>124434</v>
      </c>
      <c r="CT35" s="505">
        <v>163418</v>
      </c>
      <c r="CU35" s="56">
        <v>1579327</v>
      </c>
      <c r="CV35" s="505">
        <v>1429859</v>
      </c>
      <c r="CW35" s="505">
        <v>13828</v>
      </c>
      <c r="CX35" s="306">
        <f t="shared" si="54"/>
        <v>135640</v>
      </c>
      <c r="CY35" s="591">
        <v>170435</v>
      </c>
      <c r="CZ35" s="49">
        <v>1612410</v>
      </c>
      <c r="DA35" s="49">
        <v>1454446</v>
      </c>
      <c r="DB35" s="49">
        <v>14666</v>
      </c>
      <c r="DC35" s="49">
        <v>143298</v>
      </c>
      <c r="DD35" s="594">
        <v>176475</v>
      </c>
      <c r="DE35" s="49">
        <v>1641750</v>
      </c>
      <c r="DF35" s="49">
        <v>1362961</v>
      </c>
      <c r="DG35" s="1">
        <v>15596</v>
      </c>
      <c r="DH35" s="49">
        <v>151863</v>
      </c>
      <c r="DI35" s="49">
        <v>180611</v>
      </c>
      <c r="DJ35" s="727">
        <v>1741949</v>
      </c>
      <c r="DK35" s="49">
        <v>1428908</v>
      </c>
      <c r="DL35" s="49">
        <v>17199</v>
      </c>
      <c r="DM35" s="730">
        <v>174320</v>
      </c>
      <c r="DN35" s="49">
        <v>201172</v>
      </c>
      <c r="DO35" s="727">
        <v>1783244</v>
      </c>
      <c r="DP35" s="49">
        <v>1460142</v>
      </c>
      <c r="DQ35" s="49">
        <v>17317</v>
      </c>
      <c r="DR35" s="730">
        <v>194963</v>
      </c>
      <c r="DS35" s="49">
        <v>206718</v>
      </c>
    </row>
    <row r="36" spans="1:123" x14ac:dyDescent="0.2">
      <c r="A36" s="218" t="s">
        <v>48</v>
      </c>
      <c r="B36" s="10"/>
      <c r="C36" s="19"/>
      <c r="D36" s="48">
        <v>1577155</v>
      </c>
      <c r="E36" s="49">
        <v>757925</v>
      </c>
      <c r="F36" s="49">
        <v>769964</v>
      </c>
      <c r="G36" s="49">
        <v>26718</v>
      </c>
      <c r="H36" s="50">
        <v>22548</v>
      </c>
      <c r="I36" s="99">
        <v>1825888</v>
      </c>
      <c r="J36" s="138">
        <f t="shared" si="43"/>
        <v>1755741</v>
      </c>
      <c r="K36" s="49">
        <v>851678</v>
      </c>
      <c r="L36" s="49">
        <v>904063</v>
      </c>
      <c r="M36" s="138">
        <f t="shared" si="44"/>
        <v>31489</v>
      </c>
      <c r="N36" s="49">
        <v>16618</v>
      </c>
      <c r="O36" s="49">
        <v>14871</v>
      </c>
      <c r="P36" s="138">
        <f t="shared" si="45"/>
        <v>26814</v>
      </c>
      <c r="Q36" s="49">
        <v>14479</v>
      </c>
      <c r="R36" s="50">
        <v>12335</v>
      </c>
      <c r="S36" s="99">
        <v>2439417</v>
      </c>
      <c r="T36" s="136">
        <f t="shared" si="46"/>
        <v>2253266</v>
      </c>
      <c r="U36" s="49">
        <v>1091346</v>
      </c>
      <c r="V36" s="49">
        <v>1161920</v>
      </c>
      <c r="W36" s="136">
        <f t="shared" si="47"/>
        <v>49212</v>
      </c>
      <c r="X36" s="49">
        <v>26371</v>
      </c>
      <c r="Y36" s="49">
        <v>22841</v>
      </c>
      <c r="Z36" s="136">
        <f t="shared" si="48"/>
        <v>48302</v>
      </c>
      <c r="AA36" s="49">
        <v>25524</v>
      </c>
      <c r="AB36" s="49">
        <v>22778</v>
      </c>
      <c r="AC36" s="177">
        <v>86575</v>
      </c>
      <c r="AD36" s="177">
        <v>38976</v>
      </c>
      <c r="AE36" s="138">
        <v>47599</v>
      </c>
      <c r="AF36" s="99">
        <v>3126390</v>
      </c>
      <c r="AG36" s="5">
        <v>2833653</v>
      </c>
      <c r="AH36" s="78">
        <f t="shared" si="49"/>
        <v>2794268</v>
      </c>
      <c r="AI36" s="49">
        <v>1354563</v>
      </c>
      <c r="AJ36" s="49">
        <v>1439705</v>
      </c>
      <c r="AK36" s="5">
        <v>78598</v>
      </c>
      <c r="AL36" s="78">
        <f t="shared" si="50"/>
        <v>77320</v>
      </c>
      <c r="AM36" s="49">
        <v>41691</v>
      </c>
      <c r="AN36" s="49">
        <v>35629</v>
      </c>
      <c r="AO36" s="5">
        <v>92937</v>
      </c>
      <c r="AP36" s="50">
        <v>50172</v>
      </c>
      <c r="AQ36" s="49">
        <v>42765</v>
      </c>
      <c r="AR36" s="82">
        <f t="shared" si="51"/>
        <v>161865</v>
      </c>
      <c r="AS36" s="99">
        <v>3827507</v>
      </c>
      <c r="AT36" s="5">
        <v>3248493</v>
      </c>
      <c r="AU36" s="178">
        <v>1585091</v>
      </c>
      <c r="AV36" s="178">
        <v>1663402</v>
      </c>
      <c r="AW36" s="78">
        <f t="shared" si="52"/>
        <v>3167304</v>
      </c>
      <c r="AX36" s="49">
        <v>1542335</v>
      </c>
      <c r="AY36" s="50">
        <v>1624969</v>
      </c>
      <c r="AZ36" s="5">
        <v>107612</v>
      </c>
      <c r="BA36" s="49">
        <v>58333</v>
      </c>
      <c r="BB36" s="49">
        <v>49279</v>
      </c>
      <c r="BC36" s="5">
        <v>200700</v>
      </c>
      <c r="BD36" s="49">
        <v>108381</v>
      </c>
      <c r="BE36" s="49">
        <v>92319</v>
      </c>
      <c r="BF36" s="177">
        <v>471402</v>
      </c>
      <c r="BG36" s="177">
        <v>227176</v>
      </c>
      <c r="BH36" s="138">
        <v>244226</v>
      </c>
      <c r="BI36" s="181">
        <v>4436983</v>
      </c>
      <c r="BJ36" s="50">
        <v>2176719</v>
      </c>
      <c r="BK36" s="50">
        <v>2260264</v>
      </c>
      <c r="BL36" s="57">
        <v>3652906</v>
      </c>
      <c r="BM36" s="57">
        <v>1791661</v>
      </c>
      <c r="BN36" s="57">
        <v>1861245</v>
      </c>
      <c r="BO36" s="57">
        <v>3460705</v>
      </c>
      <c r="BP36" s="57">
        <v>1693849</v>
      </c>
      <c r="BQ36" s="57">
        <v>1766856</v>
      </c>
      <c r="BR36" s="57">
        <v>142527</v>
      </c>
      <c r="BS36" s="57">
        <v>78106</v>
      </c>
      <c r="BT36" s="57">
        <v>64421</v>
      </c>
      <c r="BU36" s="57">
        <v>346427</v>
      </c>
      <c r="BV36" s="57">
        <v>182659</v>
      </c>
      <c r="BW36" s="57">
        <v>163768</v>
      </c>
      <c r="BX36" s="138">
        <f t="shared" si="53"/>
        <v>641550</v>
      </c>
      <c r="BY36" s="57">
        <v>306952</v>
      </c>
      <c r="BZ36" s="57">
        <v>334598</v>
      </c>
      <c r="CA36" s="191">
        <v>4243790</v>
      </c>
      <c r="CB36" s="5">
        <v>3542502</v>
      </c>
      <c r="CC36" s="49">
        <v>127967</v>
      </c>
      <c r="CD36" s="49">
        <v>573321</v>
      </c>
      <c r="CE36" s="49">
        <v>287054</v>
      </c>
      <c r="CF36" s="181">
        <v>4313853</v>
      </c>
      <c r="CG36" s="5">
        <v>3595070</v>
      </c>
      <c r="CH36" s="49">
        <v>130331</v>
      </c>
      <c r="CI36" s="49">
        <v>588452</v>
      </c>
      <c r="CJ36" s="49">
        <v>300432</v>
      </c>
      <c r="CK36" s="56">
        <v>4370771</v>
      </c>
      <c r="CL36" s="54">
        <v>3636020</v>
      </c>
      <c r="CM36" s="55">
        <v>133491</v>
      </c>
      <c r="CN36" s="55">
        <v>601260</v>
      </c>
      <c r="CO36" s="55">
        <v>311675</v>
      </c>
      <c r="CP36" s="56">
        <v>4436983</v>
      </c>
      <c r="CQ36" s="505">
        <v>3652906</v>
      </c>
      <c r="CR36" s="505">
        <v>142527</v>
      </c>
      <c r="CS36" s="55">
        <v>641550</v>
      </c>
      <c r="CT36" s="505">
        <v>346427</v>
      </c>
      <c r="CU36" s="56">
        <v>4511908</v>
      </c>
      <c r="CV36" s="505">
        <v>3702007</v>
      </c>
      <c r="CW36" s="505">
        <v>146310</v>
      </c>
      <c r="CX36" s="306">
        <f t="shared" si="54"/>
        <v>663591</v>
      </c>
      <c r="CY36" s="591">
        <v>363085</v>
      </c>
      <c r="CZ36" s="49">
        <v>4577171</v>
      </c>
      <c r="DA36" s="49">
        <v>3740562</v>
      </c>
      <c r="DB36" s="49">
        <v>150219</v>
      </c>
      <c r="DC36" s="49">
        <v>686390</v>
      </c>
      <c r="DD36" s="594">
        <v>376097</v>
      </c>
      <c r="DE36" s="49">
        <v>4640203</v>
      </c>
      <c r="DF36" s="49">
        <v>3553558</v>
      </c>
      <c r="DG36" s="1">
        <v>155404</v>
      </c>
      <c r="DH36" s="49">
        <v>704353</v>
      </c>
      <c r="DI36" s="49">
        <v>389403</v>
      </c>
      <c r="DJ36" s="727">
        <v>4889314</v>
      </c>
      <c r="DK36" s="49">
        <v>3661107</v>
      </c>
      <c r="DL36" s="49">
        <v>164860</v>
      </c>
      <c r="DM36" s="730">
        <v>806709</v>
      </c>
      <c r="DN36" s="49">
        <v>437200</v>
      </c>
      <c r="DO36" s="727">
        <v>4996555</v>
      </c>
      <c r="DP36" s="49">
        <v>3720765</v>
      </c>
      <c r="DQ36" s="49">
        <v>169496</v>
      </c>
      <c r="DR36" s="730">
        <v>872961</v>
      </c>
      <c r="DS36" s="49">
        <v>450014</v>
      </c>
    </row>
    <row r="37" spans="1:123" x14ac:dyDescent="0.2">
      <c r="A37" s="222" t="s">
        <v>50</v>
      </c>
      <c r="B37" s="243"/>
      <c r="C37" s="383"/>
      <c r="D37" s="384">
        <v>174252</v>
      </c>
      <c r="E37" s="385">
        <v>88542</v>
      </c>
      <c r="F37" s="385">
        <v>82759</v>
      </c>
      <c r="G37" s="385">
        <v>1585</v>
      </c>
      <c r="H37" s="385">
        <v>1366</v>
      </c>
      <c r="I37" s="386">
        <v>175649</v>
      </c>
      <c r="J37" s="387">
        <f t="shared" si="43"/>
        <v>172299</v>
      </c>
      <c r="K37" s="385">
        <v>85296</v>
      </c>
      <c r="L37" s="385">
        <v>87003</v>
      </c>
      <c r="M37" s="387">
        <f t="shared" si="44"/>
        <v>1047</v>
      </c>
      <c r="N37" s="385">
        <v>541</v>
      </c>
      <c r="O37" s="385">
        <v>506</v>
      </c>
      <c r="P37" s="387">
        <f t="shared" si="45"/>
        <v>7191</v>
      </c>
      <c r="Q37" s="385">
        <v>3643</v>
      </c>
      <c r="R37" s="385">
        <v>3548</v>
      </c>
      <c r="S37" s="386">
        <v>255149</v>
      </c>
      <c r="T37" s="249">
        <f t="shared" si="46"/>
        <v>238674</v>
      </c>
      <c r="U37" s="385">
        <v>120895</v>
      </c>
      <c r="V37" s="385">
        <v>117779</v>
      </c>
      <c r="W37" s="249">
        <f t="shared" si="47"/>
        <v>1338</v>
      </c>
      <c r="X37" s="385">
        <v>759</v>
      </c>
      <c r="Y37" s="385">
        <v>579</v>
      </c>
      <c r="Z37" s="249">
        <f t="shared" si="48"/>
        <v>10451</v>
      </c>
      <c r="AA37" s="385">
        <v>5630</v>
      </c>
      <c r="AB37" s="385">
        <v>4821</v>
      </c>
      <c r="AC37" s="387">
        <v>4469</v>
      </c>
      <c r="AD37" s="387">
        <v>2094</v>
      </c>
      <c r="AE37" s="387">
        <v>2375</v>
      </c>
      <c r="AF37" s="386">
        <v>277769</v>
      </c>
      <c r="AG37" s="242">
        <v>264566</v>
      </c>
      <c r="AH37" s="249">
        <f t="shared" si="49"/>
        <v>257937</v>
      </c>
      <c r="AI37" s="385">
        <v>126823</v>
      </c>
      <c r="AJ37" s="385">
        <v>131114</v>
      </c>
      <c r="AK37" s="242">
        <v>1672</v>
      </c>
      <c r="AL37" s="249">
        <f t="shared" si="50"/>
        <v>1621</v>
      </c>
      <c r="AM37" s="385">
        <v>922</v>
      </c>
      <c r="AN37" s="385">
        <v>699</v>
      </c>
      <c r="AO37" s="242">
        <v>12340</v>
      </c>
      <c r="AP37" s="385">
        <v>6192</v>
      </c>
      <c r="AQ37" s="385">
        <v>6148</v>
      </c>
      <c r="AR37" s="388">
        <f t="shared" si="51"/>
        <v>5871</v>
      </c>
      <c r="AS37" s="386">
        <v>315663</v>
      </c>
      <c r="AT37" s="242">
        <v>295036</v>
      </c>
      <c r="AU37" s="389">
        <v>145849</v>
      </c>
      <c r="AV37" s="389">
        <v>149187</v>
      </c>
      <c r="AW37" s="249">
        <f t="shared" si="52"/>
        <v>286774</v>
      </c>
      <c r="AX37" s="385">
        <v>141814</v>
      </c>
      <c r="AY37" s="385">
        <v>144960</v>
      </c>
      <c r="AZ37" s="242">
        <v>1776</v>
      </c>
      <c r="BA37" s="385">
        <v>1081</v>
      </c>
      <c r="BB37" s="385">
        <v>695</v>
      </c>
      <c r="BC37" s="242">
        <v>15938</v>
      </c>
      <c r="BD37" s="385">
        <v>8148</v>
      </c>
      <c r="BE37" s="385">
        <v>7790</v>
      </c>
      <c r="BF37" s="387">
        <v>18851</v>
      </c>
      <c r="BG37" s="387">
        <v>9384</v>
      </c>
      <c r="BH37" s="387">
        <v>9467</v>
      </c>
      <c r="BI37" s="391">
        <v>363880</v>
      </c>
      <c r="BJ37" s="385">
        <v>183497</v>
      </c>
      <c r="BK37" s="385">
        <v>180383</v>
      </c>
      <c r="BL37" s="384">
        <v>339392</v>
      </c>
      <c r="BM37" s="384">
        <v>171336</v>
      </c>
      <c r="BN37" s="384">
        <v>168056</v>
      </c>
      <c r="BO37" s="384">
        <v>324759</v>
      </c>
      <c r="BP37" s="384">
        <v>163809</v>
      </c>
      <c r="BQ37" s="384">
        <v>160950</v>
      </c>
      <c r="BR37" s="384">
        <v>2305</v>
      </c>
      <c r="BS37" s="384">
        <v>1487</v>
      </c>
      <c r="BT37" s="384">
        <v>818</v>
      </c>
      <c r="BU37" s="384">
        <v>24138</v>
      </c>
      <c r="BV37" s="384">
        <v>12750</v>
      </c>
      <c r="BW37" s="384">
        <v>11388</v>
      </c>
      <c r="BX37" s="387">
        <f t="shared" si="53"/>
        <v>22183</v>
      </c>
      <c r="BY37" s="384">
        <v>10674</v>
      </c>
      <c r="BZ37" s="384">
        <v>11509</v>
      </c>
      <c r="CA37" s="390">
        <v>336599</v>
      </c>
      <c r="CB37" s="242">
        <v>314875</v>
      </c>
      <c r="CC37" s="385">
        <v>1891</v>
      </c>
      <c r="CD37" s="385">
        <v>19833</v>
      </c>
      <c r="CE37" s="385">
        <v>19622</v>
      </c>
      <c r="CF37" s="391">
        <v>343120</v>
      </c>
      <c r="CG37" s="242">
        <v>320707</v>
      </c>
      <c r="CH37" s="385">
        <v>2464</v>
      </c>
      <c r="CI37" s="385">
        <v>19949</v>
      </c>
      <c r="CJ37" s="385">
        <v>20667</v>
      </c>
      <c r="CK37" s="245">
        <v>346944</v>
      </c>
      <c r="CL37" s="246">
        <v>323959</v>
      </c>
      <c r="CM37" s="246">
        <v>2945</v>
      </c>
      <c r="CN37" s="246">
        <v>20040</v>
      </c>
      <c r="CO37" s="246">
        <v>22236</v>
      </c>
      <c r="CP37" s="245">
        <v>363880</v>
      </c>
      <c r="CQ37" s="505">
        <v>339392</v>
      </c>
      <c r="CR37" s="505">
        <v>2305</v>
      </c>
      <c r="CS37" s="55">
        <v>22183</v>
      </c>
      <c r="CT37" s="505">
        <v>24138</v>
      </c>
      <c r="CU37" s="245">
        <v>370897</v>
      </c>
      <c r="CV37" s="505">
        <v>344701</v>
      </c>
      <c r="CW37" s="505"/>
      <c r="CX37" s="306">
        <f t="shared" si="54"/>
        <v>26196</v>
      </c>
      <c r="CY37" s="591">
        <v>24810</v>
      </c>
      <c r="CZ37" s="391">
        <v>376874</v>
      </c>
      <c r="DA37" s="50">
        <v>349886</v>
      </c>
      <c r="DB37" s="50">
        <v>2899</v>
      </c>
      <c r="DC37" s="50">
        <v>23967</v>
      </c>
      <c r="DD37" s="595">
        <v>27775</v>
      </c>
      <c r="DE37" s="49">
        <v>380967</v>
      </c>
      <c r="DF37" s="49">
        <v>334327</v>
      </c>
      <c r="DG37" s="1">
        <v>3075</v>
      </c>
      <c r="DH37" s="49">
        <v>24848</v>
      </c>
      <c r="DI37" s="49">
        <v>28762</v>
      </c>
      <c r="DJ37" s="727">
        <v>388747</v>
      </c>
      <c r="DK37" s="49">
        <v>339931</v>
      </c>
      <c r="DL37" s="49"/>
      <c r="DM37" s="730">
        <v>13515</v>
      </c>
      <c r="DN37" s="49">
        <v>30770</v>
      </c>
      <c r="DO37" s="727">
        <v>390794</v>
      </c>
      <c r="DP37" s="49">
        <v>341979</v>
      </c>
      <c r="DQ37" s="49"/>
      <c r="DR37" s="730">
        <v>14482</v>
      </c>
      <c r="DS37" s="49">
        <v>30415</v>
      </c>
    </row>
    <row r="38" spans="1:123" x14ac:dyDescent="0.2">
      <c r="A38" s="223" t="s">
        <v>183</v>
      </c>
      <c r="B38" s="530">
        <f>SUM(B40:B51)</f>
        <v>0</v>
      </c>
      <c r="C38" s="446">
        <f t="shared" ref="C38:CF38" si="55">SUM(C40:C51)</f>
        <v>0</v>
      </c>
      <c r="D38" s="441">
        <f t="shared" si="55"/>
        <v>28697480</v>
      </c>
      <c r="E38" s="441">
        <f t="shared" si="55"/>
        <v>13059523</v>
      </c>
      <c r="F38" s="441">
        <f t="shared" si="55"/>
        <v>13818547</v>
      </c>
      <c r="G38" s="441">
        <f t="shared" si="55"/>
        <v>878386</v>
      </c>
      <c r="H38" s="444">
        <f t="shared" si="55"/>
        <v>941064</v>
      </c>
      <c r="I38" s="443">
        <f t="shared" si="55"/>
        <v>28548259</v>
      </c>
      <c r="J38" s="444">
        <f t="shared" si="55"/>
        <v>26351616</v>
      </c>
      <c r="K38" s="441">
        <f t="shared" si="55"/>
        <v>12533074</v>
      </c>
      <c r="L38" s="441">
        <f t="shared" si="55"/>
        <v>13818542</v>
      </c>
      <c r="M38" s="444">
        <f t="shared" si="55"/>
        <v>2056903</v>
      </c>
      <c r="N38" s="441">
        <f t="shared" si="55"/>
        <v>949174</v>
      </c>
      <c r="O38" s="441">
        <f t="shared" si="55"/>
        <v>1107729</v>
      </c>
      <c r="P38" s="444">
        <f t="shared" si="55"/>
        <v>321632</v>
      </c>
      <c r="Q38" s="441">
        <f t="shared" si="55"/>
        <v>165966</v>
      </c>
      <c r="R38" s="444">
        <f t="shared" si="55"/>
        <v>155666</v>
      </c>
      <c r="S38" s="443">
        <f t="shared" si="55"/>
        <v>34084932</v>
      </c>
      <c r="T38" s="290">
        <f t="shared" si="55"/>
        <v>30572834</v>
      </c>
      <c r="U38" s="441">
        <f t="shared" si="55"/>
        <v>14429538</v>
      </c>
      <c r="V38" s="441">
        <f t="shared" si="55"/>
        <v>16143296</v>
      </c>
      <c r="W38" s="290">
        <f t="shared" si="55"/>
        <v>2606960</v>
      </c>
      <c r="X38" s="441">
        <f t="shared" si="55"/>
        <v>1168843</v>
      </c>
      <c r="Y38" s="441">
        <f t="shared" si="55"/>
        <v>1438117</v>
      </c>
      <c r="Z38" s="290">
        <f t="shared" si="55"/>
        <v>541313</v>
      </c>
      <c r="AA38" s="441">
        <f t="shared" si="55"/>
        <v>277603</v>
      </c>
      <c r="AB38" s="441">
        <f t="shared" si="55"/>
        <v>263710</v>
      </c>
      <c r="AC38" s="441">
        <f t="shared" si="55"/>
        <v>348195</v>
      </c>
      <c r="AD38" s="441">
        <f t="shared" si="55"/>
        <v>160451</v>
      </c>
      <c r="AE38" s="444">
        <f t="shared" si="55"/>
        <v>187744</v>
      </c>
      <c r="AF38" s="443">
        <f t="shared" si="55"/>
        <v>37873006</v>
      </c>
      <c r="AG38" s="290">
        <f t="shared" si="55"/>
        <v>33751700</v>
      </c>
      <c r="AH38" s="285">
        <f t="shared" si="55"/>
        <v>33364723</v>
      </c>
      <c r="AI38" s="441">
        <f t="shared" si="55"/>
        <v>15779009</v>
      </c>
      <c r="AJ38" s="441">
        <f t="shared" si="55"/>
        <v>17585714</v>
      </c>
      <c r="AK38" s="290">
        <f t="shared" si="55"/>
        <v>3147680</v>
      </c>
      <c r="AL38" s="285">
        <f t="shared" si="55"/>
        <v>3130275</v>
      </c>
      <c r="AM38" s="441">
        <f t="shared" si="55"/>
        <v>1386032</v>
      </c>
      <c r="AN38" s="441">
        <f t="shared" si="55"/>
        <v>1744243</v>
      </c>
      <c r="AO38" s="290">
        <f t="shared" si="55"/>
        <v>789239</v>
      </c>
      <c r="AP38" s="444">
        <f t="shared" si="55"/>
        <v>408847</v>
      </c>
      <c r="AQ38" s="441">
        <f t="shared" si="55"/>
        <v>380392</v>
      </c>
      <c r="AR38" s="445">
        <f t="shared" si="55"/>
        <v>588769</v>
      </c>
      <c r="AS38" s="443">
        <f t="shared" si="55"/>
        <v>41537007</v>
      </c>
      <c r="AT38" s="290">
        <f t="shared" si="55"/>
        <v>35789504</v>
      </c>
      <c r="AU38" s="447">
        <f t="shared" si="55"/>
        <v>17142791</v>
      </c>
      <c r="AV38" s="447">
        <f t="shared" si="55"/>
        <v>18646713</v>
      </c>
      <c r="AW38" s="285">
        <f t="shared" si="55"/>
        <v>35071724</v>
      </c>
      <c r="AX38" s="441">
        <f t="shared" si="55"/>
        <v>16766529</v>
      </c>
      <c r="AY38" s="444">
        <f t="shared" si="55"/>
        <v>18305195</v>
      </c>
      <c r="AZ38" s="290">
        <f t="shared" si="55"/>
        <v>3649327</v>
      </c>
      <c r="BA38" s="441">
        <f t="shared" si="55"/>
        <v>1644765</v>
      </c>
      <c r="BB38" s="441">
        <f t="shared" si="55"/>
        <v>2004562</v>
      </c>
      <c r="BC38" s="290">
        <f t="shared" si="55"/>
        <v>1501284</v>
      </c>
      <c r="BD38" s="441">
        <f t="shared" si="55"/>
        <v>799960</v>
      </c>
      <c r="BE38" s="441">
        <f t="shared" si="55"/>
        <v>701324</v>
      </c>
      <c r="BF38" s="441">
        <f t="shared" si="55"/>
        <v>2098176</v>
      </c>
      <c r="BG38" s="441">
        <f t="shared" si="55"/>
        <v>1058543</v>
      </c>
      <c r="BH38" s="444">
        <f t="shared" si="55"/>
        <v>1039633</v>
      </c>
      <c r="BI38" s="509">
        <f t="shared" si="55"/>
        <v>44026818</v>
      </c>
      <c r="BJ38" s="511">
        <f t="shared" si="55"/>
        <v>21220365</v>
      </c>
      <c r="BK38" s="511">
        <f t="shared" si="55"/>
        <v>22806453</v>
      </c>
      <c r="BL38" s="511">
        <f t="shared" si="55"/>
        <v>37382509</v>
      </c>
      <c r="BM38" s="511">
        <f t="shared" si="55"/>
        <v>18095537</v>
      </c>
      <c r="BN38" s="511">
        <f t="shared" si="55"/>
        <v>19286972</v>
      </c>
      <c r="BO38" s="511">
        <f t="shared" si="55"/>
        <v>36032481</v>
      </c>
      <c r="BP38" s="511">
        <f t="shared" si="55"/>
        <v>17395677</v>
      </c>
      <c r="BQ38" s="511">
        <f t="shared" si="55"/>
        <v>18636804</v>
      </c>
      <c r="BR38" s="511">
        <f t="shared" si="55"/>
        <v>4048970</v>
      </c>
      <c r="BS38" s="511">
        <f t="shared" si="55"/>
        <v>1847417</v>
      </c>
      <c r="BT38" s="511">
        <f t="shared" si="55"/>
        <v>2201553</v>
      </c>
      <c r="BU38" s="511">
        <f t="shared" si="55"/>
        <v>2265506</v>
      </c>
      <c r="BV38" s="511">
        <f t="shared" si="55"/>
        <v>1182018</v>
      </c>
      <c r="BW38" s="511">
        <f t="shared" si="55"/>
        <v>1083488</v>
      </c>
      <c r="BX38" s="511">
        <f t="shared" si="55"/>
        <v>2595339</v>
      </c>
      <c r="BY38" s="511">
        <f t="shared" si="55"/>
        <v>1277411</v>
      </c>
      <c r="BZ38" s="511">
        <f t="shared" si="55"/>
        <v>1317928</v>
      </c>
      <c r="CA38" s="448">
        <f t="shared" si="55"/>
        <v>43336463</v>
      </c>
      <c r="CB38" s="290">
        <f t="shared" si="55"/>
        <v>36770215</v>
      </c>
      <c r="CC38" s="441">
        <f t="shared" si="55"/>
        <v>3912713</v>
      </c>
      <c r="CD38" s="441">
        <f t="shared" si="55"/>
        <v>2653535</v>
      </c>
      <c r="CE38" s="441">
        <f t="shared" si="55"/>
        <v>2061239</v>
      </c>
      <c r="CF38" s="443">
        <f t="shared" si="55"/>
        <v>43618215</v>
      </c>
      <c r="CG38" s="290">
        <f t="shared" ref="CG38:CP38" si="56">SUM(CG40:CG51)</f>
        <v>37030568</v>
      </c>
      <c r="CH38" s="441">
        <f t="shared" si="56"/>
        <v>3939452</v>
      </c>
      <c r="CI38" s="442">
        <f t="shared" si="56"/>
        <v>2648195</v>
      </c>
      <c r="CJ38" s="441">
        <f t="shared" si="56"/>
        <v>2125299</v>
      </c>
      <c r="CK38" s="284">
        <f t="shared" si="56"/>
        <v>43802224</v>
      </c>
      <c r="CL38" s="257">
        <f t="shared" si="56"/>
        <v>37248636</v>
      </c>
      <c r="CM38" s="306">
        <f t="shared" si="56"/>
        <v>3968188</v>
      </c>
      <c r="CN38" s="306">
        <f t="shared" si="56"/>
        <v>2585400</v>
      </c>
      <c r="CO38" s="306">
        <f t="shared" si="56"/>
        <v>2156509</v>
      </c>
      <c r="CP38" s="359">
        <f t="shared" si="56"/>
        <v>44026818</v>
      </c>
      <c r="CQ38" s="513">
        <f t="shared" ref="CQ38:DJ38" si="57">SUM(CQ40:CQ51)</f>
        <v>37382509</v>
      </c>
      <c r="CR38" s="513">
        <f t="shared" si="57"/>
        <v>4048970</v>
      </c>
      <c r="CS38" s="513">
        <f t="shared" si="57"/>
        <v>2595339</v>
      </c>
      <c r="CT38" s="513">
        <f t="shared" si="57"/>
        <v>2265506</v>
      </c>
      <c r="CU38" s="359">
        <f t="shared" si="57"/>
        <v>44312398</v>
      </c>
      <c r="CV38" s="513">
        <f t="shared" si="57"/>
        <v>37569470</v>
      </c>
      <c r="CW38" s="513">
        <f t="shared" si="57"/>
        <v>4087398</v>
      </c>
      <c r="CX38" s="513">
        <f t="shared" si="57"/>
        <v>2655530</v>
      </c>
      <c r="CY38" s="587">
        <f t="shared" si="57"/>
        <v>2332301</v>
      </c>
      <c r="CZ38" s="599">
        <f t="shared" si="57"/>
        <v>44573814</v>
      </c>
      <c r="DA38" s="599">
        <f t="shared" si="57"/>
        <v>37744078</v>
      </c>
      <c r="DB38" s="599">
        <f t="shared" si="57"/>
        <v>4131316</v>
      </c>
      <c r="DC38" s="599">
        <f t="shared" si="57"/>
        <v>2691330</v>
      </c>
      <c r="DD38" s="596">
        <f t="shared" si="57"/>
        <v>2402152</v>
      </c>
      <c r="DE38" s="599">
        <f t="shared" si="57"/>
        <v>44822869</v>
      </c>
      <c r="DF38" s="599">
        <f t="shared" si="57"/>
        <v>36347528</v>
      </c>
      <c r="DG38" s="599">
        <f t="shared" si="57"/>
        <v>4151608</v>
      </c>
      <c r="DH38" s="599">
        <f t="shared" si="57"/>
        <v>2765339</v>
      </c>
      <c r="DI38" s="599">
        <f t="shared" si="57"/>
        <v>2467257</v>
      </c>
      <c r="DJ38" s="599">
        <f t="shared" si="57"/>
        <v>45618163</v>
      </c>
      <c r="DK38" s="599">
        <f>SUM(DK40:DK51)</f>
        <v>36561813</v>
      </c>
      <c r="DL38" s="599">
        <f t="shared" ref="DL38:DS38" si="58">SUM(DL40:DL51)</f>
        <v>4299232</v>
      </c>
      <c r="DM38" s="599">
        <f t="shared" si="58"/>
        <v>3053489</v>
      </c>
      <c r="DN38" s="599">
        <f t="shared" si="58"/>
        <v>2671536</v>
      </c>
      <c r="DO38" s="599">
        <f t="shared" si="58"/>
        <v>45803569</v>
      </c>
      <c r="DP38" s="599">
        <f>SUM(DP40:DP51)</f>
        <v>36584021</v>
      </c>
      <c r="DQ38" s="599">
        <f t="shared" si="58"/>
        <v>4331889</v>
      </c>
      <c r="DR38" s="599">
        <f t="shared" si="58"/>
        <v>3182424</v>
      </c>
      <c r="DS38" s="599">
        <f t="shared" si="58"/>
        <v>2721334</v>
      </c>
    </row>
    <row r="39" spans="1:123" x14ac:dyDescent="0.2">
      <c r="A39" s="223" t="s">
        <v>181</v>
      </c>
      <c r="B39" s="10"/>
      <c r="C39" s="19"/>
      <c r="E39" s="48"/>
      <c r="F39" s="48"/>
      <c r="G39" s="48"/>
      <c r="H39" s="57"/>
      <c r="J39" s="138"/>
      <c r="K39" s="48"/>
      <c r="L39" s="48"/>
      <c r="M39" s="138"/>
      <c r="N39" s="48"/>
      <c r="O39" s="48"/>
      <c r="P39" s="138"/>
      <c r="Q39" s="48"/>
      <c r="R39" s="57"/>
      <c r="S39" s="99"/>
      <c r="T39" s="136"/>
      <c r="U39" s="48"/>
      <c r="V39" s="48"/>
      <c r="W39" s="136"/>
      <c r="X39" s="48"/>
      <c r="Y39" s="48"/>
      <c r="Z39" s="136"/>
      <c r="AA39" s="48"/>
      <c r="AB39" s="48"/>
      <c r="AC39" s="177"/>
      <c r="AD39" s="177"/>
      <c r="AE39" s="138"/>
      <c r="AG39" s="5"/>
      <c r="AH39" s="78"/>
      <c r="AI39" s="48"/>
      <c r="AJ39" s="48"/>
      <c r="AK39" s="5"/>
      <c r="AL39" s="78"/>
      <c r="AM39" s="48"/>
      <c r="AN39" s="48"/>
      <c r="AO39" s="5"/>
      <c r="AP39" s="57"/>
      <c r="AQ39" s="48"/>
      <c r="AR39" s="82"/>
      <c r="AT39" s="5"/>
      <c r="AU39" s="178"/>
      <c r="AV39" s="178"/>
      <c r="AW39" s="78"/>
      <c r="AX39" s="48"/>
      <c r="AY39" s="57"/>
      <c r="AZ39" s="5"/>
      <c r="BA39" s="48"/>
      <c r="BB39" s="48"/>
      <c r="BC39" s="5"/>
      <c r="BD39" s="48"/>
      <c r="BE39" s="48"/>
      <c r="BF39" s="177"/>
      <c r="BG39" s="177"/>
      <c r="BH39" s="138"/>
      <c r="BI39" s="99"/>
      <c r="BJ39" s="57"/>
      <c r="BK39" s="57"/>
      <c r="BL39" s="138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138"/>
      <c r="BY39" s="57"/>
      <c r="BZ39" s="57"/>
      <c r="CA39" s="192"/>
      <c r="CB39" s="5"/>
      <c r="CC39" s="48"/>
      <c r="CD39" s="48"/>
      <c r="CE39" s="48"/>
      <c r="CF39" s="99"/>
      <c r="CG39" s="5"/>
      <c r="CH39" s="48"/>
      <c r="CJ39" s="48"/>
      <c r="CK39" s="56"/>
      <c r="CL39" s="54"/>
      <c r="CM39" s="55"/>
      <c r="CN39" s="55"/>
      <c r="CO39" s="55"/>
      <c r="CP39" s="56"/>
      <c r="CQ39" s="505"/>
      <c r="CR39" s="505"/>
      <c r="CS39" s="55"/>
      <c r="CT39" s="505"/>
      <c r="CU39" s="56"/>
      <c r="CV39" s="505"/>
      <c r="CW39" s="505"/>
      <c r="CX39" s="505"/>
      <c r="CY39" s="591"/>
      <c r="CZ39" s="49"/>
      <c r="DA39" s="49"/>
      <c r="DB39" s="49"/>
      <c r="DC39" s="49"/>
      <c r="DD39" s="594"/>
      <c r="DH39" s="49">
        <v>0</v>
      </c>
      <c r="DJ39" s="727">
        <v>0</v>
      </c>
      <c r="DK39" s="726"/>
      <c r="DL39" s="49"/>
      <c r="DM39" s="730">
        <v>0</v>
      </c>
      <c r="DN39" s="49"/>
      <c r="DO39" s="727"/>
      <c r="DP39" s="726"/>
      <c r="DQ39" s="49"/>
      <c r="DS39" s="49"/>
    </row>
    <row r="40" spans="1:123" x14ac:dyDescent="0.2">
      <c r="A40" s="218" t="s">
        <v>24</v>
      </c>
      <c r="B40" s="10"/>
      <c r="C40" s="19"/>
      <c r="D40" s="48">
        <v>5808313</v>
      </c>
      <c r="E40" s="49">
        <v>2549342</v>
      </c>
      <c r="F40" s="49">
        <v>2718144</v>
      </c>
      <c r="G40" s="49">
        <v>258514</v>
      </c>
      <c r="H40" s="50">
        <v>282313</v>
      </c>
      <c r="I40" s="99">
        <v>6089328</v>
      </c>
      <c r="J40" s="138">
        <f t="shared" ref="J40:J51" si="59">+K40+L40</f>
        <v>5397905</v>
      </c>
      <c r="K40" s="49">
        <v>2558930</v>
      </c>
      <c r="L40" s="49">
        <v>2838975</v>
      </c>
      <c r="M40" s="138">
        <f t="shared" ref="M40:M51" si="60">+N40+O40</f>
        <v>651998</v>
      </c>
      <c r="N40" s="49">
        <v>296878</v>
      </c>
      <c r="O40" s="49">
        <v>355120</v>
      </c>
      <c r="P40" s="138">
        <f t="shared" ref="P40:P51" si="61">+Q40+R40</f>
        <v>148457</v>
      </c>
      <c r="Q40" s="49">
        <v>77248</v>
      </c>
      <c r="R40" s="50">
        <v>71209</v>
      </c>
      <c r="S40" s="99">
        <v>6678759</v>
      </c>
      <c r="T40" s="136">
        <f t="shared" ref="T40:T51" si="62">+U40+V40</f>
        <v>5485175</v>
      </c>
      <c r="U40" s="49">
        <v>2576154</v>
      </c>
      <c r="V40" s="49">
        <v>2909021</v>
      </c>
      <c r="W40" s="136">
        <f t="shared" ref="W40:W51" si="63">+X40+Y40</f>
        <v>807761</v>
      </c>
      <c r="X40" s="49">
        <v>355479</v>
      </c>
      <c r="Y40" s="49">
        <v>452282</v>
      </c>
      <c r="Z40" s="136">
        <f t="shared" ref="Z40:Z51" si="64">+AA40+AB40</f>
        <v>273346</v>
      </c>
      <c r="AA40" s="49">
        <v>142431</v>
      </c>
      <c r="AB40" s="49">
        <v>130915</v>
      </c>
      <c r="AC40" s="177">
        <v>107032</v>
      </c>
      <c r="AD40" s="177">
        <v>50457</v>
      </c>
      <c r="AE40" s="138">
        <v>56575</v>
      </c>
      <c r="AF40" s="99">
        <v>7293930</v>
      </c>
      <c r="AG40" s="5">
        <v>5949891</v>
      </c>
      <c r="AH40" s="78">
        <f t="shared" ref="AH40:AH51" si="65">+AI40+AJ40</f>
        <v>5756734</v>
      </c>
      <c r="AI40" s="49">
        <v>2711981</v>
      </c>
      <c r="AJ40" s="49">
        <v>3044753</v>
      </c>
      <c r="AK40" s="5">
        <v>938378</v>
      </c>
      <c r="AL40" s="78">
        <f t="shared" ref="AL40:AL51" si="66">+AM40+AN40</f>
        <v>931085</v>
      </c>
      <c r="AM40" s="49">
        <v>406589</v>
      </c>
      <c r="AN40" s="49">
        <v>524496</v>
      </c>
      <c r="AO40" s="5">
        <v>423820</v>
      </c>
      <c r="AP40" s="50">
        <v>222297</v>
      </c>
      <c r="AQ40" s="49">
        <v>201523</v>
      </c>
      <c r="AR40" s="82">
        <f t="shared" ref="AR40:AR51" si="67">+AF40-AH40-AL40-AO40</f>
        <v>182291</v>
      </c>
      <c r="AS40" s="99">
        <v>7973671</v>
      </c>
      <c r="AT40" s="5">
        <v>6144044</v>
      </c>
      <c r="AU40" s="178">
        <v>2937352</v>
      </c>
      <c r="AV40" s="178">
        <v>3206692</v>
      </c>
      <c r="AW40" s="78">
        <f t="shared" ref="AW40:AW51" si="68">+AX40+AY40</f>
        <v>5786876</v>
      </c>
      <c r="AX40" s="49">
        <v>2748690</v>
      </c>
      <c r="AY40" s="50">
        <v>3038186</v>
      </c>
      <c r="AZ40" s="5">
        <v>1064516</v>
      </c>
      <c r="BA40" s="49">
        <v>469766</v>
      </c>
      <c r="BB40" s="49">
        <v>594750</v>
      </c>
      <c r="BC40" s="5">
        <v>754648</v>
      </c>
      <c r="BD40" s="49">
        <v>399729</v>
      </c>
      <c r="BE40" s="49">
        <v>354919</v>
      </c>
      <c r="BF40" s="177">
        <v>765111</v>
      </c>
      <c r="BG40" s="177">
        <v>387284</v>
      </c>
      <c r="BH40" s="138">
        <v>377827</v>
      </c>
      <c r="BI40" s="181">
        <v>8407186</v>
      </c>
      <c r="BJ40" s="50">
        <v>4032378</v>
      </c>
      <c r="BK40" s="50">
        <v>4374808</v>
      </c>
      <c r="BL40" s="57">
        <v>6355118</v>
      </c>
      <c r="BM40" s="57">
        <v>3075211</v>
      </c>
      <c r="BN40" s="57">
        <v>3279907</v>
      </c>
      <c r="BO40" s="57">
        <v>5783410</v>
      </c>
      <c r="BP40" s="57">
        <v>2778511</v>
      </c>
      <c r="BQ40" s="57">
        <v>3004899</v>
      </c>
      <c r="BR40" s="57">
        <v>1117298</v>
      </c>
      <c r="BS40" s="57">
        <v>494902</v>
      </c>
      <c r="BT40" s="57">
        <v>622396</v>
      </c>
      <c r="BU40" s="57">
        <v>1041805</v>
      </c>
      <c r="BV40" s="57">
        <v>539371</v>
      </c>
      <c r="BW40" s="57">
        <v>502434</v>
      </c>
      <c r="BX40" s="138">
        <f t="shared" ref="BX40:BX51" si="69">+BY40+BZ40</f>
        <v>934770</v>
      </c>
      <c r="BY40" s="57">
        <v>462265</v>
      </c>
      <c r="BZ40" s="57">
        <v>472505</v>
      </c>
      <c r="CA40" s="191">
        <v>8292894</v>
      </c>
      <c r="CB40" s="5">
        <v>6174196</v>
      </c>
      <c r="CC40" s="49">
        <v>1103660</v>
      </c>
      <c r="CD40" s="49">
        <v>1015038</v>
      </c>
      <c r="CE40" s="49">
        <v>990478</v>
      </c>
      <c r="CF40" s="181">
        <v>8336919</v>
      </c>
      <c r="CG40" s="5">
        <v>6216397</v>
      </c>
      <c r="CH40" s="49">
        <v>1110546</v>
      </c>
      <c r="CI40" s="49">
        <v>1009976</v>
      </c>
      <c r="CJ40" s="49">
        <v>1017903</v>
      </c>
      <c r="CK40" s="56">
        <v>8372752</v>
      </c>
      <c r="CL40" s="54">
        <v>6296420</v>
      </c>
      <c r="CM40" s="55">
        <v>1119587</v>
      </c>
      <c r="CN40" s="55">
        <v>956745</v>
      </c>
      <c r="CO40" s="55">
        <v>1012721</v>
      </c>
      <c r="CP40" s="56">
        <v>8407186</v>
      </c>
      <c r="CQ40" s="505">
        <v>6355118</v>
      </c>
      <c r="CR40" s="505">
        <v>1117298</v>
      </c>
      <c r="CS40" s="55">
        <v>934770</v>
      </c>
      <c r="CT40" s="505">
        <v>1041805</v>
      </c>
      <c r="CU40" s="56">
        <v>8465750</v>
      </c>
      <c r="CV40" s="505">
        <v>6398088</v>
      </c>
      <c r="CW40" s="505">
        <v>1126013</v>
      </c>
      <c r="CX40" s="306">
        <f t="shared" ref="CX40:CX51" si="70">CU40-CV40-CW40</f>
        <v>941649</v>
      </c>
      <c r="CY40" s="591">
        <v>1070933</v>
      </c>
      <c r="CZ40" s="49">
        <v>8515161</v>
      </c>
      <c r="DA40" s="49">
        <v>6438447</v>
      </c>
      <c r="DB40" s="49">
        <v>1134333</v>
      </c>
      <c r="DC40" s="49">
        <v>942381</v>
      </c>
      <c r="DD40" s="594">
        <v>1094874</v>
      </c>
      <c r="DE40" s="49">
        <v>8556788</v>
      </c>
      <c r="DF40" s="49">
        <v>5791932</v>
      </c>
      <c r="DG40" s="1">
        <v>1135131</v>
      </c>
      <c r="DH40" s="49">
        <v>956241</v>
      </c>
      <c r="DI40" s="49">
        <v>1117722</v>
      </c>
      <c r="DJ40" s="727">
        <v>8661938</v>
      </c>
      <c r="DK40" s="49">
        <v>5748466</v>
      </c>
      <c r="DL40" s="49">
        <v>1158317</v>
      </c>
      <c r="DM40" s="730">
        <v>1039118</v>
      </c>
      <c r="DN40" s="49">
        <v>1194878</v>
      </c>
      <c r="DO40" s="727">
        <v>8665219</v>
      </c>
      <c r="DP40" s="49">
        <v>5724521</v>
      </c>
      <c r="DQ40" s="49">
        <v>1154328</v>
      </c>
      <c r="DR40" s="730">
        <v>1086429</v>
      </c>
      <c r="DS40" s="49">
        <v>1205051</v>
      </c>
    </row>
    <row r="41" spans="1:123" x14ac:dyDescent="0.2">
      <c r="A41" s="218" t="s">
        <v>25</v>
      </c>
      <c r="B41" s="10"/>
      <c r="C41" s="19"/>
      <c r="D41" s="48">
        <v>2550162</v>
      </c>
      <c r="E41" s="49">
        <v>1167374</v>
      </c>
      <c r="F41" s="49">
        <v>1245886</v>
      </c>
      <c r="G41" s="49">
        <v>66044</v>
      </c>
      <c r="H41" s="50">
        <v>70898</v>
      </c>
      <c r="I41" s="99">
        <v>2746414</v>
      </c>
      <c r="J41" s="138">
        <f t="shared" si="59"/>
        <v>2578280</v>
      </c>
      <c r="K41" s="49">
        <v>1224278</v>
      </c>
      <c r="L41" s="49">
        <v>1354002</v>
      </c>
      <c r="M41" s="138">
        <f t="shared" si="60"/>
        <v>161664</v>
      </c>
      <c r="N41" s="49">
        <v>75428</v>
      </c>
      <c r="O41" s="49">
        <v>86236</v>
      </c>
      <c r="P41" s="138">
        <f t="shared" si="61"/>
        <v>25931</v>
      </c>
      <c r="Q41" s="49">
        <v>13447</v>
      </c>
      <c r="R41" s="50">
        <v>12484</v>
      </c>
      <c r="S41" s="99">
        <v>3135772</v>
      </c>
      <c r="T41" s="136">
        <f t="shared" si="62"/>
        <v>2881095</v>
      </c>
      <c r="U41" s="49">
        <v>1355467</v>
      </c>
      <c r="V41" s="49">
        <v>1525628</v>
      </c>
      <c r="W41" s="136">
        <f t="shared" si="63"/>
        <v>199540</v>
      </c>
      <c r="X41" s="49">
        <v>90358</v>
      </c>
      <c r="Y41" s="49">
        <v>109182</v>
      </c>
      <c r="Z41" s="136">
        <f t="shared" si="64"/>
        <v>36887</v>
      </c>
      <c r="AA41" s="49">
        <v>18565</v>
      </c>
      <c r="AB41" s="49">
        <v>18322</v>
      </c>
      <c r="AC41" s="177">
        <v>17531</v>
      </c>
      <c r="AD41" s="177">
        <v>7792</v>
      </c>
      <c r="AE41" s="138">
        <v>9739</v>
      </c>
      <c r="AF41" s="99">
        <v>3489470</v>
      </c>
      <c r="AG41" s="5">
        <v>3202320</v>
      </c>
      <c r="AH41" s="78">
        <f t="shared" si="65"/>
        <v>3176283</v>
      </c>
      <c r="AI41" s="49">
        <v>1497284</v>
      </c>
      <c r="AJ41" s="49">
        <v>1678999</v>
      </c>
      <c r="AK41" s="5">
        <v>238287</v>
      </c>
      <c r="AL41" s="78">
        <f t="shared" si="66"/>
        <v>237261</v>
      </c>
      <c r="AM41" s="49">
        <v>105480</v>
      </c>
      <c r="AN41" s="49">
        <v>131781</v>
      </c>
      <c r="AO41" s="5">
        <v>46403</v>
      </c>
      <c r="AP41" s="50">
        <v>23492</v>
      </c>
      <c r="AQ41" s="49">
        <v>22911</v>
      </c>
      <c r="AR41" s="82">
        <f t="shared" si="67"/>
        <v>29523</v>
      </c>
      <c r="AS41" s="99">
        <v>3893278</v>
      </c>
      <c r="AT41" s="5">
        <v>3478901</v>
      </c>
      <c r="AU41" s="178">
        <v>1663935</v>
      </c>
      <c r="AV41" s="178">
        <v>1814966</v>
      </c>
      <c r="AW41" s="78">
        <f t="shared" si="68"/>
        <v>3429767</v>
      </c>
      <c r="AX41" s="49">
        <v>1637912</v>
      </c>
      <c r="AY41" s="50">
        <v>1791855</v>
      </c>
      <c r="AZ41" s="5">
        <v>286094</v>
      </c>
      <c r="BA41" s="49">
        <v>130514</v>
      </c>
      <c r="BB41" s="49">
        <v>155580</v>
      </c>
      <c r="BC41" s="5">
        <v>101261</v>
      </c>
      <c r="BD41" s="49">
        <v>55677</v>
      </c>
      <c r="BE41" s="49">
        <v>45584</v>
      </c>
      <c r="BF41" s="177">
        <v>128283</v>
      </c>
      <c r="BG41" s="177">
        <v>66143</v>
      </c>
      <c r="BH41" s="138">
        <v>62140</v>
      </c>
      <c r="BI41" s="181">
        <v>4200431</v>
      </c>
      <c r="BJ41" s="50">
        <v>2023464</v>
      </c>
      <c r="BK41" s="50">
        <v>2176967</v>
      </c>
      <c r="BL41" s="57">
        <v>3677433</v>
      </c>
      <c r="BM41" s="57">
        <v>1775763</v>
      </c>
      <c r="BN41" s="57">
        <v>1901670</v>
      </c>
      <c r="BO41" s="57">
        <v>3575425</v>
      </c>
      <c r="BP41" s="57">
        <v>1721291</v>
      </c>
      <c r="BQ41" s="57">
        <v>1854134</v>
      </c>
      <c r="BR41" s="57">
        <v>338097</v>
      </c>
      <c r="BS41" s="57">
        <v>154956</v>
      </c>
      <c r="BT41" s="57">
        <v>183141</v>
      </c>
      <c r="BU41" s="57">
        <v>183322</v>
      </c>
      <c r="BV41" s="57">
        <v>97722</v>
      </c>
      <c r="BW41" s="57">
        <v>85600</v>
      </c>
      <c r="BX41" s="138">
        <f t="shared" si="69"/>
        <v>184901</v>
      </c>
      <c r="BY41" s="57">
        <v>92745</v>
      </c>
      <c r="BZ41" s="57">
        <v>92156</v>
      </c>
      <c r="CA41" s="191">
        <v>4107829</v>
      </c>
      <c r="CB41" s="5">
        <v>3612966</v>
      </c>
      <c r="CC41" s="49">
        <v>317815</v>
      </c>
      <c r="CD41" s="49">
        <v>177048</v>
      </c>
      <c r="CE41" s="49">
        <v>155150</v>
      </c>
      <c r="CF41" s="181">
        <v>4145875</v>
      </c>
      <c r="CG41" s="5">
        <v>3645205</v>
      </c>
      <c r="CH41" s="49">
        <v>322391</v>
      </c>
      <c r="CI41" s="49">
        <v>178279</v>
      </c>
      <c r="CJ41" s="49">
        <v>161424</v>
      </c>
      <c r="CK41" s="56">
        <v>4156633</v>
      </c>
      <c r="CL41" s="54">
        <v>3648422</v>
      </c>
      <c r="CM41" s="55">
        <v>327681</v>
      </c>
      <c r="CN41" s="55">
        <v>180530</v>
      </c>
      <c r="CO41" s="55">
        <v>167996</v>
      </c>
      <c r="CP41" s="56">
        <v>4200431</v>
      </c>
      <c r="CQ41" s="505">
        <v>3677433</v>
      </c>
      <c r="CR41" s="505">
        <v>338097</v>
      </c>
      <c r="CS41" s="55">
        <v>184901</v>
      </c>
      <c r="CT41" s="505">
        <v>183322</v>
      </c>
      <c r="CU41" s="56">
        <v>4229306</v>
      </c>
      <c r="CV41" s="505">
        <v>3696858</v>
      </c>
      <c r="CW41" s="505">
        <v>342465</v>
      </c>
      <c r="CX41" s="306">
        <f t="shared" si="70"/>
        <v>189983</v>
      </c>
      <c r="CY41" s="591">
        <v>189167</v>
      </c>
      <c r="CZ41" s="49">
        <v>4256342</v>
      </c>
      <c r="DA41" s="49">
        <v>3714925</v>
      </c>
      <c r="DB41" s="49">
        <v>345873</v>
      </c>
      <c r="DC41" s="49">
        <v>194745</v>
      </c>
      <c r="DD41" s="594">
        <v>195144</v>
      </c>
      <c r="DE41" s="49">
        <v>4287171</v>
      </c>
      <c r="DF41" s="49">
        <v>3617904</v>
      </c>
      <c r="DG41" s="1">
        <v>351497</v>
      </c>
      <c r="DH41" s="49">
        <v>205088</v>
      </c>
      <c r="DI41" s="49">
        <v>201278</v>
      </c>
      <c r="DJ41" s="727">
        <v>4363573</v>
      </c>
      <c r="DK41" s="49">
        <v>3652170</v>
      </c>
      <c r="DL41" s="49">
        <v>364442</v>
      </c>
      <c r="DM41" s="730">
        <v>213509</v>
      </c>
      <c r="DN41" s="49">
        <v>214180</v>
      </c>
      <c r="DO41" s="727">
        <v>4392576</v>
      </c>
      <c r="DP41" s="49">
        <v>3656504</v>
      </c>
      <c r="DQ41" s="49">
        <v>370196</v>
      </c>
      <c r="DR41" s="730">
        <v>231257</v>
      </c>
      <c r="DS41" s="49">
        <v>224064</v>
      </c>
    </row>
    <row r="42" spans="1:123" x14ac:dyDescent="0.2">
      <c r="A42" s="218" t="s">
        <v>26</v>
      </c>
      <c r="B42" s="10"/>
      <c r="C42" s="19"/>
      <c r="D42" s="48">
        <v>1541333</v>
      </c>
      <c r="E42" s="49">
        <v>738658</v>
      </c>
      <c r="F42" s="49">
        <v>788091</v>
      </c>
      <c r="G42" s="49">
        <v>6946</v>
      </c>
      <c r="H42" s="50">
        <v>7638</v>
      </c>
      <c r="I42" s="99">
        <v>1540588</v>
      </c>
      <c r="J42" s="138">
        <f t="shared" si="59"/>
        <v>1523292</v>
      </c>
      <c r="K42" s="49">
        <v>719410</v>
      </c>
      <c r="L42" s="49">
        <v>803882</v>
      </c>
      <c r="M42" s="138">
        <f t="shared" si="60"/>
        <v>14116</v>
      </c>
      <c r="N42" s="49">
        <v>6665</v>
      </c>
      <c r="O42" s="49">
        <v>7451</v>
      </c>
      <c r="P42" s="138">
        <f t="shared" si="61"/>
        <v>6846</v>
      </c>
      <c r="Q42" s="49">
        <v>3510</v>
      </c>
      <c r="R42" s="50">
        <v>3336</v>
      </c>
      <c r="S42" s="99">
        <v>1700102</v>
      </c>
      <c r="T42" s="136">
        <f t="shared" si="62"/>
        <v>1660935</v>
      </c>
      <c r="U42" s="49">
        <v>781805</v>
      </c>
      <c r="V42" s="49">
        <v>879130</v>
      </c>
      <c r="W42" s="136">
        <f t="shared" si="63"/>
        <v>18880</v>
      </c>
      <c r="X42" s="49">
        <v>9083</v>
      </c>
      <c r="Y42" s="49">
        <v>9797</v>
      </c>
      <c r="Z42" s="136">
        <f t="shared" si="64"/>
        <v>10808</v>
      </c>
      <c r="AA42" s="49">
        <v>5362</v>
      </c>
      <c r="AB42" s="49">
        <v>5446</v>
      </c>
      <c r="AC42" s="177">
        <v>8851</v>
      </c>
      <c r="AD42" s="177">
        <v>4002</v>
      </c>
      <c r="AE42" s="138">
        <v>4849</v>
      </c>
      <c r="AF42" s="99">
        <v>1776798</v>
      </c>
      <c r="AG42" s="5">
        <v>1732752</v>
      </c>
      <c r="AH42" s="78">
        <f t="shared" si="65"/>
        <v>1725131</v>
      </c>
      <c r="AI42" s="49">
        <v>808918</v>
      </c>
      <c r="AJ42" s="49">
        <v>916213</v>
      </c>
      <c r="AK42" s="5">
        <v>23300</v>
      </c>
      <c r="AL42" s="78">
        <f t="shared" si="66"/>
        <v>23136</v>
      </c>
      <c r="AM42" s="49">
        <v>11182</v>
      </c>
      <c r="AN42" s="49">
        <v>11954</v>
      </c>
      <c r="AO42" s="5">
        <v>13335</v>
      </c>
      <c r="AP42" s="50">
        <v>6825</v>
      </c>
      <c r="AQ42" s="49">
        <v>6510</v>
      </c>
      <c r="AR42" s="82">
        <f t="shared" si="67"/>
        <v>15196</v>
      </c>
      <c r="AS42" s="99">
        <v>1895856</v>
      </c>
      <c r="AT42" s="5">
        <v>1810293</v>
      </c>
      <c r="AU42" s="178">
        <v>863095</v>
      </c>
      <c r="AV42" s="178">
        <v>947198</v>
      </c>
      <c r="AW42" s="78">
        <f t="shared" si="68"/>
        <v>1792980</v>
      </c>
      <c r="AX42" s="49">
        <v>853548</v>
      </c>
      <c r="AY42" s="50">
        <v>939432</v>
      </c>
      <c r="AZ42" s="5">
        <v>31023</v>
      </c>
      <c r="BA42" s="49">
        <v>16150</v>
      </c>
      <c r="BB42" s="49">
        <v>14873</v>
      </c>
      <c r="BC42" s="5">
        <v>37284</v>
      </c>
      <c r="BD42" s="49">
        <v>21212</v>
      </c>
      <c r="BE42" s="49">
        <v>16072</v>
      </c>
      <c r="BF42" s="177">
        <v>54540</v>
      </c>
      <c r="BG42" s="177">
        <v>28654</v>
      </c>
      <c r="BH42" s="138">
        <v>25886</v>
      </c>
      <c r="BI42" s="181">
        <v>2000692</v>
      </c>
      <c r="BJ42" s="50">
        <v>969685</v>
      </c>
      <c r="BK42" s="50">
        <v>1031007</v>
      </c>
      <c r="BL42" s="57">
        <v>1881608</v>
      </c>
      <c r="BM42" s="57">
        <v>908257</v>
      </c>
      <c r="BN42" s="57">
        <v>973351</v>
      </c>
      <c r="BO42" s="57">
        <v>1842984</v>
      </c>
      <c r="BP42" s="57">
        <v>889311</v>
      </c>
      <c r="BQ42" s="57">
        <v>953673</v>
      </c>
      <c r="BR42" s="57">
        <v>43520</v>
      </c>
      <c r="BS42" s="57">
        <v>22415</v>
      </c>
      <c r="BT42" s="57">
        <v>21105</v>
      </c>
      <c r="BU42" s="57">
        <v>65027</v>
      </c>
      <c r="BV42" s="57">
        <v>34509</v>
      </c>
      <c r="BW42" s="57">
        <v>30518</v>
      </c>
      <c r="BX42" s="138">
        <f t="shared" si="69"/>
        <v>75564</v>
      </c>
      <c r="BY42" s="57">
        <v>39013</v>
      </c>
      <c r="BZ42" s="57">
        <v>36551</v>
      </c>
      <c r="CA42" s="191">
        <v>1951982</v>
      </c>
      <c r="CB42" s="5">
        <v>1846023</v>
      </c>
      <c r="CC42" s="49">
        <v>36803</v>
      </c>
      <c r="CD42" s="49">
        <v>69156</v>
      </c>
      <c r="CE42" s="49">
        <v>54960</v>
      </c>
      <c r="CF42" s="181">
        <v>1965813</v>
      </c>
      <c r="CG42" s="5">
        <v>1857922</v>
      </c>
      <c r="CH42" s="49">
        <v>37478</v>
      </c>
      <c r="CI42" s="49">
        <v>70413</v>
      </c>
      <c r="CJ42" s="49">
        <v>56944</v>
      </c>
      <c r="CK42" s="56">
        <v>1965156</v>
      </c>
      <c r="CL42" s="54">
        <v>1854789</v>
      </c>
      <c r="CM42" s="55">
        <v>38641</v>
      </c>
      <c r="CN42" s="55">
        <v>71726</v>
      </c>
      <c r="CO42" s="55">
        <v>60130</v>
      </c>
      <c r="CP42" s="56">
        <v>2000692</v>
      </c>
      <c r="CQ42" s="505">
        <v>1881608</v>
      </c>
      <c r="CR42" s="505">
        <v>43520</v>
      </c>
      <c r="CS42" s="55">
        <v>75564</v>
      </c>
      <c r="CT42" s="505">
        <v>65027</v>
      </c>
      <c r="CU42" s="56">
        <v>2013877</v>
      </c>
      <c r="CV42" s="505">
        <v>1889960</v>
      </c>
      <c r="CW42" s="505">
        <v>45586</v>
      </c>
      <c r="CX42" s="306">
        <f t="shared" si="70"/>
        <v>78331</v>
      </c>
      <c r="CY42" s="591">
        <v>67554</v>
      </c>
      <c r="CZ42" s="49">
        <v>2027762</v>
      </c>
      <c r="DA42" s="49">
        <v>1901384</v>
      </c>
      <c r="DB42" s="49">
        <v>46798</v>
      </c>
      <c r="DC42" s="49">
        <v>78702</v>
      </c>
      <c r="DD42" s="594">
        <v>70514</v>
      </c>
      <c r="DE42" s="49">
        <v>2038371</v>
      </c>
      <c r="DF42" s="49">
        <v>1860198</v>
      </c>
      <c r="DG42" s="1">
        <v>48550</v>
      </c>
      <c r="DH42" s="49">
        <v>78941</v>
      </c>
      <c r="DI42" s="49">
        <v>73760</v>
      </c>
      <c r="DJ42" s="727">
        <v>2074504</v>
      </c>
      <c r="DK42" s="49">
        <v>1873980</v>
      </c>
      <c r="DL42" s="49">
        <v>56789</v>
      </c>
      <c r="DM42" s="730">
        <v>89200</v>
      </c>
      <c r="DN42" s="49">
        <v>80639</v>
      </c>
      <c r="DO42" s="727">
        <v>2087020</v>
      </c>
      <c r="DP42" s="49">
        <v>1873486</v>
      </c>
      <c r="DQ42" s="49">
        <v>59550</v>
      </c>
      <c r="DR42" s="730">
        <v>92022</v>
      </c>
      <c r="DS42" s="49">
        <v>85565</v>
      </c>
    </row>
    <row r="43" spans="1:123" x14ac:dyDescent="0.2">
      <c r="A43" s="218" t="s">
        <v>27</v>
      </c>
      <c r="B43" s="10"/>
      <c r="C43" s="19"/>
      <c r="D43" s="48">
        <v>1215923</v>
      </c>
      <c r="E43" s="49">
        <v>566037</v>
      </c>
      <c r="F43" s="49">
        <v>599819</v>
      </c>
      <c r="G43" s="49">
        <v>24508</v>
      </c>
      <c r="H43" s="50">
        <v>25559</v>
      </c>
      <c r="I43" s="99">
        <v>1225988</v>
      </c>
      <c r="J43" s="138">
        <f t="shared" si="59"/>
        <v>1171424</v>
      </c>
      <c r="K43" s="49">
        <v>555307</v>
      </c>
      <c r="L43" s="49">
        <v>616117</v>
      </c>
      <c r="M43" s="138">
        <f t="shared" si="60"/>
        <v>47942</v>
      </c>
      <c r="N43" s="49">
        <v>22514</v>
      </c>
      <c r="O43" s="49">
        <v>25428</v>
      </c>
      <c r="P43" s="138">
        <f t="shared" si="61"/>
        <v>18293</v>
      </c>
      <c r="Q43" s="49">
        <v>9478</v>
      </c>
      <c r="R43" s="50">
        <v>8815</v>
      </c>
      <c r="S43" s="99">
        <v>1388102</v>
      </c>
      <c r="T43" s="136">
        <f t="shared" si="62"/>
        <v>1287424</v>
      </c>
      <c r="U43" s="49">
        <v>608120</v>
      </c>
      <c r="V43" s="49">
        <v>679304</v>
      </c>
      <c r="W43" s="136">
        <f t="shared" si="63"/>
        <v>57602</v>
      </c>
      <c r="X43" s="49">
        <v>27074</v>
      </c>
      <c r="Y43" s="49">
        <v>30528</v>
      </c>
      <c r="Z43" s="136">
        <f t="shared" si="64"/>
        <v>25792</v>
      </c>
      <c r="AA43" s="49">
        <v>13203</v>
      </c>
      <c r="AB43" s="49">
        <v>12589</v>
      </c>
      <c r="AC43" s="177">
        <v>16588</v>
      </c>
      <c r="AD43" s="177">
        <v>7480</v>
      </c>
      <c r="AE43" s="138">
        <v>9108</v>
      </c>
      <c r="AF43" s="99">
        <v>1565936</v>
      </c>
      <c r="AG43" s="5">
        <v>1439598</v>
      </c>
      <c r="AH43" s="78">
        <f t="shared" si="65"/>
        <v>1421102</v>
      </c>
      <c r="AI43" s="49">
        <v>673612</v>
      </c>
      <c r="AJ43" s="49">
        <v>747490</v>
      </c>
      <c r="AK43" s="5">
        <v>76123</v>
      </c>
      <c r="AL43" s="78">
        <f t="shared" si="66"/>
        <v>75217</v>
      </c>
      <c r="AM43" s="49">
        <v>36400</v>
      </c>
      <c r="AN43" s="49">
        <v>38817</v>
      </c>
      <c r="AO43" s="5">
        <v>41763</v>
      </c>
      <c r="AP43" s="50">
        <v>22260</v>
      </c>
      <c r="AQ43" s="49">
        <v>19503</v>
      </c>
      <c r="AR43" s="82">
        <f t="shared" si="67"/>
        <v>27854</v>
      </c>
      <c r="AS43" s="99">
        <v>1701207</v>
      </c>
      <c r="AT43" s="5">
        <v>1507908</v>
      </c>
      <c r="AU43" s="178">
        <v>722142</v>
      </c>
      <c r="AV43" s="178">
        <v>785766</v>
      </c>
      <c r="AW43" s="78">
        <f t="shared" si="68"/>
        <v>1470245</v>
      </c>
      <c r="AX43" s="49">
        <v>702463</v>
      </c>
      <c r="AY43" s="50">
        <v>767782</v>
      </c>
      <c r="AZ43" s="5">
        <v>83523</v>
      </c>
      <c r="BA43" s="49">
        <v>40432</v>
      </c>
      <c r="BB43" s="49">
        <v>43091</v>
      </c>
      <c r="BC43" s="5">
        <v>86074</v>
      </c>
      <c r="BD43" s="49">
        <v>46158</v>
      </c>
      <c r="BE43" s="49">
        <v>39916</v>
      </c>
      <c r="BF43" s="177">
        <v>109776</v>
      </c>
      <c r="BG43" s="177">
        <v>55944</v>
      </c>
      <c r="BH43" s="138">
        <v>53832</v>
      </c>
      <c r="BI43" s="181">
        <v>1824029</v>
      </c>
      <c r="BJ43" s="50">
        <v>885949</v>
      </c>
      <c r="BK43" s="50">
        <v>938080</v>
      </c>
      <c r="BL43" s="57">
        <v>1604764</v>
      </c>
      <c r="BM43" s="57">
        <v>777164</v>
      </c>
      <c r="BN43" s="57">
        <v>827600</v>
      </c>
      <c r="BO43" s="57">
        <v>1512740</v>
      </c>
      <c r="BP43" s="57">
        <v>729725</v>
      </c>
      <c r="BQ43" s="57">
        <v>783015</v>
      </c>
      <c r="BR43" s="57">
        <v>94431</v>
      </c>
      <c r="BS43" s="57">
        <v>47113</v>
      </c>
      <c r="BT43" s="57">
        <v>47318</v>
      </c>
      <c r="BU43" s="57">
        <v>135863</v>
      </c>
      <c r="BV43" s="57">
        <v>71191</v>
      </c>
      <c r="BW43" s="57">
        <v>64672</v>
      </c>
      <c r="BX43" s="138">
        <f t="shared" si="69"/>
        <v>124834</v>
      </c>
      <c r="BY43" s="57">
        <v>61672</v>
      </c>
      <c r="BZ43" s="57">
        <v>63162</v>
      </c>
      <c r="CA43" s="191">
        <v>1773908</v>
      </c>
      <c r="CB43" s="5">
        <v>1555066</v>
      </c>
      <c r="CC43" s="49">
        <v>89611</v>
      </c>
      <c r="CD43" s="49">
        <v>129231</v>
      </c>
      <c r="CE43" s="49">
        <v>119163</v>
      </c>
      <c r="CF43" s="181">
        <v>1792057</v>
      </c>
      <c r="CG43" s="5">
        <v>1576612</v>
      </c>
      <c r="CH43" s="49">
        <v>90407</v>
      </c>
      <c r="CI43" s="49">
        <v>125038</v>
      </c>
      <c r="CJ43" s="49">
        <v>122905</v>
      </c>
      <c r="CK43" s="56">
        <v>1796102</v>
      </c>
      <c r="CL43" s="54">
        <v>1584195</v>
      </c>
      <c r="CM43" s="55">
        <v>90795</v>
      </c>
      <c r="CN43" s="55">
        <v>121112</v>
      </c>
      <c r="CO43" s="55">
        <v>123896</v>
      </c>
      <c r="CP43" s="56">
        <v>1824029</v>
      </c>
      <c r="CQ43" s="505">
        <v>1604764</v>
      </c>
      <c r="CR43" s="505">
        <v>94431</v>
      </c>
      <c r="CS43" s="55">
        <v>124834</v>
      </c>
      <c r="CT43" s="505">
        <v>135863</v>
      </c>
      <c r="CU43" s="56">
        <v>1841823</v>
      </c>
      <c r="CV43" s="505">
        <v>1618943</v>
      </c>
      <c r="CW43" s="505">
        <v>96118</v>
      </c>
      <c r="CX43" s="306">
        <f t="shared" si="70"/>
        <v>126762</v>
      </c>
      <c r="CY43" s="591">
        <v>141445</v>
      </c>
      <c r="CZ43" s="49">
        <v>1854150</v>
      </c>
      <c r="DA43" s="49">
        <v>1629146</v>
      </c>
      <c r="DB43" s="49">
        <v>97208</v>
      </c>
      <c r="DC43" s="49">
        <v>126731</v>
      </c>
      <c r="DD43" s="594">
        <v>145911</v>
      </c>
      <c r="DE43" s="49">
        <v>1861026</v>
      </c>
      <c r="DF43" s="49">
        <v>1527480</v>
      </c>
      <c r="DG43" s="1">
        <v>98269</v>
      </c>
      <c r="DH43" s="49">
        <v>126403</v>
      </c>
      <c r="DI43" s="49">
        <v>149872</v>
      </c>
      <c r="DJ43" s="727">
        <v>1888479</v>
      </c>
      <c r="DK43" s="49">
        <v>1532073</v>
      </c>
      <c r="DL43" s="49">
        <v>102880</v>
      </c>
      <c r="DM43" s="730">
        <v>137247</v>
      </c>
      <c r="DN43" s="49">
        <v>163205</v>
      </c>
      <c r="DO43" s="727">
        <v>1891936</v>
      </c>
      <c r="DP43" s="49">
        <v>1532396</v>
      </c>
      <c r="DQ43" s="49">
        <v>102119</v>
      </c>
      <c r="DR43" s="730">
        <v>137616</v>
      </c>
      <c r="DS43" s="49">
        <v>163361</v>
      </c>
    </row>
    <row r="44" spans="1:123" x14ac:dyDescent="0.2">
      <c r="A44" s="218" t="s">
        <v>30</v>
      </c>
      <c r="B44" s="10"/>
      <c r="C44" s="19"/>
      <c r="D44" s="48">
        <v>4216909</v>
      </c>
      <c r="E44" s="49">
        <v>1889821</v>
      </c>
      <c r="F44" s="49">
        <v>1955435</v>
      </c>
      <c r="G44" s="49">
        <v>182673</v>
      </c>
      <c r="H44" s="50">
        <v>188980</v>
      </c>
      <c r="I44" s="99">
        <v>4594461</v>
      </c>
      <c r="J44" s="138">
        <f t="shared" si="59"/>
        <v>4115203</v>
      </c>
      <c r="K44" s="49">
        <v>1977334</v>
      </c>
      <c r="L44" s="49">
        <v>2137869</v>
      </c>
      <c r="M44" s="138">
        <f t="shared" si="60"/>
        <v>458197</v>
      </c>
      <c r="N44" s="49">
        <v>216655</v>
      </c>
      <c r="O44" s="49">
        <v>241542</v>
      </c>
      <c r="P44" s="138">
        <f t="shared" si="61"/>
        <v>47563</v>
      </c>
      <c r="Q44" s="49">
        <v>24357</v>
      </c>
      <c r="R44" s="50">
        <v>23206</v>
      </c>
      <c r="S44" s="99">
        <v>5254040</v>
      </c>
      <c r="T44" s="136">
        <f t="shared" si="62"/>
        <v>4539727</v>
      </c>
      <c r="U44" s="49">
        <v>2158709</v>
      </c>
      <c r="V44" s="49">
        <v>2381018</v>
      </c>
      <c r="W44" s="136">
        <f t="shared" si="63"/>
        <v>592324</v>
      </c>
      <c r="X44" s="49">
        <v>269100</v>
      </c>
      <c r="Y44" s="49">
        <v>323224</v>
      </c>
      <c r="Z44" s="136">
        <f t="shared" si="64"/>
        <v>66671</v>
      </c>
      <c r="AA44" s="49">
        <v>33604</v>
      </c>
      <c r="AB44" s="49">
        <v>33067</v>
      </c>
      <c r="AC44" s="177">
        <v>53066</v>
      </c>
      <c r="AD44" s="177">
        <v>24931</v>
      </c>
      <c r="AE44" s="138">
        <v>28135</v>
      </c>
      <c r="AF44" s="99">
        <v>5842642</v>
      </c>
      <c r="AG44" s="5">
        <v>4999581</v>
      </c>
      <c r="AH44" s="78">
        <f t="shared" si="65"/>
        <v>4954069</v>
      </c>
      <c r="AI44" s="49">
        <v>2357556</v>
      </c>
      <c r="AJ44" s="49">
        <v>2596513</v>
      </c>
      <c r="AK44" s="5">
        <v>715719</v>
      </c>
      <c r="AL44" s="78">
        <f t="shared" si="66"/>
        <v>712745</v>
      </c>
      <c r="AM44" s="49">
        <v>315723</v>
      </c>
      <c r="AN44" s="49">
        <v>397022</v>
      </c>
      <c r="AO44" s="5">
        <v>89098</v>
      </c>
      <c r="AP44" s="50">
        <v>45119</v>
      </c>
      <c r="AQ44" s="49">
        <v>43979</v>
      </c>
      <c r="AR44" s="82">
        <f t="shared" si="67"/>
        <v>86730</v>
      </c>
      <c r="AS44" s="99">
        <v>6415941</v>
      </c>
      <c r="AT44" s="5">
        <v>5309168</v>
      </c>
      <c r="AU44" s="178">
        <v>2556288</v>
      </c>
      <c r="AV44" s="178">
        <v>2752880</v>
      </c>
      <c r="AW44" s="78">
        <f t="shared" si="68"/>
        <v>5230580</v>
      </c>
      <c r="AX44" s="49">
        <v>2516067</v>
      </c>
      <c r="AY44" s="50">
        <v>2714513</v>
      </c>
      <c r="AZ44" s="5">
        <v>808383</v>
      </c>
      <c r="BA44" s="49">
        <v>363962</v>
      </c>
      <c r="BB44" s="49">
        <v>444421</v>
      </c>
      <c r="BC44" s="5">
        <v>155983</v>
      </c>
      <c r="BD44" s="49">
        <v>81587</v>
      </c>
      <c r="BE44" s="49">
        <v>74396</v>
      </c>
      <c r="BF44" s="177">
        <v>298390</v>
      </c>
      <c r="BG44" s="177">
        <v>150438</v>
      </c>
      <c r="BH44" s="138">
        <v>147952</v>
      </c>
      <c r="BI44" s="181">
        <v>6560571</v>
      </c>
      <c r="BJ44" s="50">
        <v>3151302</v>
      </c>
      <c r="BK44" s="50">
        <v>3409269</v>
      </c>
      <c r="BL44" s="57">
        <v>5393781</v>
      </c>
      <c r="BM44" s="57">
        <v>2611462</v>
      </c>
      <c r="BN44" s="57">
        <v>2782319</v>
      </c>
      <c r="BO44" s="57">
        <v>5263348</v>
      </c>
      <c r="BP44" s="57">
        <v>2546174</v>
      </c>
      <c r="BQ44" s="57">
        <v>2717174</v>
      </c>
      <c r="BR44" s="57">
        <v>834617</v>
      </c>
      <c r="BS44" s="57">
        <v>376942</v>
      </c>
      <c r="BT44" s="57">
        <v>457675</v>
      </c>
      <c r="BU44" s="57">
        <v>208147</v>
      </c>
      <c r="BV44" s="57">
        <v>106176</v>
      </c>
      <c r="BW44" s="57">
        <v>101971</v>
      </c>
      <c r="BX44" s="138">
        <f t="shared" si="69"/>
        <v>332173</v>
      </c>
      <c r="BY44" s="57">
        <v>162898</v>
      </c>
      <c r="BZ44" s="57">
        <v>169275</v>
      </c>
      <c r="CA44" s="191">
        <v>6634147</v>
      </c>
      <c r="CB44" s="5">
        <v>5439385</v>
      </c>
      <c r="CC44" s="49">
        <v>846000</v>
      </c>
      <c r="CD44" s="49">
        <v>348762</v>
      </c>
      <c r="CE44" s="49">
        <v>205379</v>
      </c>
      <c r="CF44" s="181">
        <v>6637533</v>
      </c>
      <c r="CG44" s="5">
        <v>5443998</v>
      </c>
      <c r="CH44" s="49">
        <v>843831</v>
      </c>
      <c r="CI44" s="49">
        <v>349704</v>
      </c>
      <c r="CJ44" s="49">
        <v>210173</v>
      </c>
      <c r="CK44" s="56">
        <v>6623538</v>
      </c>
      <c r="CL44" s="54">
        <v>5445899</v>
      </c>
      <c r="CM44" s="55">
        <v>838084</v>
      </c>
      <c r="CN44" s="55">
        <v>339555</v>
      </c>
      <c r="CO44" s="55">
        <v>208965</v>
      </c>
      <c r="CP44" s="56">
        <v>6560571</v>
      </c>
      <c r="CQ44" s="505">
        <v>5393781</v>
      </c>
      <c r="CR44" s="505">
        <v>834617</v>
      </c>
      <c r="CS44" s="55">
        <v>332173</v>
      </c>
      <c r="CT44" s="505">
        <v>208147</v>
      </c>
      <c r="CU44" s="56">
        <v>6570917</v>
      </c>
      <c r="CV44" s="505">
        <v>5400347</v>
      </c>
      <c r="CW44" s="505">
        <v>838531</v>
      </c>
      <c r="CX44" s="306">
        <f t="shared" si="70"/>
        <v>332039</v>
      </c>
      <c r="CY44" s="591">
        <v>213824</v>
      </c>
      <c r="CZ44" s="49">
        <v>6593489</v>
      </c>
      <c r="DA44" s="49">
        <v>5414593</v>
      </c>
      <c r="DB44" s="49">
        <v>841460</v>
      </c>
      <c r="DC44" s="49">
        <v>337436</v>
      </c>
      <c r="DD44" s="594">
        <v>218618</v>
      </c>
      <c r="DE44" s="49">
        <v>6616878</v>
      </c>
      <c r="DF44" s="49">
        <v>5277576</v>
      </c>
      <c r="DG44" s="1">
        <v>841557</v>
      </c>
      <c r="DH44" s="49">
        <v>343402</v>
      </c>
      <c r="DI44" s="49">
        <v>223721</v>
      </c>
      <c r="DJ44" s="727">
        <v>6728347</v>
      </c>
      <c r="DK44" s="49">
        <v>5317387</v>
      </c>
      <c r="DL44" s="49">
        <v>857718</v>
      </c>
      <c r="DM44" s="730">
        <v>391761</v>
      </c>
      <c r="DN44" s="49">
        <v>242913</v>
      </c>
      <c r="DO44" s="727">
        <v>6760402</v>
      </c>
      <c r="DP44" s="49">
        <v>5329047</v>
      </c>
      <c r="DQ44" s="49">
        <v>861144</v>
      </c>
      <c r="DR44" s="730">
        <v>407630</v>
      </c>
      <c r="DS44" s="49">
        <v>247726</v>
      </c>
    </row>
    <row r="45" spans="1:123" x14ac:dyDescent="0.2">
      <c r="A45" s="218" t="s">
        <v>31</v>
      </c>
      <c r="B45" s="10"/>
      <c r="C45" s="19"/>
      <c r="D45" s="48">
        <v>1844601</v>
      </c>
      <c r="E45" s="49">
        <v>896306</v>
      </c>
      <c r="F45" s="49">
        <v>928463</v>
      </c>
      <c r="G45" s="49">
        <v>10344</v>
      </c>
      <c r="H45" s="50">
        <v>9488</v>
      </c>
      <c r="I45" s="99">
        <v>1990367</v>
      </c>
      <c r="J45" s="138">
        <f t="shared" si="59"/>
        <v>1962368</v>
      </c>
      <c r="K45" s="49">
        <v>943482</v>
      </c>
      <c r="L45" s="49">
        <v>1018886</v>
      </c>
      <c r="M45" s="138">
        <f t="shared" si="60"/>
        <v>15354</v>
      </c>
      <c r="N45" s="49">
        <v>7672</v>
      </c>
      <c r="O45" s="49">
        <v>7682</v>
      </c>
      <c r="P45" s="138">
        <f t="shared" si="61"/>
        <v>8804</v>
      </c>
      <c r="Q45" s="49">
        <v>4522</v>
      </c>
      <c r="R45" s="50">
        <v>4282</v>
      </c>
      <c r="S45" s="99">
        <v>2345701</v>
      </c>
      <c r="T45" s="136">
        <f t="shared" si="62"/>
        <v>2279859</v>
      </c>
      <c r="U45" s="49">
        <v>1088595</v>
      </c>
      <c r="V45" s="49">
        <v>1191264</v>
      </c>
      <c r="W45" s="136">
        <f t="shared" si="63"/>
        <v>23611</v>
      </c>
      <c r="X45" s="49">
        <v>12256</v>
      </c>
      <c r="Y45" s="49">
        <v>11355</v>
      </c>
      <c r="Z45" s="136">
        <f t="shared" si="64"/>
        <v>12917</v>
      </c>
      <c r="AA45" s="49">
        <v>6509</v>
      </c>
      <c r="AB45" s="49">
        <v>6408</v>
      </c>
      <c r="AC45" s="177">
        <v>28433</v>
      </c>
      <c r="AD45" s="177">
        <v>13448</v>
      </c>
      <c r="AE45" s="138">
        <v>14985</v>
      </c>
      <c r="AF45" s="99">
        <v>2770562</v>
      </c>
      <c r="AG45" s="5">
        <v>2660023</v>
      </c>
      <c r="AH45" s="78">
        <f t="shared" si="65"/>
        <v>2648500</v>
      </c>
      <c r="AI45" s="49">
        <v>1267714</v>
      </c>
      <c r="AJ45" s="49">
        <v>1380786</v>
      </c>
      <c r="AK45" s="5">
        <v>46115</v>
      </c>
      <c r="AL45" s="78">
        <f t="shared" si="66"/>
        <v>45554</v>
      </c>
      <c r="AM45" s="49">
        <v>23856</v>
      </c>
      <c r="AN45" s="49">
        <v>21698</v>
      </c>
      <c r="AO45" s="5">
        <v>21458</v>
      </c>
      <c r="AP45" s="50">
        <v>11158</v>
      </c>
      <c r="AQ45" s="49">
        <v>10300</v>
      </c>
      <c r="AR45" s="82">
        <f t="shared" si="67"/>
        <v>55050</v>
      </c>
      <c r="AS45" s="99">
        <v>3164345</v>
      </c>
      <c r="AT45" s="5">
        <v>2919051</v>
      </c>
      <c r="AU45" s="178">
        <v>1410402</v>
      </c>
      <c r="AV45" s="178">
        <v>1508649</v>
      </c>
      <c r="AW45" s="78">
        <f t="shared" si="68"/>
        <v>2889703</v>
      </c>
      <c r="AX45" s="49">
        <v>1394839</v>
      </c>
      <c r="AY45" s="50">
        <v>1494864</v>
      </c>
      <c r="AZ45" s="5">
        <v>84577</v>
      </c>
      <c r="BA45" s="49">
        <v>43709</v>
      </c>
      <c r="BB45" s="49">
        <v>40868</v>
      </c>
      <c r="BC45" s="5">
        <v>64386</v>
      </c>
      <c r="BD45" s="49">
        <v>35515</v>
      </c>
      <c r="BE45" s="49">
        <v>28871</v>
      </c>
      <c r="BF45" s="177">
        <v>160717</v>
      </c>
      <c r="BG45" s="177">
        <v>81447</v>
      </c>
      <c r="BH45" s="138">
        <v>79270</v>
      </c>
      <c r="BI45" s="181">
        <v>3492345</v>
      </c>
      <c r="BJ45" s="50">
        <v>1707946</v>
      </c>
      <c r="BK45" s="50">
        <v>1784399</v>
      </c>
      <c r="BL45" s="57">
        <v>3135397</v>
      </c>
      <c r="BM45" s="57">
        <v>1530400</v>
      </c>
      <c r="BN45" s="57">
        <v>1604997</v>
      </c>
      <c r="BO45" s="57">
        <v>3059160</v>
      </c>
      <c r="BP45" s="57">
        <v>1490120</v>
      </c>
      <c r="BQ45" s="57">
        <v>1569040</v>
      </c>
      <c r="BR45" s="57">
        <v>138774</v>
      </c>
      <c r="BS45" s="57">
        <v>71802</v>
      </c>
      <c r="BT45" s="57">
        <v>66972</v>
      </c>
      <c r="BU45" s="57">
        <v>115403</v>
      </c>
      <c r="BV45" s="57">
        <v>61532</v>
      </c>
      <c r="BW45" s="57">
        <v>53871</v>
      </c>
      <c r="BX45" s="138">
        <f t="shared" si="69"/>
        <v>218174</v>
      </c>
      <c r="BY45" s="57">
        <v>105744</v>
      </c>
      <c r="BZ45" s="57">
        <v>112430</v>
      </c>
      <c r="CA45" s="191">
        <v>3385006</v>
      </c>
      <c r="CB45" s="5">
        <v>3065640</v>
      </c>
      <c r="CC45" s="49">
        <v>115506</v>
      </c>
      <c r="CD45" s="49">
        <v>203860</v>
      </c>
      <c r="CE45" s="49">
        <v>98809</v>
      </c>
      <c r="CF45" s="181">
        <v>3418723</v>
      </c>
      <c r="CG45" s="5">
        <v>3097087</v>
      </c>
      <c r="CH45" s="49">
        <v>119893</v>
      </c>
      <c r="CI45" s="49">
        <v>201743</v>
      </c>
      <c r="CJ45" s="49">
        <v>101618</v>
      </c>
      <c r="CK45" s="56">
        <v>3446808</v>
      </c>
      <c r="CL45" s="54">
        <v>3118528</v>
      </c>
      <c r="CM45" s="55">
        <v>121855</v>
      </c>
      <c r="CN45" s="55">
        <v>206425</v>
      </c>
      <c r="CO45" s="55">
        <v>103919</v>
      </c>
      <c r="CP45" s="56">
        <v>3492345</v>
      </c>
      <c r="CQ45" s="505">
        <v>3135397</v>
      </c>
      <c r="CR45" s="505">
        <v>138774</v>
      </c>
      <c r="CS45" s="55">
        <v>218174</v>
      </c>
      <c r="CT45" s="505">
        <v>115403</v>
      </c>
      <c r="CU45" s="56">
        <v>3527629</v>
      </c>
      <c r="CV45" s="505">
        <v>3156567</v>
      </c>
      <c r="CW45" s="505">
        <v>143417</v>
      </c>
      <c r="CX45" s="306">
        <f t="shared" si="70"/>
        <v>227645</v>
      </c>
      <c r="CY45" s="591">
        <v>119339</v>
      </c>
      <c r="CZ45" s="49">
        <v>3562974</v>
      </c>
      <c r="DA45" s="49">
        <v>3178359</v>
      </c>
      <c r="DB45" s="49">
        <v>148954</v>
      </c>
      <c r="DC45" s="49">
        <v>234576</v>
      </c>
      <c r="DD45" s="594">
        <v>122627</v>
      </c>
      <c r="DE45" s="49">
        <v>3596719</v>
      </c>
      <c r="DF45" s="49">
        <v>3116996</v>
      </c>
      <c r="DG45" s="1">
        <v>153624</v>
      </c>
      <c r="DH45" s="49">
        <v>246943</v>
      </c>
      <c r="DI45" s="49">
        <v>126091</v>
      </c>
      <c r="DJ45" s="727">
        <v>3700935</v>
      </c>
      <c r="DK45" s="49">
        <v>3157190</v>
      </c>
      <c r="DL45" s="49">
        <v>171319</v>
      </c>
      <c r="DM45" s="730">
        <v>287600</v>
      </c>
      <c r="DN45" s="49">
        <v>136552</v>
      </c>
      <c r="DO45" s="727">
        <v>3725283</v>
      </c>
      <c r="DP45" s="49">
        <v>3166229</v>
      </c>
      <c r="DQ45" s="49">
        <v>180040</v>
      </c>
      <c r="DR45" s="730">
        <v>301795</v>
      </c>
      <c r="DS45" s="49">
        <v>141538</v>
      </c>
    </row>
    <row r="46" spans="1:123" x14ac:dyDescent="0.2">
      <c r="A46" s="218" t="s">
        <v>32</v>
      </c>
      <c r="B46" s="10"/>
      <c r="C46" s="19"/>
      <c r="D46" s="48">
        <v>2492554</v>
      </c>
      <c r="E46" s="49">
        <v>1089432</v>
      </c>
      <c r="F46" s="49">
        <v>1199820</v>
      </c>
      <c r="G46" s="49">
        <v>94563</v>
      </c>
      <c r="H46" s="50">
        <v>108739</v>
      </c>
      <c r="I46" s="99">
        <v>2602279</v>
      </c>
      <c r="J46" s="138">
        <f t="shared" si="59"/>
        <v>2369585</v>
      </c>
      <c r="K46" s="49">
        <v>1107734</v>
      </c>
      <c r="L46" s="49">
        <v>1261851</v>
      </c>
      <c r="M46" s="138">
        <f t="shared" si="60"/>
        <v>224530</v>
      </c>
      <c r="N46" s="49">
        <v>100508</v>
      </c>
      <c r="O46" s="49">
        <v>124022</v>
      </c>
      <c r="P46" s="138">
        <f t="shared" si="61"/>
        <v>17013</v>
      </c>
      <c r="Q46" s="49">
        <v>8590</v>
      </c>
      <c r="R46" s="50">
        <v>8423</v>
      </c>
      <c r="S46" s="99">
        <v>2918656</v>
      </c>
      <c r="T46" s="136">
        <f t="shared" si="62"/>
        <v>2617804</v>
      </c>
      <c r="U46" s="49">
        <v>1218180</v>
      </c>
      <c r="V46" s="49">
        <v>1399624</v>
      </c>
      <c r="W46" s="136">
        <f t="shared" si="63"/>
        <v>254366</v>
      </c>
      <c r="X46" s="49">
        <v>111658</v>
      </c>
      <c r="Y46" s="49">
        <v>142708</v>
      </c>
      <c r="Z46" s="136">
        <f t="shared" si="64"/>
        <v>23734</v>
      </c>
      <c r="AA46" s="49">
        <v>11658</v>
      </c>
      <c r="AB46" s="49">
        <v>12076</v>
      </c>
      <c r="AC46" s="177">
        <v>21569</v>
      </c>
      <c r="AD46" s="177">
        <v>9719</v>
      </c>
      <c r="AE46" s="138">
        <v>11850</v>
      </c>
      <c r="AF46" s="99">
        <v>3291579</v>
      </c>
      <c r="AG46" s="5">
        <v>2939953</v>
      </c>
      <c r="AH46" s="78">
        <f t="shared" si="65"/>
        <v>2921263</v>
      </c>
      <c r="AI46" s="49">
        <v>1370878</v>
      </c>
      <c r="AJ46" s="49">
        <v>1550385</v>
      </c>
      <c r="AK46" s="5">
        <v>304820</v>
      </c>
      <c r="AL46" s="78">
        <f t="shared" si="66"/>
        <v>303658</v>
      </c>
      <c r="AM46" s="49">
        <v>132370</v>
      </c>
      <c r="AN46" s="49">
        <v>171288</v>
      </c>
      <c r="AO46" s="5">
        <v>30968</v>
      </c>
      <c r="AP46" s="50">
        <v>15308</v>
      </c>
      <c r="AQ46" s="49">
        <v>15660</v>
      </c>
      <c r="AR46" s="82">
        <f t="shared" si="67"/>
        <v>35690</v>
      </c>
      <c r="AS46" s="99">
        <v>3634906</v>
      </c>
      <c r="AT46" s="5">
        <v>3160532</v>
      </c>
      <c r="AU46" s="178">
        <v>1504852</v>
      </c>
      <c r="AV46" s="178">
        <v>1655680</v>
      </c>
      <c r="AW46" s="78">
        <f t="shared" si="68"/>
        <v>3129766</v>
      </c>
      <c r="AX46" s="49">
        <v>1489041</v>
      </c>
      <c r="AY46" s="50">
        <v>1640725</v>
      </c>
      <c r="AZ46" s="5">
        <v>353177</v>
      </c>
      <c r="BA46" s="49">
        <v>155597</v>
      </c>
      <c r="BB46" s="49">
        <v>197580</v>
      </c>
      <c r="BC46" s="5">
        <v>57240</v>
      </c>
      <c r="BD46" s="49">
        <v>29820</v>
      </c>
      <c r="BE46" s="49">
        <v>27420</v>
      </c>
      <c r="BF46" s="177">
        <v>121197</v>
      </c>
      <c r="BG46" s="177">
        <v>59595</v>
      </c>
      <c r="BH46" s="138">
        <v>61602</v>
      </c>
      <c r="BI46" s="181">
        <v>3943725</v>
      </c>
      <c r="BJ46" s="50">
        <v>1888392</v>
      </c>
      <c r="BK46" s="50">
        <v>2055333</v>
      </c>
      <c r="BL46" s="57">
        <v>3381757</v>
      </c>
      <c r="BM46" s="57">
        <v>1631400</v>
      </c>
      <c r="BN46" s="57">
        <v>1750357</v>
      </c>
      <c r="BO46" s="57">
        <v>3318343</v>
      </c>
      <c r="BP46" s="57">
        <v>1598481</v>
      </c>
      <c r="BQ46" s="57">
        <v>1719862</v>
      </c>
      <c r="BR46" s="57">
        <v>402225</v>
      </c>
      <c r="BS46" s="57">
        <v>179655</v>
      </c>
      <c r="BT46" s="57">
        <v>222570</v>
      </c>
      <c r="BU46" s="57">
        <v>101286</v>
      </c>
      <c r="BV46" s="57">
        <v>53048</v>
      </c>
      <c r="BW46" s="57">
        <v>48238</v>
      </c>
      <c r="BX46" s="138">
        <f t="shared" si="69"/>
        <v>159743</v>
      </c>
      <c r="BY46" s="57">
        <v>77337</v>
      </c>
      <c r="BZ46" s="57">
        <v>82406</v>
      </c>
      <c r="CA46" s="191">
        <v>3847339</v>
      </c>
      <c r="CB46" s="7">
        <v>3314760</v>
      </c>
      <c r="CC46" s="49">
        <v>384973</v>
      </c>
      <c r="CD46" s="49">
        <v>147606</v>
      </c>
      <c r="CE46" s="49">
        <v>86348</v>
      </c>
      <c r="CF46" s="181">
        <v>3886568</v>
      </c>
      <c r="CG46" s="5">
        <v>3346393</v>
      </c>
      <c r="CH46" s="49">
        <v>385934</v>
      </c>
      <c r="CI46" s="49">
        <v>154241</v>
      </c>
      <c r="CJ46" s="49">
        <v>89286</v>
      </c>
      <c r="CK46" s="56">
        <v>3925185</v>
      </c>
      <c r="CL46" s="54">
        <v>3379141</v>
      </c>
      <c r="CM46" s="55">
        <v>390342</v>
      </c>
      <c r="CN46" s="55">
        <v>155702</v>
      </c>
      <c r="CO46" s="55">
        <v>95298</v>
      </c>
      <c r="CP46" s="56">
        <v>3943725</v>
      </c>
      <c r="CQ46" s="505">
        <v>3381757</v>
      </c>
      <c r="CR46" s="505">
        <v>402225</v>
      </c>
      <c r="CS46" s="55">
        <v>159743</v>
      </c>
      <c r="CT46" s="505">
        <v>101286</v>
      </c>
      <c r="CU46" s="56">
        <v>3980669</v>
      </c>
      <c r="CV46" s="505">
        <v>3404567</v>
      </c>
      <c r="CW46" s="505">
        <v>412164</v>
      </c>
      <c r="CX46" s="306">
        <f t="shared" si="70"/>
        <v>163938</v>
      </c>
      <c r="CY46" s="591">
        <v>105248</v>
      </c>
      <c r="CZ46" s="49">
        <v>4005241</v>
      </c>
      <c r="DA46" s="49">
        <v>3419954</v>
      </c>
      <c r="DB46" s="49">
        <v>414382</v>
      </c>
      <c r="DC46" s="49">
        <v>170905</v>
      </c>
      <c r="DD46" s="594">
        <v>108232</v>
      </c>
      <c r="DE46" s="49">
        <v>4027255</v>
      </c>
      <c r="DF46" s="49">
        <v>3367577</v>
      </c>
      <c r="DG46" s="1">
        <v>415777</v>
      </c>
      <c r="DH46" s="49">
        <v>174428</v>
      </c>
      <c r="DI46" s="49">
        <v>110975</v>
      </c>
      <c r="DJ46" s="727">
        <v>4097212</v>
      </c>
      <c r="DK46" s="49">
        <v>3398735</v>
      </c>
      <c r="DL46" s="49">
        <v>435414</v>
      </c>
      <c r="DM46" s="730">
        <v>186485</v>
      </c>
      <c r="DN46" s="49">
        <v>119961</v>
      </c>
      <c r="DO46" s="727">
        <v>4121014</v>
      </c>
      <c r="DP46" s="49">
        <v>3410565</v>
      </c>
      <c r="DQ46" s="49">
        <v>437911</v>
      </c>
      <c r="DR46" s="730">
        <v>185263</v>
      </c>
      <c r="DS46" s="49">
        <v>122482</v>
      </c>
    </row>
    <row r="47" spans="1:123" x14ac:dyDescent="0.2">
      <c r="A47" s="218" t="s">
        <v>34</v>
      </c>
      <c r="B47" s="10"/>
      <c r="C47" s="19"/>
      <c r="D47" s="48">
        <v>791018</v>
      </c>
      <c r="E47" s="49">
        <v>377043</v>
      </c>
      <c r="F47" s="49">
        <v>396356</v>
      </c>
      <c r="G47" s="49">
        <v>8676</v>
      </c>
      <c r="H47" s="50">
        <v>8943</v>
      </c>
      <c r="I47" s="99">
        <v>804623</v>
      </c>
      <c r="J47" s="138">
        <f t="shared" si="59"/>
        <v>783464</v>
      </c>
      <c r="K47" s="49">
        <v>373415</v>
      </c>
      <c r="L47" s="49">
        <v>410049</v>
      </c>
      <c r="M47" s="138">
        <f t="shared" si="60"/>
        <v>16810</v>
      </c>
      <c r="N47" s="49">
        <v>7763</v>
      </c>
      <c r="O47" s="49">
        <v>9047</v>
      </c>
      <c r="P47" s="138">
        <f t="shared" si="61"/>
        <v>7954</v>
      </c>
      <c r="Q47" s="49">
        <v>4150</v>
      </c>
      <c r="R47" s="50">
        <v>3804</v>
      </c>
      <c r="S47" s="99">
        <v>912153</v>
      </c>
      <c r="T47" s="136">
        <f t="shared" si="62"/>
        <v>871368</v>
      </c>
      <c r="U47" s="49">
        <v>412473</v>
      </c>
      <c r="V47" s="49">
        <v>458895</v>
      </c>
      <c r="W47" s="136">
        <f t="shared" si="63"/>
        <v>21534</v>
      </c>
      <c r="X47" s="49">
        <v>9993</v>
      </c>
      <c r="Y47" s="49">
        <v>11541</v>
      </c>
      <c r="Z47" s="136">
        <f t="shared" si="64"/>
        <v>11281</v>
      </c>
      <c r="AA47" s="49">
        <v>5827</v>
      </c>
      <c r="AB47" s="49">
        <v>5454</v>
      </c>
      <c r="AC47" s="177">
        <v>7601</v>
      </c>
      <c r="AD47" s="177">
        <v>3374</v>
      </c>
      <c r="AE47" s="138">
        <v>4227</v>
      </c>
      <c r="AF47" s="99">
        <v>996049</v>
      </c>
      <c r="AG47" s="5">
        <v>946876</v>
      </c>
      <c r="AH47" s="78">
        <f t="shared" si="65"/>
        <v>938330</v>
      </c>
      <c r="AI47" s="49">
        <v>444571</v>
      </c>
      <c r="AJ47" s="49">
        <v>493759</v>
      </c>
      <c r="AK47" s="5">
        <v>29516</v>
      </c>
      <c r="AL47" s="78">
        <f t="shared" si="66"/>
        <v>29288</v>
      </c>
      <c r="AM47" s="49">
        <v>13576</v>
      </c>
      <c r="AN47" s="49">
        <v>15712</v>
      </c>
      <c r="AO47" s="5">
        <v>15988</v>
      </c>
      <c r="AP47" s="50">
        <v>8211</v>
      </c>
      <c r="AQ47" s="49">
        <v>7777</v>
      </c>
      <c r="AR47" s="82">
        <f t="shared" si="67"/>
        <v>12443</v>
      </c>
      <c r="AS47" s="99">
        <v>1087241</v>
      </c>
      <c r="AT47" s="5">
        <v>999326</v>
      </c>
      <c r="AU47" s="178">
        <v>479800</v>
      </c>
      <c r="AV47" s="178">
        <v>519526</v>
      </c>
      <c r="AW47" s="78">
        <f t="shared" si="68"/>
        <v>981129</v>
      </c>
      <c r="AX47" s="49">
        <v>470077</v>
      </c>
      <c r="AY47" s="50">
        <v>511052</v>
      </c>
      <c r="AZ47" s="5">
        <v>36058</v>
      </c>
      <c r="BA47" s="49">
        <v>17161</v>
      </c>
      <c r="BB47" s="49">
        <v>18897</v>
      </c>
      <c r="BC47" s="5">
        <v>43342</v>
      </c>
      <c r="BD47" s="49">
        <v>23966</v>
      </c>
      <c r="BE47" s="49">
        <v>19376</v>
      </c>
      <c r="BF47" s="177">
        <v>51857</v>
      </c>
      <c r="BG47" s="177">
        <v>26958</v>
      </c>
      <c r="BH47" s="138">
        <v>24899</v>
      </c>
      <c r="BI47" s="181">
        <v>1174907</v>
      </c>
      <c r="BJ47" s="50">
        <v>572859</v>
      </c>
      <c r="BK47" s="50">
        <v>602048</v>
      </c>
      <c r="BL47" s="57">
        <v>1067600</v>
      </c>
      <c r="BM47" s="57">
        <v>519108</v>
      </c>
      <c r="BN47" s="57">
        <v>548492</v>
      </c>
      <c r="BO47" s="57">
        <v>1019559</v>
      </c>
      <c r="BP47" s="57">
        <v>493623</v>
      </c>
      <c r="BQ47" s="57">
        <v>525936</v>
      </c>
      <c r="BR47" s="57">
        <v>44874</v>
      </c>
      <c r="BS47" s="57">
        <v>22906</v>
      </c>
      <c r="BT47" s="57">
        <v>21968</v>
      </c>
      <c r="BU47" s="57">
        <v>73811</v>
      </c>
      <c r="BV47" s="57">
        <v>39387</v>
      </c>
      <c r="BW47" s="57">
        <v>34424</v>
      </c>
      <c r="BX47" s="138">
        <f t="shared" si="69"/>
        <v>62433</v>
      </c>
      <c r="BY47" s="57">
        <v>30845</v>
      </c>
      <c r="BZ47" s="57">
        <v>31588</v>
      </c>
      <c r="CA47" s="191">
        <v>1131474</v>
      </c>
      <c r="CB47" s="7">
        <v>1030386</v>
      </c>
      <c r="CC47" s="49">
        <v>39230</v>
      </c>
      <c r="CD47" s="49">
        <v>61858</v>
      </c>
      <c r="CE47" s="49">
        <v>63524</v>
      </c>
      <c r="CF47" s="181">
        <v>1139886</v>
      </c>
      <c r="CG47" s="5">
        <v>1038461</v>
      </c>
      <c r="CH47" s="49">
        <v>39576</v>
      </c>
      <c r="CI47" s="49">
        <v>61849</v>
      </c>
      <c r="CJ47" s="49">
        <v>65777</v>
      </c>
      <c r="CK47" s="56">
        <v>1142562</v>
      </c>
      <c r="CL47" s="54">
        <v>1039956</v>
      </c>
      <c r="CM47" s="55">
        <v>40568</v>
      </c>
      <c r="CN47" s="55">
        <v>62038</v>
      </c>
      <c r="CO47" s="55">
        <v>67636</v>
      </c>
      <c r="CP47" s="56">
        <v>1174907</v>
      </c>
      <c r="CQ47" s="505">
        <v>1067600</v>
      </c>
      <c r="CR47" s="505">
        <v>44874</v>
      </c>
      <c r="CS47" s="55">
        <v>62433</v>
      </c>
      <c r="CT47" s="505">
        <v>73811</v>
      </c>
      <c r="CU47" s="56">
        <v>1186826</v>
      </c>
      <c r="CV47" s="505">
        <v>1078423</v>
      </c>
      <c r="CW47" s="505">
        <v>45547</v>
      </c>
      <c r="CX47" s="306">
        <f t="shared" si="70"/>
        <v>62856</v>
      </c>
      <c r="CY47" s="591">
        <v>77373</v>
      </c>
      <c r="CZ47" s="49">
        <v>1196710</v>
      </c>
      <c r="DA47" s="49">
        <v>1088596</v>
      </c>
      <c r="DB47" s="49">
        <v>46507</v>
      </c>
      <c r="DC47" s="49">
        <v>61041</v>
      </c>
      <c r="DD47" s="594">
        <v>80813</v>
      </c>
      <c r="DE47" s="49">
        <v>1205830</v>
      </c>
      <c r="DF47" s="49">
        <v>1034256</v>
      </c>
      <c r="DG47" s="1">
        <v>47031</v>
      </c>
      <c r="DH47" s="49">
        <v>63589</v>
      </c>
      <c r="DI47" s="49">
        <v>84027</v>
      </c>
      <c r="DJ47" s="727">
        <v>1232583</v>
      </c>
      <c r="DK47" s="49">
        <v>1044648</v>
      </c>
      <c r="DL47" s="49">
        <v>50500</v>
      </c>
      <c r="DM47" s="730">
        <v>65289</v>
      </c>
      <c r="DN47" s="49">
        <v>92018</v>
      </c>
      <c r="DO47" s="727">
        <v>1243820</v>
      </c>
      <c r="DP47" s="49">
        <v>1048188</v>
      </c>
      <c r="DQ47" s="49">
        <v>50875</v>
      </c>
      <c r="DR47" s="730">
        <v>67648</v>
      </c>
      <c r="DS47" s="49">
        <v>98476</v>
      </c>
    </row>
    <row r="48" spans="1:123" x14ac:dyDescent="0.2">
      <c r="A48" s="218" t="s">
        <v>40</v>
      </c>
      <c r="B48" s="10"/>
      <c r="C48" s="19"/>
      <c r="D48" s="48">
        <v>323615</v>
      </c>
      <c r="E48" s="49">
        <v>163301</v>
      </c>
      <c r="F48" s="49">
        <v>155824</v>
      </c>
      <c r="G48" s="49">
        <v>2183</v>
      </c>
      <c r="H48" s="50">
        <v>2307</v>
      </c>
      <c r="I48" s="99">
        <v>318339</v>
      </c>
      <c r="J48" s="138">
        <f t="shared" si="59"/>
        <v>312269</v>
      </c>
      <c r="K48" s="49">
        <v>155206</v>
      </c>
      <c r="L48" s="49">
        <v>157063</v>
      </c>
      <c r="M48" s="138">
        <f t="shared" si="60"/>
        <v>940</v>
      </c>
      <c r="N48" s="49">
        <v>547</v>
      </c>
      <c r="O48" s="49">
        <v>393</v>
      </c>
      <c r="P48" s="138">
        <f t="shared" si="61"/>
        <v>741</v>
      </c>
      <c r="Q48" s="49">
        <v>382</v>
      </c>
      <c r="R48" s="50">
        <v>359</v>
      </c>
      <c r="S48" s="99">
        <v>364601</v>
      </c>
      <c r="T48" s="136">
        <f t="shared" si="62"/>
        <v>353961</v>
      </c>
      <c r="U48" s="49">
        <v>174934</v>
      </c>
      <c r="V48" s="49">
        <v>179027</v>
      </c>
      <c r="W48" s="136">
        <f t="shared" si="63"/>
        <v>869</v>
      </c>
      <c r="X48" s="49">
        <v>582</v>
      </c>
      <c r="Y48" s="49">
        <v>287</v>
      </c>
      <c r="Z48" s="136">
        <f t="shared" si="64"/>
        <v>1163</v>
      </c>
      <c r="AA48" s="49">
        <v>602</v>
      </c>
      <c r="AB48" s="49">
        <v>561</v>
      </c>
      <c r="AC48" s="177">
        <v>8496</v>
      </c>
      <c r="AD48" s="177">
        <v>3855</v>
      </c>
      <c r="AE48" s="138">
        <v>4641</v>
      </c>
      <c r="AF48" s="99">
        <v>396550</v>
      </c>
      <c r="AG48" s="5">
        <v>381509</v>
      </c>
      <c r="AH48" s="78">
        <f t="shared" si="65"/>
        <v>380508</v>
      </c>
      <c r="AI48" s="49">
        <v>185199</v>
      </c>
      <c r="AJ48" s="49">
        <v>195309</v>
      </c>
      <c r="AK48" s="5">
        <v>1580</v>
      </c>
      <c r="AL48" s="78">
        <f t="shared" si="66"/>
        <v>1556</v>
      </c>
      <c r="AM48" s="49">
        <v>1024</v>
      </c>
      <c r="AN48" s="49">
        <v>532</v>
      </c>
      <c r="AO48" s="5">
        <v>1876</v>
      </c>
      <c r="AP48" s="50">
        <v>909</v>
      </c>
      <c r="AQ48" s="49">
        <v>967</v>
      </c>
      <c r="AR48" s="82">
        <f t="shared" si="67"/>
        <v>12610</v>
      </c>
      <c r="AS48" s="99">
        <v>408585</v>
      </c>
      <c r="AT48" s="5">
        <v>386469</v>
      </c>
      <c r="AU48" s="178">
        <v>188606</v>
      </c>
      <c r="AV48" s="178">
        <v>197863</v>
      </c>
      <c r="AW48" s="78">
        <f t="shared" si="68"/>
        <v>384576</v>
      </c>
      <c r="AX48" s="49">
        <v>187657</v>
      </c>
      <c r="AY48" s="50">
        <v>196919</v>
      </c>
      <c r="AZ48" s="5">
        <v>1467</v>
      </c>
      <c r="BA48" s="49">
        <v>924</v>
      </c>
      <c r="BB48" s="49">
        <v>543</v>
      </c>
      <c r="BC48" s="5">
        <v>3306</v>
      </c>
      <c r="BD48" s="49">
        <v>1591</v>
      </c>
      <c r="BE48" s="49">
        <v>1715</v>
      </c>
      <c r="BF48" s="177">
        <v>20649</v>
      </c>
      <c r="BG48" s="177">
        <v>9771</v>
      </c>
      <c r="BH48" s="138">
        <v>10878</v>
      </c>
      <c r="BI48" s="181">
        <v>436232</v>
      </c>
      <c r="BJ48" s="50">
        <v>216960</v>
      </c>
      <c r="BK48" s="50">
        <v>219272</v>
      </c>
      <c r="BL48" s="57">
        <v>406315</v>
      </c>
      <c r="BM48" s="57">
        <v>201979</v>
      </c>
      <c r="BN48" s="57">
        <v>204336</v>
      </c>
      <c r="BO48" s="57">
        <v>402668</v>
      </c>
      <c r="BP48" s="57">
        <v>200108</v>
      </c>
      <c r="BQ48" s="57">
        <v>202560</v>
      </c>
      <c r="BR48" s="57">
        <v>3438</v>
      </c>
      <c r="BS48" s="57">
        <v>2145</v>
      </c>
      <c r="BT48" s="57">
        <v>1293</v>
      </c>
      <c r="BU48" s="57">
        <v>5831</v>
      </c>
      <c r="BV48" s="57">
        <v>3052</v>
      </c>
      <c r="BW48" s="57">
        <v>2779</v>
      </c>
      <c r="BX48" s="138">
        <f t="shared" si="69"/>
        <v>26479</v>
      </c>
      <c r="BY48" s="57">
        <v>12836</v>
      </c>
      <c r="BZ48" s="57">
        <v>13643</v>
      </c>
      <c r="CA48" s="191">
        <v>411298</v>
      </c>
      <c r="CB48" s="5">
        <v>384809</v>
      </c>
      <c r="CC48" s="49">
        <v>2551</v>
      </c>
      <c r="CD48" s="49">
        <v>23938</v>
      </c>
      <c r="CE48" s="49">
        <v>4488</v>
      </c>
      <c r="CF48" s="181">
        <v>413437</v>
      </c>
      <c r="CG48" s="5">
        <v>386716</v>
      </c>
      <c r="CH48" s="49">
        <v>2516</v>
      </c>
      <c r="CI48" s="49">
        <v>24205</v>
      </c>
      <c r="CJ48" s="49">
        <v>5078</v>
      </c>
      <c r="CK48" s="56">
        <v>413790</v>
      </c>
      <c r="CL48" s="54">
        <v>385086</v>
      </c>
      <c r="CM48" s="55">
        <v>2571</v>
      </c>
      <c r="CN48" s="55">
        <v>26133</v>
      </c>
      <c r="CO48" s="55">
        <v>6248</v>
      </c>
      <c r="CP48" s="56">
        <v>436232</v>
      </c>
      <c r="CQ48" s="505">
        <v>406315</v>
      </c>
      <c r="CR48" s="505">
        <v>3438</v>
      </c>
      <c r="CS48" s="55">
        <v>26479</v>
      </c>
      <c r="CT48" s="505">
        <v>5831</v>
      </c>
      <c r="CU48" s="56">
        <v>442592</v>
      </c>
      <c r="CV48" s="505">
        <v>411393</v>
      </c>
      <c r="CW48" s="505"/>
      <c r="CX48" s="306">
        <f t="shared" si="70"/>
        <v>31199</v>
      </c>
      <c r="CY48" s="591"/>
      <c r="CZ48" s="49">
        <v>450055</v>
      </c>
      <c r="DA48" s="49">
        <v>417083</v>
      </c>
      <c r="DB48" s="49">
        <v>4245</v>
      </c>
      <c r="DC48" s="49">
        <v>28390</v>
      </c>
      <c r="DD48" s="594">
        <v>6470</v>
      </c>
      <c r="DE48" s="49">
        <v>457771</v>
      </c>
      <c r="DF48" s="49">
        <v>417650</v>
      </c>
      <c r="DG48" s="1">
        <v>4479</v>
      </c>
      <c r="DH48" s="49">
        <v>31065</v>
      </c>
      <c r="DI48" s="49">
        <v>7521</v>
      </c>
      <c r="DJ48" s="727">
        <v>492017</v>
      </c>
      <c r="DK48" s="49">
        <v>436239</v>
      </c>
      <c r="DL48" s="49">
        <v>7621</v>
      </c>
      <c r="DM48" s="730">
        <v>36723</v>
      </c>
      <c r="DN48" s="49">
        <v>12348</v>
      </c>
      <c r="DO48" s="727">
        <v>495015</v>
      </c>
      <c r="DP48" s="49">
        <v>436670</v>
      </c>
      <c r="DQ48" s="49"/>
      <c r="DR48" s="730">
        <v>36849</v>
      </c>
      <c r="DS48" s="49">
        <v>12173</v>
      </c>
    </row>
    <row r="49" spans="1:123" x14ac:dyDescent="0.2">
      <c r="A49" s="218" t="s">
        <v>41</v>
      </c>
      <c r="B49" s="10"/>
      <c r="C49" s="19"/>
      <c r="D49" s="48">
        <v>5377547</v>
      </c>
      <c r="E49" s="49">
        <v>2398747</v>
      </c>
      <c r="F49" s="49">
        <v>2570087</v>
      </c>
      <c r="G49" s="49">
        <v>197938</v>
      </c>
      <c r="H49" s="50">
        <v>210775</v>
      </c>
      <c r="I49" s="99">
        <v>5700317</v>
      </c>
      <c r="J49" s="138">
        <f t="shared" si="59"/>
        <v>5219934</v>
      </c>
      <c r="K49" s="49">
        <v>2467295</v>
      </c>
      <c r="L49" s="49">
        <v>2752639</v>
      </c>
      <c r="M49" s="138">
        <f t="shared" si="60"/>
        <v>463963</v>
      </c>
      <c r="N49" s="49">
        <v>213747</v>
      </c>
      <c r="O49" s="49">
        <v>250216</v>
      </c>
      <c r="P49" s="138">
        <f t="shared" si="61"/>
        <v>37001</v>
      </c>
      <c r="Q49" s="49">
        <v>18749</v>
      </c>
      <c r="R49" s="50">
        <v>18252</v>
      </c>
      <c r="S49" s="99">
        <v>6291667</v>
      </c>
      <c r="T49" s="136">
        <f t="shared" si="62"/>
        <v>5647057</v>
      </c>
      <c r="U49" s="49">
        <v>2646095</v>
      </c>
      <c r="V49" s="49">
        <v>3000962</v>
      </c>
      <c r="W49" s="136">
        <f t="shared" si="63"/>
        <v>551628</v>
      </c>
      <c r="X49" s="49">
        <v>247223</v>
      </c>
      <c r="Y49" s="49">
        <v>304405</v>
      </c>
      <c r="Z49" s="136">
        <f t="shared" si="64"/>
        <v>53107</v>
      </c>
      <c r="AA49" s="49">
        <v>26618</v>
      </c>
      <c r="AB49" s="49">
        <v>26489</v>
      </c>
      <c r="AC49" s="177">
        <v>37444</v>
      </c>
      <c r="AD49" s="177">
        <v>16450</v>
      </c>
      <c r="AE49" s="138">
        <v>20994</v>
      </c>
      <c r="AF49" s="99">
        <v>6924764</v>
      </c>
      <c r="AG49" s="5">
        <v>6175347</v>
      </c>
      <c r="AH49" s="78">
        <f t="shared" si="65"/>
        <v>6139319</v>
      </c>
      <c r="AI49" s="49">
        <v>2881463</v>
      </c>
      <c r="AJ49" s="49">
        <v>3257856</v>
      </c>
      <c r="AK49" s="5">
        <v>656421</v>
      </c>
      <c r="AL49" s="78">
        <f t="shared" si="66"/>
        <v>653932</v>
      </c>
      <c r="AM49" s="49">
        <v>287470</v>
      </c>
      <c r="AN49" s="49">
        <v>366462</v>
      </c>
      <c r="AO49" s="5">
        <v>64820</v>
      </c>
      <c r="AP49" s="50">
        <v>32321</v>
      </c>
      <c r="AQ49" s="49">
        <v>32499</v>
      </c>
      <c r="AR49" s="82">
        <f t="shared" si="67"/>
        <v>66693</v>
      </c>
      <c r="AS49" s="99">
        <v>7411740</v>
      </c>
      <c r="AT49" s="5">
        <v>6444503</v>
      </c>
      <c r="AU49" s="178">
        <v>3059868</v>
      </c>
      <c r="AV49" s="178">
        <v>3384635</v>
      </c>
      <c r="AW49" s="78">
        <f t="shared" si="68"/>
        <v>6390358</v>
      </c>
      <c r="AX49" s="49">
        <v>3033056</v>
      </c>
      <c r="AY49" s="50">
        <v>3357302</v>
      </c>
      <c r="AZ49" s="5">
        <v>746177</v>
      </c>
      <c r="BA49" s="49">
        <v>335278</v>
      </c>
      <c r="BB49" s="49">
        <v>410899</v>
      </c>
      <c r="BC49" s="5">
        <v>106232</v>
      </c>
      <c r="BD49" s="49">
        <v>54319</v>
      </c>
      <c r="BE49" s="49">
        <v>51913</v>
      </c>
      <c r="BF49" s="177">
        <v>221060</v>
      </c>
      <c r="BG49" s="177">
        <v>108860</v>
      </c>
      <c r="BH49" s="138">
        <v>112200</v>
      </c>
      <c r="BI49" s="181">
        <v>7687669</v>
      </c>
      <c r="BJ49" s="50">
        <v>3670035</v>
      </c>
      <c r="BK49" s="50">
        <v>4017634</v>
      </c>
      <c r="BL49" s="57">
        <v>6589010</v>
      </c>
      <c r="BM49" s="57">
        <v>3161196</v>
      </c>
      <c r="BN49" s="57">
        <v>3427814</v>
      </c>
      <c r="BO49" s="57">
        <v>6476022</v>
      </c>
      <c r="BP49" s="57">
        <v>3103163</v>
      </c>
      <c r="BQ49" s="57">
        <v>3372859</v>
      </c>
      <c r="BR49" s="57">
        <v>837493</v>
      </c>
      <c r="BS49" s="57">
        <v>382491</v>
      </c>
      <c r="BT49" s="57">
        <v>455002</v>
      </c>
      <c r="BU49" s="57">
        <v>170917</v>
      </c>
      <c r="BV49" s="57">
        <v>88685</v>
      </c>
      <c r="BW49" s="57">
        <v>82232</v>
      </c>
      <c r="BX49" s="138">
        <f t="shared" si="69"/>
        <v>261166</v>
      </c>
      <c r="BY49" s="57">
        <v>126348</v>
      </c>
      <c r="BZ49" s="57">
        <v>134818</v>
      </c>
      <c r="CA49" s="191">
        <v>7598399</v>
      </c>
      <c r="CB49" s="5">
        <v>6548565</v>
      </c>
      <c r="CC49" s="49">
        <v>796488</v>
      </c>
      <c r="CD49" s="49">
        <v>253346</v>
      </c>
      <c r="CE49" s="49">
        <v>143785</v>
      </c>
      <c r="CF49" s="181">
        <v>7636835</v>
      </c>
      <c r="CG49" s="5">
        <v>6582144</v>
      </c>
      <c r="CH49" s="49">
        <v>804209</v>
      </c>
      <c r="CI49" s="49">
        <v>250482</v>
      </c>
      <c r="CJ49" s="49">
        <v>148500</v>
      </c>
      <c r="CK49" s="56">
        <v>7711350</v>
      </c>
      <c r="CL49" s="54">
        <v>6645259</v>
      </c>
      <c r="CM49" s="55">
        <v>813819</v>
      </c>
      <c r="CN49" s="55">
        <v>252272</v>
      </c>
      <c r="CO49" s="55">
        <v>159868</v>
      </c>
      <c r="CP49" s="56">
        <v>7687669</v>
      </c>
      <c r="CQ49" s="505">
        <v>6589010</v>
      </c>
      <c r="CR49" s="505">
        <v>837493</v>
      </c>
      <c r="CS49" s="55">
        <v>261166</v>
      </c>
      <c r="CT49" s="505">
        <v>170917</v>
      </c>
      <c r="CU49" s="56">
        <v>7718074</v>
      </c>
      <c r="CV49" s="505">
        <v>6600893</v>
      </c>
      <c r="CW49" s="505">
        <v>844656</v>
      </c>
      <c r="CX49" s="306">
        <f t="shared" si="70"/>
        <v>272525</v>
      </c>
      <c r="CY49" s="591">
        <v>176662</v>
      </c>
      <c r="CZ49" s="49">
        <v>7744886</v>
      </c>
      <c r="DA49" s="49">
        <v>6609825</v>
      </c>
      <c r="DB49" s="49">
        <v>851270</v>
      </c>
      <c r="DC49" s="49">
        <v>282156</v>
      </c>
      <c r="DD49" s="594">
        <v>183250</v>
      </c>
      <c r="DE49" s="49">
        <v>7776454</v>
      </c>
      <c r="DF49" s="49">
        <v>6505332</v>
      </c>
      <c r="DG49" s="1">
        <v>851891</v>
      </c>
      <c r="DH49" s="49">
        <v>296089</v>
      </c>
      <c r="DI49" s="49">
        <v>189557</v>
      </c>
      <c r="DJ49" s="727">
        <v>7896470</v>
      </c>
      <c r="DK49" s="49">
        <v>6541286</v>
      </c>
      <c r="DL49" s="49">
        <v>883121</v>
      </c>
      <c r="DM49" s="730">
        <v>330890</v>
      </c>
      <c r="DN49" s="49">
        <v>212227</v>
      </c>
      <c r="DO49" s="727">
        <v>7922061</v>
      </c>
      <c r="DP49" s="49">
        <v>6537930</v>
      </c>
      <c r="DQ49" s="49">
        <v>900291</v>
      </c>
      <c r="DR49" s="730">
        <v>344648</v>
      </c>
      <c r="DS49" s="49">
        <v>214826</v>
      </c>
    </row>
    <row r="50" spans="1:123" x14ac:dyDescent="0.2">
      <c r="A50" s="218" t="s">
        <v>45</v>
      </c>
      <c r="B50" s="10"/>
      <c r="C50" s="19"/>
      <c r="D50" s="48">
        <v>360135</v>
      </c>
      <c r="E50" s="49">
        <v>175791</v>
      </c>
      <c r="F50" s="49">
        <v>173690</v>
      </c>
      <c r="G50" s="49">
        <v>5326</v>
      </c>
      <c r="H50" s="50">
        <v>5328</v>
      </c>
      <c r="I50" s="99">
        <v>349497</v>
      </c>
      <c r="J50" s="138">
        <f t="shared" si="59"/>
        <v>337278</v>
      </c>
      <c r="K50" s="49">
        <v>164024</v>
      </c>
      <c r="L50" s="49">
        <v>173254</v>
      </c>
      <c r="M50" s="138">
        <f t="shared" si="60"/>
        <v>640</v>
      </c>
      <c r="N50" s="49">
        <v>373</v>
      </c>
      <c r="O50" s="49">
        <v>267</v>
      </c>
      <c r="P50" s="138">
        <f t="shared" si="61"/>
        <v>1059</v>
      </c>
      <c r="Q50" s="49">
        <v>564</v>
      </c>
      <c r="R50" s="50">
        <v>495</v>
      </c>
      <c r="S50" s="99">
        <v>389991</v>
      </c>
      <c r="T50" s="136">
        <f t="shared" si="62"/>
        <v>369880</v>
      </c>
      <c r="U50" s="49">
        <v>178526</v>
      </c>
      <c r="V50" s="49">
        <v>191354</v>
      </c>
      <c r="W50" s="136">
        <f t="shared" si="63"/>
        <v>793</v>
      </c>
      <c r="X50" s="49">
        <v>526</v>
      </c>
      <c r="Y50" s="49">
        <v>267</v>
      </c>
      <c r="Z50" s="136">
        <f t="shared" si="64"/>
        <v>1444</v>
      </c>
      <c r="AA50" s="49">
        <v>716</v>
      </c>
      <c r="AB50" s="49">
        <v>728</v>
      </c>
      <c r="AC50" s="177">
        <v>17761</v>
      </c>
      <c r="AD50" s="177">
        <v>8184</v>
      </c>
      <c r="AE50" s="138">
        <v>9577</v>
      </c>
      <c r="AF50" s="99">
        <v>430500</v>
      </c>
      <c r="AG50" s="5">
        <v>405575</v>
      </c>
      <c r="AH50" s="78">
        <f t="shared" si="65"/>
        <v>404560</v>
      </c>
      <c r="AI50" s="49">
        <v>194558</v>
      </c>
      <c r="AJ50" s="49">
        <v>210002</v>
      </c>
      <c r="AK50" s="5">
        <v>1425</v>
      </c>
      <c r="AL50" s="78">
        <f t="shared" si="66"/>
        <v>1420</v>
      </c>
      <c r="AM50" s="49">
        <v>984</v>
      </c>
      <c r="AN50" s="49">
        <v>436</v>
      </c>
      <c r="AO50" s="5">
        <v>2248</v>
      </c>
      <c r="AP50" s="50">
        <v>1223</v>
      </c>
      <c r="AQ50" s="49">
        <v>1025</v>
      </c>
      <c r="AR50" s="82">
        <f t="shared" si="67"/>
        <v>22272</v>
      </c>
      <c r="AS50" s="99">
        <v>474359</v>
      </c>
      <c r="AT50" s="5">
        <v>436738</v>
      </c>
      <c r="AU50" s="178">
        <v>211974</v>
      </c>
      <c r="AV50" s="178">
        <v>224764</v>
      </c>
      <c r="AW50" s="78">
        <f t="shared" si="68"/>
        <v>434428</v>
      </c>
      <c r="AX50" s="49">
        <v>210769</v>
      </c>
      <c r="AY50" s="50">
        <v>223659</v>
      </c>
      <c r="AZ50" s="5">
        <v>2280</v>
      </c>
      <c r="BA50" s="49">
        <v>1518</v>
      </c>
      <c r="BB50" s="49">
        <v>762</v>
      </c>
      <c r="BC50" s="5">
        <v>4638</v>
      </c>
      <c r="BD50" s="49">
        <v>2553</v>
      </c>
      <c r="BE50" s="49">
        <v>2085</v>
      </c>
      <c r="BF50" s="177">
        <v>35341</v>
      </c>
      <c r="BG50" s="177">
        <v>16850</v>
      </c>
      <c r="BH50" s="138">
        <v>18491</v>
      </c>
      <c r="BI50" s="181">
        <v>525495</v>
      </c>
      <c r="BJ50" s="50">
        <v>258389</v>
      </c>
      <c r="BK50" s="50">
        <v>267106</v>
      </c>
      <c r="BL50" s="57">
        <v>474113</v>
      </c>
      <c r="BM50" s="57">
        <v>233073</v>
      </c>
      <c r="BN50" s="57">
        <v>241040</v>
      </c>
      <c r="BO50" s="57">
        <v>468948</v>
      </c>
      <c r="BP50" s="57">
        <v>230491</v>
      </c>
      <c r="BQ50" s="57">
        <v>238457</v>
      </c>
      <c r="BR50" s="57">
        <v>4697</v>
      </c>
      <c r="BS50" s="57">
        <v>3081</v>
      </c>
      <c r="BT50" s="57">
        <v>1616</v>
      </c>
      <c r="BU50" s="57">
        <v>9667</v>
      </c>
      <c r="BV50" s="57">
        <v>5141</v>
      </c>
      <c r="BW50" s="57">
        <v>4526</v>
      </c>
      <c r="BX50" s="138">
        <f t="shared" si="69"/>
        <v>46685</v>
      </c>
      <c r="BY50" s="57">
        <v>22235</v>
      </c>
      <c r="BZ50" s="57">
        <v>24450</v>
      </c>
      <c r="CA50" s="191">
        <v>509779</v>
      </c>
      <c r="CB50" s="5">
        <v>464194</v>
      </c>
      <c r="CC50" s="49">
        <v>3499</v>
      </c>
      <c r="CD50" s="49">
        <v>42086</v>
      </c>
      <c r="CE50" s="49">
        <v>7923</v>
      </c>
      <c r="CF50" s="181">
        <v>516633</v>
      </c>
      <c r="CG50" s="5">
        <v>468284</v>
      </c>
      <c r="CH50" s="49">
        <v>3678</v>
      </c>
      <c r="CI50" s="49">
        <v>44671</v>
      </c>
      <c r="CJ50" s="49">
        <v>8634</v>
      </c>
      <c r="CK50" s="56">
        <v>520791</v>
      </c>
      <c r="CL50" s="54">
        <v>471071</v>
      </c>
      <c r="CM50" s="55">
        <v>3949</v>
      </c>
      <c r="CN50" s="55">
        <v>45771</v>
      </c>
      <c r="CO50" s="55">
        <v>9435</v>
      </c>
      <c r="CP50" s="56">
        <v>525495</v>
      </c>
      <c r="CQ50" s="505">
        <v>474113</v>
      </c>
      <c r="CR50" s="505">
        <v>4697</v>
      </c>
      <c r="CS50" s="55">
        <v>46685</v>
      </c>
      <c r="CT50" s="505">
        <v>9667</v>
      </c>
      <c r="CU50" s="56">
        <v>531543</v>
      </c>
      <c r="CV50" s="505">
        <v>478192</v>
      </c>
      <c r="CW50" s="505"/>
      <c r="CX50" s="306">
        <f t="shared" si="70"/>
        <v>53351</v>
      </c>
      <c r="CY50" s="591">
        <v>10146</v>
      </c>
      <c r="CZ50" s="49">
        <v>538464</v>
      </c>
      <c r="DA50" s="49">
        <v>482510</v>
      </c>
      <c r="DB50" s="49">
        <v>5700</v>
      </c>
      <c r="DC50" s="49">
        <v>50117</v>
      </c>
      <c r="DD50" s="594">
        <v>10608</v>
      </c>
      <c r="DE50" s="49">
        <v>544876</v>
      </c>
      <c r="DF50" s="49">
        <v>479646</v>
      </c>
      <c r="DG50" s="1">
        <v>6289</v>
      </c>
      <c r="DH50" s="49">
        <v>52290</v>
      </c>
      <c r="DI50" s="49">
        <v>11785</v>
      </c>
      <c r="DJ50" s="727">
        <v>563108</v>
      </c>
      <c r="DK50" s="49">
        <v>490147</v>
      </c>
      <c r="DL50" s="49">
        <v>7412</v>
      </c>
      <c r="DM50" s="730">
        <v>52893</v>
      </c>
      <c r="DN50" s="49">
        <v>14060</v>
      </c>
      <c r="DO50" s="727">
        <v>565894</v>
      </c>
      <c r="DP50" s="49">
        <v>492869</v>
      </c>
      <c r="DQ50" s="49">
        <v>7354</v>
      </c>
      <c r="DR50" s="730">
        <v>56865</v>
      </c>
      <c r="DS50" s="49">
        <v>14002</v>
      </c>
    </row>
    <row r="51" spans="1:123" x14ac:dyDescent="0.2">
      <c r="A51" s="222" t="s">
        <v>49</v>
      </c>
      <c r="B51" s="243"/>
      <c r="C51" s="383"/>
      <c r="D51" s="384">
        <v>2175370</v>
      </c>
      <c r="E51" s="385">
        <v>1047671</v>
      </c>
      <c r="F51" s="385">
        <v>1086932</v>
      </c>
      <c r="G51" s="385">
        <v>20671</v>
      </c>
      <c r="H51" s="385">
        <v>20096</v>
      </c>
      <c r="I51" s="386">
        <v>586058</v>
      </c>
      <c r="J51" s="387">
        <f t="shared" si="59"/>
        <v>580614</v>
      </c>
      <c r="K51" s="385">
        <v>286659</v>
      </c>
      <c r="L51" s="385">
        <v>293955</v>
      </c>
      <c r="M51" s="387">
        <f t="shared" si="60"/>
        <v>749</v>
      </c>
      <c r="N51" s="385">
        <v>424</v>
      </c>
      <c r="O51" s="385">
        <v>325</v>
      </c>
      <c r="P51" s="387">
        <f t="shared" si="61"/>
        <v>1970</v>
      </c>
      <c r="Q51" s="385">
        <v>969</v>
      </c>
      <c r="R51" s="385">
        <v>1001</v>
      </c>
      <c r="S51" s="386">
        <v>2705388</v>
      </c>
      <c r="T51" s="249">
        <f t="shared" si="62"/>
        <v>2578549</v>
      </c>
      <c r="U51" s="385">
        <v>1230480</v>
      </c>
      <c r="V51" s="385">
        <v>1348069</v>
      </c>
      <c r="W51" s="249">
        <f t="shared" si="63"/>
        <v>78052</v>
      </c>
      <c r="X51" s="385">
        <v>35511</v>
      </c>
      <c r="Y51" s="385">
        <v>42541</v>
      </c>
      <c r="Z51" s="249">
        <f t="shared" si="64"/>
        <v>24163</v>
      </c>
      <c r="AA51" s="385">
        <v>12508</v>
      </c>
      <c r="AB51" s="385">
        <v>11655</v>
      </c>
      <c r="AC51" s="387">
        <v>23823</v>
      </c>
      <c r="AD51" s="387">
        <v>10759</v>
      </c>
      <c r="AE51" s="387">
        <v>13064</v>
      </c>
      <c r="AF51" s="386">
        <v>3094226</v>
      </c>
      <c r="AG51" s="242">
        <v>2918275</v>
      </c>
      <c r="AH51" s="249">
        <f t="shared" si="65"/>
        <v>2898924</v>
      </c>
      <c r="AI51" s="385">
        <v>1385275</v>
      </c>
      <c r="AJ51" s="385">
        <v>1513649</v>
      </c>
      <c r="AK51" s="242">
        <v>115996</v>
      </c>
      <c r="AL51" s="249">
        <f t="shared" si="66"/>
        <v>115423</v>
      </c>
      <c r="AM51" s="385">
        <v>51378</v>
      </c>
      <c r="AN51" s="385">
        <v>64045</v>
      </c>
      <c r="AO51" s="242">
        <v>37462</v>
      </c>
      <c r="AP51" s="385">
        <v>19724</v>
      </c>
      <c r="AQ51" s="385">
        <v>17738</v>
      </c>
      <c r="AR51" s="388">
        <f t="shared" si="67"/>
        <v>42417</v>
      </c>
      <c r="AS51" s="386">
        <v>3475878</v>
      </c>
      <c r="AT51" s="242">
        <v>3192571</v>
      </c>
      <c r="AU51" s="389">
        <v>1544477</v>
      </c>
      <c r="AV51" s="389">
        <v>1648094</v>
      </c>
      <c r="AW51" s="249">
        <f t="shared" si="68"/>
        <v>3151316</v>
      </c>
      <c r="AX51" s="385">
        <v>1522410</v>
      </c>
      <c r="AY51" s="385">
        <v>1628906</v>
      </c>
      <c r="AZ51" s="242">
        <v>152052</v>
      </c>
      <c r="BA51" s="385">
        <v>69754</v>
      </c>
      <c r="BB51" s="385">
        <v>82298</v>
      </c>
      <c r="BC51" s="242">
        <v>86890</v>
      </c>
      <c r="BD51" s="385">
        <v>47833</v>
      </c>
      <c r="BE51" s="385">
        <v>39057</v>
      </c>
      <c r="BF51" s="387">
        <v>131255</v>
      </c>
      <c r="BG51" s="387">
        <v>66599</v>
      </c>
      <c r="BH51" s="387">
        <v>64656</v>
      </c>
      <c r="BI51" s="391">
        <v>3773536</v>
      </c>
      <c r="BJ51" s="385">
        <v>1843006</v>
      </c>
      <c r="BK51" s="385">
        <v>1930530</v>
      </c>
      <c r="BL51" s="384">
        <v>3415613</v>
      </c>
      <c r="BM51" s="384">
        <v>1670524</v>
      </c>
      <c r="BN51" s="384">
        <v>1745089</v>
      </c>
      <c r="BO51" s="384">
        <v>3309874</v>
      </c>
      <c r="BP51" s="384">
        <v>1614679</v>
      </c>
      <c r="BQ51" s="384">
        <v>1695195</v>
      </c>
      <c r="BR51" s="384">
        <v>189506</v>
      </c>
      <c r="BS51" s="384">
        <v>89009</v>
      </c>
      <c r="BT51" s="384">
        <v>100497</v>
      </c>
      <c r="BU51" s="384">
        <v>154427</v>
      </c>
      <c r="BV51" s="384">
        <v>82204</v>
      </c>
      <c r="BW51" s="384">
        <v>72223</v>
      </c>
      <c r="BX51" s="387">
        <f t="shared" si="69"/>
        <v>168417</v>
      </c>
      <c r="BY51" s="384">
        <v>83473</v>
      </c>
      <c r="BZ51" s="384">
        <v>84944</v>
      </c>
      <c r="CA51" s="390">
        <v>3692408</v>
      </c>
      <c r="CB51" s="242">
        <v>3334225</v>
      </c>
      <c r="CC51" s="385">
        <v>176577</v>
      </c>
      <c r="CD51" s="385">
        <v>181606</v>
      </c>
      <c r="CE51" s="385">
        <v>131232</v>
      </c>
      <c r="CF51" s="391">
        <v>3727936</v>
      </c>
      <c r="CG51" s="242">
        <v>3371349</v>
      </c>
      <c r="CH51" s="385">
        <v>178993</v>
      </c>
      <c r="CI51" s="385">
        <v>177594</v>
      </c>
      <c r="CJ51" s="385">
        <v>137057</v>
      </c>
      <c r="CK51" s="245">
        <v>3727557</v>
      </c>
      <c r="CL51" s="246">
        <v>3379870</v>
      </c>
      <c r="CM51" s="246">
        <v>180296</v>
      </c>
      <c r="CN51" s="246">
        <v>167391</v>
      </c>
      <c r="CO51" s="246">
        <v>140397</v>
      </c>
      <c r="CP51" s="245">
        <v>3773536</v>
      </c>
      <c r="CQ51" s="505">
        <v>3415613</v>
      </c>
      <c r="CR51" s="505">
        <v>189506</v>
      </c>
      <c r="CS51" s="55">
        <v>168417</v>
      </c>
      <c r="CT51" s="505">
        <v>154427</v>
      </c>
      <c r="CU51" s="245">
        <v>3803392</v>
      </c>
      <c r="CV51" s="505">
        <v>3435239</v>
      </c>
      <c r="CW51" s="505">
        <v>192901</v>
      </c>
      <c r="CX51" s="306">
        <f t="shared" si="70"/>
        <v>175252</v>
      </c>
      <c r="CY51" s="591">
        <v>160610</v>
      </c>
      <c r="CZ51" s="391">
        <v>3828580</v>
      </c>
      <c r="DA51" s="50">
        <v>3449256</v>
      </c>
      <c r="DB51" s="50">
        <v>194586</v>
      </c>
      <c r="DC51" s="50">
        <v>184150</v>
      </c>
      <c r="DD51" s="595">
        <v>165091</v>
      </c>
      <c r="DE51" s="385">
        <v>3853730</v>
      </c>
      <c r="DF51" s="49">
        <v>3350981</v>
      </c>
      <c r="DG51" s="1">
        <v>197513</v>
      </c>
      <c r="DH51" s="49">
        <v>190860</v>
      </c>
      <c r="DI51" s="49">
        <v>170948</v>
      </c>
      <c r="DJ51" s="727">
        <v>3918997</v>
      </c>
      <c r="DK51" s="49">
        <v>3369492</v>
      </c>
      <c r="DL51" s="49">
        <v>203699</v>
      </c>
      <c r="DM51" s="730">
        <v>222774</v>
      </c>
      <c r="DN51" s="49">
        <v>188555</v>
      </c>
      <c r="DO51" s="727">
        <v>3933329</v>
      </c>
      <c r="DP51" s="49">
        <v>3375616</v>
      </c>
      <c r="DQ51" s="49">
        <v>208081</v>
      </c>
      <c r="DR51" s="730">
        <v>234402</v>
      </c>
      <c r="DS51" s="49">
        <v>192070</v>
      </c>
    </row>
    <row r="52" spans="1:123" x14ac:dyDescent="0.2">
      <c r="A52" s="223" t="s">
        <v>184</v>
      </c>
      <c r="B52" s="530">
        <f>SUM(B54:B62)</f>
        <v>0</v>
      </c>
      <c r="C52" s="446">
        <f t="shared" ref="C52:CF52" si="71">SUM(C54:C62)</f>
        <v>0</v>
      </c>
      <c r="D52" s="441">
        <f t="shared" si="71"/>
        <v>26412632</v>
      </c>
      <c r="E52" s="441">
        <f t="shared" si="71"/>
        <v>11756596</v>
      </c>
      <c r="F52" s="441">
        <f t="shared" si="71"/>
        <v>12968033</v>
      </c>
      <c r="G52" s="441">
        <f t="shared" si="71"/>
        <v>785871</v>
      </c>
      <c r="H52" s="444">
        <f t="shared" si="71"/>
        <v>902132</v>
      </c>
      <c r="I52" s="443">
        <f t="shared" si="71"/>
        <v>26363705</v>
      </c>
      <c r="J52" s="444">
        <f t="shared" si="71"/>
        <v>24160219</v>
      </c>
      <c r="K52" s="441">
        <f t="shared" si="71"/>
        <v>11266736</v>
      </c>
      <c r="L52" s="441">
        <f t="shared" si="71"/>
        <v>12893483</v>
      </c>
      <c r="M52" s="444">
        <f t="shared" si="71"/>
        <v>2036980</v>
      </c>
      <c r="N52" s="441">
        <f t="shared" si="71"/>
        <v>901183</v>
      </c>
      <c r="O52" s="441">
        <f t="shared" si="71"/>
        <v>1135797</v>
      </c>
      <c r="P52" s="444">
        <f t="shared" si="71"/>
        <v>471544</v>
      </c>
      <c r="Q52" s="441">
        <f t="shared" si="71"/>
        <v>219860</v>
      </c>
      <c r="R52" s="444">
        <f t="shared" si="71"/>
        <v>251684</v>
      </c>
      <c r="S52" s="443">
        <f t="shared" si="71"/>
        <v>29903010</v>
      </c>
      <c r="T52" s="290">
        <f t="shared" si="71"/>
        <v>25741998</v>
      </c>
      <c r="U52" s="441">
        <f t="shared" si="71"/>
        <v>11924242</v>
      </c>
      <c r="V52" s="441">
        <f t="shared" si="71"/>
        <v>13817756</v>
      </c>
      <c r="W52" s="290">
        <f t="shared" si="71"/>
        <v>2471472</v>
      </c>
      <c r="X52" s="441">
        <f t="shared" si="71"/>
        <v>1066681</v>
      </c>
      <c r="Y52" s="441">
        <f t="shared" si="71"/>
        <v>1404791</v>
      </c>
      <c r="Z52" s="290">
        <f t="shared" si="71"/>
        <v>1272149</v>
      </c>
      <c r="AA52" s="441">
        <f t="shared" si="71"/>
        <v>575550</v>
      </c>
      <c r="AB52" s="441">
        <f t="shared" si="71"/>
        <v>696599</v>
      </c>
      <c r="AC52" s="441">
        <f t="shared" si="71"/>
        <v>387817</v>
      </c>
      <c r="AD52" s="441">
        <f t="shared" si="71"/>
        <v>185537</v>
      </c>
      <c r="AE52" s="444">
        <f t="shared" si="71"/>
        <v>202280</v>
      </c>
      <c r="AF52" s="443">
        <f t="shared" si="71"/>
        <v>33544628</v>
      </c>
      <c r="AG52" s="290">
        <f t="shared" si="71"/>
        <v>28550913</v>
      </c>
      <c r="AH52" s="285">
        <f t="shared" si="71"/>
        <v>27585554</v>
      </c>
      <c r="AI52" s="441">
        <f t="shared" si="71"/>
        <v>12907229</v>
      </c>
      <c r="AJ52" s="441">
        <f t="shared" si="71"/>
        <v>14678325</v>
      </c>
      <c r="AK52" s="290">
        <f t="shared" si="71"/>
        <v>3272364</v>
      </c>
      <c r="AL52" s="285">
        <f t="shared" si="71"/>
        <v>3078736</v>
      </c>
      <c r="AM52" s="441">
        <f t="shared" si="71"/>
        <v>1350186</v>
      </c>
      <c r="AN52" s="441">
        <f t="shared" si="71"/>
        <v>1728550</v>
      </c>
      <c r="AO52" s="290">
        <f t="shared" si="71"/>
        <v>1992289</v>
      </c>
      <c r="AP52" s="444">
        <f t="shared" si="71"/>
        <v>936979</v>
      </c>
      <c r="AQ52" s="441">
        <f t="shared" si="71"/>
        <v>1055310</v>
      </c>
      <c r="AR52" s="445">
        <f t="shared" si="71"/>
        <v>888049</v>
      </c>
      <c r="AS52" s="443">
        <f t="shared" si="71"/>
        <v>35828187</v>
      </c>
      <c r="AT52" s="290">
        <f t="shared" si="71"/>
        <v>28806226</v>
      </c>
      <c r="AU52" s="447">
        <f t="shared" si="71"/>
        <v>13572560</v>
      </c>
      <c r="AV52" s="447">
        <f t="shared" si="71"/>
        <v>15233666</v>
      </c>
      <c r="AW52" s="285">
        <f t="shared" si="71"/>
        <v>27513811</v>
      </c>
      <c r="AX52" s="441">
        <f t="shared" si="71"/>
        <v>12953383</v>
      </c>
      <c r="AY52" s="444">
        <f t="shared" si="71"/>
        <v>14560428</v>
      </c>
      <c r="AZ52" s="290">
        <f t="shared" si="71"/>
        <v>3578267</v>
      </c>
      <c r="BA52" s="441">
        <f t="shared" si="71"/>
        <v>1572989</v>
      </c>
      <c r="BB52" s="441">
        <f t="shared" si="71"/>
        <v>2005278</v>
      </c>
      <c r="BC52" s="290">
        <f t="shared" si="71"/>
        <v>2890852</v>
      </c>
      <c r="BD52" s="441">
        <f t="shared" si="71"/>
        <v>1377633</v>
      </c>
      <c r="BE52" s="441">
        <f t="shared" si="71"/>
        <v>1513219</v>
      </c>
      <c r="BF52" s="441">
        <f t="shared" si="71"/>
        <v>3443694</v>
      </c>
      <c r="BG52" s="441">
        <f t="shared" si="71"/>
        <v>1656275</v>
      </c>
      <c r="BH52" s="444">
        <f t="shared" si="71"/>
        <v>1787419</v>
      </c>
      <c r="BI52" s="509">
        <f t="shared" si="71"/>
        <v>37331839</v>
      </c>
      <c r="BJ52" s="511">
        <f t="shared" si="71"/>
        <v>17682995</v>
      </c>
      <c r="BK52" s="511">
        <f t="shared" si="71"/>
        <v>19648844</v>
      </c>
      <c r="BL52" s="511">
        <f t="shared" si="71"/>
        <v>29136805</v>
      </c>
      <c r="BM52" s="511">
        <f t="shared" si="71"/>
        <v>13896293</v>
      </c>
      <c r="BN52" s="511">
        <f t="shared" si="71"/>
        <v>15240512</v>
      </c>
      <c r="BO52" s="511">
        <f t="shared" si="71"/>
        <v>27155485</v>
      </c>
      <c r="BP52" s="511">
        <f t="shared" si="71"/>
        <v>12934422</v>
      </c>
      <c r="BQ52" s="511">
        <f t="shared" si="71"/>
        <v>14221063</v>
      </c>
      <c r="BR52" s="511">
        <f t="shared" si="71"/>
        <v>3968161</v>
      </c>
      <c r="BS52" s="511">
        <f t="shared" si="71"/>
        <v>1763837</v>
      </c>
      <c r="BT52" s="511">
        <f t="shared" si="71"/>
        <v>2204324</v>
      </c>
      <c r="BU52" s="511">
        <f t="shared" si="71"/>
        <v>3878207</v>
      </c>
      <c r="BV52" s="511">
        <f t="shared" si="71"/>
        <v>1875668</v>
      </c>
      <c r="BW52" s="511">
        <f t="shared" si="71"/>
        <v>2002539</v>
      </c>
      <c r="BX52" s="511">
        <f t="shared" si="71"/>
        <v>4226873</v>
      </c>
      <c r="BY52" s="511">
        <f t="shared" si="71"/>
        <v>2022865</v>
      </c>
      <c r="BZ52" s="511">
        <f t="shared" si="71"/>
        <v>2204008</v>
      </c>
      <c r="CA52" s="448">
        <f t="shared" si="71"/>
        <v>36754583</v>
      </c>
      <c r="CB52" s="290">
        <f t="shared" si="71"/>
        <v>28833920</v>
      </c>
      <c r="CC52" s="441">
        <f t="shared" si="71"/>
        <v>3778223</v>
      </c>
      <c r="CD52" s="441">
        <f t="shared" si="71"/>
        <v>4142440</v>
      </c>
      <c r="CE52" s="441">
        <f t="shared" si="71"/>
        <v>3518606</v>
      </c>
      <c r="CF52" s="443">
        <f t="shared" si="71"/>
        <v>36956222</v>
      </c>
      <c r="CG52" s="290">
        <f t="shared" ref="CG52:CP52" si="72">SUM(CG54:CG62)</f>
        <v>28983056</v>
      </c>
      <c r="CH52" s="441">
        <f t="shared" si="72"/>
        <v>3831288</v>
      </c>
      <c r="CI52" s="442">
        <f t="shared" si="72"/>
        <v>4141878</v>
      </c>
      <c r="CJ52" s="441">
        <f t="shared" si="72"/>
        <v>3609675</v>
      </c>
      <c r="CK52" s="284">
        <f t="shared" si="72"/>
        <v>37309828</v>
      </c>
      <c r="CL52" s="257">
        <f t="shared" si="72"/>
        <v>29331717</v>
      </c>
      <c r="CM52" s="306">
        <f t="shared" si="72"/>
        <v>3909288</v>
      </c>
      <c r="CN52" s="306">
        <f t="shared" si="72"/>
        <v>4068823</v>
      </c>
      <c r="CO52" s="306">
        <f t="shared" si="72"/>
        <v>3670627</v>
      </c>
      <c r="CP52" s="359">
        <f t="shared" si="72"/>
        <v>37331839</v>
      </c>
      <c r="CQ52" s="513">
        <f t="shared" ref="CQ52:DJ52" si="73">SUM(CQ54:CQ62)</f>
        <v>29136805</v>
      </c>
      <c r="CR52" s="513">
        <f t="shared" si="73"/>
        <v>3968161</v>
      </c>
      <c r="CS52" s="513">
        <f t="shared" si="73"/>
        <v>4226873</v>
      </c>
      <c r="CT52" s="513">
        <f t="shared" si="73"/>
        <v>3878207</v>
      </c>
      <c r="CU52" s="359">
        <f t="shared" si="73"/>
        <v>37604771</v>
      </c>
      <c r="CV52" s="513">
        <f t="shared" si="73"/>
        <v>29200519</v>
      </c>
      <c r="CW52" s="513">
        <f t="shared" si="73"/>
        <v>3996137</v>
      </c>
      <c r="CX52" s="513">
        <f t="shared" si="73"/>
        <v>4408115</v>
      </c>
      <c r="CY52" s="587">
        <f t="shared" si="73"/>
        <v>3992365</v>
      </c>
      <c r="CZ52" s="599">
        <f t="shared" si="73"/>
        <v>37884737</v>
      </c>
      <c r="DA52" s="599">
        <f t="shared" si="73"/>
        <v>29276009</v>
      </c>
      <c r="DB52" s="599">
        <f t="shared" si="73"/>
        <v>4064719</v>
      </c>
      <c r="DC52" s="599">
        <f t="shared" si="73"/>
        <v>4539731</v>
      </c>
      <c r="DD52" s="596">
        <f t="shared" si="73"/>
        <v>4127880</v>
      </c>
      <c r="DE52" s="596">
        <f t="shared" si="73"/>
        <v>38161301</v>
      </c>
      <c r="DF52" s="596">
        <f t="shared" si="73"/>
        <v>27220663</v>
      </c>
      <c r="DG52" s="596">
        <f t="shared" si="73"/>
        <v>4125519</v>
      </c>
      <c r="DH52" s="596">
        <f t="shared" si="73"/>
        <v>4698005</v>
      </c>
      <c r="DI52" s="596">
        <f t="shared" si="73"/>
        <v>4250663</v>
      </c>
      <c r="DJ52" s="596">
        <f t="shared" si="73"/>
        <v>38952137</v>
      </c>
      <c r="DK52" s="596">
        <f>SUM(DK54:DK62)</f>
        <v>27126644</v>
      </c>
      <c r="DL52" s="596">
        <f t="shared" ref="DL52:DS52" si="74">SUM(DL54:DL62)</f>
        <v>4292700</v>
      </c>
      <c r="DM52" s="596">
        <f t="shared" si="74"/>
        <v>5137053</v>
      </c>
      <c r="DN52" s="596">
        <f t="shared" si="74"/>
        <v>4635982</v>
      </c>
      <c r="DO52" s="596">
        <f t="shared" si="74"/>
        <v>39029754</v>
      </c>
      <c r="DP52" s="596">
        <f>SUM(DP54:DP62)</f>
        <v>27021304</v>
      </c>
      <c r="DQ52" s="596">
        <f t="shared" si="74"/>
        <v>4336843</v>
      </c>
      <c r="DR52" s="596">
        <f t="shared" si="74"/>
        <v>5177451</v>
      </c>
      <c r="DS52" s="596">
        <f t="shared" si="74"/>
        <v>4726621</v>
      </c>
    </row>
    <row r="53" spans="1:123" x14ac:dyDescent="0.2">
      <c r="A53" s="223" t="s">
        <v>181</v>
      </c>
      <c r="B53" s="10"/>
      <c r="C53" s="19"/>
      <c r="E53" s="48"/>
      <c r="F53" s="48"/>
      <c r="G53" s="48"/>
      <c r="H53" s="57"/>
      <c r="J53" s="138"/>
      <c r="K53" s="48"/>
      <c r="L53" s="48"/>
      <c r="M53" s="138"/>
      <c r="N53" s="48"/>
      <c r="O53" s="48"/>
      <c r="P53" s="138"/>
      <c r="Q53" s="48"/>
      <c r="R53" s="57"/>
      <c r="S53" s="99"/>
      <c r="T53" s="136"/>
      <c r="U53" s="48"/>
      <c r="V53" s="48"/>
      <c r="W53" s="136"/>
      <c r="X53" s="48"/>
      <c r="Y53" s="48"/>
      <c r="Z53" s="136"/>
      <c r="AA53" s="48"/>
      <c r="AB53" s="48"/>
      <c r="AC53" s="177"/>
      <c r="AD53" s="177"/>
      <c r="AE53" s="138"/>
      <c r="AG53" s="5"/>
      <c r="AH53" s="78"/>
      <c r="AI53" s="48"/>
      <c r="AJ53" s="48"/>
      <c r="AK53" s="5"/>
      <c r="AL53" s="78"/>
      <c r="AM53" s="48"/>
      <c r="AN53" s="48"/>
      <c r="AO53" s="5"/>
      <c r="AP53" s="57"/>
      <c r="AQ53" s="48"/>
      <c r="AR53" s="82"/>
      <c r="AT53" s="5"/>
      <c r="AU53" s="178"/>
      <c r="AV53" s="178"/>
      <c r="AW53" s="78"/>
      <c r="AX53" s="48"/>
      <c r="AY53" s="57"/>
      <c r="AZ53" s="5"/>
      <c r="BA53" s="48"/>
      <c r="BB53" s="48"/>
      <c r="BC53" s="5"/>
      <c r="BD53" s="48"/>
      <c r="BE53" s="48"/>
      <c r="BF53" s="177"/>
      <c r="BG53" s="177"/>
      <c r="BH53" s="138"/>
      <c r="BI53" s="99"/>
      <c r="BJ53" s="57"/>
      <c r="BK53" s="57"/>
      <c r="BL53" s="138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138"/>
      <c r="BY53" s="57"/>
      <c r="BZ53" s="57"/>
      <c r="CA53" s="192"/>
      <c r="CB53" s="5"/>
      <c r="CC53" s="48"/>
      <c r="CD53" s="48"/>
      <c r="CE53" s="48"/>
      <c r="CF53" s="99"/>
      <c r="CG53" s="5"/>
      <c r="CH53" s="48"/>
      <c r="CJ53" s="48"/>
      <c r="CK53" s="56"/>
      <c r="CL53" s="54"/>
      <c r="CM53" s="55"/>
      <c r="CN53" s="55"/>
      <c r="CO53" s="55"/>
      <c r="CP53" s="56"/>
      <c r="CQ53" s="505"/>
      <c r="CR53" s="505"/>
      <c r="CS53" s="55"/>
      <c r="CT53" s="505"/>
      <c r="CU53" s="56"/>
      <c r="CV53" s="505"/>
      <c r="CW53" s="505"/>
      <c r="CX53" s="505"/>
      <c r="CY53" s="591"/>
      <c r="CZ53" s="49"/>
      <c r="DA53" s="49"/>
      <c r="DB53" s="49"/>
      <c r="DC53" s="49"/>
      <c r="DD53" s="594"/>
      <c r="DH53" s="49">
        <v>0</v>
      </c>
      <c r="DJ53" s="727">
        <v>0</v>
      </c>
      <c r="DK53" s="726"/>
      <c r="DL53" s="49"/>
      <c r="DM53" s="730">
        <v>0</v>
      </c>
      <c r="DN53" s="49"/>
      <c r="DO53" s="727"/>
      <c r="DP53" s="726"/>
      <c r="DQ53" s="49"/>
      <c r="DS53" s="49"/>
    </row>
    <row r="54" spans="1:123" x14ac:dyDescent="0.2">
      <c r="A54" s="218" t="s">
        <v>21</v>
      </c>
      <c r="B54" s="10"/>
      <c r="C54" s="19"/>
      <c r="D54" s="48">
        <v>1481788</v>
      </c>
      <c r="E54" s="49">
        <v>685062</v>
      </c>
      <c r="F54" s="49">
        <v>742278</v>
      </c>
      <c r="G54" s="49">
        <v>26370</v>
      </c>
      <c r="H54" s="50">
        <v>28078</v>
      </c>
      <c r="I54" s="99">
        <v>363914</v>
      </c>
      <c r="J54" s="138">
        <f t="shared" ref="J54:J63" si="75">+K54+L54</f>
        <v>359407</v>
      </c>
      <c r="K54" s="49">
        <v>175424</v>
      </c>
      <c r="L54" s="49">
        <v>183983</v>
      </c>
      <c r="M54" s="138">
        <f t="shared" ref="M54:M63" si="76">+N54+O54</f>
        <v>3509</v>
      </c>
      <c r="N54" s="49">
        <v>1870</v>
      </c>
      <c r="O54" s="49">
        <v>1639</v>
      </c>
      <c r="P54" s="138">
        <f t="shared" ref="P54:P63" si="77">+Q54+R54</f>
        <v>2647</v>
      </c>
      <c r="Q54" s="49">
        <v>1338</v>
      </c>
      <c r="R54" s="50">
        <v>1309</v>
      </c>
      <c r="S54" s="99">
        <v>1900164</v>
      </c>
      <c r="T54" s="136">
        <f t="shared" ref="T54:T63" si="78">+U54+V54</f>
        <v>1728898</v>
      </c>
      <c r="U54" s="49">
        <v>808551</v>
      </c>
      <c r="V54" s="49">
        <v>920347</v>
      </c>
      <c r="W54" s="136">
        <f t="shared" ref="W54:W63" si="79">+X54+Y54</f>
        <v>103180</v>
      </c>
      <c r="X54" s="49">
        <v>45959</v>
      </c>
      <c r="Y54" s="49">
        <v>57221</v>
      </c>
      <c r="Z54" s="136">
        <f t="shared" ref="Z54:Z63" si="80">+AA54+AB54</f>
        <v>52819</v>
      </c>
      <c r="AA54" s="49">
        <v>24214</v>
      </c>
      <c r="AB54" s="49">
        <v>28605</v>
      </c>
      <c r="AC54" s="177">
        <v>13933</v>
      </c>
      <c r="AD54" s="177">
        <v>6586</v>
      </c>
      <c r="AE54" s="138">
        <v>7347</v>
      </c>
      <c r="AF54" s="99">
        <v>2198963</v>
      </c>
      <c r="AG54" s="5">
        <v>1970621</v>
      </c>
      <c r="AH54" s="78">
        <f t="shared" ref="AH54:AH63" si="81">+AI54+AJ54</f>
        <v>1917625</v>
      </c>
      <c r="AI54" s="49">
        <v>906006</v>
      </c>
      <c r="AJ54" s="49">
        <v>1011619</v>
      </c>
      <c r="AK54" s="5">
        <v>152611</v>
      </c>
      <c r="AL54" s="78">
        <f t="shared" ref="AL54:AL63" si="82">+AM54+AN54</f>
        <v>148011</v>
      </c>
      <c r="AM54" s="49">
        <v>66536</v>
      </c>
      <c r="AN54" s="49">
        <v>81475</v>
      </c>
      <c r="AO54" s="5">
        <v>99987</v>
      </c>
      <c r="AP54" s="50">
        <v>47305</v>
      </c>
      <c r="AQ54" s="49">
        <v>52682</v>
      </c>
      <c r="AR54" s="82">
        <f t="shared" ref="AR54:AR63" si="83">+AF54-AH54-AL54-AO54</f>
        <v>33340</v>
      </c>
      <c r="AS54" s="99">
        <v>2295617</v>
      </c>
      <c r="AT54" s="5">
        <v>1949130</v>
      </c>
      <c r="AU54" s="178">
        <v>918577</v>
      </c>
      <c r="AV54" s="178">
        <v>1030553</v>
      </c>
      <c r="AW54" s="78">
        <f t="shared" ref="AW54:AW63" si="84">+AX54+AY54</f>
        <v>1872347</v>
      </c>
      <c r="AX54" s="49">
        <v>882129</v>
      </c>
      <c r="AY54" s="50">
        <v>990218</v>
      </c>
      <c r="AZ54" s="5">
        <v>175527</v>
      </c>
      <c r="BA54" s="49">
        <v>78248</v>
      </c>
      <c r="BB54" s="49">
        <v>97279</v>
      </c>
      <c r="BC54" s="5">
        <v>162962</v>
      </c>
      <c r="BD54" s="49">
        <v>77821</v>
      </c>
      <c r="BE54" s="49">
        <v>85141</v>
      </c>
      <c r="BF54" s="177">
        <v>170960</v>
      </c>
      <c r="BG54" s="177">
        <v>82828</v>
      </c>
      <c r="BH54" s="138">
        <v>88132</v>
      </c>
      <c r="BI54" s="181">
        <v>2416034</v>
      </c>
      <c r="BJ54" s="50">
        <v>1145190</v>
      </c>
      <c r="BK54" s="50">
        <v>1270844</v>
      </c>
      <c r="BL54" s="57">
        <v>1977571</v>
      </c>
      <c r="BM54" s="57">
        <v>939579</v>
      </c>
      <c r="BN54" s="57">
        <v>1037992</v>
      </c>
      <c r="BO54" s="57">
        <v>1841393</v>
      </c>
      <c r="BP54" s="57">
        <v>874429</v>
      </c>
      <c r="BQ54" s="57">
        <v>966964</v>
      </c>
      <c r="BR54" s="57">
        <v>212312</v>
      </c>
      <c r="BS54" s="57">
        <v>96465</v>
      </c>
      <c r="BT54" s="57">
        <v>115847</v>
      </c>
      <c r="BU54" s="57">
        <v>250283</v>
      </c>
      <c r="BV54" s="57">
        <v>121462</v>
      </c>
      <c r="BW54" s="57">
        <v>128821</v>
      </c>
      <c r="BX54" s="138">
        <f t="shared" ref="BX54:BX63" si="85">+BY54+BZ54</f>
        <v>226151</v>
      </c>
      <c r="BY54" s="57">
        <v>109146</v>
      </c>
      <c r="BZ54" s="57">
        <v>117005</v>
      </c>
      <c r="CA54" s="191">
        <v>2349541</v>
      </c>
      <c r="CB54" s="5">
        <v>1949134</v>
      </c>
      <c r="CC54" s="49">
        <v>193345</v>
      </c>
      <c r="CD54" s="49">
        <v>207062</v>
      </c>
      <c r="CE54" s="49">
        <v>215830</v>
      </c>
      <c r="CF54" s="181">
        <v>2352649</v>
      </c>
      <c r="CG54" s="5">
        <v>1945562</v>
      </c>
      <c r="CH54" s="49">
        <v>195496</v>
      </c>
      <c r="CI54" s="49">
        <v>211591</v>
      </c>
      <c r="CJ54" s="49">
        <v>222944</v>
      </c>
      <c r="CK54" s="56">
        <v>2354216</v>
      </c>
      <c r="CL54" s="54">
        <v>1942113</v>
      </c>
      <c r="CM54" s="55">
        <v>200395</v>
      </c>
      <c r="CN54" s="55">
        <v>211708</v>
      </c>
      <c r="CO54" s="55">
        <v>227369</v>
      </c>
      <c r="CP54" s="56">
        <v>2416034</v>
      </c>
      <c r="CQ54" s="505">
        <v>1977571</v>
      </c>
      <c r="CR54" s="505">
        <v>212312</v>
      </c>
      <c r="CS54" s="55">
        <v>226151</v>
      </c>
      <c r="CT54" s="505">
        <v>250283</v>
      </c>
      <c r="CU54" s="56">
        <v>2431432</v>
      </c>
      <c r="CV54" s="505">
        <v>1979605</v>
      </c>
      <c r="CW54" s="505">
        <v>217328</v>
      </c>
      <c r="CX54" s="306">
        <f t="shared" ref="CX54:CX63" si="86">CU54-CV54-CW54</f>
        <v>234499</v>
      </c>
      <c r="CY54" s="54">
        <v>260375</v>
      </c>
      <c r="CZ54" s="99">
        <v>2446413</v>
      </c>
      <c r="DA54" s="50">
        <v>1988469</v>
      </c>
      <c r="DB54" s="50">
        <v>221131</v>
      </c>
      <c r="DC54" s="50">
        <v>235936</v>
      </c>
      <c r="DD54" s="594">
        <v>270364</v>
      </c>
      <c r="DE54" s="49">
        <v>2456170</v>
      </c>
      <c r="DF54" s="49">
        <v>1831338</v>
      </c>
      <c r="DG54" s="1">
        <v>225319</v>
      </c>
      <c r="DH54" s="49">
        <v>243420</v>
      </c>
      <c r="DI54" s="49">
        <v>280417</v>
      </c>
      <c r="DJ54" s="727">
        <v>2474718</v>
      </c>
      <c r="DK54" s="49">
        <v>1793942</v>
      </c>
      <c r="DL54" s="49">
        <v>240257</v>
      </c>
      <c r="DM54" s="730">
        <v>261628</v>
      </c>
      <c r="DN54" s="49">
        <v>310831</v>
      </c>
      <c r="DO54" s="727">
        <v>2467737</v>
      </c>
      <c r="DP54" s="49">
        <v>1778311</v>
      </c>
      <c r="DQ54" s="49">
        <v>241134</v>
      </c>
      <c r="DR54" s="730">
        <v>259213</v>
      </c>
      <c r="DS54" s="49">
        <v>316522</v>
      </c>
    </row>
    <row r="55" spans="1:123" x14ac:dyDescent="0.2">
      <c r="A55" s="218" t="s">
        <v>28</v>
      </c>
      <c r="B55" s="10"/>
      <c r="C55" s="19"/>
      <c r="D55" s="48">
        <v>534318</v>
      </c>
      <c r="E55" s="49">
        <v>256569</v>
      </c>
      <c r="F55" s="49">
        <v>275189</v>
      </c>
      <c r="G55" s="49">
        <v>1385</v>
      </c>
      <c r="H55" s="50">
        <v>1175</v>
      </c>
      <c r="I55" s="99">
        <v>537823</v>
      </c>
      <c r="J55" s="138">
        <f t="shared" si="75"/>
        <v>535465</v>
      </c>
      <c r="K55" s="49">
        <v>252031</v>
      </c>
      <c r="L55" s="49">
        <v>283434</v>
      </c>
      <c r="M55" s="138">
        <f t="shared" si="76"/>
        <v>1100</v>
      </c>
      <c r="N55" s="49">
        <v>613</v>
      </c>
      <c r="O55" s="49">
        <v>487</v>
      </c>
      <c r="P55" s="138">
        <f t="shared" si="77"/>
        <v>1515</v>
      </c>
      <c r="Q55" s="49">
        <v>754</v>
      </c>
      <c r="R55" s="50">
        <v>761</v>
      </c>
      <c r="S55" s="99">
        <v>661840</v>
      </c>
      <c r="T55" s="136">
        <f t="shared" si="78"/>
        <v>654438</v>
      </c>
      <c r="U55" s="49">
        <v>307328</v>
      </c>
      <c r="V55" s="49">
        <v>347110</v>
      </c>
      <c r="W55" s="136">
        <f t="shared" si="79"/>
        <v>1502</v>
      </c>
      <c r="X55" s="49">
        <v>936</v>
      </c>
      <c r="Y55" s="49">
        <v>566</v>
      </c>
      <c r="Z55" s="136">
        <f t="shared" si="80"/>
        <v>2144</v>
      </c>
      <c r="AA55" s="49">
        <v>978</v>
      </c>
      <c r="AB55" s="49">
        <v>1166</v>
      </c>
      <c r="AC55" s="177">
        <v>3611</v>
      </c>
      <c r="AD55" s="177">
        <v>1584</v>
      </c>
      <c r="AE55" s="138">
        <v>2027</v>
      </c>
      <c r="AF55" s="99">
        <v>795613</v>
      </c>
      <c r="AG55" s="5">
        <v>785535</v>
      </c>
      <c r="AH55" s="78">
        <f t="shared" si="81"/>
        <v>783021</v>
      </c>
      <c r="AI55" s="49">
        <v>370457</v>
      </c>
      <c r="AJ55" s="49">
        <v>412564</v>
      </c>
      <c r="AK55" s="5">
        <v>2524</v>
      </c>
      <c r="AL55" s="78">
        <f t="shared" si="82"/>
        <v>2424</v>
      </c>
      <c r="AM55" s="49">
        <v>1602</v>
      </c>
      <c r="AN55" s="49">
        <v>822</v>
      </c>
      <c r="AO55" s="5">
        <v>3374</v>
      </c>
      <c r="AP55" s="50">
        <v>1663</v>
      </c>
      <c r="AQ55" s="49">
        <v>1711</v>
      </c>
      <c r="AR55" s="82">
        <f t="shared" si="83"/>
        <v>6794</v>
      </c>
      <c r="AS55" s="99">
        <v>869893</v>
      </c>
      <c r="AT55" s="5">
        <v>849811</v>
      </c>
      <c r="AU55" s="178">
        <v>403727</v>
      </c>
      <c r="AV55" s="178">
        <v>446084</v>
      </c>
      <c r="AW55" s="78">
        <f t="shared" si="84"/>
        <v>846759</v>
      </c>
      <c r="AX55" s="49">
        <v>402242</v>
      </c>
      <c r="AY55" s="50">
        <v>444517</v>
      </c>
      <c r="AZ55" s="5">
        <v>2882</v>
      </c>
      <c r="BA55" s="49">
        <v>1686</v>
      </c>
      <c r="BB55" s="49">
        <v>1196</v>
      </c>
      <c r="BC55" s="5">
        <v>4504</v>
      </c>
      <c r="BD55" s="49">
        <v>2287</v>
      </c>
      <c r="BE55" s="49">
        <v>2217</v>
      </c>
      <c r="BF55" s="177">
        <v>17200</v>
      </c>
      <c r="BG55" s="177">
        <v>7813</v>
      </c>
      <c r="BH55" s="138">
        <v>9387</v>
      </c>
      <c r="BI55" s="181">
        <v>934836</v>
      </c>
      <c r="BJ55" s="50">
        <v>447915</v>
      </c>
      <c r="BK55" s="50">
        <v>486921</v>
      </c>
      <c r="BL55" s="57">
        <v>904336</v>
      </c>
      <c r="BM55" s="57">
        <v>433087</v>
      </c>
      <c r="BN55" s="57">
        <v>471249</v>
      </c>
      <c r="BO55" s="57">
        <v>898964</v>
      </c>
      <c r="BP55" s="57">
        <v>430489</v>
      </c>
      <c r="BQ55" s="57">
        <v>468475</v>
      </c>
      <c r="BR55" s="57">
        <v>6164</v>
      </c>
      <c r="BS55" s="57">
        <v>3756</v>
      </c>
      <c r="BT55" s="57">
        <v>2408</v>
      </c>
      <c r="BU55" s="57">
        <v>8023</v>
      </c>
      <c r="BV55" s="57">
        <v>4118</v>
      </c>
      <c r="BW55" s="57">
        <v>3905</v>
      </c>
      <c r="BX55" s="138">
        <f t="shared" si="85"/>
        <v>24336</v>
      </c>
      <c r="BY55" s="57">
        <v>11072</v>
      </c>
      <c r="BZ55" s="57">
        <v>13264</v>
      </c>
      <c r="CA55" s="191">
        <v>917697</v>
      </c>
      <c r="CB55" s="5">
        <v>888671</v>
      </c>
      <c r="CC55" s="49">
        <v>5624</v>
      </c>
      <c r="CD55" s="49">
        <v>23402</v>
      </c>
      <c r="CE55" s="49">
        <v>7545</v>
      </c>
      <c r="CF55" s="181">
        <v>922980</v>
      </c>
      <c r="CG55" s="5">
        <v>892722</v>
      </c>
      <c r="CH55" s="49">
        <v>5829</v>
      </c>
      <c r="CI55" s="49">
        <v>24429</v>
      </c>
      <c r="CJ55" s="49">
        <v>7648</v>
      </c>
      <c r="CK55" s="56">
        <v>923997</v>
      </c>
      <c r="CL55" s="54">
        <v>892626</v>
      </c>
      <c r="CM55" s="55">
        <v>6327</v>
      </c>
      <c r="CN55" s="55">
        <v>25044</v>
      </c>
      <c r="CO55" s="55">
        <v>8288</v>
      </c>
      <c r="CP55" s="56">
        <v>934836</v>
      </c>
      <c r="CQ55" s="505">
        <v>904336</v>
      </c>
      <c r="CR55" s="505">
        <v>6164</v>
      </c>
      <c r="CS55" s="55">
        <v>24336</v>
      </c>
      <c r="CT55" s="505">
        <v>8023</v>
      </c>
      <c r="CU55" s="56">
        <v>938148</v>
      </c>
      <c r="CV55" s="505">
        <v>907275</v>
      </c>
      <c r="CW55" s="505"/>
      <c r="CX55" s="306">
        <f t="shared" si="86"/>
        <v>30873</v>
      </c>
      <c r="CY55" s="591"/>
      <c r="CZ55" s="597">
        <v>942582</v>
      </c>
      <c r="DA55" s="49">
        <v>910558</v>
      </c>
      <c r="DB55" s="49">
        <v>6517</v>
      </c>
      <c r="DC55" s="597">
        <v>25271</v>
      </c>
      <c r="DD55" s="598">
        <v>8602</v>
      </c>
      <c r="DE55" s="49">
        <v>947986</v>
      </c>
      <c r="DF55" s="49">
        <v>908114</v>
      </c>
      <c r="DG55" s="1">
        <v>6753</v>
      </c>
      <c r="DH55" s="49">
        <v>26086</v>
      </c>
      <c r="DI55" s="49">
        <v>9221</v>
      </c>
      <c r="DJ55" s="727">
        <v>961240</v>
      </c>
      <c r="DK55" s="49">
        <v>915528</v>
      </c>
      <c r="DL55" s="49">
        <v>7393</v>
      </c>
      <c r="DM55" s="730">
        <v>29939</v>
      </c>
      <c r="DN55" s="49">
        <v>9377</v>
      </c>
      <c r="DO55" s="727">
        <v>966569</v>
      </c>
      <c r="DP55" s="49">
        <v>919544</v>
      </c>
      <c r="DQ55" s="49">
        <v>8256</v>
      </c>
      <c r="DR55" s="730">
        <v>29659</v>
      </c>
      <c r="DS55" s="49">
        <v>11366</v>
      </c>
    </row>
    <row r="56" spans="1:123" x14ac:dyDescent="0.2">
      <c r="A56" s="218" t="s">
        <v>29</v>
      </c>
      <c r="B56" s="10"/>
      <c r="C56" s="19"/>
      <c r="D56" s="48">
        <v>3010617</v>
      </c>
      <c r="E56" s="49">
        <v>1374809</v>
      </c>
      <c r="F56" s="49">
        <v>1570932</v>
      </c>
      <c r="G56" s="49">
        <v>31714</v>
      </c>
      <c r="H56" s="50">
        <v>33162</v>
      </c>
      <c r="I56" s="99">
        <v>3142463</v>
      </c>
      <c r="J56" s="138">
        <f t="shared" si="75"/>
        <v>3047638</v>
      </c>
      <c r="K56" s="49">
        <v>1403034</v>
      </c>
      <c r="L56" s="49">
        <v>1644604</v>
      </c>
      <c r="M56" s="138">
        <f t="shared" si="76"/>
        <v>77680</v>
      </c>
      <c r="N56" s="49">
        <v>34863</v>
      </c>
      <c r="O56" s="49">
        <v>42817</v>
      </c>
      <c r="P56" s="138">
        <f t="shared" si="77"/>
        <v>26479</v>
      </c>
      <c r="Q56" s="49">
        <v>13162</v>
      </c>
      <c r="R56" s="50">
        <v>13317</v>
      </c>
      <c r="S56" s="99">
        <v>3463256</v>
      </c>
      <c r="T56" s="136">
        <f t="shared" si="78"/>
        <v>3256063</v>
      </c>
      <c r="U56" s="49">
        <v>1490165</v>
      </c>
      <c r="V56" s="49">
        <v>1765898</v>
      </c>
      <c r="W56" s="136">
        <f t="shared" si="79"/>
        <v>105770</v>
      </c>
      <c r="X56" s="49">
        <v>47738</v>
      </c>
      <c r="Y56" s="49">
        <v>58032</v>
      </c>
      <c r="Z56" s="136">
        <f t="shared" si="80"/>
        <v>59240</v>
      </c>
      <c r="AA56" s="49">
        <v>27250</v>
      </c>
      <c r="AB56" s="49">
        <v>31990</v>
      </c>
      <c r="AC56" s="177">
        <v>33606</v>
      </c>
      <c r="AD56" s="177">
        <v>15893</v>
      </c>
      <c r="AE56" s="138">
        <v>17713</v>
      </c>
      <c r="AF56" s="99">
        <v>3962223</v>
      </c>
      <c r="AG56" s="5">
        <v>3642335</v>
      </c>
      <c r="AH56" s="78">
        <f t="shared" si="81"/>
        <v>3582343</v>
      </c>
      <c r="AI56" s="49">
        <v>1665793</v>
      </c>
      <c r="AJ56" s="49">
        <v>1916550</v>
      </c>
      <c r="AK56" s="5">
        <v>165326</v>
      </c>
      <c r="AL56" s="78">
        <f t="shared" si="82"/>
        <v>154743</v>
      </c>
      <c r="AM56" s="49">
        <v>72343</v>
      </c>
      <c r="AN56" s="49">
        <v>82400</v>
      </c>
      <c r="AO56" s="5">
        <v>128976</v>
      </c>
      <c r="AP56" s="50">
        <v>61346</v>
      </c>
      <c r="AQ56" s="49">
        <v>67630</v>
      </c>
      <c r="AR56" s="82">
        <f t="shared" si="83"/>
        <v>96161</v>
      </c>
      <c r="AS56" s="99">
        <v>4273275</v>
      </c>
      <c r="AT56" s="5">
        <v>3731483</v>
      </c>
      <c r="AU56" s="178">
        <v>1747587</v>
      </c>
      <c r="AV56" s="178">
        <v>1983896</v>
      </c>
      <c r="AW56" s="78">
        <f t="shared" si="84"/>
        <v>3642659</v>
      </c>
      <c r="AX56" s="49">
        <v>1704986</v>
      </c>
      <c r="AY56" s="50">
        <v>1937673</v>
      </c>
      <c r="AZ56" s="5">
        <v>193880</v>
      </c>
      <c r="BA56" s="49">
        <v>89038</v>
      </c>
      <c r="BB56" s="49">
        <v>104842</v>
      </c>
      <c r="BC56" s="5">
        <v>211195</v>
      </c>
      <c r="BD56" s="49">
        <v>99562</v>
      </c>
      <c r="BE56" s="49">
        <v>111633</v>
      </c>
      <c r="BF56" s="177">
        <v>347912</v>
      </c>
      <c r="BG56" s="177">
        <v>166895</v>
      </c>
      <c r="BH56" s="138">
        <v>181017</v>
      </c>
      <c r="BI56" s="181">
        <v>4418255</v>
      </c>
      <c r="BJ56" s="50">
        <v>2086879</v>
      </c>
      <c r="BK56" s="50">
        <v>2331376</v>
      </c>
      <c r="BL56" s="57">
        <v>3719419</v>
      </c>
      <c r="BM56" s="57">
        <v>1757319</v>
      </c>
      <c r="BN56" s="57">
        <v>1962100</v>
      </c>
      <c r="BO56" s="57">
        <v>3565125</v>
      </c>
      <c r="BP56" s="57">
        <v>1684618</v>
      </c>
      <c r="BQ56" s="57">
        <v>1880507</v>
      </c>
      <c r="BR56" s="57">
        <v>257490</v>
      </c>
      <c r="BS56" s="57">
        <v>118921</v>
      </c>
      <c r="BT56" s="57">
        <v>138569</v>
      </c>
      <c r="BU56" s="57">
        <v>317753</v>
      </c>
      <c r="BV56" s="57">
        <v>150998</v>
      </c>
      <c r="BW56" s="57">
        <v>166755</v>
      </c>
      <c r="BX56" s="138">
        <f t="shared" si="85"/>
        <v>441346</v>
      </c>
      <c r="BY56" s="57">
        <v>210639</v>
      </c>
      <c r="BZ56" s="57">
        <v>230707</v>
      </c>
      <c r="CA56" s="191">
        <v>4355378</v>
      </c>
      <c r="CB56" s="5">
        <v>3721604</v>
      </c>
      <c r="CC56" s="49">
        <v>225920</v>
      </c>
      <c r="CD56" s="49">
        <v>407854</v>
      </c>
      <c r="CE56" s="49">
        <v>275814</v>
      </c>
      <c r="CF56" s="181">
        <v>4373025</v>
      </c>
      <c r="CG56" s="5">
        <v>3725760</v>
      </c>
      <c r="CH56" s="49">
        <v>231909</v>
      </c>
      <c r="CI56" s="49">
        <v>415356</v>
      </c>
      <c r="CJ56" s="49">
        <v>287276</v>
      </c>
      <c r="CK56" s="56">
        <v>4447683</v>
      </c>
      <c r="CL56" s="54">
        <v>3784712</v>
      </c>
      <c r="CM56" s="55">
        <v>241307</v>
      </c>
      <c r="CN56" s="55">
        <v>421664</v>
      </c>
      <c r="CO56" s="55">
        <v>299501</v>
      </c>
      <c r="CP56" s="56">
        <v>4418255</v>
      </c>
      <c r="CQ56" s="505">
        <v>3719419</v>
      </c>
      <c r="CR56" s="505">
        <v>257490</v>
      </c>
      <c r="CS56" s="55">
        <v>441346</v>
      </c>
      <c r="CT56" s="505">
        <v>317753</v>
      </c>
      <c r="CU56" s="56">
        <v>4460708</v>
      </c>
      <c r="CV56" s="505">
        <v>3737359</v>
      </c>
      <c r="CW56" s="505">
        <v>262745</v>
      </c>
      <c r="CX56" s="306">
        <f t="shared" si="86"/>
        <v>460604</v>
      </c>
      <c r="CY56" s="591">
        <v>331060</v>
      </c>
      <c r="CZ56" s="49">
        <v>4509799</v>
      </c>
      <c r="DA56" s="49">
        <v>3759870</v>
      </c>
      <c r="DB56" s="49">
        <v>271080</v>
      </c>
      <c r="DC56" s="49">
        <v>478116</v>
      </c>
      <c r="DD56" s="594">
        <v>345563</v>
      </c>
      <c r="DE56" s="49">
        <v>4556615</v>
      </c>
      <c r="DF56" s="49">
        <v>3604939</v>
      </c>
      <c r="DG56" s="1">
        <v>280392</v>
      </c>
      <c r="DH56" s="49">
        <v>497307</v>
      </c>
      <c r="DI56" s="49">
        <v>362602</v>
      </c>
      <c r="DJ56" s="727">
        <v>4706644</v>
      </c>
      <c r="DK56" s="49">
        <v>3621936</v>
      </c>
      <c r="DL56" s="49">
        <v>308859</v>
      </c>
      <c r="DM56" s="730">
        <v>549192</v>
      </c>
      <c r="DN56" s="49">
        <v>415601</v>
      </c>
      <c r="DO56" s="727">
        <v>4727515</v>
      </c>
      <c r="DP56" s="49">
        <v>3608559</v>
      </c>
      <c r="DQ56" s="49">
        <v>316115</v>
      </c>
      <c r="DR56" s="730">
        <v>566914</v>
      </c>
      <c r="DS56" s="49">
        <v>430798</v>
      </c>
    </row>
    <row r="57" spans="1:123" x14ac:dyDescent="0.2">
      <c r="A57" s="218" t="s">
        <v>36</v>
      </c>
      <c r="B57" s="5"/>
      <c r="C57" s="19"/>
      <c r="D57" s="48">
        <v>345230</v>
      </c>
      <c r="E57" s="49">
        <v>163947</v>
      </c>
      <c r="F57" s="49">
        <v>180074</v>
      </c>
      <c r="G57" s="49">
        <v>674</v>
      </c>
      <c r="H57" s="50">
        <v>535</v>
      </c>
      <c r="I57" s="99">
        <v>397681</v>
      </c>
      <c r="J57" s="138">
        <f t="shared" si="75"/>
        <v>396037</v>
      </c>
      <c r="K57" s="49">
        <v>187330</v>
      </c>
      <c r="L57" s="49">
        <v>208707</v>
      </c>
      <c r="M57" s="138">
        <f t="shared" si="76"/>
        <v>1005</v>
      </c>
      <c r="N57" s="49">
        <v>561</v>
      </c>
      <c r="O57" s="49">
        <v>444</v>
      </c>
      <c r="P57" s="138">
        <f t="shared" si="77"/>
        <v>1081</v>
      </c>
      <c r="Q57" s="49">
        <v>624</v>
      </c>
      <c r="R57" s="50">
        <v>457</v>
      </c>
      <c r="S57" s="99">
        <v>541953</v>
      </c>
      <c r="T57" s="136">
        <f t="shared" si="78"/>
        <v>535022</v>
      </c>
      <c r="U57" s="49">
        <v>253311</v>
      </c>
      <c r="V57" s="49">
        <v>281711</v>
      </c>
      <c r="W57" s="136">
        <f t="shared" si="79"/>
        <v>1825</v>
      </c>
      <c r="X57" s="49">
        <v>1050</v>
      </c>
      <c r="Y57" s="49">
        <v>775</v>
      </c>
      <c r="Z57" s="136">
        <f t="shared" si="80"/>
        <v>2433</v>
      </c>
      <c r="AA57" s="49">
        <v>1266</v>
      </c>
      <c r="AB57" s="49">
        <v>1167</v>
      </c>
      <c r="AC57" s="177">
        <v>2515</v>
      </c>
      <c r="AD57" s="177">
        <v>1077</v>
      </c>
      <c r="AE57" s="138">
        <v>1438</v>
      </c>
      <c r="AF57" s="99">
        <v>713894</v>
      </c>
      <c r="AG57" s="5">
        <v>702321</v>
      </c>
      <c r="AH57" s="78">
        <f t="shared" si="81"/>
        <v>698363</v>
      </c>
      <c r="AI57" s="49">
        <v>335429</v>
      </c>
      <c r="AJ57" s="49">
        <v>362934</v>
      </c>
      <c r="AK57" s="5">
        <v>3581</v>
      </c>
      <c r="AL57" s="78">
        <f t="shared" si="82"/>
        <v>3339</v>
      </c>
      <c r="AM57" s="49">
        <v>1882</v>
      </c>
      <c r="AN57" s="49">
        <v>1457</v>
      </c>
      <c r="AO57" s="5">
        <v>5695</v>
      </c>
      <c r="AP57" s="50">
        <v>2875</v>
      </c>
      <c r="AQ57" s="49">
        <v>2820</v>
      </c>
      <c r="AR57" s="215">
        <f t="shared" si="83"/>
        <v>6497</v>
      </c>
      <c r="AS57" s="99">
        <v>823987</v>
      </c>
      <c r="AT57" s="5">
        <v>796816</v>
      </c>
      <c r="AU57" s="178">
        <v>383984</v>
      </c>
      <c r="AV57" s="178">
        <v>412832</v>
      </c>
      <c r="AW57" s="78">
        <f t="shared" si="84"/>
        <v>790941</v>
      </c>
      <c r="AX57" s="49">
        <v>381075</v>
      </c>
      <c r="AY57" s="50">
        <v>409866</v>
      </c>
      <c r="AZ57" s="5">
        <v>5127</v>
      </c>
      <c r="BA57" s="49">
        <v>2921</v>
      </c>
      <c r="BB57" s="49">
        <v>2206</v>
      </c>
      <c r="BC57" s="5">
        <v>9910</v>
      </c>
      <c r="BD57" s="49">
        <v>4937</v>
      </c>
      <c r="BE57" s="49">
        <v>4973</v>
      </c>
      <c r="BF57" s="177">
        <v>22044</v>
      </c>
      <c r="BG57" s="177">
        <v>10865</v>
      </c>
      <c r="BH57" s="138">
        <v>11179</v>
      </c>
      <c r="BI57" s="181">
        <v>901717</v>
      </c>
      <c r="BJ57" s="50">
        <v>437613</v>
      </c>
      <c r="BK57" s="50">
        <v>464104</v>
      </c>
      <c r="BL57" s="57">
        <v>861756</v>
      </c>
      <c r="BM57" s="57">
        <v>417534</v>
      </c>
      <c r="BN57" s="57">
        <v>444222</v>
      </c>
      <c r="BO57" s="57">
        <v>849238</v>
      </c>
      <c r="BP57" s="57">
        <v>411186</v>
      </c>
      <c r="BQ57" s="57">
        <v>438052</v>
      </c>
      <c r="BR57" s="57">
        <v>7709</v>
      </c>
      <c r="BS57" s="57">
        <v>4469</v>
      </c>
      <c r="BT57" s="57">
        <v>3240</v>
      </c>
      <c r="BU57" s="57">
        <v>17898</v>
      </c>
      <c r="BV57" s="57">
        <v>8918</v>
      </c>
      <c r="BW57" s="57">
        <v>8980</v>
      </c>
      <c r="BX57" s="138">
        <f t="shared" si="85"/>
        <v>32252</v>
      </c>
      <c r="BY57" s="57">
        <v>15610</v>
      </c>
      <c r="BZ57" s="57">
        <v>16642</v>
      </c>
      <c r="CA57" s="191">
        <v>889007</v>
      </c>
      <c r="CB57" s="7">
        <v>853036</v>
      </c>
      <c r="CC57" s="49">
        <v>6607</v>
      </c>
      <c r="CD57" s="49">
        <v>29364</v>
      </c>
      <c r="CE57" s="49">
        <v>16548</v>
      </c>
      <c r="CF57" s="181">
        <v>895988</v>
      </c>
      <c r="CG57" s="5">
        <v>859179</v>
      </c>
      <c r="CH57" s="49">
        <v>6626</v>
      </c>
      <c r="CI57" s="49">
        <v>30183</v>
      </c>
      <c r="CJ57" s="49">
        <v>17311</v>
      </c>
      <c r="CK57" s="56">
        <v>897543</v>
      </c>
      <c r="CL57" s="54">
        <v>859993</v>
      </c>
      <c r="CM57" s="55">
        <v>7494</v>
      </c>
      <c r="CN57" s="55">
        <v>30056</v>
      </c>
      <c r="CO57" s="55">
        <v>17948</v>
      </c>
      <c r="CP57" s="56">
        <v>901717</v>
      </c>
      <c r="CQ57" s="505">
        <v>861756</v>
      </c>
      <c r="CR57" s="505">
        <v>7709</v>
      </c>
      <c r="CS57" s="55">
        <v>32252</v>
      </c>
      <c r="CT57" s="505">
        <v>17898</v>
      </c>
      <c r="CU57" s="56">
        <v>907555</v>
      </c>
      <c r="CV57" s="505">
        <v>866067</v>
      </c>
      <c r="CW57" s="505"/>
      <c r="CX57" s="306">
        <f t="shared" si="86"/>
        <v>41488</v>
      </c>
      <c r="CY57" s="591">
        <v>18400</v>
      </c>
      <c r="CZ57" s="49">
        <v>913752</v>
      </c>
      <c r="DA57" s="49">
        <v>870701</v>
      </c>
      <c r="DB57" s="49">
        <v>8856</v>
      </c>
      <c r="DC57" s="49">
        <v>34059</v>
      </c>
      <c r="DD57" s="594">
        <v>19389</v>
      </c>
      <c r="DE57" s="49">
        <v>919616</v>
      </c>
      <c r="DF57" s="49">
        <v>859770</v>
      </c>
      <c r="DG57" s="1">
        <v>9355</v>
      </c>
      <c r="DH57" s="49">
        <v>35656</v>
      </c>
      <c r="DI57" s="49">
        <v>20728</v>
      </c>
      <c r="DJ57" s="727">
        <v>937214</v>
      </c>
      <c r="DK57" s="49">
        <v>870278</v>
      </c>
      <c r="DL57" s="49">
        <v>11872</v>
      </c>
      <c r="DM57" s="730">
        <v>31738</v>
      </c>
      <c r="DN57" s="49">
        <v>23341</v>
      </c>
      <c r="DO57" s="727">
        <v>947586</v>
      </c>
      <c r="DP57" s="49">
        <v>876857</v>
      </c>
      <c r="DQ57" s="49">
        <v>10823</v>
      </c>
      <c r="DR57" s="730">
        <v>39166</v>
      </c>
      <c r="DS57" s="49">
        <v>25368</v>
      </c>
    </row>
    <row r="58" spans="1:123" x14ac:dyDescent="0.2">
      <c r="A58" s="218" t="s">
        <v>37</v>
      </c>
      <c r="B58" s="5"/>
      <c r="C58" s="19"/>
      <c r="D58" s="48">
        <v>3599856</v>
      </c>
      <c r="E58" s="49">
        <v>1594217</v>
      </c>
      <c r="F58" s="49">
        <v>1732878</v>
      </c>
      <c r="G58" s="49">
        <v>128549</v>
      </c>
      <c r="H58" s="50">
        <v>144212</v>
      </c>
      <c r="I58" s="99">
        <v>4056606</v>
      </c>
      <c r="J58" s="138">
        <f t="shared" si="75"/>
        <v>3676734</v>
      </c>
      <c r="K58" s="49">
        <v>1729099</v>
      </c>
      <c r="L58" s="49">
        <v>1947635</v>
      </c>
      <c r="M58" s="138">
        <f t="shared" si="76"/>
        <v>359390</v>
      </c>
      <c r="N58" s="49">
        <v>161957</v>
      </c>
      <c r="O58" s="49">
        <v>197433</v>
      </c>
      <c r="P58" s="138">
        <f t="shared" si="77"/>
        <v>50911</v>
      </c>
      <c r="Q58" s="49">
        <v>25524</v>
      </c>
      <c r="R58" s="50">
        <v>25387</v>
      </c>
      <c r="S58" s="99">
        <v>4504247</v>
      </c>
      <c r="T58" s="136">
        <f t="shared" si="78"/>
        <v>3731717</v>
      </c>
      <c r="U58" s="49">
        <v>1737707</v>
      </c>
      <c r="V58" s="49">
        <v>1994010</v>
      </c>
      <c r="W58" s="136">
        <f t="shared" si="79"/>
        <v>460259</v>
      </c>
      <c r="X58" s="49">
        <v>201148</v>
      </c>
      <c r="Y58" s="49">
        <v>259111</v>
      </c>
      <c r="Z58" s="136">
        <f t="shared" si="80"/>
        <v>241006</v>
      </c>
      <c r="AA58" s="49">
        <v>111781</v>
      </c>
      <c r="AB58" s="49">
        <v>129225</v>
      </c>
      <c r="AC58" s="177">
        <v>67987</v>
      </c>
      <c r="AD58" s="177">
        <v>31673</v>
      </c>
      <c r="AE58" s="138">
        <v>36314</v>
      </c>
      <c r="AF58" s="99">
        <v>5166233</v>
      </c>
      <c r="AG58" s="5">
        <v>4245109</v>
      </c>
      <c r="AH58" s="78">
        <f t="shared" si="81"/>
        <v>4004957</v>
      </c>
      <c r="AI58" s="49">
        <v>1881669</v>
      </c>
      <c r="AJ58" s="49">
        <v>2123288</v>
      </c>
      <c r="AK58" s="5">
        <v>601708</v>
      </c>
      <c r="AL58" s="78">
        <f t="shared" si="82"/>
        <v>578235</v>
      </c>
      <c r="AM58" s="49">
        <v>257870</v>
      </c>
      <c r="AN58" s="49">
        <v>320365</v>
      </c>
      <c r="AO58" s="5">
        <v>408561</v>
      </c>
      <c r="AP58" s="50">
        <v>199243</v>
      </c>
      <c r="AQ58" s="49">
        <v>209318</v>
      </c>
      <c r="AR58" s="215">
        <f t="shared" si="83"/>
        <v>174480</v>
      </c>
      <c r="AS58" s="99">
        <v>5657799</v>
      </c>
      <c r="AT58" s="5">
        <v>4280235</v>
      </c>
      <c r="AU58" s="178">
        <v>2018347</v>
      </c>
      <c r="AV58" s="178">
        <v>2261888</v>
      </c>
      <c r="AW58" s="78">
        <f t="shared" si="84"/>
        <v>3949630</v>
      </c>
      <c r="AX58" s="49">
        <v>1857700</v>
      </c>
      <c r="AY58" s="50">
        <v>2091930</v>
      </c>
      <c r="AZ58" s="5">
        <v>677910</v>
      </c>
      <c r="BA58" s="49">
        <v>302940</v>
      </c>
      <c r="BB58" s="49">
        <v>374970</v>
      </c>
      <c r="BC58" s="5">
        <v>638900</v>
      </c>
      <c r="BD58" s="49">
        <v>312539</v>
      </c>
      <c r="BE58" s="49">
        <v>326361</v>
      </c>
      <c r="BF58" s="177">
        <v>699654</v>
      </c>
      <c r="BG58" s="177">
        <v>341499</v>
      </c>
      <c r="BH58" s="138">
        <v>358155</v>
      </c>
      <c r="BI58" s="181">
        <v>5925769</v>
      </c>
      <c r="BJ58" s="50">
        <v>2808768</v>
      </c>
      <c r="BK58" s="50">
        <v>3117001</v>
      </c>
      <c r="BL58" s="57">
        <v>4298036</v>
      </c>
      <c r="BM58" s="57">
        <v>2047316</v>
      </c>
      <c r="BN58" s="57">
        <v>2250720</v>
      </c>
      <c r="BO58" s="57">
        <v>3770490</v>
      </c>
      <c r="BP58" s="57">
        <v>1789527</v>
      </c>
      <c r="BQ58" s="57">
        <v>1980963</v>
      </c>
      <c r="BR58" s="57">
        <v>739700</v>
      </c>
      <c r="BS58" s="57">
        <v>329935</v>
      </c>
      <c r="BT58" s="57">
        <v>409765</v>
      </c>
      <c r="BU58" s="57">
        <v>887369</v>
      </c>
      <c r="BV58" s="57">
        <v>437977</v>
      </c>
      <c r="BW58" s="57">
        <v>449392</v>
      </c>
      <c r="BX58" s="138">
        <f t="shared" si="85"/>
        <v>888033</v>
      </c>
      <c r="BY58" s="57">
        <v>431517</v>
      </c>
      <c r="BZ58" s="57">
        <v>456516</v>
      </c>
      <c r="CA58" s="191">
        <v>5835145</v>
      </c>
      <c r="CB58" s="5">
        <v>4223844</v>
      </c>
      <c r="CC58" s="49">
        <v>719845</v>
      </c>
      <c r="CD58" s="49">
        <v>891456</v>
      </c>
      <c r="CE58" s="49">
        <v>805857</v>
      </c>
      <c r="CF58" s="181">
        <v>5836774</v>
      </c>
      <c r="CG58" s="5">
        <v>4238903</v>
      </c>
      <c r="CH58" s="49">
        <v>723910</v>
      </c>
      <c r="CI58" s="49">
        <v>873961</v>
      </c>
      <c r="CJ58" s="49">
        <v>822594</v>
      </c>
      <c r="CK58" s="56">
        <v>5868846</v>
      </c>
      <c r="CL58" s="54">
        <v>4280469</v>
      </c>
      <c r="CM58" s="55">
        <v>736320</v>
      </c>
      <c r="CN58" s="55">
        <v>852057</v>
      </c>
      <c r="CO58" s="55">
        <v>833152</v>
      </c>
      <c r="CP58" s="56">
        <v>5925769</v>
      </c>
      <c r="CQ58" s="505">
        <v>4298036</v>
      </c>
      <c r="CR58" s="505">
        <v>739700</v>
      </c>
      <c r="CS58" s="55">
        <v>888033</v>
      </c>
      <c r="CT58" s="505">
        <v>887369</v>
      </c>
      <c r="CU58" s="56">
        <v>5967686</v>
      </c>
      <c r="CV58" s="505">
        <v>4303802</v>
      </c>
      <c r="CW58" s="505">
        <v>744715</v>
      </c>
      <c r="CX58" s="306">
        <f t="shared" si="86"/>
        <v>919169</v>
      </c>
      <c r="CY58" s="591">
        <v>916955</v>
      </c>
      <c r="CZ58" s="49">
        <v>6013231</v>
      </c>
      <c r="DA58" s="49">
        <v>4312623</v>
      </c>
      <c r="DB58" s="49">
        <v>754780</v>
      </c>
      <c r="DC58" s="49">
        <v>945828</v>
      </c>
      <c r="DD58" s="594">
        <v>946662</v>
      </c>
      <c r="DE58" s="49">
        <v>6047398</v>
      </c>
      <c r="DF58" s="49">
        <v>3727372</v>
      </c>
      <c r="DG58" s="1">
        <v>763196</v>
      </c>
      <c r="DH58" s="49">
        <v>973634</v>
      </c>
      <c r="DI58" s="49">
        <v>974504</v>
      </c>
      <c r="DJ58" s="727">
        <v>6166384</v>
      </c>
      <c r="DK58" s="49">
        <v>3677456</v>
      </c>
      <c r="DL58" s="49">
        <v>785776</v>
      </c>
      <c r="DM58" s="730">
        <v>1063538</v>
      </c>
      <c r="DN58" s="49">
        <v>1061429</v>
      </c>
      <c r="DO58" s="727">
        <v>6171172</v>
      </c>
      <c r="DP58" s="49">
        <v>3649289</v>
      </c>
      <c r="DQ58" s="49">
        <v>786869</v>
      </c>
      <c r="DR58" s="730">
        <v>1036895</v>
      </c>
      <c r="DS58" s="49">
        <v>1079365</v>
      </c>
    </row>
    <row r="59" spans="1:123" x14ac:dyDescent="0.2">
      <c r="A59" s="218" t="s">
        <v>39</v>
      </c>
      <c r="B59" s="5"/>
      <c r="C59" s="19"/>
      <c r="D59" s="48">
        <v>10124045</v>
      </c>
      <c r="E59" s="49">
        <v>4418558</v>
      </c>
      <c r="F59" s="49">
        <v>4881136</v>
      </c>
      <c r="G59" s="49">
        <v>376495</v>
      </c>
      <c r="H59" s="50">
        <v>447856</v>
      </c>
      <c r="I59" s="99">
        <v>10418555</v>
      </c>
      <c r="J59" s="138">
        <f t="shared" si="75"/>
        <v>9237969</v>
      </c>
      <c r="K59" s="49">
        <v>4295956</v>
      </c>
      <c r="L59" s="49">
        <v>4942013</v>
      </c>
      <c r="M59" s="138">
        <f t="shared" si="76"/>
        <v>1076959</v>
      </c>
      <c r="N59" s="49">
        <v>469062</v>
      </c>
      <c r="O59" s="49">
        <v>607897</v>
      </c>
      <c r="P59" s="138">
        <f t="shared" si="77"/>
        <v>370090</v>
      </c>
      <c r="Q59" s="49">
        <v>168554</v>
      </c>
      <c r="R59" s="50">
        <v>201536</v>
      </c>
      <c r="S59" s="99">
        <v>10721012</v>
      </c>
      <c r="T59" s="136">
        <f t="shared" si="78"/>
        <v>8427574</v>
      </c>
      <c r="U59" s="49">
        <v>3891366</v>
      </c>
      <c r="V59" s="49">
        <v>4536208</v>
      </c>
      <c r="W59" s="136">
        <f t="shared" si="79"/>
        <v>1229222</v>
      </c>
      <c r="X59" s="49">
        <v>521643</v>
      </c>
      <c r="Y59" s="49">
        <v>707579</v>
      </c>
      <c r="Z59" s="136">
        <f t="shared" si="80"/>
        <v>836373</v>
      </c>
      <c r="AA59" s="49">
        <v>372027</v>
      </c>
      <c r="AB59" s="49">
        <v>464346</v>
      </c>
      <c r="AC59" s="177">
        <v>216223</v>
      </c>
      <c r="AD59" s="177">
        <v>105597</v>
      </c>
      <c r="AE59" s="138">
        <v>110626</v>
      </c>
      <c r="AF59" s="99">
        <v>11818569</v>
      </c>
      <c r="AG59" s="5">
        <v>9141878</v>
      </c>
      <c r="AH59" s="78">
        <f t="shared" si="81"/>
        <v>8595826</v>
      </c>
      <c r="AI59" s="49">
        <v>4017931</v>
      </c>
      <c r="AJ59" s="49">
        <v>4577895</v>
      </c>
      <c r="AK59" s="5">
        <v>1683534</v>
      </c>
      <c r="AL59" s="78">
        <f t="shared" si="82"/>
        <v>1536617</v>
      </c>
      <c r="AM59" s="49">
        <v>661756</v>
      </c>
      <c r="AN59" s="49">
        <v>874861</v>
      </c>
      <c r="AO59" s="5">
        <v>1216655</v>
      </c>
      <c r="AP59" s="50">
        <v>560683</v>
      </c>
      <c r="AQ59" s="49">
        <v>655972</v>
      </c>
      <c r="AR59" s="215">
        <f t="shared" si="83"/>
        <v>469471</v>
      </c>
      <c r="AS59" s="99">
        <v>12542536</v>
      </c>
      <c r="AT59" s="5">
        <v>8937643</v>
      </c>
      <c r="AU59" s="178">
        <v>4211002</v>
      </c>
      <c r="AV59" s="178">
        <v>4726641</v>
      </c>
      <c r="AW59" s="78">
        <f t="shared" si="84"/>
        <v>8252226</v>
      </c>
      <c r="AX59" s="49">
        <v>3886593</v>
      </c>
      <c r="AY59" s="50">
        <v>4365633</v>
      </c>
      <c r="AZ59" s="5">
        <v>1784786</v>
      </c>
      <c r="BA59" s="49">
        <v>768667</v>
      </c>
      <c r="BB59" s="49">
        <v>1016119</v>
      </c>
      <c r="BC59" s="5">
        <v>1627113</v>
      </c>
      <c r="BD59" s="49">
        <v>763996</v>
      </c>
      <c r="BE59" s="49">
        <v>863117</v>
      </c>
      <c r="BF59" s="177">
        <v>1820107</v>
      </c>
      <c r="BG59" s="177">
        <v>869386</v>
      </c>
      <c r="BH59" s="138">
        <v>950721</v>
      </c>
      <c r="BI59" s="181">
        <v>12993461</v>
      </c>
      <c r="BJ59" s="50">
        <v>6122250</v>
      </c>
      <c r="BK59" s="50">
        <v>6871211</v>
      </c>
      <c r="BL59" s="57">
        <v>8988658</v>
      </c>
      <c r="BM59" s="57">
        <v>4295350</v>
      </c>
      <c r="BN59" s="57">
        <v>4693308</v>
      </c>
      <c r="BO59" s="57">
        <v>8068205</v>
      </c>
      <c r="BP59" s="57">
        <v>3851665</v>
      </c>
      <c r="BQ59" s="57">
        <v>4216540</v>
      </c>
      <c r="BR59" s="57">
        <v>1897917</v>
      </c>
      <c r="BS59" s="57">
        <v>825193</v>
      </c>
      <c r="BT59" s="57">
        <v>1072724</v>
      </c>
      <c r="BU59" s="57">
        <v>1981336</v>
      </c>
      <c r="BV59" s="57">
        <v>945315</v>
      </c>
      <c r="BW59" s="57">
        <v>1036021</v>
      </c>
      <c r="BX59" s="138">
        <f t="shared" si="85"/>
        <v>2106886</v>
      </c>
      <c r="BY59" s="57">
        <v>1001707</v>
      </c>
      <c r="BZ59" s="57">
        <v>1105179</v>
      </c>
      <c r="CA59" s="191">
        <v>12866461</v>
      </c>
      <c r="CB59" s="5">
        <v>8907502</v>
      </c>
      <c r="CC59" s="49">
        <v>1833015</v>
      </c>
      <c r="CD59" s="49">
        <v>2125944</v>
      </c>
      <c r="CE59" s="49">
        <v>1859467</v>
      </c>
      <c r="CF59" s="181">
        <v>12998952</v>
      </c>
      <c r="CG59" s="5">
        <v>9011265</v>
      </c>
      <c r="CH59" s="49">
        <v>1866360</v>
      </c>
      <c r="CI59" s="49">
        <v>2121327</v>
      </c>
      <c r="CJ59" s="49">
        <v>1897879</v>
      </c>
      <c r="CK59" s="56">
        <v>13119163</v>
      </c>
      <c r="CL59" s="54">
        <v>9162106</v>
      </c>
      <c r="CM59" s="55">
        <v>1899710</v>
      </c>
      <c r="CN59" s="55">
        <v>2057347</v>
      </c>
      <c r="CO59" s="55">
        <v>1905296</v>
      </c>
      <c r="CP59" s="56">
        <v>12993461</v>
      </c>
      <c r="CQ59" s="505">
        <v>8988658</v>
      </c>
      <c r="CR59" s="505">
        <v>1897917</v>
      </c>
      <c r="CS59" s="55">
        <v>2106886</v>
      </c>
      <c r="CT59" s="505">
        <v>1981336</v>
      </c>
      <c r="CU59" s="56">
        <v>13095501</v>
      </c>
      <c r="CV59" s="505">
        <v>8989777</v>
      </c>
      <c r="CW59" s="505">
        <v>1913105</v>
      </c>
      <c r="CX59" s="306">
        <f t="shared" si="86"/>
        <v>2192619</v>
      </c>
      <c r="CY59" s="591">
        <v>2033519</v>
      </c>
      <c r="CZ59" s="49">
        <v>13205241</v>
      </c>
      <c r="DA59" s="49">
        <v>8998675</v>
      </c>
      <c r="DB59" s="49">
        <v>1927835</v>
      </c>
      <c r="DC59" s="49">
        <v>2278731</v>
      </c>
      <c r="DD59" s="594">
        <v>2081458</v>
      </c>
      <c r="DE59" s="49">
        <v>13319715</v>
      </c>
      <c r="DF59" s="49">
        <v>8088223</v>
      </c>
      <c r="DG59" s="1">
        <v>1953447</v>
      </c>
      <c r="DH59" s="49">
        <v>2340009</v>
      </c>
      <c r="DI59" s="49">
        <v>2125509</v>
      </c>
      <c r="DJ59" s="727">
        <v>13641473</v>
      </c>
      <c r="DK59" s="49">
        <v>8044662</v>
      </c>
      <c r="DL59" s="49">
        <v>2016296</v>
      </c>
      <c r="DM59" s="730">
        <v>2574587</v>
      </c>
      <c r="DN59" s="49">
        <v>2276885</v>
      </c>
      <c r="DO59" s="727">
        <v>13653592</v>
      </c>
      <c r="DP59" s="49">
        <v>8003987</v>
      </c>
      <c r="DQ59" s="49">
        <v>2045692</v>
      </c>
      <c r="DR59" s="730">
        <v>2598641</v>
      </c>
      <c r="DS59" s="49">
        <v>2299307</v>
      </c>
    </row>
    <row r="60" spans="1:123" x14ac:dyDescent="0.2">
      <c r="A60" s="218" t="s">
        <v>43</v>
      </c>
      <c r="B60" s="5"/>
      <c r="C60" s="19"/>
      <c r="D60" s="48">
        <v>6605713</v>
      </c>
      <c r="E60" s="49">
        <v>2932677</v>
      </c>
      <c r="F60" s="49">
        <v>3215041</v>
      </c>
      <c r="G60" s="49">
        <v>215620</v>
      </c>
      <c r="H60" s="50">
        <v>242375</v>
      </c>
      <c r="I60" s="99">
        <v>6689938</v>
      </c>
      <c r="J60" s="138">
        <f t="shared" si="75"/>
        <v>6165323</v>
      </c>
      <c r="K60" s="49">
        <v>2877021</v>
      </c>
      <c r="L60" s="49">
        <v>3288302</v>
      </c>
      <c r="M60" s="138">
        <f t="shared" si="76"/>
        <v>505902</v>
      </c>
      <c r="N60" s="49">
        <v>226900</v>
      </c>
      <c r="O60" s="49">
        <v>279002</v>
      </c>
      <c r="P60" s="138">
        <f t="shared" si="77"/>
        <v>14809</v>
      </c>
      <c r="Q60" s="49">
        <v>7865</v>
      </c>
      <c r="R60" s="50">
        <v>6944</v>
      </c>
      <c r="S60" s="99">
        <v>7240244</v>
      </c>
      <c r="T60" s="136">
        <f t="shared" si="78"/>
        <v>6569880</v>
      </c>
      <c r="U60" s="49">
        <v>3046937</v>
      </c>
      <c r="V60" s="49">
        <v>3522943</v>
      </c>
      <c r="W60" s="136">
        <f t="shared" si="79"/>
        <v>556745</v>
      </c>
      <c r="X60" s="49">
        <v>242051</v>
      </c>
      <c r="Y60" s="49">
        <v>314694</v>
      </c>
      <c r="Z60" s="136">
        <f t="shared" si="80"/>
        <v>67281</v>
      </c>
      <c r="AA60" s="49">
        <v>32809</v>
      </c>
      <c r="AB60" s="49">
        <v>34472</v>
      </c>
      <c r="AC60" s="177">
        <v>44003</v>
      </c>
      <c r="AD60" s="177">
        <v>20501</v>
      </c>
      <c r="AE60" s="138">
        <v>23502</v>
      </c>
      <c r="AF60" s="99">
        <v>7872932</v>
      </c>
      <c r="AG60" s="5">
        <v>7093821</v>
      </c>
      <c r="AH60" s="78">
        <f t="shared" si="81"/>
        <v>7046175</v>
      </c>
      <c r="AI60" s="49">
        <v>3281952</v>
      </c>
      <c r="AJ60" s="49">
        <v>3764223</v>
      </c>
      <c r="AK60" s="5">
        <v>642101</v>
      </c>
      <c r="AL60" s="78">
        <f t="shared" si="82"/>
        <v>636329</v>
      </c>
      <c r="AM60" s="49">
        <v>278883</v>
      </c>
      <c r="AN60" s="49">
        <v>357446</v>
      </c>
      <c r="AO60" s="5">
        <v>105723</v>
      </c>
      <c r="AP60" s="50">
        <v>52386</v>
      </c>
      <c r="AQ60" s="49">
        <v>53337</v>
      </c>
      <c r="AR60" s="215">
        <f t="shared" si="83"/>
        <v>84705</v>
      </c>
      <c r="AS60" s="99">
        <v>8266284</v>
      </c>
      <c r="AT60" s="5">
        <v>7251898</v>
      </c>
      <c r="AU60" s="178">
        <v>3415089</v>
      </c>
      <c r="AV60" s="178">
        <v>3836809</v>
      </c>
      <c r="AW60" s="78">
        <f t="shared" si="84"/>
        <v>7167883</v>
      </c>
      <c r="AX60" s="49">
        <v>3372764</v>
      </c>
      <c r="AY60" s="50">
        <v>3795119</v>
      </c>
      <c r="AZ60" s="5">
        <v>712522</v>
      </c>
      <c r="BA60" s="49">
        <v>317065</v>
      </c>
      <c r="BB60" s="49">
        <v>395457</v>
      </c>
      <c r="BC60" s="5">
        <v>190906</v>
      </c>
      <c r="BD60" s="49">
        <v>95472</v>
      </c>
      <c r="BE60" s="49">
        <v>95434</v>
      </c>
      <c r="BF60" s="177">
        <v>301864</v>
      </c>
      <c r="BG60" s="177">
        <v>147352</v>
      </c>
      <c r="BH60" s="138">
        <v>154512</v>
      </c>
      <c r="BI60" s="181">
        <v>8604107</v>
      </c>
      <c r="BJ60" s="50">
        <v>4094268</v>
      </c>
      <c r="BK60" s="50">
        <v>4509839</v>
      </c>
      <c r="BL60" s="57">
        <v>7365132</v>
      </c>
      <c r="BM60" s="57">
        <v>3521133</v>
      </c>
      <c r="BN60" s="57">
        <v>3843999</v>
      </c>
      <c r="BO60" s="57">
        <v>7171347</v>
      </c>
      <c r="BP60" s="57">
        <v>3422518</v>
      </c>
      <c r="BQ60" s="57">
        <v>3748829</v>
      </c>
      <c r="BR60" s="57">
        <v>809294</v>
      </c>
      <c r="BS60" s="57">
        <v>366659</v>
      </c>
      <c r="BT60" s="57">
        <v>442635</v>
      </c>
      <c r="BU60" s="57">
        <v>345692</v>
      </c>
      <c r="BV60" s="57">
        <v>173492</v>
      </c>
      <c r="BW60" s="57">
        <v>172200</v>
      </c>
      <c r="BX60" s="138">
        <f t="shared" si="85"/>
        <v>429681</v>
      </c>
      <c r="BY60" s="57">
        <v>206476</v>
      </c>
      <c r="BZ60" s="57">
        <v>223205</v>
      </c>
      <c r="CA60" s="191">
        <v>8404685</v>
      </c>
      <c r="CB60" s="5">
        <v>7263817</v>
      </c>
      <c r="CC60" s="49">
        <v>760573</v>
      </c>
      <c r="CD60" s="49">
        <v>380295</v>
      </c>
      <c r="CE60" s="49">
        <v>272999</v>
      </c>
      <c r="CF60" s="181">
        <v>8439935</v>
      </c>
      <c r="CG60" s="5">
        <v>7283363</v>
      </c>
      <c r="CH60" s="49">
        <v>766713</v>
      </c>
      <c r="CI60" s="49">
        <v>389859</v>
      </c>
      <c r="CJ60" s="49">
        <v>287877</v>
      </c>
      <c r="CK60" s="56">
        <v>8560797</v>
      </c>
      <c r="CL60" s="54">
        <v>7382791</v>
      </c>
      <c r="CM60" s="55">
        <v>782228</v>
      </c>
      <c r="CN60" s="55">
        <v>395778</v>
      </c>
      <c r="CO60" s="55">
        <v>309817</v>
      </c>
      <c r="CP60" s="56">
        <v>8604107</v>
      </c>
      <c r="CQ60" s="505">
        <v>7365132</v>
      </c>
      <c r="CR60" s="505">
        <v>809294</v>
      </c>
      <c r="CS60" s="55">
        <v>429681</v>
      </c>
      <c r="CT60" s="505">
        <v>345692</v>
      </c>
      <c r="CU60" s="56">
        <v>8662492</v>
      </c>
      <c r="CV60" s="505">
        <v>7393266</v>
      </c>
      <c r="CW60" s="505">
        <v>823639</v>
      </c>
      <c r="CX60" s="306">
        <f t="shared" si="86"/>
        <v>445587</v>
      </c>
      <c r="CY60" s="591">
        <v>364850</v>
      </c>
      <c r="CZ60" s="49">
        <v>8708982</v>
      </c>
      <c r="DA60" s="49">
        <v>7410721</v>
      </c>
      <c r="DB60" s="49">
        <v>834775</v>
      </c>
      <c r="DC60" s="49">
        <v>461484</v>
      </c>
      <c r="DD60" s="594">
        <v>382140</v>
      </c>
      <c r="DE60" s="49">
        <v>8764132</v>
      </c>
      <c r="DF60" s="49">
        <v>7210730</v>
      </c>
      <c r="DG60" s="1">
        <v>845396</v>
      </c>
      <c r="DH60" s="49">
        <v>485450</v>
      </c>
      <c r="DI60" s="49">
        <v>401015</v>
      </c>
      <c r="DJ60" s="727">
        <v>8895727</v>
      </c>
      <c r="DK60" s="49">
        <v>7213275</v>
      </c>
      <c r="DL60" s="49">
        <v>878088</v>
      </c>
      <c r="DM60" s="730">
        <v>541411</v>
      </c>
      <c r="DN60" s="49">
        <v>451762</v>
      </c>
      <c r="DO60" s="727">
        <v>8921975</v>
      </c>
      <c r="DP60" s="49">
        <v>7197043</v>
      </c>
      <c r="DQ60" s="49">
        <v>886334</v>
      </c>
      <c r="DR60" s="730">
        <v>564059</v>
      </c>
      <c r="DS60" s="49">
        <v>472845</v>
      </c>
    </row>
    <row r="61" spans="1:123" x14ac:dyDescent="0.2">
      <c r="A61" s="218" t="s">
        <v>44</v>
      </c>
      <c r="B61" s="5"/>
      <c r="C61" s="19"/>
      <c r="D61" s="48">
        <v>498159</v>
      </c>
      <c r="E61" s="49">
        <v>229413</v>
      </c>
      <c r="F61" s="49">
        <v>259386</v>
      </c>
      <c r="G61" s="49">
        <v>4822</v>
      </c>
      <c r="H61" s="50">
        <v>4538</v>
      </c>
      <c r="I61" s="99">
        <v>524082</v>
      </c>
      <c r="J61" s="138">
        <f t="shared" si="75"/>
        <v>509738</v>
      </c>
      <c r="K61" s="49">
        <v>236938</v>
      </c>
      <c r="L61" s="49">
        <v>272800</v>
      </c>
      <c r="M61" s="138">
        <f t="shared" si="76"/>
        <v>11088</v>
      </c>
      <c r="N61" s="49">
        <v>5179</v>
      </c>
      <c r="O61" s="49">
        <v>5909</v>
      </c>
      <c r="P61" s="138">
        <f t="shared" si="77"/>
        <v>2784</v>
      </c>
      <c r="Q61" s="49">
        <v>1438</v>
      </c>
      <c r="R61" s="50">
        <v>1346</v>
      </c>
      <c r="S61" s="99">
        <v>575243</v>
      </c>
      <c r="T61" s="136">
        <f t="shared" si="78"/>
        <v>546826</v>
      </c>
      <c r="U61" s="49">
        <v>250843</v>
      </c>
      <c r="V61" s="49">
        <v>295983</v>
      </c>
      <c r="W61" s="136">
        <f t="shared" si="79"/>
        <v>12487</v>
      </c>
      <c r="X61" s="49">
        <v>5858</v>
      </c>
      <c r="Y61" s="49">
        <v>6629</v>
      </c>
      <c r="Z61" s="136">
        <f t="shared" si="80"/>
        <v>9228</v>
      </c>
      <c r="AA61" s="49">
        <v>4438</v>
      </c>
      <c r="AB61" s="49">
        <v>4790</v>
      </c>
      <c r="AC61" s="177">
        <v>4625</v>
      </c>
      <c r="AD61" s="177">
        <v>2095</v>
      </c>
      <c r="AE61" s="138">
        <v>2530</v>
      </c>
      <c r="AF61" s="99">
        <v>658956</v>
      </c>
      <c r="AG61" s="5">
        <v>615822</v>
      </c>
      <c r="AH61" s="78">
        <f t="shared" si="81"/>
        <v>605366</v>
      </c>
      <c r="AI61" s="49">
        <v>280303</v>
      </c>
      <c r="AJ61" s="49">
        <v>325063</v>
      </c>
      <c r="AK61" s="5">
        <v>20042</v>
      </c>
      <c r="AL61" s="78">
        <f t="shared" si="82"/>
        <v>18131</v>
      </c>
      <c r="AM61" s="49">
        <v>8756</v>
      </c>
      <c r="AN61" s="49">
        <v>9375</v>
      </c>
      <c r="AO61" s="5">
        <v>21432</v>
      </c>
      <c r="AP61" s="50">
        <v>10519</v>
      </c>
      <c r="AQ61" s="49">
        <v>10913</v>
      </c>
      <c r="AR61" s="215">
        <f t="shared" si="83"/>
        <v>14027</v>
      </c>
      <c r="AS61" s="99">
        <v>694573</v>
      </c>
      <c r="AT61" s="5">
        <v>615023</v>
      </c>
      <c r="AU61" s="178">
        <v>285683</v>
      </c>
      <c r="AV61" s="178">
        <v>329340</v>
      </c>
      <c r="AW61" s="78">
        <f t="shared" si="84"/>
        <v>599057</v>
      </c>
      <c r="AX61" s="49">
        <v>278238</v>
      </c>
      <c r="AY61" s="50">
        <v>320819</v>
      </c>
      <c r="AZ61" s="5">
        <v>24358</v>
      </c>
      <c r="BA61" s="49">
        <v>11660</v>
      </c>
      <c r="BB61" s="49">
        <v>12698</v>
      </c>
      <c r="BC61" s="5">
        <v>42790</v>
      </c>
      <c r="BD61" s="49">
        <v>19796</v>
      </c>
      <c r="BE61" s="49">
        <v>22994</v>
      </c>
      <c r="BF61" s="177">
        <v>55192</v>
      </c>
      <c r="BG61" s="177">
        <v>25618</v>
      </c>
      <c r="BH61" s="138">
        <v>29574</v>
      </c>
      <c r="BI61" s="181">
        <v>708650</v>
      </c>
      <c r="BJ61" s="50">
        <v>333191</v>
      </c>
      <c r="BK61" s="50">
        <v>375459</v>
      </c>
      <c r="BL61" s="57">
        <v>607044</v>
      </c>
      <c r="BM61" s="57">
        <v>284970</v>
      </c>
      <c r="BN61" s="57">
        <v>322074</v>
      </c>
      <c r="BO61" s="57">
        <v>579512</v>
      </c>
      <c r="BP61" s="57">
        <v>271839</v>
      </c>
      <c r="BQ61" s="57">
        <v>307673</v>
      </c>
      <c r="BR61" s="57">
        <v>34761</v>
      </c>
      <c r="BS61" s="57">
        <v>16828</v>
      </c>
      <c r="BT61" s="57">
        <v>17933</v>
      </c>
      <c r="BU61" s="57">
        <v>65014</v>
      </c>
      <c r="BV61" s="57">
        <v>30813</v>
      </c>
      <c r="BW61" s="57">
        <v>34201</v>
      </c>
      <c r="BX61" s="138">
        <f t="shared" si="85"/>
        <v>66845</v>
      </c>
      <c r="BY61" s="57">
        <v>31393</v>
      </c>
      <c r="BZ61" s="57">
        <v>35452</v>
      </c>
      <c r="CA61" s="191">
        <v>711837</v>
      </c>
      <c r="CB61" s="5">
        <v>613524</v>
      </c>
      <c r="CC61" s="49">
        <v>31553</v>
      </c>
      <c r="CD61" s="49">
        <v>66760</v>
      </c>
      <c r="CE61" s="49">
        <v>60235</v>
      </c>
      <c r="CF61" s="181">
        <v>708457</v>
      </c>
      <c r="CG61" s="5">
        <v>611585</v>
      </c>
      <c r="CH61" s="49">
        <v>32115</v>
      </c>
      <c r="CI61" s="49">
        <v>64757</v>
      </c>
      <c r="CJ61" s="49">
        <v>61673</v>
      </c>
      <c r="CK61" s="56">
        <v>714086</v>
      </c>
      <c r="CL61" s="54">
        <v>616236</v>
      </c>
      <c r="CM61" s="55">
        <v>33234</v>
      </c>
      <c r="CN61" s="55">
        <v>64616</v>
      </c>
      <c r="CO61" s="55">
        <v>64382</v>
      </c>
      <c r="CP61" s="56">
        <v>708650</v>
      </c>
      <c r="CQ61" s="505">
        <v>607044</v>
      </c>
      <c r="CR61" s="505">
        <v>34761</v>
      </c>
      <c r="CS61" s="55">
        <v>66845</v>
      </c>
      <c r="CT61" s="505">
        <v>65014</v>
      </c>
      <c r="CU61" s="56">
        <v>709399</v>
      </c>
      <c r="CV61" s="505">
        <v>606344</v>
      </c>
      <c r="CW61" s="505">
        <v>34605</v>
      </c>
      <c r="CX61" s="306">
        <f t="shared" si="86"/>
        <v>68450</v>
      </c>
      <c r="CY61" s="591">
        <v>67206</v>
      </c>
      <c r="CZ61" s="49">
        <v>710902</v>
      </c>
      <c r="DA61" s="49">
        <v>605656</v>
      </c>
      <c r="DB61" s="49">
        <v>36846</v>
      </c>
      <c r="DC61" s="49">
        <v>68220</v>
      </c>
      <c r="DD61" s="594">
        <v>69032</v>
      </c>
      <c r="DE61" s="49">
        <v>714525</v>
      </c>
      <c r="DF61" s="49">
        <v>574641</v>
      </c>
      <c r="DG61" s="1">
        <v>38449</v>
      </c>
      <c r="DH61" s="49">
        <v>69621</v>
      </c>
      <c r="DI61" s="49">
        <v>71427</v>
      </c>
      <c r="DJ61" s="727">
        <v>730083</v>
      </c>
      <c r="DK61" s="49">
        <v>573543</v>
      </c>
      <c r="DL61" s="49">
        <v>40153</v>
      </c>
      <c r="DM61" s="730">
        <v>74060</v>
      </c>
      <c r="DN61" s="49">
        <v>81214</v>
      </c>
      <c r="DO61" s="727">
        <v>734045</v>
      </c>
      <c r="DP61" s="49">
        <v>572510</v>
      </c>
      <c r="DQ61" s="49">
        <v>41620</v>
      </c>
      <c r="DR61" s="730">
        <v>70604</v>
      </c>
      <c r="DS61" s="49">
        <v>84781</v>
      </c>
    </row>
    <row r="62" spans="1:123" x14ac:dyDescent="0.2">
      <c r="A62" s="222" t="s">
        <v>47</v>
      </c>
      <c r="B62" s="242"/>
      <c r="C62" s="19"/>
      <c r="D62" s="384">
        <v>212906</v>
      </c>
      <c r="E62" s="385">
        <v>101344</v>
      </c>
      <c r="F62" s="385">
        <v>111119</v>
      </c>
      <c r="G62" s="385">
        <v>242</v>
      </c>
      <c r="H62" s="385">
        <v>201</v>
      </c>
      <c r="I62" s="386">
        <v>232643</v>
      </c>
      <c r="J62" s="387">
        <f t="shared" si="75"/>
        <v>231908</v>
      </c>
      <c r="K62" s="385">
        <v>109903</v>
      </c>
      <c r="L62" s="385">
        <v>122005</v>
      </c>
      <c r="M62" s="387">
        <f t="shared" si="76"/>
        <v>347</v>
      </c>
      <c r="N62" s="385">
        <v>178</v>
      </c>
      <c r="O62" s="385">
        <v>169</v>
      </c>
      <c r="P62" s="387">
        <f t="shared" si="77"/>
        <v>1228</v>
      </c>
      <c r="Q62" s="385">
        <v>601</v>
      </c>
      <c r="R62" s="385">
        <v>627</v>
      </c>
      <c r="S62" s="99">
        <v>295051</v>
      </c>
      <c r="T62" s="249">
        <f t="shared" si="78"/>
        <v>291580</v>
      </c>
      <c r="U62" s="385">
        <v>138034</v>
      </c>
      <c r="V62" s="385">
        <v>153546</v>
      </c>
      <c r="W62" s="249">
        <f t="shared" si="79"/>
        <v>482</v>
      </c>
      <c r="X62" s="385">
        <v>298</v>
      </c>
      <c r="Y62" s="385">
        <v>184</v>
      </c>
      <c r="Z62" s="249">
        <f t="shared" si="80"/>
        <v>1625</v>
      </c>
      <c r="AA62" s="385">
        <v>787</v>
      </c>
      <c r="AB62" s="385">
        <v>838</v>
      </c>
      <c r="AC62" s="387">
        <v>1314</v>
      </c>
      <c r="AD62" s="387">
        <v>531</v>
      </c>
      <c r="AE62" s="387">
        <v>783</v>
      </c>
      <c r="AF62" s="386">
        <v>357245</v>
      </c>
      <c r="AG62" s="242">
        <v>353471</v>
      </c>
      <c r="AH62" s="249">
        <f t="shared" si="81"/>
        <v>351878</v>
      </c>
      <c r="AI62" s="385">
        <v>167689</v>
      </c>
      <c r="AJ62" s="385">
        <v>184189</v>
      </c>
      <c r="AK62" s="242">
        <v>937</v>
      </c>
      <c r="AL62" s="249">
        <f t="shared" si="82"/>
        <v>907</v>
      </c>
      <c r="AM62" s="385">
        <v>558</v>
      </c>
      <c r="AN62" s="385">
        <v>349</v>
      </c>
      <c r="AO62" s="242">
        <v>1886</v>
      </c>
      <c r="AP62" s="385">
        <v>959</v>
      </c>
      <c r="AQ62" s="385">
        <v>927</v>
      </c>
      <c r="AR62" s="396">
        <f t="shared" si="83"/>
        <v>2574</v>
      </c>
      <c r="AS62" s="386">
        <v>404223</v>
      </c>
      <c r="AT62" s="242">
        <v>394187</v>
      </c>
      <c r="AU62" s="389">
        <v>188564</v>
      </c>
      <c r="AV62" s="389">
        <v>205623</v>
      </c>
      <c r="AW62" s="249">
        <f t="shared" si="84"/>
        <v>392309</v>
      </c>
      <c r="AX62" s="385">
        <v>187656</v>
      </c>
      <c r="AY62" s="385">
        <v>204653</v>
      </c>
      <c r="AZ62" s="242">
        <v>1275</v>
      </c>
      <c r="BA62" s="385">
        <v>764</v>
      </c>
      <c r="BB62" s="385">
        <v>511</v>
      </c>
      <c r="BC62" s="242">
        <v>2572</v>
      </c>
      <c r="BD62" s="385">
        <v>1223</v>
      </c>
      <c r="BE62" s="385">
        <v>1349</v>
      </c>
      <c r="BF62" s="387">
        <v>8761</v>
      </c>
      <c r="BG62" s="387">
        <v>4019</v>
      </c>
      <c r="BH62" s="387">
        <v>4742</v>
      </c>
      <c r="BI62" s="391">
        <v>429010</v>
      </c>
      <c r="BJ62" s="385">
        <v>206921</v>
      </c>
      <c r="BK62" s="385">
        <v>222089</v>
      </c>
      <c r="BL62" s="384">
        <v>414853</v>
      </c>
      <c r="BM62" s="384">
        <v>200005</v>
      </c>
      <c r="BN62" s="384">
        <v>214848</v>
      </c>
      <c r="BO62" s="384">
        <v>411211</v>
      </c>
      <c r="BP62" s="384">
        <v>198151</v>
      </c>
      <c r="BQ62" s="384">
        <v>213060</v>
      </c>
      <c r="BR62" s="384">
        <v>2814</v>
      </c>
      <c r="BS62" s="384">
        <v>1611</v>
      </c>
      <c r="BT62" s="384">
        <v>1203</v>
      </c>
      <c r="BU62" s="384">
        <v>4839</v>
      </c>
      <c r="BV62" s="384">
        <v>2575</v>
      </c>
      <c r="BW62" s="384">
        <v>2264</v>
      </c>
      <c r="BX62" s="387">
        <f t="shared" si="85"/>
        <v>11343</v>
      </c>
      <c r="BY62" s="384">
        <v>5305</v>
      </c>
      <c r="BZ62" s="384">
        <v>6038</v>
      </c>
      <c r="CA62" s="390">
        <v>424832</v>
      </c>
      <c r="CB62" s="242">
        <v>412788</v>
      </c>
      <c r="CC62" s="385">
        <v>1741</v>
      </c>
      <c r="CD62" s="385">
        <v>10303</v>
      </c>
      <c r="CE62" s="385">
        <v>4311</v>
      </c>
      <c r="CF62" s="391">
        <v>427462</v>
      </c>
      <c r="CG62" s="242">
        <v>414717</v>
      </c>
      <c r="CH62" s="385">
        <v>2330</v>
      </c>
      <c r="CI62" s="385">
        <v>10415</v>
      </c>
      <c r="CJ62" s="385">
        <v>4473</v>
      </c>
      <c r="CK62" s="245">
        <v>423497</v>
      </c>
      <c r="CL62" s="246">
        <v>410671</v>
      </c>
      <c r="CM62" s="246">
        <v>2273</v>
      </c>
      <c r="CN62" s="246">
        <v>10553</v>
      </c>
      <c r="CO62" s="246">
        <v>4874</v>
      </c>
      <c r="CP62" s="245">
        <v>429010</v>
      </c>
      <c r="CQ62" s="505">
        <v>414853</v>
      </c>
      <c r="CR62" s="505">
        <v>2814</v>
      </c>
      <c r="CS62" s="55">
        <v>11343</v>
      </c>
      <c r="CT62" s="505">
        <v>4839</v>
      </c>
      <c r="CU62" s="245">
        <v>431850</v>
      </c>
      <c r="CV62" s="505">
        <v>417024</v>
      </c>
      <c r="CW62" s="505"/>
      <c r="CX62" s="306">
        <f t="shared" si="86"/>
        <v>14826</v>
      </c>
      <c r="CY62" s="591"/>
      <c r="CZ62" s="391">
        <v>433835</v>
      </c>
      <c r="DA62" s="385">
        <v>418736</v>
      </c>
      <c r="DB62" s="385">
        <v>2899</v>
      </c>
      <c r="DC62" s="385">
        <v>12086</v>
      </c>
      <c r="DD62" s="595">
        <v>4670</v>
      </c>
      <c r="DE62" s="49">
        <v>435144</v>
      </c>
      <c r="DF62" s="49">
        <v>415536</v>
      </c>
      <c r="DG62" s="1">
        <v>3212</v>
      </c>
      <c r="DH62" s="49">
        <v>26822</v>
      </c>
      <c r="DI62" s="49">
        <v>5240</v>
      </c>
      <c r="DJ62" s="727">
        <v>438654</v>
      </c>
      <c r="DK62" s="49">
        <v>416024</v>
      </c>
      <c r="DL62" s="49">
        <v>4006</v>
      </c>
      <c r="DM62" s="730">
        <v>10960</v>
      </c>
      <c r="DN62" s="49">
        <v>5542</v>
      </c>
      <c r="DO62" s="727">
        <v>439563</v>
      </c>
      <c r="DP62" s="49">
        <v>415204</v>
      </c>
      <c r="DQ62" s="49"/>
      <c r="DR62" s="730">
        <v>12300</v>
      </c>
      <c r="DS62" s="49">
        <v>6269</v>
      </c>
    </row>
    <row r="63" spans="1:123" x14ac:dyDescent="0.2">
      <c r="A63" s="130" t="s">
        <v>62</v>
      </c>
      <c r="B63" s="234"/>
      <c r="C63" s="234"/>
      <c r="D63" s="397">
        <v>460797</v>
      </c>
      <c r="E63" s="397">
        <v>105258</v>
      </c>
      <c r="F63" s="397">
        <v>133448</v>
      </c>
      <c r="G63" s="397">
        <v>104300</v>
      </c>
      <c r="H63" s="397">
        <v>117791</v>
      </c>
      <c r="I63" s="398">
        <v>423051</v>
      </c>
      <c r="J63" s="399">
        <f t="shared" si="75"/>
        <v>149346</v>
      </c>
      <c r="K63" s="397">
        <v>65368</v>
      </c>
      <c r="L63" s="397">
        <v>83978</v>
      </c>
      <c r="M63" s="399">
        <f t="shared" si="76"/>
        <v>268602</v>
      </c>
      <c r="N63" s="397">
        <v>123244</v>
      </c>
      <c r="O63" s="397">
        <v>145358</v>
      </c>
      <c r="P63" s="399">
        <f t="shared" si="77"/>
        <v>8412</v>
      </c>
      <c r="Q63" s="397">
        <v>3512</v>
      </c>
      <c r="R63" s="397">
        <v>4900</v>
      </c>
      <c r="S63" s="397">
        <v>398653</v>
      </c>
      <c r="T63" s="238">
        <f t="shared" si="78"/>
        <v>124112</v>
      </c>
      <c r="U63" s="397">
        <v>57252</v>
      </c>
      <c r="V63" s="397">
        <v>66860</v>
      </c>
      <c r="W63" s="238">
        <f t="shared" si="79"/>
        <v>257501</v>
      </c>
      <c r="X63" s="397">
        <v>113454</v>
      </c>
      <c r="Y63" s="397">
        <v>144047</v>
      </c>
      <c r="Z63" s="238">
        <f t="shared" si="80"/>
        <v>10991</v>
      </c>
      <c r="AA63" s="397">
        <v>4783</v>
      </c>
      <c r="AB63" s="397">
        <v>6208</v>
      </c>
      <c r="AC63" s="399">
        <v>5127</v>
      </c>
      <c r="AD63" s="399">
        <v>2329</v>
      </c>
      <c r="AE63" s="399">
        <v>2798</v>
      </c>
      <c r="AF63" s="398">
        <v>409131</v>
      </c>
      <c r="AG63" s="234">
        <v>131977</v>
      </c>
      <c r="AH63" s="238">
        <f t="shared" si="81"/>
        <v>123477</v>
      </c>
      <c r="AI63" s="397">
        <v>60664</v>
      </c>
      <c r="AJ63" s="397">
        <v>62813</v>
      </c>
      <c r="AK63" s="234">
        <v>259928</v>
      </c>
      <c r="AL63" s="238">
        <f t="shared" si="82"/>
        <v>257976</v>
      </c>
      <c r="AM63" s="397">
        <v>112098</v>
      </c>
      <c r="AN63" s="397">
        <v>145878</v>
      </c>
      <c r="AO63" s="234">
        <v>18836</v>
      </c>
      <c r="AP63" s="397">
        <v>9166</v>
      </c>
      <c r="AQ63" s="397">
        <v>9670</v>
      </c>
      <c r="AR63" s="400">
        <f t="shared" si="83"/>
        <v>8842</v>
      </c>
      <c r="AS63" s="398">
        <v>384535</v>
      </c>
      <c r="AT63" s="234">
        <v>128854</v>
      </c>
      <c r="AU63" s="43">
        <v>65234</v>
      </c>
      <c r="AV63" s="43">
        <v>63620</v>
      </c>
      <c r="AW63" s="238">
        <f t="shared" si="84"/>
        <v>118159</v>
      </c>
      <c r="AX63" s="397">
        <v>59765</v>
      </c>
      <c r="AY63" s="397">
        <v>58394</v>
      </c>
      <c r="AZ63" s="234">
        <v>223292</v>
      </c>
      <c r="BA63" s="397">
        <v>96844</v>
      </c>
      <c r="BB63" s="397">
        <v>126448</v>
      </c>
      <c r="BC63" s="234">
        <v>26423</v>
      </c>
      <c r="BD63" s="397">
        <v>13724</v>
      </c>
      <c r="BE63" s="397">
        <v>12699</v>
      </c>
      <c r="BF63" s="399">
        <v>32389</v>
      </c>
      <c r="BG63" s="399">
        <v>15942</v>
      </c>
      <c r="BH63" s="399">
        <v>16447</v>
      </c>
      <c r="BI63" s="398">
        <v>405733</v>
      </c>
      <c r="BJ63" s="397">
        <v>190231</v>
      </c>
      <c r="BK63" s="397">
        <v>215502</v>
      </c>
      <c r="BL63" s="397">
        <v>169059</v>
      </c>
      <c r="BM63" s="397">
        <v>86023</v>
      </c>
      <c r="BN63" s="397">
        <v>83036</v>
      </c>
      <c r="BO63" s="397">
        <v>148066</v>
      </c>
      <c r="BP63" s="397">
        <v>75203</v>
      </c>
      <c r="BQ63" s="397">
        <v>72863</v>
      </c>
      <c r="BR63" s="397">
        <v>203485</v>
      </c>
      <c r="BS63" s="397">
        <v>88769</v>
      </c>
      <c r="BT63" s="397">
        <v>114716</v>
      </c>
      <c r="BU63" s="397">
        <v>33409</v>
      </c>
      <c r="BV63" s="397">
        <v>17321</v>
      </c>
      <c r="BW63" s="397">
        <v>16088</v>
      </c>
      <c r="BX63" s="399">
        <f t="shared" si="85"/>
        <v>33189</v>
      </c>
      <c r="BY63" s="397">
        <v>15439</v>
      </c>
      <c r="BZ63" s="397">
        <v>17750</v>
      </c>
      <c r="CA63" s="401">
        <v>397937</v>
      </c>
      <c r="CB63" s="234">
        <v>145805</v>
      </c>
      <c r="CC63" s="397">
        <v>213410</v>
      </c>
      <c r="CD63" s="397">
        <v>38722</v>
      </c>
      <c r="CE63" s="397">
        <v>31295</v>
      </c>
      <c r="CF63" s="207">
        <v>401222</v>
      </c>
      <c r="CG63" s="234">
        <v>153410</v>
      </c>
      <c r="CH63" s="397">
        <v>211544</v>
      </c>
      <c r="CI63" s="402">
        <v>36268</v>
      </c>
      <c r="CJ63" s="397">
        <v>31651</v>
      </c>
      <c r="CK63" s="403">
        <v>407887</v>
      </c>
      <c r="CL63" s="235">
        <v>163066</v>
      </c>
      <c r="CM63" s="235">
        <v>212759</v>
      </c>
      <c r="CN63" s="235">
        <v>32062</v>
      </c>
      <c r="CO63" s="235">
        <v>31601</v>
      </c>
      <c r="CP63" s="403">
        <v>405733</v>
      </c>
      <c r="CQ63" s="235">
        <v>169059</v>
      </c>
      <c r="CR63" s="235">
        <v>203485</v>
      </c>
      <c r="CS63" s="235">
        <v>33189</v>
      </c>
      <c r="CT63" s="235">
        <v>33409</v>
      </c>
      <c r="CU63" s="403">
        <v>416691</v>
      </c>
      <c r="CV63" s="235">
        <v>176738</v>
      </c>
      <c r="CW63" s="235">
        <v>204941</v>
      </c>
      <c r="CX63" s="300">
        <f t="shared" si="86"/>
        <v>35012</v>
      </c>
      <c r="CY63" s="593">
        <v>35406</v>
      </c>
      <c r="CZ63" s="391">
        <v>428597</v>
      </c>
      <c r="DA63" s="402">
        <v>182413</v>
      </c>
      <c r="DB63" s="402">
        <v>207133</v>
      </c>
      <c r="DC63" s="402">
        <v>38946</v>
      </c>
      <c r="DD63" s="595">
        <v>37471</v>
      </c>
      <c r="DE63" s="207">
        <v>442952</v>
      </c>
      <c r="DF63" s="402">
        <v>170875</v>
      </c>
      <c r="DG63" s="173">
        <v>208666</v>
      </c>
      <c r="DH63" s="402">
        <v>26178</v>
      </c>
      <c r="DI63" s="402">
        <v>40033</v>
      </c>
      <c r="DJ63" s="729">
        <v>472884</v>
      </c>
      <c r="DK63" s="402">
        <v>184676</v>
      </c>
      <c r="DL63" s="402">
        <v>214913</v>
      </c>
      <c r="DM63" s="732">
        <v>53671</v>
      </c>
      <c r="DN63" s="402">
        <v>45602</v>
      </c>
      <c r="DO63" s="729">
        <v>480158</v>
      </c>
      <c r="DP63" s="402">
        <v>189306</v>
      </c>
      <c r="DQ63" s="402">
        <v>217411</v>
      </c>
      <c r="DR63" s="732">
        <v>51476</v>
      </c>
      <c r="DS63" s="402">
        <v>47175</v>
      </c>
    </row>
    <row r="64" spans="1:123" x14ac:dyDescent="0.2">
      <c r="B64" s="5"/>
      <c r="C64" s="5"/>
      <c r="E64" s="48"/>
      <c r="F64" s="48"/>
      <c r="G64" s="48"/>
      <c r="H64" s="57"/>
      <c r="J64" s="138"/>
      <c r="K64" s="48"/>
      <c r="L64" s="48"/>
      <c r="M64" s="138"/>
      <c r="N64" s="48"/>
      <c r="O64" s="48"/>
      <c r="P64" s="138"/>
      <c r="Q64" s="48"/>
      <c r="R64" s="57"/>
      <c r="S64" s="57"/>
      <c r="T64" s="136"/>
      <c r="U64" s="48"/>
      <c r="V64" s="48"/>
      <c r="W64" s="136"/>
      <c r="X64" s="48"/>
      <c r="Y64" s="48"/>
      <c r="Z64" s="136"/>
      <c r="AA64" s="48"/>
      <c r="AB64" s="48"/>
      <c r="AC64" s="177"/>
      <c r="AD64" s="177"/>
      <c r="AE64" s="138"/>
      <c r="AG64" s="5"/>
      <c r="AH64" s="78"/>
      <c r="AI64" s="48"/>
      <c r="AJ64" s="48"/>
      <c r="AK64" s="5"/>
      <c r="AL64" s="78"/>
      <c r="AM64" s="48"/>
      <c r="AN64" s="48"/>
      <c r="AO64" s="5"/>
      <c r="AP64" s="57"/>
      <c r="AQ64" s="48"/>
      <c r="AR64" s="215"/>
      <c r="AT64" s="5"/>
      <c r="AU64" s="178"/>
      <c r="AV64" s="178"/>
      <c r="AW64" s="78"/>
      <c r="AX64" s="48"/>
      <c r="AY64" s="57"/>
      <c r="AZ64" s="5"/>
      <c r="BA64" s="48"/>
      <c r="BB64" s="48"/>
      <c r="BC64" s="5"/>
      <c r="BD64" s="48"/>
      <c r="BE64" s="48"/>
      <c r="BF64" s="177"/>
      <c r="BG64" s="177"/>
      <c r="BH64" s="138"/>
      <c r="BI64" s="48"/>
      <c r="BJ64" s="48"/>
      <c r="BK64" s="4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57"/>
      <c r="CB64" s="5"/>
      <c r="CC64" s="48"/>
      <c r="CD64" s="48"/>
      <c r="CE64" s="48"/>
      <c r="CF64" s="57"/>
      <c r="CG64" s="5"/>
      <c r="CH64" s="48"/>
      <c r="CJ64" s="48"/>
      <c r="CL64" s="55"/>
      <c r="CM64" s="55"/>
      <c r="CN64" s="55"/>
      <c r="CO64" s="55"/>
    </row>
    <row r="65" spans="2:119" ht="373.5" customHeight="1" x14ac:dyDescent="0.2">
      <c r="B65" s="524" t="s">
        <v>99</v>
      </c>
      <c r="C65" s="58"/>
      <c r="D65" s="59"/>
      <c r="E65" s="72" t="s">
        <v>85</v>
      </c>
      <c r="F65" s="59" t="s">
        <v>83</v>
      </c>
      <c r="G65" s="58"/>
      <c r="H65" s="58"/>
      <c r="I65" s="59" t="s">
        <v>74</v>
      </c>
      <c r="J65" s="59"/>
      <c r="K65" s="60" t="s">
        <v>82</v>
      </c>
      <c r="L65" s="58" t="s">
        <v>83</v>
      </c>
      <c r="M65" s="59"/>
      <c r="N65" s="61"/>
      <c r="O65" s="61"/>
      <c r="P65" s="59"/>
      <c r="Q65" s="61"/>
      <c r="R65" s="61"/>
      <c r="S65" s="59" t="s">
        <v>84</v>
      </c>
      <c r="T65" s="71" t="s">
        <v>85</v>
      </c>
      <c r="U65" s="58" t="s">
        <v>83</v>
      </c>
      <c r="W65" s="58"/>
      <c r="Z65" s="58"/>
      <c r="AF65" s="59" t="s">
        <v>98</v>
      </c>
      <c r="AG65" s="72" t="s">
        <v>85</v>
      </c>
      <c r="AH65" s="58" t="s">
        <v>83</v>
      </c>
      <c r="AK65" s="58"/>
      <c r="AL65" s="72"/>
      <c r="AO65" s="58"/>
      <c r="AR65" s="83"/>
      <c r="AS65" s="59" t="s">
        <v>97</v>
      </c>
      <c r="AT65" s="72" t="s">
        <v>85</v>
      </c>
      <c r="AU65" s="2"/>
      <c r="AV65" s="2"/>
      <c r="AW65" s="58" t="s">
        <v>83</v>
      </c>
      <c r="AZ65" s="58"/>
      <c r="BC65" s="58"/>
      <c r="BF65" s="59"/>
      <c r="BG65" s="86"/>
      <c r="BH65" s="59"/>
      <c r="BI65" s="519" t="s">
        <v>193</v>
      </c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182" t="s">
        <v>148</v>
      </c>
      <c r="CB65" s="58"/>
      <c r="CF65" s="182" t="s">
        <v>167</v>
      </c>
      <c r="CG65" s="58"/>
      <c r="CK65" s="182" t="s">
        <v>186</v>
      </c>
      <c r="CP65" s="507" t="s">
        <v>193</v>
      </c>
      <c r="CQ65" s="182" t="s">
        <v>194</v>
      </c>
      <c r="CR65" s="182" t="s">
        <v>195</v>
      </c>
      <c r="CU65" s="182" t="s">
        <v>194</v>
      </c>
      <c r="CV65" s="182"/>
      <c r="CW65" s="182"/>
      <c r="CZ65" s="603" t="s">
        <v>216</v>
      </c>
      <c r="DE65" s="182" t="s">
        <v>220</v>
      </c>
      <c r="DJ65" s="691" t="s">
        <v>224</v>
      </c>
      <c r="DO65" s="832" t="s">
        <v>230</v>
      </c>
    </row>
    <row r="66" spans="2:119" x14ac:dyDescent="0.2">
      <c r="B66" s="225"/>
      <c r="C66" s="55"/>
      <c r="S66" s="89"/>
      <c r="T66" s="62"/>
      <c r="W66" s="17"/>
      <c r="Z66" s="17"/>
      <c r="AG66" s="89"/>
      <c r="AH66" s="89"/>
      <c r="AI66" s="48"/>
      <c r="AJ66" s="48"/>
      <c r="AK66" s="89"/>
      <c r="AL66" s="89"/>
      <c r="AM66" s="48"/>
      <c r="AN66" s="48"/>
      <c r="AO66" s="89"/>
      <c r="AR66" s="94"/>
      <c r="AT66" s="62"/>
      <c r="AW66" s="63"/>
      <c r="AZ66" s="62"/>
      <c r="BC66" s="62"/>
      <c r="CB66" s="62"/>
      <c r="CG66" s="62"/>
    </row>
    <row r="67" spans="2:119" x14ac:dyDescent="0.2">
      <c r="C67" s="55"/>
      <c r="S67" s="89"/>
      <c r="T67" s="62"/>
      <c r="W67" s="17"/>
      <c r="Z67" s="17"/>
      <c r="AG67" s="90"/>
      <c r="AH67" s="90"/>
      <c r="AI67" s="48"/>
      <c r="AJ67" s="48"/>
      <c r="AK67" s="90"/>
      <c r="AL67" s="90"/>
      <c r="AM67" s="48"/>
      <c r="AN67" s="48"/>
      <c r="AO67" s="90"/>
      <c r="AR67" s="92"/>
      <c r="AT67" s="62"/>
      <c r="AW67" s="66"/>
      <c r="AZ67" s="62"/>
      <c r="BC67" s="62"/>
      <c r="CB67" s="62"/>
      <c r="CG67" s="62"/>
    </row>
    <row r="68" spans="2:119" x14ac:dyDescent="0.2">
      <c r="B68" s="54"/>
      <c r="C68" s="55"/>
      <c r="D68" s="67"/>
      <c r="S68" s="89"/>
      <c r="T68" s="62"/>
      <c r="W68" s="17"/>
      <c r="Z68" s="17"/>
      <c r="AG68" s="90"/>
      <c r="AH68" s="90"/>
      <c r="AI68" s="48"/>
      <c r="AJ68" s="48"/>
      <c r="AK68" s="90"/>
      <c r="AL68" s="90"/>
      <c r="AM68" s="48"/>
      <c r="AN68" s="48"/>
      <c r="AO68" s="90"/>
      <c r="AR68" s="92"/>
      <c r="AT68" s="62"/>
      <c r="AW68" s="66"/>
      <c r="AZ68" s="62"/>
      <c r="BC68" s="62"/>
      <c r="CB68" s="62"/>
      <c r="CG68" s="62"/>
    </row>
    <row r="69" spans="2:119" x14ac:dyDescent="0.2">
      <c r="B69" s="54"/>
      <c r="C69" s="55"/>
      <c r="D69" s="67"/>
      <c r="S69" s="89"/>
      <c r="T69" s="62"/>
      <c r="W69" s="17"/>
      <c r="Z69" s="17"/>
      <c r="AG69" s="90"/>
      <c r="AH69" s="90"/>
      <c r="AI69" s="48"/>
      <c r="AJ69" s="48"/>
      <c r="AK69" s="90"/>
      <c r="AL69" s="90"/>
      <c r="AM69" s="48"/>
      <c r="AN69" s="48"/>
      <c r="AO69" s="90"/>
      <c r="AR69" s="92"/>
      <c r="AT69" s="62"/>
      <c r="AW69" s="66"/>
      <c r="AZ69" s="62"/>
      <c r="BC69" s="62"/>
      <c r="CB69" s="62"/>
      <c r="CG69" s="62"/>
    </row>
    <row r="70" spans="2:119" x14ac:dyDescent="0.2">
      <c r="B70" s="54"/>
      <c r="C70" s="55"/>
      <c r="D70" s="67"/>
      <c r="S70" s="89"/>
      <c r="T70" s="62"/>
      <c r="W70" s="17"/>
      <c r="Z70" s="17"/>
      <c r="AG70" s="91"/>
      <c r="AH70" s="91"/>
      <c r="AI70" s="48"/>
      <c r="AJ70" s="48"/>
      <c r="AK70" s="91"/>
      <c r="AL70" s="91"/>
      <c r="AM70" s="48"/>
      <c r="AN70" s="48"/>
      <c r="AO70" s="91"/>
      <c r="AR70" s="93"/>
      <c r="AT70" s="62"/>
      <c r="AW70" s="68"/>
      <c r="AZ70" s="62"/>
      <c r="BC70" s="62"/>
      <c r="CB70" s="62"/>
      <c r="CG70" s="62"/>
    </row>
    <row r="71" spans="2:119" x14ac:dyDescent="0.2">
      <c r="B71" s="54"/>
      <c r="C71" s="55"/>
      <c r="D71" s="67"/>
      <c r="S71" s="89"/>
      <c r="T71" s="62"/>
      <c r="W71" s="17"/>
      <c r="Z71" s="17"/>
      <c r="AG71" s="91"/>
      <c r="AH71" s="91"/>
      <c r="AI71" s="48"/>
      <c r="AJ71" s="48"/>
      <c r="AK71" s="91"/>
      <c r="AL71" s="91"/>
      <c r="AM71" s="48"/>
      <c r="AN71" s="48"/>
      <c r="AO71" s="91"/>
      <c r="AR71" s="93"/>
      <c r="AT71" s="62"/>
      <c r="AW71" s="68"/>
      <c r="AZ71" s="62"/>
      <c r="BC71" s="62"/>
      <c r="CB71" s="62"/>
      <c r="CG71" s="62"/>
    </row>
    <row r="72" spans="2:119" x14ac:dyDescent="0.2">
      <c r="B72" s="54"/>
      <c r="C72" s="55"/>
      <c r="S72" s="89"/>
      <c r="T72" s="62"/>
      <c r="W72" s="17"/>
      <c r="Z72" s="17"/>
      <c r="AG72" s="62"/>
      <c r="AH72" s="62"/>
      <c r="AK72" s="62"/>
      <c r="AL72" s="62"/>
      <c r="AO72" s="62"/>
      <c r="AR72" s="84"/>
      <c r="AT72" s="62"/>
      <c r="AW72" s="62"/>
      <c r="AZ72" s="62"/>
      <c r="BC72" s="62"/>
      <c r="CB72" s="62"/>
      <c r="CG72" s="62"/>
    </row>
    <row r="73" spans="2:119" x14ac:dyDescent="0.2">
      <c r="B73" s="54"/>
      <c r="C73" s="55"/>
      <c r="S73" s="89"/>
      <c r="T73" s="62"/>
      <c r="W73" s="17"/>
      <c r="Z73" s="17"/>
      <c r="AG73" s="62"/>
      <c r="AH73" s="62"/>
      <c r="AK73" s="62"/>
      <c r="AL73" s="62"/>
      <c r="AO73" s="62"/>
      <c r="AR73" s="84"/>
      <c r="AT73" s="62"/>
      <c r="AW73" s="62"/>
      <c r="AZ73" s="62"/>
      <c r="BC73" s="62"/>
      <c r="CB73" s="62"/>
      <c r="CG73" s="62"/>
    </row>
    <row r="74" spans="2:119" x14ac:dyDescent="0.2">
      <c r="B74" s="54"/>
      <c r="C74" s="55"/>
      <c r="S74" s="89"/>
      <c r="T74" s="62"/>
      <c r="W74" s="17"/>
      <c r="Z74" s="17"/>
      <c r="AG74" s="62"/>
      <c r="AH74" s="62"/>
      <c r="AK74" s="62"/>
      <c r="AL74" s="62"/>
      <c r="AO74" s="62"/>
      <c r="AR74" s="84"/>
      <c r="AT74" s="62"/>
      <c r="AW74" s="62"/>
      <c r="AZ74" s="62"/>
      <c r="BC74" s="62"/>
      <c r="CB74" s="62"/>
      <c r="CG74" s="62"/>
    </row>
    <row r="75" spans="2:119" x14ac:dyDescent="0.2">
      <c r="B75" s="54"/>
      <c r="C75" s="55"/>
      <c r="S75" s="89"/>
      <c r="T75" s="62"/>
      <c r="W75" s="17"/>
      <c r="Z75" s="17"/>
      <c r="AG75" s="62"/>
      <c r="AH75" s="62"/>
      <c r="AK75" s="62"/>
      <c r="AL75" s="62"/>
      <c r="AO75" s="62"/>
      <c r="AR75" s="84"/>
      <c r="AT75" s="62"/>
      <c r="AW75" s="62"/>
      <c r="AZ75" s="62"/>
      <c r="BC75" s="62"/>
      <c r="CB75" s="62"/>
      <c r="CG75" s="62"/>
    </row>
    <row r="76" spans="2:119" x14ac:dyDescent="0.2">
      <c r="B76" s="54"/>
      <c r="C76" s="55"/>
      <c r="S76" s="89"/>
      <c r="T76" s="62"/>
      <c r="W76" s="17"/>
      <c r="Z76" s="17"/>
      <c r="AG76" s="62"/>
      <c r="AH76" s="62"/>
      <c r="AK76" s="62"/>
      <c r="AL76" s="62"/>
      <c r="AO76" s="62"/>
      <c r="AR76" s="84"/>
      <c r="AT76" s="62"/>
      <c r="AW76" s="62"/>
      <c r="AZ76" s="62"/>
      <c r="BC76" s="62"/>
      <c r="CB76" s="62"/>
      <c r="CG76" s="62"/>
    </row>
    <row r="77" spans="2:119" x14ac:dyDescent="0.2">
      <c r="B77" s="54"/>
      <c r="C77" s="55"/>
      <c r="S77" s="89"/>
      <c r="T77" s="62"/>
      <c r="W77" s="17"/>
      <c r="Z77" s="17"/>
      <c r="AG77" s="62"/>
      <c r="AH77" s="62"/>
      <c r="AK77" s="62"/>
      <c r="AL77" s="62"/>
      <c r="AO77" s="62"/>
      <c r="AR77" s="84"/>
      <c r="AT77" s="62"/>
      <c r="AW77" s="62"/>
      <c r="AZ77" s="62"/>
      <c r="BC77" s="62"/>
      <c r="CB77" s="62"/>
      <c r="CG77" s="62"/>
    </row>
    <row r="78" spans="2:119" x14ac:dyDescent="0.2">
      <c r="B78" s="54"/>
      <c r="C78" s="55"/>
      <c r="S78" s="121"/>
      <c r="T78" s="54"/>
      <c r="W78" s="55"/>
      <c r="Z78" s="55"/>
      <c r="AG78" s="62"/>
      <c r="AH78" s="62"/>
      <c r="AK78" s="62"/>
      <c r="AL78" s="62"/>
      <c r="AO78" s="62"/>
      <c r="AR78" s="84"/>
      <c r="AT78" s="62"/>
      <c r="AW78" s="62"/>
      <c r="AZ78" s="62"/>
      <c r="BC78" s="62"/>
      <c r="CB78" s="62"/>
      <c r="CG78" s="62"/>
    </row>
    <row r="79" spans="2:119" x14ac:dyDescent="0.2">
      <c r="B79" s="54"/>
      <c r="C79" s="55"/>
      <c r="S79" s="121"/>
      <c r="T79" s="54"/>
      <c r="W79" s="55"/>
      <c r="Z79" s="55"/>
      <c r="AG79" s="62"/>
      <c r="AH79" s="62"/>
      <c r="AK79" s="62"/>
      <c r="AL79" s="62"/>
      <c r="AO79" s="62"/>
      <c r="AR79" s="84"/>
      <c r="AT79" s="62"/>
      <c r="AW79" s="62"/>
      <c r="AZ79" s="62"/>
      <c r="BC79" s="62"/>
      <c r="CB79" s="62"/>
      <c r="CG79" s="62"/>
    </row>
    <row r="80" spans="2:119" x14ac:dyDescent="0.2">
      <c r="AO80" s="62"/>
      <c r="BC80" s="62"/>
      <c r="CB80" s="62"/>
      <c r="CG80" s="62"/>
    </row>
    <row r="81" spans="33:85" x14ac:dyDescent="0.2">
      <c r="AG81" s="62"/>
      <c r="AH81" s="62"/>
      <c r="AK81" s="62"/>
      <c r="AL81" s="62"/>
      <c r="AO81" s="62"/>
      <c r="AR81" s="84"/>
      <c r="AT81" s="62"/>
      <c r="AW81" s="62"/>
      <c r="AZ81" s="62"/>
      <c r="BC81" s="62"/>
      <c r="CB81" s="62"/>
      <c r="CG81" s="62"/>
    </row>
    <row r="82" spans="33:85" x14ac:dyDescent="0.2">
      <c r="AG82" s="62"/>
      <c r="AH82" s="62"/>
      <c r="AK82" s="62"/>
      <c r="AL82" s="62"/>
      <c r="AO82" s="62"/>
      <c r="AR82" s="84"/>
      <c r="AT82" s="62"/>
      <c r="AW82" s="62"/>
      <c r="AZ82" s="62"/>
      <c r="BC82" s="62"/>
      <c r="CB82" s="62"/>
      <c r="CG82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DH2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RO90"/>
  <sheetViews>
    <sheetView zoomScaleNormal="100" workbookViewId="0">
      <pane xSplit="1" ySplit="4" topLeftCell="QT56" activePane="bottomRight" state="frozen"/>
      <selection pane="topRight" activeCell="B1" sqref="B1"/>
      <selection pane="bottomLeft" activeCell="A5" sqref="A5"/>
      <selection pane="bottomRight" activeCell="CR24" sqref="CR24"/>
    </sheetView>
  </sheetViews>
  <sheetFormatPr defaultRowHeight="12.75" x14ac:dyDescent="0.2"/>
  <cols>
    <col min="1" max="1" width="15.88671875" style="2" customWidth="1"/>
    <col min="2" max="6" width="9.5546875" style="2" customWidth="1"/>
    <col min="7" max="11" width="9.21875" style="2" hidden="1" customWidth="1"/>
    <col min="12" max="16" width="9.109375" style="2" hidden="1" customWidth="1"/>
    <col min="17" max="41" width="9.109375" style="4" customWidth="1"/>
    <col min="42" max="48" width="9.109375" style="2" customWidth="1"/>
    <col min="49" max="51" width="8.44140625" style="2" customWidth="1"/>
    <col min="52" max="53" width="9.109375" style="2" customWidth="1"/>
    <col min="54" max="56" width="8.44140625" style="2" customWidth="1"/>
    <col min="57" max="57" width="9.44140625" style="2" customWidth="1"/>
    <col min="58" max="58" width="9.77734375" style="2" customWidth="1"/>
    <col min="59" max="61" width="8.44140625" style="2" customWidth="1"/>
    <col min="62" max="62" width="9.21875" style="2" bestFit="1" customWidth="1"/>
    <col min="63" max="66" width="8.44140625" style="2" customWidth="1"/>
    <col min="67" max="67" width="9.44140625" style="2" bestFit="1" customWidth="1"/>
    <col min="68" max="71" width="8.44140625" style="2" customWidth="1"/>
    <col min="72" max="72" width="9.21875" style="2" bestFit="1" customWidth="1"/>
    <col min="73" max="76" width="8.44140625" style="2" customWidth="1"/>
    <col min="77" max="77" width="10.44140625" style="2" customWidth="1"/>
    <col min="78" max="82" width="10.109375" style="2" customWidth="1"/>
    <col min="83" max="83" width="9.44140625" style="2" customWidth="1"/>
    <col min="84" max="84" width="9.88671875" style="2" customWidth="1"/>
    <col min="85" max="85" width="9.6640625" style="2" customWidth="1"/>
    <col min="86" max="87" width="9.77734375" style="2" customWidth="1"/>
    <col min="88" max="90" width="10.109375" style="2" bestFit="1" customWidth="1"/>
    <col min="91" max="93" width="10.33203125" style="2" customWidth="1"/>
    <col min="94" max="95" width="10.109375" style="2" bestFit="1" customWidth="1"/>
    <col min="96" max="110" width="10.109375" style="2" customWidth="1"/>
    <col min="111" max="115" width="10.109375" style="187" customWidth="1"/>
    <col min="116" max="120" width="10.109375" style="2" customWidth="1"/>
    <col min="121" max="121" width="11.33203125" style="2" customWidth="1"/>
    <col min="122" max="124" width="10.109375" style="2" customWidth="1"/>
    <col min="125" max="145" width="10.109375" style="480" customWidth="1"/>
    <col min="146" max="146" width="10.77734375" style="2" customWidth="1"/>
    <col min="147" max="147" width="10.88671875" style="2" bestFit="1" customWidth="1"/>
    <col min="148" max="148" width="10.109375" style="2" bestFit="1" customWidth="1"/>
    <col min="149" max="150" width="9" style="2" bestFit="1" customWidth="1"/>
    <col min="151" max="152" width="9.44140625" style="2" customWidth="1"/>
    <col min="153" max="155" width="10.109375" style="2" bestFit="1" customWidth="1"/>
    <col min="156" max="157" width="9.88671875" style="2" customWidth="1"/>
    <col min="158" max="160" width="10.109375" style="2" bestFit="1" customWidth="1"/>
    <col min="161" max="161" width="11.21875" style="2" customWidth="1"/>
    <col min="162" max="162" width="9.88671875" style="2" customWidth="1"/>
    <col min="163" max="165" width="10.109375" style="2" bestFit="1" customWidth="1"/>
    <col min="166" max="166" width="11.21875" style="2" customWidth="1"/>
    <col min="167" max="167" width="9.88671875" style="2" customWidth="1"/>
    <col min="168" max="170" width="10.109375" style="2" bestFit="1" customWidth="1"/>
    <col min="171" max="190" width="10.109375" style="2" customWidth="1"/>
    <col min="191" max="192" width="9" style="2" customWidth="1"/>
    <col min="193" max="195" width="7.5546875" style="2" customWidth="1"/>
    <col min="196" max="196" width="9.6640625" style="2" customWidth="1"/>
    <col min="197" max="198" width="8.5546875" style="2" customWidth="1"/>
    <col min="199" max="199" width="7.5546875" style="2" customWidth="1"/>
    <col min="200" max="200" width="9.88671875" style="2" customWidth="1"/>
    <col min="201" max="205" width="10.5546875" style="187" customWidth="1"/>
    <col min="206" max="206" width="11.33203125" style="187" customWidth="1"/>
    <col min="207" max="240" width="10.5546875" style="187" customWidth="1"/>
    <col min="241" max="270" width="11.33203125" style="187" customWidth="1"/>
    <col min="271" max="272" width="9.33203125" style="2" customWidth="1"/>
    <col min="273" max="275" width="8.44140625" style="2" customWidth="1"/>
    <col min="276" max="280" width="9.33203125" style="2" customWidth="1"/>
    <col min="281" max="305" width="10.5546875" style="187" customWidth="1"/>
    <col min="306" max="307" width="8.5546875" style="225" customWidth="1"/>
    <col min="308" max="319" width="9" style="25" customWidth="1"/>
    <col min="320" max="320" width="9.44140625" style="25" bestFit="1" customWidth="1"/>
    <col min="321" max="328" width="9" style="25" customWidth="1"/>
    <col min="329" max="329" width="9.88671875" style="25" bestFit="1" customWidth="1"/>
    <col min="330" max="330" width="9.44140625" style="25" bestFit="1" customWidth="1"/>
    <col min="331" max="331" width="9" style="25" customWidth="1"/>
    <col min="332" max="332" width="9.44140625" style="225" bestFit="1" customWidth="1"/>
    <col min="333" max="333" width="9.44140625" style="25" bestFit="1" customWidth="1"/>
    <col min="334" max="336" width="9" style="25" customWidth="1"/>
    <col min="337" max="337" width="8.5546875" style="225" customWidth="1"/>
    <col min="338" max="339" width="9" style="25" customWidth="1"/>
    <col min="340" max="340" width="8.5546875" style="225" customWidth="1"/>
    <col min="341" max="345" width="9" style="25" customWidth="1"/>
    <col min="346" max="348" width="9" style="109" customWidth="1"/>
    <col min="349" max="351" width="9" style="25" customWidth="1"/>
    <col min="352" max="352" width="9.88671875" style="2" customWidth="1"/>
    <col min="353" max="353" width="9.88671875" style="25" customWidth="1"/>
    <col min="354" max="354" width="10.109375" style="25" customWidth="1"/>
    <col min="355" max="356" width="9.88671875" style="2" customWidth="1"/>
    <col min="357" max="357" width="10.109375" style="25" customWidth="1"/>
    <col min="358" max="358" width="9.88671875" style="25" customWidth="1"/>
    <col min="359" max="360" width="9" style="25" customWidth="1"/>
    <col min="361" max="361" width="10.109375" style="2" bestFit="1" customWidth="1"/>
    <col min="362" max="362" width="9.88671875" style="2" customWidth="1"/>
    <col min="363" max="364" width="9" style="25" customWidth="1"/>
    <col min="365" max="365" width="10.109375" style="2" bestFit="1" customWidth="1"/>
    <col min="366" max="367" width="9" style="25" customWidth="1"/>
    <col min="368" max="368" width="10.109375" style="2" bestFit="1" customWidth="1"/>
    <col min="369" max="370" width="9" style="232" customWidth="1"/>
    <col min="371" max="373" width="9" style="231" customWidth="1"/>
    <col min="374" max="376" width="9" style="232" customWidth="1"/>
    <col min="377" max="380" width="9" style="25" customWidth="1"/>
    <col min="381" max="381" width="10.44140625" style="26" customWidth="1"/>
    <col min="382" max="383" width="9.44140625" style="25" customWidth="1"/>
    <col min="384" max="384" width="12.21875" style="4" customWidth="1"/>
    <col min="385" max="386" width="10.6640625" style="4" customWidth="1"/>
    <col min="387" max="387" width="10.6640625" style="127" customWidth="1"/>
    <col min="388" max="389" width="9.88671875" style="25" customWidth="1"/>
    <col min="390" max="390" width="10.109375" style="4" bestFit="1" customWidth="1"/>
    <col min="391" max="392" width="9" style="25" customWidth="1"/>
    <col min="393" max="393" width="10.109375" style="4" bestFit="1" customWidth="1"/>
    <col min="394" max="395" width="9" style="25" customWidth="1"/>
    <col min="396" max="396" width="10.109375" style="4" bestFit="1" customWidth="1"/>
    <col min="397" max="398" width="10.109375" style="2" bestFit="1" customWidth="1"/>
    <col min="399" max="399" width="11.109375" style="26" customWidth="1"/>
    <col min="400" max="400" width="11.21875" style="25" customWidth="1"/>
    <col min="401" max="402" width="9" style="25" customWidth="1"/>
    <col min="403" max="403" width="10.6640625" style="4" customWidth="1"/>
    <col min="404" max="406" width="10.109375" style="2" customWidth="1"/>
    <col min="407" max="407" width="10.21875" style="2" customWidth="1"/>
    <col min="408" max="408" width="10.109375" style="2" customWidth="1"/>
    <col min="409" max="409" width="10.109375" style="187" customWidth="1"/>
    <col min="410" max="410" width="10.88671875" style="187" bestFit="1" customWidth="1"/>
    <col min="411" max="412" width="10.109375" style="187" bestFit="1" customWidth="1"/>
    <col min="413" max="443" width="11.6640625" style="187" customWidth="1"/>
    <col min="444" max="445" width="9.33203125" style="2" customWidth="1"/>
    <col min="446" max="448" width="8.5546875" style="2" customWidth="1"/>
    <col min="449" max="449" width="9.6640625" style="2" customWidth="1"/>
    <col min="450" max="450" width="9" style="2" customWidth="1"/>
    <col min="451" max="452" width="7.5546875" style="2" customWidth="1"/>
    <col min="453" max="453" width="9" style="2" customWidth="1"/>
    <col min="454" max="454" width="9.6640625" style="2" customWidth="1"/>
    <col min="455" max="455" width="9" style="2" customWidth="1"/>
    <col min="456" max="456" width="8.6640625" style="2" customWidth="1"/>
    <col min="457" max="457" width="8.44140625" style="2" bestFit="1" customWidth="1"/>
    <col min="458" max="458" width="9" style="2" customWidth="1"/>
    <col min="459" max="459" width="9.6640625" style="2" customWidth="1"/>
    <col min="460" max="460" width="9" style="2" customWidth="1"/>
    <col min="461" max="461" width="8.6640625" style="2" customWidth="1"/>
    <col min="462" max="462" width="8.44140625" style="2" bestFit="1" customWidth="1"/>
    <col min="463" max="463" width="9" style="2" customWidth="1"/>
    <col min="464" max="464" width="9.6640625" style="2" customWidth="1"/>
    <col min="465" max="465" width="10.88671875" style="2" customWidth="1"/>
    <col min="466" max="468" width="8.88671875" style="2"/>
    <col min="469" max="469" width="10.44140625" style="2" customWidth="1"/>
    <col min="470" max="470" width="9.21875" style="2" bestFit="1" customWidth="1"/>
    <col min="471" max="473" width="8.88671875" style="2"/>
    <col min="474" max="475" width="9.21875" style="2" bestFit="1" customWidth="1"/>
    <col min="476" max="478" width="8.88671875" style="2"/>
    <col min="479" max="480" width="9.21875" style="2" bestFit="1" customWidth="1"/>
    <col min="481" max="16384" width="8.88671875" style="2"/>
  </cols>
  <sheetData>
    <row r="1" spans="1:483" s="700" customFormat="1" ht="25.5" x14ac:dyDescent="0.2">
      <c r="B1" s="701" t="s">
        <v>51</v>
      </c>
      <c r="C1" s="702"/>
      <c r="D1" s="702"/>
      <c r="E1" s="702"/>
      <c r="F1" s="702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3"/>
      <c r="AI1" s="703"/>
      <c r="AJ1" s="703"/>
      <c r="AK1" s="703"/>
      <c r="AL1" s="703"/>
      <c r="AM1" s="703"/>
      <c r="AN1" s="703"/>
      <c r="AO1" s="703"/>
      <c r="AP1" s="704" t="s">
        <v>52</v>
      </c>
      <c r="AQ1" s="674"/>
      <c r="AR1" s="674"/>
      <c r="AS1" s="674"/>
      <c r="AT1" s="674"/>
      <c r="AU1" s="674"/>
      <c r="AV1" s="674"/>
      <c r="AW1" s="674"/>
      <c r="AX1" s="674"/>
      <c r="AY1" s="705"/>
      <c r="AZ1" s="674"/>
      <c r="BA1" s="674"/>
      <c r="BB1" s="674"/>
      <c r="BC1" s="674"/>
      <c r="BD1" s="705"/>
      <c r="BE1" s="674"/>
      <c r="BF1" s="674"/>
      <c r="BG1" s="674"/>
      <c r="BH1" s="674"/>
      <c r="BI1" s="674"/>
      <c r="BJ1" s="674"/>
      <c r="BK1" s="674"/>
      <c r="BL1" s="674"/>
      <c r="BM1" s="674"/>
      <c r="BN1" s="674"/>
      <c r="BO1" s="674"/>
      <c r="BP1" s="674"/>
      <c r="BQ1" s="674"/>
      <c r="BR1" s="674"/>
      <c r="BS1" s="674"/>
      <c r="BT1" s="674"/>
      <c r="BU1" s="674"/>
      <c r="BV1" s="674"/>
      <c r="BW1" s="674"/>
      <c r="BX1" s="674"/>
      <c r="BY1" s="674" t="s">
        <v>207</v>
      </c>
      <c r="BZ1" s="674"/>
      <c r="CA1" s="674"/>
      <c r="CB1" s="674"/>
      <c r="CC1" s="674"/>
      <c r="CD1" s="701" t="s">
        <v>223</v>
      </c>
      <c r="CE1" s="706"/>
      <c r="CF1" s="706"/>
      <c r="CG1" s="706"/>
      <c r="CH1" s="674"/>
      <c r="CI1" s="674"/>
      <c r="CJ1" s="674"/>
      <c r="CK1" s="674"/>
      <c r="CL1" s="674"/>
      <c r="CM1" s="674"/>
      <c r="CN1" s="674"/>
      <c r="CO1" s="674"/>
      <c r="CP1" s="674"/>
      <c r="CQ1" s="674"/>
      <c r="CR1" s="674"/>
      <c r="CS1" s="674"/>
      <c r="CT1" s="674"/>
      <c r="CU1" s="674"/>
      <c r="CV1" s="674"/>
      <c r="CW1" s="674"/>
      <c r="CX1" s="674"/>
      <c r="CY1" s="674"/>
      <c r="CZ1" s="674"/>
      <c r="DA1" s="674"/>
      <c r="DB1" s="674"/>
      <c r="DC1" s="674"/>
      <c r="DD1" s="674"/>
      <c r="DE1" s="674"/>
      <c r="DF1" s="674"/>
      <c r="DG1" s="674"/>
      <c r="DH1" s="674"/>
      <c r="DI1" s="674"/>
      <c r="DJ1" s="674"/>
      <c r="DK1" s="674"/>
      <c r="DL1" s="674"/>
      <c r="DM1" s="674"/>
      <c r="DN1" s="674"/>
      <c r="DO1" s="674"/>
      <c r="DP1" s="674"/>
      <c r="DQ1" s="674"/>
      <c r="DR1" s="674"/>
      <c r="DS1" s="674"/>
      <c r="DT1" s="674"/>
      <c r="DU1" s="674"/>
      <c r="DV1" s="674"/>
      <c r="DW1" s="719"/>
      <c r="DX1" s="674"/>
      <c r="DY1" s="674"/>
      <c r="DZ1" s="674"/>
      <c r="EA1" s="674"/>
      <c r="EB1" s="674"/>
      <c r="EC1" s="674"/>
      <c r="ED1" s="719"/>
      <c r="EE1" s="674"/>
      <c r="EF1" s="674"/>
      <c r="EG1" s="719"/>
      <c r="EH1" s="674"/>
      <c r="EI1" s="674"/>
      <c r="EJ1" s="674"/>
      <c r="EK1" s="674"/>
      <c r="EL1" s="674"/>
      <c r="EM1" s="674"/>
      <c r="EN1" s="674"/>
      <c r="EO1" s="674"/>
      <c r="EP1" s="707" t="s">
        <v>67</v>
      </c>
      <c r="EQ1" s="674"/>
      <c r="ER1" s="674"/>
      <c r="ES1" s="674"/>
      <c r="ET1" s="674"/>
      <c r="EU1" s="674"/>
      <c r="EV1" s="674"/>
      <c r="EW1" s="674"/>
      <c r="EX1" s="674"/>
      <c r="EY1" s="674"/>
      <c r="EZ1" s="674"/>
      <c r="FA1" s="674"/>
      <c r="FB1" s="674"/>
      <c r="FC1" s="674"/>
      <c r="FD1" s="674"/>
      <c r="FE1" s="674"/>
      <c r="FF1" s="674"/>
      <c r="FG1" s="674"/>
      <c r="FH1" s="674"/>
      <c r="FI1" s="674"/>
      <c r="FJ1" s="674"/>
      <c r="FK1" s="674"/>
      <c r="FL1" s="674"/>
      <c r="FM1" s="674"/>
      <c r="FN1" s="674"/>
      <c r="FO1" s="674"/>
      <c r="FP1" s="674"/>
      <c r="FQ1" s="674"/>
      <c r="FR1" s="674"/>
      <c r="FS1" s="674"/>
      <c r="FT1" s="674"/>
      <c r="FU1" s="674"/>
      <c r="FV1" s="674"/>
      <c r="FW1" s="674"/>
      <c r="FX1" s="674"/>
      <c r="FY1" s="674"/>
      <c r="FZ1" s="674"/>
      <c r="GA1" s="674"/>
      <c r="GB1" s="674"/>
      <c r="GC1" s="674"/>
      <c r="GD1" s="674"/>
      <c r="GE1" s="674"/>
      <c r="GF1" s="674"/>
      <c r="GG1" s="674"/>
      <c r="GH1" s="674"/>
      <c r="GI1" s="701" t="s">
        <v>53</v>
      </c>
      <c r="GJ1" s="706"/>
      <c r="GK1" s="706"/>
      <c r="GL1" s="706"/>
      <c r="GM1" s="706"/>
      <c r="GN1" s="706"/>
      <c r="GO1" s="706"/>
      <c r="GP1" s="706"/>
      <c r="GQ1" s="706"/>
      <c r="GR1" s="706"/>
      <c r="GS1" s="706"/>
      <c r="GT1" s="702"/>
      <c r="GU1" s="702"/>
      <c r="GV1" s="702"/>
      <c r="GW1" s="702"/>
      <c r="GX1" s="702"/>
      <c r="GY1" s="702"/>
      <c r="GZ1" s="702"/>
      <c r="HA1" s="702"/>
      <c r="HB1" s="702"/>
      <c r="HC1" s="702"/>
      <c r="HD1" s="702"/>
      <c r="HE1" s="702"/>
      <c r="HF1" s="702"/>
      <c r="HG1" s="702"/>
      <c r="HH1" s="702"/>
      <c r="HI1" s="702"/>
      <c r="HJ1" s="702"/>
      <c r="HK1" s="702"/>
      <c r="HL1" s="702"/>
      <c r="HM1" s="702"/>
      <c r="HN1" s="702"/>
      <c r="HO1" s="702"/>
      <c r="HP1" s="702"/>
      <c r="HQ1" s="702"/>
      <c r="HR1" s="702"/>
      <c r="HS1" s="702"/>
      <c r="HT1" s="702"/>
      <c r="HU1" s="702"/>
      <c r="HV1" s="702"/>
      <c r="HW1" s="707" t="s">
        <v>192</v>
      </c>
      <c r="HX1" s="702"/>
      <c r="HY1" s="702"/>
      <c r="HZ1" s="702"/>
      <c r="IA1" s="702"/>
      <c r="IB1" s="702"/>
      <c r="IC1" s="702"/>
      <c r="ID1" s="702"/>
      <c r="IE1" s="702"/>
      <c r="IF1" s="702"/>
      <c r="IH1" s="674"/>
      <c r="II1" s="674"/>
      <c r="IJ1" s="674"/>
      <c r="IK1" s="674"/>
      <c r="IL1" s="708"/>
      <c r="IM1" s="703"/>
      <c r="IN1" s="703"/>
      <c r="IO1" s="703"/>
      <c r="IP1" s="703"/>
      <c r="IQ1" s="703"/>
      <c r="IR1" s="703"/>
      <c r="IS1" s="703"/>
      <c r="IT1" s="703"/>
      <c r="IU1" s="703"/>
      <c r="IV1" s="703"/>
      <c r="IW1" s="703"/>
      <c r="IX1" s="703"/>
      <c r="IY1" s="703"/>
      <c r="IZ1" s="703"/>
      <c r="JA1" s="703"/>
      <c r="JB1" s="703"/>
      <c r="JC1" s="703"/>
      <c r="JD1" s="703"/>
      <c r="JE1" s="703"/>
      <c r="JF1" s="703"/>
      <c r="JG1" s="703"/>
      <c r="JH1" s="703"/>
      <c r="JI1" s="703"/>
      <c r="JJ1" s="703"/>
      <c r="JK1" s="707" t="s">
        <v>187</v>
      </c>
      <c r="JL1" s="706"/>
      <c r="JM1" s="706"/>
      <c r="JN1" s="706"/>
      <c r="JO1" s="706"/>
      <c r="JP1" s="706"/>
      <c r="JQ1" s="706"/>
      <c r="JR1" s="706"/>
      <c r="JS1" s="706"/>
      <c r="JT1" s="706"/>
      <c r="JU1" s="706"/>
      <c r="JV1" s="706"/>
      <c r="JW1" s="706"/>
      <c r="JX1" s="706"/>
      <c r="JY1" s="706"/>
      <c r="JZ1" s="706"/>
      <c r="KA1" s="706"/>
      <c r="KB1" s="706"/>
      <c r="KC1" s="706"/>
      <c r="KD1" s="706"/>
      <c r="KE1" s="706"/>
      <c r="KF1" s="706"/>
      <c r="KG1" s="706"/>
      <c r="KH1" s="706"/>
      <c r="KI1" s="706"/>
      <c r="KJ1" s="706"/>
      <c r="KK1" s="706"/>
      <c r="KL1" s="706"/>
      <c r="KM1" s="706"/>
      <c r="KN1" s="706"/>
      <c r="KO1" s="706"/>
      <c r="KP1" s="706"/>
      <c r="KQ1" s="706"/>
      <c r="KR1" s="706"/>
      <c r="KS1" s="706"/>
      <c r="KT1" s="724" t="s">
        <v>56</v>
      </c>
      <c r="KU1" s="710"/>
      <c r="KV1" s="709"/>
      <c r="KW1" s="709"/>
      <c r="KX1" s="709"/>
      <c r="KY1" s="709"/>
      <c r="KZ1" s="711"/>
      <c r="LA1" s="711"/>
      <c r="LB1" s="709"/>
      <c r="LC1" s="711"/>
      <c r="LD1" s="711"/>
      <c r="LE1" s="711"/>
      <c r="LF1" s="711"/>
      <c r="LG1" s="711"/>
      <c r="LH1" s="711"/>
      <c r="LI1" s="711"/>
      <c r="LJ1" s="711"/>
      <c r="LK1" s="711"/>
      <c r="LL1" s="711"/>
      <c r="LM1" s="711"/>
      <c r="LN1" s="711"/>
      <c r="LO1" s="711"/>
      <c r="LP1" s="711"/>
      <c r="LQ1" s="709"/>
      <c r="LR1" s="711"/>
      <c r="LS1" s="711"/>
      <c r="LT1" s="710"/>
      <c r="LU1" s="711"/>
      <c r="LV1" s="711"/>
      <c r="LW1" s="711"/>
      <c r="LX1" s="711"/>
      <c r="LY1" s="710"/>
      <c r="LZ1" s="711"/>
      <c r="MA1" s="711"/>
      <c r="MB1" s="710"/>
      <c r="MC1" s="711"/>
      <c r="MD1" s="711"/>
      <c r="ME1" s="711"/>
      <c r="MF1" s="711"/>
      <c r="MG1" s="711"/>
      <c r="MH1" s="711"/>
      <c r="MI1" s="711"/>
      <c r="MJ1" s="711"/>
      <c r="MK1" s="711"/>
      <c r="ML1" s="711"/>
      <c r="MM1" s="711"/>
      <c r="MN1" s="710"/>
      <c r="MO1" s="711"/>
      <c r="MP1" s="711"/>
      <c r="MQ1" s="710"/>
      <c r="MR1" s="710"/>
      <c r="MS1" s="712"/>
      <c r="MT1" s="712"/>
      <c r="MU1" s="712"/>
      <c r="MV1" s="712"/>
      <c r="MW1" s="710"/>
      <c r="MX1" s="710"/>
      <c r="MY1" s="712"/>
      <c r="MZ1" s="713"/>
      <c r="NA1" s="710"/>
      <c r="NB1" s="714"/>
      <c r="NC1" s="713"/>
      <c r="ND1" s="710"/>
      <c r="NE1" s="715"/>
      <c r="NF1" s="715"/>
      <c r="NG1" s="715"/>
      <c r="NH1" s="715"/>
      <c r="NI1" s="715"/>
      <c r="NJ1" s="715"/>
      <c r="NK1" s="715"/>
      <c r="NL1" s="715"/>
      <c r="NM1" s="713"/>
      <c r="NN1" s="713"/>
      <c r="NO1" s="713"/>
      <c r="NP1" s="713"/>
      <c r="NQ1" s="716"/>
      <c r="NR1" s="713"/>
      <c r="NS1" s="713"/>
      <c r="NT1" s="717"/>
      <c r="NU1" s="717"/>
      <c r="NV1" s="717"/>
      <c r="NW1" s="718"/>
      <c r="NX1" s="713"/>
      <c r="NY1" s="713"/>
      <c r="NZ1" s="717"/>
      <c r="OA1" s="713"/>
      <c r="OB1" s="713"/>
      <c r="OC1" s="717"/>
      <c r="OD1" s="713"/>
      <c r="OE1" s="713"/>
      <c r="OF1" s="717"/>
      <c r="OJ1" s="713"/>
      <c r="OK1" s="713"/>
      <c r="OL1" s="712"/>
      <c r="OM1" s="717"/>
      <c r="ON1" s="674"/>
      <c r="OO1" s="719"/>
      <c r="OP1" s="674"/>
      <c r="OQ1" s="674"/>
      <c r="OR1" s="674"/>
      <c r="OS1" s="720"/>
      <c r="OT1" s="719"/>
      <c r="OU1" s="721"/>
      <c r="OV1" s="721"/>
      <c r="OW1" s="721"/>
      <c r="OX1" s="674"/>
      <c r="OY1" s="674"/>
      <c r="OZ1" s="674"/>
      <c r="PA1" s="674"/>
      <c r="PB1" s="722"/>
      <c r="PC1" s="674"/>
      <c r="PD1" s="674"/>
      <c r="PE1" s="674"/>
      <c r="PF1" s="674"/>
      <c r="PG1" s="722"/>
      <c r="PH1" s="719"/>
      <c r="PI1" s="674"/>
      <c r="PJ1" s="674"/>
      <c r="PK1" s="674"/>
      <c r="PL1" s="674"/>
      <c r="PM1" s="674"/>
      <c r="PN1" s="674"/>
      <c r="PO1" s="674"/>
      <c r="PP1" s="674"/>
      <c r="PQ1" s="674"/>
      <c r="PR1" s="674"/>
      <c r="PS1" s="674"/>
      <c r="PT1" s="674"/>
      <c r="PU1" s="674"/>
      <c r="PV1" s="674"/>
      <c r="PW1" s="674"/>
      <c r="PX1" s="674"/>
      <c r="PY1" s="674"/>
      <c r="PZ1" s="674"/>
      <c r="QA1" s="674"/>
      <c r="QB1" s="701" t="s">
        <v>54</v>
      </c>
      <c r="QC1" s="706"/>
      <c r="QD1" s="706"/>
      <c r="QE1" s="706"/>
      <c r="QF1" s="706"/>
      <c r="QG1" s="706"/>
      <c r="QH1" s="706"/>
      <c r="QI1" s="706"/>
      <c r="QJ1" s="706"/>
      <c r="QK1" s="723"/>
      <c r="QL1" s="706"/>
      <c r="QM1" s="706"/>
      <c r="QN1" s="706"/>
      <c r="QO1" s="706"/>
      <c r="QP1" s="706"/>
      <c r="QQ1" s="706"/>
      <c r="QR1" s="706"/>
      <c r="QS1" s="706"/>
      <c r="QT1" s="706"/>
      <c r="QU1" s="706"/>
      <c r="QV1" s="700" t="s">
        <v>214</v>
      </c>
    </row>
    <row r="2" spans="1:483" s="1" customFormat="1" x14ac:dyDescent="0.2">
      <c r="B2" s="39">
        <v>1980</v>
      </c>
      <c r="C2" s="37"/>
      <c r="D2" s="37"/>
      <c r="E2" s="37"/>
      <c r="F2" s="40"/>
      <c r="G2" s="37">
        <v>1990</v>
      </c>
      <c r="H2" s="37"/>
      <c r="I2" s="37"/>
      <c r="J2" s="37"/>
      <c r="K2" s="40"/>
      <c r="L2" s="37">
        <v>2000</v>
      </c>
      <c r="M2" s="37"/>
      <c r="N2" s="37"/>
      <c r="O2" s="37"/>
      <c r="P2" s="40"/>
      <c r="Q2" s="573" t="s">
        <v>200</v>
      </c>
      <c r="R2" s="119"/>
      <c r="S2" s="119"/>
      <c r="T2" s="119"/>
      <c r="U2" s="46"/>
      <c r="V2" s="45" t="s">
        <v>210</v>
      </c>
      <c r="W2" s="45"/>
      <c r="X2" s="45"/>
      <c r="Y2" s="45"/>
      <c r="Z2" s="45"/>
      <c r="AA2" s="45" t="s">
        <v>217</v>
      </c>
      <c r="AB2" s="45"/>
      <c r="AC2" s="45"/>
      <c r="AD2" s="45"/>
      <c r="AE2" s="45"/>
      <c r="AF2" s="45" t="s">
        <v>222</v>
      </c>
      <c r="AG2" s="45"/>
      <c r="AH2" s="45"/>
      <c r="AI2" s="45"/>
      <c r="AJ2" s="45"/>
      <c r="AK2" s="666" t="s">
        <v>231</v>
      </c>
      <c r="AL2" s="666"/>
      <c r="AM2" s="666"/>
      <c r="AN2" s="666"/>
      <c r="AO2" s="666"/>
      <c r="AP2" s="36">
        <v>1990</v>
      </c>
      <c r="AQ2" s="37"/>
      <c r="AR2" s="37"/>
      <c r="AS2" s="37"/>
      <c r="AT2" s="40"/>
      <c r="AU2" s="37">
        <v>2000</v>
      </c>
      <c r="AV2" s="37"/>
      <c r="AW2" s="37"/>
      <c r="AX2" s="37"/>
      <c r="AY2" s="40"/>
      <c r="AZ2" s="199" t="s">
        <v>200</v>
      </c>
      <c r="BA2" s="37"/>
      <c r="BB2" s="37"/>
      <c r="BC2" s="37"/>
      <c r="BD2" s="40"/>
      <c r="BE2" s="119" t="s">
        <v>213</v>
      </c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536" t="s">
        <v>206</v>
      </c>
      <c r="BZ2" s="37"/>
      <c r="CA2" s="37"/>
      <c r="CB2" s="37"/>
      <c r="CC2" s="37"/>
      <c r="CD2" s="39">
        <v>1940</v>
      </c>
      <c r="CE2" s="37">
        <v>1950</v>
      </c>
      <c r="CF2" s="37">
        <v>1960</v>
      </c>
      <c r="CG2" s="37">
        <v>1970</v>
      </c>
      <c r="CH2" s="39">
        <v>1980</v>
      </c>
      <c r="CI2" s="37"/>
      <c r="CJ2" s="37"/>
      <c r="CK2" s="37"/>
      <c r="CL2" s="40"/>
      <c r="CM2" s="37">
        <v>1990</v>
      </c>
      <c r="CN2" s="37"/>
      <c r="CO2" s="37"/>
      <c r="CP2" s="37"/>
      <c r="CQ2" s="40"/>
      <c r="CR2" s="37">
        <v>2000</v>
      </c>
      <c r="CS2" s="37"/>
      <c r="CT2" s="37"/>
      <c r="CU2" s="37"/>
      <c r="CV2" s="44"/>
      <c r="CW2" s="193" t="s">
        <v>147</v>
      </c>
      <c r="CX2" s="37"/>
      <c r="CY2" s="37"/>
      <c r="CZ2" s="37"/>
      <c r="DA2" s="37"/>
      <c r="DB2" s="179" t="s">
        <v>166</v>
      </c>
      <c r="DC2" s="37"/>
      <c r="DD2" s="37"/>
      <c r="DE2" s="37"/>
      <c r="DF2" s="37"/>
      <c r="DG2" s="381" t="s">
        <v>179</v>
      </c>
      <c r="DH2" s="131"/>
      <c r="DI2" s="131"/>
      <c r="DJ2" s="131"/>
      <c r="DK2" s="131"/>
      <c r="DL2" s="536" t="s">
        <v>200</v>
      </c>
      <c r="DM2" s="37"/>
      <c r="DN2" s="37"/>
      <c r="DO2" s="37"/>
      <c r="DP2" s="40"/>
      <c r="DQ2" s="585" t="s">
        <v>208</v>
      </c>
      <c r="DR2" s="37"/>
      <c r="DS2" s="37"/>
      <c r="DT2" s="37"/>
      <c r="DU2" s="548"/>
      <c r="DV2" s="119" t="s">
        <v>213</v>
      </c>
      <c r="DW2" s="548"/>
      <c r="DX2" s="548"/>
      <c r="DY2" s="548"/>
      <c r="DZ2" s="548"/>
      <c r="EA2" s="548"/>
      <c r="EB2" s="697"/>
      <c r="EC2" s="548"/>
      <c r="ED2" s="548"/>
      <c r="EE2" s="548"/>
      <c r="EF2" s="119" t="s">
        <v>222</v>
      </c>
      <c r="EG2" s="548"/>
      <c r="EH2" s="548"/>
      <c r="EI2" s="548"/>
      <c r="EJ2" s="548"/>
      <c r="EK2" s="667" t="s">
        <v>231</v>
      </c>
      <c r="EL2" s="548"/>
      <c r="EM2" s="548"/>
      <c r="EN2" s="548"/>
      <c r="EO2" s="548"/>
      <c r="EP2" s="536">
        <v>1980</v>
      </c>
      <c r="EQ2" s="199"/>
      <c r="ER2" s="199"/>
      <c r="ES2" s="199"/>
      <c r="ET2" s="537"/>
      <c r="EU2" s="199">
        <v>1990</v>
      </c>
      <c r="EV2" s="37"/>
      <c r="EW2" s="37"/>
      <c r="EX2" s="37"/>
      <c r="EY2" s="40"/>
      <c r="EZ2" s="37">
        <v>2000</v>
      </c>
      <c r="FA2" s="37"/>
      <c r="FB2" s="37"/>
      <c r="FC2" s="37"/>
      <c r="FD2" s="40"/>
      <c r="FE2" s="133" t="s">
        <v>200</v>
      </c>
      <c r="FF2" s="37"/>
      <c r="FG2" s="37"/>
      <c r="FH2" s="37"/>
      <c r="FI2" s="40"/>
      <c r="FJ2" s="133" t="s">
        <v>208</v>
      </c>
      <c r="FK2" s="37"/>
      <c r="FL2" s="37"/>
      <c r="FM2" s="37"/>
      <c r="FN2" s="40"/>
      <c r="FO2" s="585" t="s">
        <v>213</v>
      </c>
      <c r="FP2" s="37"/>
      <c r="FQ2" s="37"/>
      <c r="FR2" s="37"/>
      <c r="FS2" s="37"/>
      <c r="FT2" s="119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167">
        <v>1990</v>
      </c>
      <c r="GJ2" s="165"/>
      <c r="GK2" s="165"/>
      <c r="GL2" s="165"/>
      <c r="GM2" s="166"/>
      <c r="GN2" s="165">
        <v>2000</v>
      </c>
      <c r="GO2" s="165"/>
      <c r="GP2" s="165"/>
      <c r="GQ2" s="165"/>
      <c r="GR2" s="166"/>
      <c r="GS2" s="536" t="s">
        <v>200</v>
      </c>
      <c r="GT2" s="37"/>
      <c r="GU2" s="37"/>
      <c r="GV2" s="37"/>
      <c r="GW2" s="44"/>
      <c r="GX2" s="479" t="s">
        <v>208</v>
      </c>
      <c r="GY2" s="37"/>
      <c r="GZ2" s="37"/>
      <c r="HA2" s="37"/>
      <c r="HB2" s="37"/>
      <c r="HC2" s="37" t="s">
        <v>213</v>
      </c>
      <c r="HD2" s="37"/>
      <c r="HE2" s="37"/>
      <c r="HF2" s="37"/>
      <c r="HG2" s="37"/>
      <c r="HH2" s="119" t="s">
        <v>219</v>
      </c>
      <c r="HI2" s="37"/>
      <c r="HJ2" s="37"/>
      <c r="HK2" s="37"/>
      <c r="HL2" s="37"/>
      <c r="HM2" s="119" t="s">
        <v>222</v>
      </c>
      <c r="HN2" s="37"/>
      <c r="HO2" s="37"/>
      <c r="HP2" s="37"/>
      <c r="HQ2" s="37"/>
      <c r="HR2" s="693" t="s">
        <v>231</v>
      </c>
      <c r="HS2" s="37"/>
      <c r="HT2" s="37"/>
      <c r="HU2" s="37"/>
      <c r="HV2" s="37"/>
      <c r="HW2" s="118">
        <v>1990</v>
      </c>
      <c r="HX2" s="119"/>
      <c r="HY2" s="119"/>
      <c r="HZ2" s="119"/>
      <c r="IA2" s="119"/>
      <c r="IB2" s="47">
        <v>2000</v>
      </c>
      <c r="IC2" s="119"/>
      <c r="ID2" s="119"/>
      <c r="IE2" s="119"/>
      <c r="IF2" s="568"/>
      <c r="IG2" s="32" t="s">
        <v>200</v>
      </c>
      <c r="IH2" s="37"/>
      <c r="II2" s="37"/>
      <c r="IJ2" s="37"/>
      <c r="IK2" s="40"/>
      <c r="IL2" s="552" t="s">
        <v>208</v>
      </c>
      <c r="IM2" s="119"/>
      <c r="IN2" s="119"/>
      <c r="IO2" s="119"/>
      <c r="IP2" s="46"/>
      <c r="IQ2" s="585" t="s">
        <v>213</v>
      </c>
      <c r="IR2" s="119"/>
      <c r="IS2" s="119"/>
      <c r="IT2" s="119"/>
      <c r="IU2" s="46"/>
      <c r="IV2" s="119" t="s">
        <v>219</v>
      </c>
      <c r="IW2" s="119"/>
      <c r="IX2" s="119"/>
      <c r="IY2" s="119"/>
      <c r="IZ2" s="119"/>
      <c r="JA2" s="47" t="s">
        <v>222</v>
      </c>
      <c r="JB2" s="119"/>
      <c r="JC2" s="119"/>
      <c r="JD2" s="119"/>
      <c r="JE2" s="119"/>
      <c r="JF2" s="838" t="s">
        <v>231</v>
      </c>
      <c r="JG2" s="119"/>
      <c r="JH2" s="119"/>
      <c r="JI2" s="119"/>
      <c r="JJ2" s="119"/>
      <c r="JK2" s="167">
        <v>1990</v>
      </c>
      <c r="JL2" s="165"/>
      <c r="JM2" s="165"/>
      <c r="JN2" s="165"/>
      <c r="JO2" s="166"/>
      <c r="JP2" s="165">
        <v>2000</v>
      </c>
      <c r="JQ2" s="37"/>
      <c r="JR2" s="37"/>
      <c r="JS2" s="37"/>
      <c r="JT2" s="37"/>
      <c r="JU2" s="536" t="s">
        <v>200</v>
      </c>
      <c r="JV2" s="37"/>
      <c r="JW2" s="37"/>
      <c r="JX2" s="37"/>
      <c r="JY2" s="40"/>
      <c r="JZ2" s="536" t="s">
        <v>208</v>
      </c>
      <c r="KA2" s="37"/>
      <c r="KB2" s="37"/>
      <c r="KC2" s="37"/>
      <c r="KD2" s="40"/>
      <c r="KE2" s="45" t="s">
        <v>219</v>
      </c>
      <c r="KF2" s="44"/>
      <c r="KG2" s="44"/>
      <c r="KH2" s="44"/>
      <c r="KI2" s="44"/>
      <c r="KJ2" s="45" t="s">
        <v>222</v>
      </c>
      <c r="KK2" s="44"/>
      <c r="KL2" s="44"/>
      <c r="KM2" s="44"/>
      <c r="KN2" s="44"/>
      <c r="KO2" s="666" t="s">
        <v>231</v>
      </c>
      <c r="KP2" s="44"/>
      <c r="KQ2" s="44"/>
      <c r="KR2" s="44"/>
      <c r="KS2" s="44"/>
      <c r="KT2" s="36" t="s">
        <v>16</v>
      </c>
      <c r="KU2" s="37">
        <v>1950</v>
      </c>
      <c r="KV2" s="101" t="s">
        <v>100</v>
      </c>
      <c r="KW2" s="164"/>
      <c r="KX2" s="164"/>
      <c r="KY2" s="164"/>
      <c r="KZ2" s="21"/>
      <c r="LA2" s="21"/>
      <c r="LB2" s="164"/>
      <c r="LC2" s="21"/>
      <c r="LD2" s="21"/>
      <c r="LE2" s="205">
        <v>1970</v>
      </c>
      <c r="LF2" s="164"/>
      <c r="LG2" s="164"/>
      <c r="LH2" s="164"/>
      <c r="LI2" s="21"/>
      <c r="LJ2" s="21"/>
      <c r="LK2" s="164"/>
      <c r="LL2" s="21"/>
      <c r="LM2" s="21"/>
      <c r="LN2" s="164"/>
      <c r="LO2" s="21"/>
      <c r="LP2" s="21"/>
      <c r="LQ2" s="205">
        <v>1980</v>
      </c>
      <c r="LR2" s="164"/>
      <c r="LS2" s="164"/>
      <c r="LT2" s="44"/>
      <c r="LU2" s="21"/>
      <c r="LV2" s="21"/>
      <c r="LW2" s="21"/>
      <c r="LX2" s="21"/>
      <c r="LY2" s="44"/>
      <c r="LZ2" s="21"/>
      <c r="MA2" s="21"/>
      <c r="MB2" s="44"/>
      <c r="MC2" s="21"/>
      <c r="MD2" s="21"/>
      <c r="ME2" s="103"/>
      <c r="MF2" s="103"/>
      <c r="MG2" s="103"/>
      <c r="MH2" s="106"/>
      <c r="MI2" s="106"/>
      <c r="MJ2" s="106"/>
      <c r="MK2" s="110"/>
      <c r="ML2" s="110"/>
      <c r="MM2" s="110"/>
      <c r="MN2" s="39">
        <v>1990</v>
      </c>
      <c r="MO2" s="164"/>
      <c r="MP2" s="164"/>
      <c r="MQ2" s="37"/>
      <c r="MR2" s="37"/>
      <c r="MS2" s="96"/>
      <c r="MT2" s="96"/>
      <c r="MU2" s="96"/>
      <c r="MV2" s="96"/>
      <c r="MW2" s="37"/>
      <c r="MX2" s="37"/>
      <c r="MY2" s="96"/>
      <c r="MZ2" s="21"/>
      <c r="NA2" s="37"/>
      <c r="NB2" s="21"/>
      <c r="NC2" s="21"/>
      <c r="ND2" s="37"/>
      <c r="NE2" s="76"/>
      <c r="NF2" s="76"/>
      <c r="NG2" s="113"/>
      <c r="NH2" s="113"/>
      <c r="NI2" s="113"/>
      <c r="NJ2" s="76"/>
      <c r="NK2" s="76"/>
      <c r="NL2" s="76"/>
      <c r="NM2" s="21"/>
      <c r="NN2" s="21"/>
      <c r="NO2" s="21"/>
      <c r="NP2" s="21"/>
      <c r="NQ2" s="118">
        <v>2000</v>
      </c>
      <c r="NR2" s="21"/>
      <c r="NS2" s="21"/>
      <c r="NT2" s="119"/>
      <c r="NU2" s="119"/>
      <c r="NV2" s="119"/>
      <c r="NW2" s="128"/>
      <c r="NX2" s="21"/>
      <c r="NY2" s="21"/>
      <c r="NZ2" s="119"/>
      <c r="OA2" s="21"/>
      <c r="OB2" s="21"/>
      <c r="OC2" s="119"/>
      <c r="OD2" s="21"/>
      <c r="OE2" s="21"/>
      <c r="OF2" s="21"/>
      <c r="OG2" s="21"/>
      <c r="OH2" s="21"/>
      <c r="OI2" s="196" t="s">
        <v>147</v>
      </c>
      <c r="OJ2" s="21"/>
      <c r="OK2" s="21"/>
      <c r="OL2" s="96"/>
      <c r="OM2" s="119"/>
      <c r="ON2" s="179" t="s">
        <v>166</v>
      </c>
      <c r="OO2" s="37"/>
      <c r="OP2" s="37"/>
      <c r="OQ2" s="37"/>
      <c r="OR2" s="37"/>
      <c r="OS2" s="381" t="s">
        <v>179</v>
      </c>
      <c r="OT2" s="131"/>
      <c r="OU2" s="131"/>
      <c r="OV2" s="131"/>
      <c r="OW2" s="131"/>
      <c r="OX2" s="536" t="s">
        <v>200</v>
      </c>
      <c r="OY2" s="37"/>
      <c r="OZ2" s="37"/>
      <c r="PA2" s="37"/>
      <c r="PB2" s="38"/>
      <c r="PC2" s="843" t="s">
        <v>208</v>
      </c>
      <c r="PD2" s="37"/>
      <c r="PE2" s="37"/>
      <c r="PF2" s="37"/>
      <c r="PG2" s="38"/>
      <c r="PH2" s="119" t="s">
        <v>213</v>
      </c>
      <c r="PI2" s="119"/>
      <c r="PJ2" s="119"/>
      <c r="PK2" s="119"/>
      <c r="PL2" s="119"/>
      <c r="PM2" s="119" t="s">
        <v>219</v>
      </c>
      <c r="PN2" s="119"/>
      <c r="PO2" s="37"/>
      <c r="PP2" s="37"/>
      <c r="PQ2" s="37"/>
      <c r="PR2" s="119" t="s">
        <v>222</v>
      </c>
      <c r="PS2" s="37"/>
      <c r="PT2" s="37"/>
      <c r="PU2" s="37"/>
      <c r="PV2" s="37"/>
      <c r="PW2" s="667" t="s">
        <v>231</v>
      </c>
      <c r="PX2" s="37"/>
      <c r="PY2" s="37"/>
      <c r="PZ2" s="37"/>
      <c r="QA2" s="37"/>
      <c r="QB2" s="39">
        <v>1990</v>
      </c>
      <c r="QC2" s="37"/>
      <c r="QD2" s="37"/>
      <c r="QE2" s="37"/>
      <c r="QF2" s="38"/>
      <c r="QG2" s="37">
        <v>2000</v>
      </c>
      <c r="QH2" s="37"/>
      <c r="QI2" s="37"/>
      <c r="QJ2" s="37"/>
      <c r="QK2" s="38"/>
      <c r="QL2" s="536" t="s">
        <v>200</v>
      </c>
      <c r="QM2" s="37"/>
      <c r="QN2" s="37"/>
      <c r="QO2" s="37"/>
      <c r="QP2" s="37"/>
      <c r="QQ2" s="32" t="s">
        <v>208</v>
      </c>
      <c r="QR2" s="37"/>
      <c r="QS2" s="37"/>
      <c r="QT2" s="37"/>
      <c r="QU2" s="37"/>
      <c r="QV2" s="833" t="s">
        <v>213</v>
      </c>
      <c r="QW2" s="586"/>
      <c r="QX2" s="586"/>
      <c r="QY2" s="586"/>
      <c r="QZ2" s="586"/>
      <c r="RA2" s="4" t="s">
        <v>219</v>
      </c>
      <c r="RB2" s="2"/>
      <c r="RC2" s="2"/>
      <c r="RF2" s="67" t="s">
        <v>222</v>
      </c>
      <c r="RK2" s="725" t="s">
        <v>231</v>
      </c>
    </row>
    <row r="3" spans="1:483" s="1" customFormat="1" x14ac:dyDescent="0.2">
      <c r="B3" s="39"/>
      <c r="C3" s="37"/>
      <c r="D3" s="37"/>
      <c r="E3" s="37"/>
      <c r="F3" s="40"/>
      <c r="G3" s="37"/>
      <c r="H3" s="37"/>
      <c r="I3" s="37"/>
      <c r="J3" s="37"/>
      <c r="K3" s="40"/>
      <c r="L3" s="37"/>
      <c r="M3" s="37"/>
      <c r="N3" s="37"/>
      <c r="O3" s="37"/>
      <c r="P3" s="40"/>
      <c r="Q3" s="119"/>
      <c r="R3" s="553"/>
      <c r="S3" s="119"/>
      <c r="T3" s="119"/>
      <c r="U3" s="46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4"/>
      <c r="AQ3" s="37"/>
      <c r="AR3" s="37"/>
      <c r="AS3" s="37"/>
      <c r="AT3" s="40"/>
      <c r="AU3" s="37"/>
      <c r="AV3" s="37"/>
      <c r="AW3" s="37"/>
      <c r="AX3" s="37"/>
      <c r="AY3" s="40"/>
      <c r="AZ3" s="37"/>
      <c r="BA3" s="200"/>
      <c r="BB3" s="37"/>
      <c r="BC3" s="37"/>
      <c r="BD3" s="40"/>
      <c r="BE3" s="37"/>
      <c r="BF3" s="37"/>
      <c r="BG3" s="37"/>
      <c r="BH3" s="37"/>
      <c r="BI3" s="37"/>
      <c r="BJ3" s="119" t="s">
        <v>218</v>
      </c>
      <c r="BK3" s="37"/>
      <c r="BL3" s="37"/>
      <c r="BM3" s="37"/>
      <c r="BN3" s="37"/>
      <c r="BO3" s="119">
        <v>2015</v>
      </c>
      <c r="BP3" s="37"/>
      <c r="BQ3" s="37"/>
      <c r="BR3" s="37"/>
      <c r="BS3" s="37"/>
      <c r="BT3" s="693">
        <v>2016</v>
      </c>
      <c r="BU3" s="37"/>
      <c r="BV3" s="37"/>
      <c r="BW3" s="37"/>
      <c r="BX3" s="37"/>
      <c r="BY3" s="39"/>
      <c r="BZ3" s="200"/>
      <c r="CA3" s="37"/>
      <c r="CB3" s="37"/>
      <c r="CC3" s="37"/>
      <c r="CD3" s="39"/>
      <c r="CE3" s="37"/>
      <c r="CF3" s="37"/>
      <c r="CG3" s="37"/>
      <c r="CH3" s="39"/>
      <c r="CI3" s="37"/>
      <c r="CJ3" s="37"/>
      <c r="CK3" s="37"/>
      <c r="CL3" s="40"/>
      <c r="CM3" s="37"/>
      <c r="CN3" s="37"/>
      <c r="CO3" s="37"/>
      <c r="CP3" s="37"/>
      <c r="CQ3" s="40"/>
      <c r="CR3" s="37"/>
      <c r="CS3" s="200"/>
      <c r="CT3" s="37"/>
      <c r="CU3" s="37"/>
      <c r="CV3" s="44"/>
      <c r="CW3" s="193"/>
      <c r="CX3" s="206"/>
      <c r="CY3" s="173"/>
      <c r="CZ3" s="173"/>
      <c r="DA3" s="173"/>
      <c r="DB3" s="207"/>
      <c r="DC3" s="173"/>
      <c r="DD3" s="173"/>
      <c r="DE3" s="173"/>
      <c r="DF3" s="173"/>
      <c r="DG3" s="535"/>
      <c r="DH3" s="173"/>
      <c r="DI3" s="173"/>
      <c r="DJ3" s="173"/>
      <c r="DK3" s="173"/>
      <c r="DL3" s="39"/>
      <c r="DM3" s="200"/>
      <c r="DN3" s="37"/>
      <c r="DO3" s="37"/>
      <c r="DP3" s="40"/>
      <c r="DQ3" s="39"/>
      <c r="DR3" s="200"/>
      <c r="DS3" s="37"/>
      <c r="DT3" s="37"/>
      <c r="DU3" s="548"/>
      <c r="DV3" s="548"/>
      <c r="DW3" s="548"/>
      <c r="DX3" s="548"/>
      <c r="DY3" s="548"/>
      <c r="DZ3" s="548"/>
      <c r="EA3" s="119" t="s">
        <v>218</v>
      </c>
      <c r="EB3" s="548"/>
      <c r="EC3" s="548"/>
      <c r="ED3" s="548"/>
      <c r="EE3" s="548"/>
      <c r="EF3" s="548"/>
      <c r="EG3" s="548"/>
      <c r="EH3" s="697"/>
      <c r="EI3" s="548"/>
      <c r="EJ3" s="548"/>
      <c r="EK3" s="548"/>
      <c r="EL3" s="548"/>
      <c r="EM3" s="548"/>
      <c r="EN3" s="548"/>
      <c r="EO3" s="548"/>
      <c r="EP3" s="39"/>
      <c r="EQ3" s="37"/>
      <c r="ER3" s="37"/>
      <c r="ES3" s="37"/>
      <c r="ET3" s="40"/>
      <c r="EU3" s="37"/>
      <c r="EV3" s="37"/>
      <c r="EW3" s="37"/>
      <c r="EX3" s="37"/>
      <c r="EY3" s="40"/>
      <c r="EZ3" s="37"/>
      <c r="FA3" s="37"/>
      <c r="FB3" s="37"/>
      <c r="FC3" s="37"/>
      <c r="FD3" s="40"/>
      <c r="FE3" s="37"/>
      <c r="FF3" s="37"/>
      <c r="FG3" s="37"/>
      <c r="FH3" s="37"/>
      <c r="FI3" s="40"/>
      <c r="FJ3" s="37"/>
      <c r="FK3" s="37"/>
      <c r="FL3" s="37"/>
      <c r="FM3" s="37"/>
      <c r="FN3" s="40"/>
      <c r="FO3" s="37"/>
      <c r="FP3" s="37"/>
      <c r="FQ3" s="37"/>
      <c r="FR3" s="37"/>
      <c r="FS3" s="37"/>
      <c r="FT3" s="119" t="s">
        <v>218</v>
      </c>
      <c r="FU3" s="37"/>
      <c r="FV3" s="37"/>
      <c r="FW3" s="37"/>
      <c r="FX3" s="37"/>
      <c r="FY3" s="119" t="s">
        <v>222</v>
      </c>
      <c r="FZ3" s="37"/>
      <c r="GA3" s="37"/>
      <c r="GB3" s="37"/>
      <c r="GC3" s="37"/>
      <c r="GD3" s="667" t="s">
        <v>231</v>
      </c>
      <c r="GE3" s="37"/>
      <c r="GF3" s="37"/>
      <c r="GG3" s="37"/>
      <c r="GH3" s="37"/>
      <c r="GI3" s="515"/>
      <c r="GJ3" s="168"/>
      <c r="GK3" s="37"/>
      <c r="GL3" s="37"/>
      <c r="GM3" s="38"/>
      <c r="GN3" s="37"/>
      <c r="GO3" s="37"/>
      <c r="GP3" s="168"/>
      <c r="GQ3" s="37"/>
      <c r="GR3" s="38"/>
      <c r="GS3" s="39"/>
      <c r="GT3" s="200"/>
      <c r="GU3" s="37"/>
      <c r="GV3" s="37"/>
      <c r="GW3" s="44"/>
      <c r="GX3" s="39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515"/>
      <c r="HX3" s="168"/>
      <c r="HY3" s="37"/>
      <c r="HZ3" s="37"/>
      <c r="IA3" s="37"/>
      <c r="IB3" s="39"/>
      <c r="IC3" s="37"/>
      <c r="ID3" s="168"/>
      <c r="IE3" s="37"/>
      <c r="IF3" s="38"/>
      <c r="IG3" s="39"/>
      <c r="IH3" s="200"/>
      <c r="II3" s="37"/>
      <c r="IJ3" s="37"/>
      <c r="IK3" s="40"/>
      <c r="IL3" s="118"/>
      <c r="IM3" s="553"/>
      <c r="IN3" s="119"/>
      <c r="IO3" s="119"/>
      <c r="IP3" s="46"/>
      <c r="IQ3" s="119"/>
      <c r="IR3" s="119"/>
      <c r="IS3" s="119"/>
      <c r="IT3" s="119"/>
      <c r="IU3" s="568"/>
      <c r="IV3" s="119"/>
      <c r="IW3" s="119"/>
      <c r="IX3" s="119"/>
      <c r="IY3" s="119"/>
      <c r="IZ3" s="119"/>
      <c r="JA3" s="118"/>
      <c r="JB3" s="119"/>
      <c r="JC3" s="119"/>
      <c r="JD3" s="119"/>
      <c r="JE3" s="119"/>
      <c r="JF3" s="118"/>
      <c r="JG3" s="119"/>
      <c r="JH3" s="119"/>
      <c r="JI3" s="119"/>
      <c r="JJ3" s="119"/>
      <c r="JK3" s="39"/>
      <c r="JL3" s="37"/>
      <c r="JM3" s="168"/>
      <c r="JN3" s="37"/>
      <c r="JO3" s="38"/>
      <c r="JP3" s="37"/>
      <c r="JQ3" s="168"/>
      <c r="JR3" s="37"/>
      <c r="JS3" s="37"/>
      <c r="JT3" s="37"/>
      <c r="JU3" s="39"/>
      <c r="JV3" s="200"/>
      <c r="JW3" s="37"/>
      <c r="JX3" s="37"/>
      <c r="JY3" s="40"/>
      <c r="JZ3" s="39"/>
      <c r="KA3" s="200"/>
      <c r="KB3" s="37"/>
      <c r="KC3" s="37"/>
      <c r="KD3" s="40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7"/>
      <c r="KQ3" s="37"/>
      <c r="KR3" s="37"/>
      <c r="KS3" s="37"/>
      <c r="KT3" s="39"/>
      <c r="KU3" s="37"/>
      <c r="KV3" s="101"/>
      <c r="KW3" s="102"/>
      <c r="KX3" s="102"/>
      <c r="KY3" s="102"/>
      <c r="KZ3" s="22"/>
      <c r="LA3" s="22"/>
      <c r="LB3" s="102"/>
      <c r="LC3" s="22"/>
      <c r="LD3" s="22"/>
      <c r="LE3" s="204"/>
      <c r="LF3" s="102"/>
      <c r="LG3" s="102"/>
      <c r="LH3" s="102"/>
      <c r="LI3" s="22"/>
      <c r="LJ3" s="22"/>
      <c r="LK3" s="102"/>
      <c r="LL3" s="22"/>
      <c r="LM3" s="22"/>
      <c r="LN3" s="102"/>
      <c r="LO3" s="22"/>
      <c r="LP3" s="22"/>
      <c r="LQ3" s="204"/>
      <c r="LR3" s="102"/>
      <c r="LS3" s="102"/>
      <c r="LT3" s="37"/>
      <c r="LU3" s="22"/>
      <c r="LV3" s="22"/>
      <c r="LW3" s="22"/>
      <c r="LX3" s="22"/>
      <c r="LY3" s="37"/>
      <c r="LZ3" s="22"/>
      <c r="MA3" s="22"/>
      <c r="MB3" s="37"/>
      <c r="MC3" s="22"/>
      <c r="MD3" s="22"/>
      <c r="ME3" s="105"/>
      <c r="MF3" s="105"/>
      <c r="MG3" s="105"/>
      <c r="MH3" s="107" t="s">
        <v>114</v>
      </c>
      <c r="MI3" s="107"/>
      <c r="MJ3" s="107"/>
      <c r="MK3" s="111"/>
      <c r="ML3" s="111"/>
      <c r="MM3" s="111"/>
      <c r="MN3" s="39"/>
      <c r="MO3" s="102"/>
      <c r="MP3" s="102"/>
      <c r="MQ3" s="37"/>
      <c r="MR3" s="74"/>
      <c r="MS3" s="22"/>
      <c r="MT3" s="22"/>
      <c r="MU3" s="22"/>
      <c r="MV3" s="22"/>
      <c r="MW3" s="37"/>
      <c r="MX3" s="74"/>
      <c r="MY3" s="22"/>
      <c r="MZ3" s="22"/>
      <c r="NA3" s="74"/>
      <c r="NB3" s="22"/>
      <c r="NC3" s="22"/>
      <c r="ND3" s="37"/>
      <c r="NE3" s="76"/>
      <c r="NF3" s="76"/>
      <c r="NG3" s="114" t="s">
        <v>114</v>
      </c>
      <c r="NH3" s="115"/>
      <c r="NI3" s="115"/>
      <c r="NJ3" s="77"/>
      <c r="NK3" s="77"/>
      <c r="NL3" s="77"/>
      <c r="NM3" s="22"/>
      <c r="NN3" s="22"/>
      <c r="NO3" s="22"/>
      <c r="NP3" s="22"/>
      <c r="NQ3" s="120"/>
      <c r="NR3" s="129"/>
      <c r="NS3" s="129"/>
      <c r="NT3" s="88"/>
      <c r="NU3" s="119"/>
      <c r="NV3" s="119"/>
      <c r="NW3" s="123"/>
      <c r="NX3" s="22"/>
      <c r="NY3" s="22"/>
      <c r="NZ3" s="119"/>
      <c r="OA3" s="22"/>
      <c r="OB3" s="22"/>
      <c r="OC3" s="119"/>
      <c r="OD3" s="22"/>
      <c r="OE3" s="22"/>
      <c r="OF3" s="22"/>
      <c r="OG3" s="22"/>
      <c r="OH3" s="22"/>
      <c r="OI3" s="197"/>
      <c r="OJ3" s="203"/>
      <c r="OK3" s="203"/>
      <c r="OL3" s="210"/>
      <c r="OM3" s="162"/>
      <c r="ON3" s="179"/>
      <c r="OO3" s="173"/>
      <c r="OP3" s="173"/>
      <c r="OQ3" s="206"/>
      <c r="OR3" s="173"/>
      <c r="OS3" s="179"/>
      <c r="OT3" s="173"/>
      <c r="OU3" s="173"/>
      <c r="OV3" s="206"/>
      <c r="OW3" s="173"/>
      <c r="OX3" s="39"/>
      <c r="OY3" s="200"/>
      <c r="OZ3" s="37"/>
      <c r="PA3" s="37"/>
      <c r="PB3" s="40"/>
      <c r="PC3" s="39"/>
      <c r="PD3" s="200"/>
      <c r="PE3" s="37"/>
      <c r="PF3" s="37"/>
      <c r="PG3" s="40"/>
      <c r="PH3" s="119"/>
      <c r="PI3" s="119"/>
      <c r="PJ3" s="119"/>
      <c r="PK3" s="119"/>
      <c r="PL3" s="119"/>
      <c r="PM3" s="119"/>
      <c r="PN3" s="119"/>
      <c r="PO3" s="37"/>
      <c r="PP3" s="37"/>
      <c r="PQ3" s="37"/>
      <c r="PR3" s="37"/>
      <c r="PS3" s="37"/>
      <c r="PT3" s="37"/>
      <c r="PU3" s="37"/>
      <c r="PV3" s="37"/>
      <c r="PW3" s="37"/>
      <c r="PX3" s="37"/>
      <c r="PY3" s="37"/>
      <c r="PZ3" s="37"/>
      <c r="QA3" s="37"/>
      <c r="QB3" s="39"/>
      <c r="QC3" s="37"/>
      <c r="QD3" s="37"/>
      <c r="QE3" s="37"/>
      <c r="QF3" s="38"/>
      <c r="QG3" s="37"/>
      <c r="QH3" s="37"/>
      <c r="QI3" s="37"/>
      <c r="QJ3" s="37"/>
      <c r="QK3" s="38"/>
      <c r="QL3" s="39"/>
      <c r="QM3" s="200"/>
      <c r="QN3" s="37"/>
      <c r="QO3" s="37"/>
      <c r="QP3" s="44"/>
      <c r="QQ3" s="39"/>
      <c r="QR3" s="200"/>
      <c r="QS3" s="37"/>
      <c r="QT3" s="37"/>
      <c r="QU3" s="44"/>
      <c r="QV3" s="586"/>
      <c r="QW3" s="586"/>
      <c r="QX3" s="586"/>
      <c r="QY3" s="586"/>
      <c r="QZ3" s="586"/>
      <c r="RA3" s="2"/>
      <c r="RB3" s="2"/>
      <c r="RC3" s="2"/>
    </row>
    <row r="4" spans="1:483" s="1" customFormat="1" ht="48" customHeight="1" x14ac:dyDescent="0.2">
      <c r="B4" s="36" t="s">
        <v>57</v>
      </c>
      <c r="C4" s="44" t="s">
        <v>58</v>
      </c>
      <c r="D4" s="44" t="s">
        <v>59</v>
      </c>
      <c r="E4" s="44" t="s">
        <v>60</v>
      </c>
      <c r="F4" s="40" t="s">
        <v>61</v>
      </c>
      <c r="G4" s="44" t="s">
        <v>57</v>
      </c>
      <c r="H4" s="44" t="s">
        <v>58</v>
      </c>
      <c r="I4" s="44" t="s">
        <v>59</v>
      </c>
      <c r="J4" s="44" t="s">
        <v>60</v>
      </c>
      <c r="K4" s="40" t="s">
        <v>61</v>
      </c>
      <c r="L4" s="44" t="s">
        <v>57</v>
      </c>
      <c r="M4" s="44" t="s">
        <v>58</v>
      </c>
      <c r="N4" s="44" t="s">
        <v>59</v>
      </c>
      <c r="O4" s="44" t="s">
        <v>60</v>
      </c>
      <c r="P4" s="40" t="s">
        <v>61</v>
      </c>
      <c r="Q4" s="45" t="s">
        <v>57</v>
      </c>
      <c r="R4" s="45" t="s">
        <v>201</v>
      </c>
      <c r="S4" s="45" t="s">
        <v>202</v>
      </c>
      <c r="T4" s="45" t="s">
        <v>60</v>
      </c>
      <c r="U4" s="46" t="s">
        <v>203</v>
      </c>
      <c r="V4" s="45" t="s">
        <v>57</v>
      </c>
      <c r="W4" s="45" t="s">
        <v>211</v>
      </c>
      <c r="X4" s="45" t="s">
        <v>212</v>
      </c>
      <c r="Y4" s="45" t="s">
        <v>60</v>
      </c>
      <c r="Z4" s="45" t="s">
        <v>61</v>
      </c>
      <c r="AA4" s="45" t="s">
        <v>57</v>
      </c>
      <c r="AB4" s="45" t="s">
        <v>211</v>
      </c>
      <c r="AC4" s="45" t="s">
        <v>212</v>
      </c>
      <c r="AD4" s="45" t="s">
        <v>60</v>
      </c>
      <c r="AE4" s="45" t="s">
        <v>61</v>
      </c>
      <c r="AF4" s="45" t="s">
        <v>57</v>
      </c>
      <c r="AG4" s="45" t="s">
        <v>211</v>
      </c>
      <c r="AH4" s="45" t="s">
        <v>212</v>
      </c>
      <c r="AI4" s="45" t="s">
        <v>60</v>
      </c>
      <c r="AJ4" s="45" t="s">
        <v>61</v>
      </c>
      <c r="AK4" s="45" t="s">
        <v>57</v>
      </c>
      <c r="AL4" s="45" t="s">
        <v>211</v>
      </c>
      <c r="AM4" s="45" t="s">
        <v>212</v>
      </c>
      <c r="AN4" s="45" t="s">
        <v>60</v>
      </c>
      <c r="AO4" s="45" t="s">
        <v>61</v>
      </c>
      <c r="AP4" s="44" t="s">
        <v>57</v>
      </c>
      <c r="AQ4" s="44" t="s">
        <v>58</v>
      </c>
      <c r="AR4" s="44" t="s">
        <v>59</v>
      </c>
      <c r="AS4" s="44" t="s">
        <v>60</v>
      </c>
      <c r="AT4" s="40" t="s">
        <v>61</v>
      </c>
      <c r="AU4" s="44" t="s">
        <v>57</v>
      </c>
      <c r="AV4" s="44" t="s">
        <v>58</v>
      </c>
      <c r="AW4" s="44" t="s">
        <v>59</v>
      </c>
      <c r="AX4" s="44" t="s">
        <v>60</v>
      </c>
      <c r="AY4" s="40" t="s">
        <v>61</v>
      </c>
      <c r="AZ4" s="44" t="s">
        <v>57</v>
      </c>
      <c r="BA4" s="44" t="s">
        <v>201</v>
      </c>
      <c r="BB4" s="44" t="s">
        <v>202</v>
      </c>
      <c r="BC4" s="44" t="s">
        <v>60</v>
      </c>
      <c r="BD4" s="40" t="s">
        <v>203</v>
      </c>
      <c r="BE4" s="44" t="s">
        <v>57</v>
      </c>
      <c r="BF4" s="44" t="s">
        <v>201</v>
      </c>
      <c r="BG4" s="44" t="s">
        <v>202</v>
      </c>
      <c r="BH4" s="44" t="s">
        <v>60</v>
      </c>
      <c r="BI4" s="40" t="s">
        <v>203</v>
      </c>
      <c r="BJ4" s="44" t="s">
        <v>57</v>
      </c>
      <c r="BK4" s="44" t="s">
        <v>201</v>
      </c>
      <c r="BL4" s="44" t="s">
        <v>202</v>
      </c>
      <c r="BM4" s="44" t="s">
        <v>60</v>
      </c>
      <c r="BN4" s="40" t="s">
        <v>203</v>
      </c>
      <c r="BO4" s="44" t="s">
        <v>57</v>
      </c>
      <c r="BP4" s="44" t="s">
        <v>201</v>
      </c>
      <c r="BQ4" s="44" t="s">
        <v>202</v>
      </c>
      <c r="BR4" s="44" t="s">
        <v>60</v>
      </c>
      <c r="BS4" s="40" t="s">
        <v>203</v>
      </c>
      <c r="BT4" s="44" t="s">
        <v>57</v>
      </c>
      <c r="BU4" s="44" t="s">
        <v>201</v>
      </c>
      <c r="BV4" s="44" t="s">
        <v>202</v>
      </c>
      <c r="BW4" s="44" t="s">
        <v>60</v>
      </c>
      <c r="BX4" s="40" t="s">
        <v>203</v>
      </c>
      <c r="BY4" s="36" t="s">
        <v>57</v>
      </c>
      <c r="BZ4" s="44" t="s">
        <v>201</v>
      </c>
      <c r="CA4" s="44" t="s">
        <v>202</v>
      </c>
      <c r="CB4" s="44" t="s">
        <v>60</v>
      </c>
      <c r="CC4" s="44" t="s">
        <v>203</v>
      </c>
      <c r="CD4" s="36"/>
      <c r="CE4" s="44"/>
      <c r="CF4" s="44"/>
      <c r="CG4" s="44"/>
      <c r="CH4" s="36" t="s">
        <v>57</v>
      </c>
      <c r="CI4" s="44" t="s">
        <v>58</v>
      </c>
      <c r="CJ4" s="44" t="s">
        <v>59</v>
      </c>
      <c r="CK4" s="44" t="s">
        <v>60</v>
      </c>
      <c r="CL4" s="40" t="s">
        <v>61</v>
      </c>
      <c r="CM4" s="44" t="s">
        <v>57</v>
      </c>
      <c r="CN4" s="44" t="s">
        <v>58</v>
      </c>
      <c r="CO4" s="44" t="s">
        <v>59</v>
      </c>
      <c r="CP4" s="44" t="s">
        <v>60</v>
      </c>
      <c r="CQ4" s="40" t="s">
        <v>61</v>
      </c>
      <c r="CR4" s="44" t="s">
        <v>57</v>
      </c>
      <c r="CS4" s="44" t="s">
        <v>58</v>
      </c>
      <c r="CT4" s="44" t="s">
        <v>59</v>
      </c>
      <c r="CU4" s="44" t="s">
        <v>60</v>
      </c>
      <c r="CV4" s="44" t="s">
        <v>61</v>
      </c>
      <c r="CW4" s="194" t="s">
        <v>57</v>
      </c>
      <c r="CX4" s="74" t="s">
        <v>173</v>
      </c>
      <c r="CY4" s="74" t="s">
        <v>174</v>
      </c>
      <c r="CZ4" s="74" t="s">
        <v>177</v>
      </c>
      <c r="DA4" s="62" t="s">
        <v>60</v>
      </c>
      <c r="DB4" s="64" t="s">
        <v>57</v>
      </c>
      <c r="DC4" s="74" t="s">
        <v>173</v>
      </c>
      <c r="DD4" s="74" t="s">
        <v>174</v>
      </c>
      <c r="DE4" s="74" t="s">
        <v>177</v>
      </c>
      <c r="DF4" s="62" t="s">
        <v>60</v>
      </c>
      <c r="DG4" s="64" t="s">
        <v>57</v>
      </c>
      <c r="DH4" s="74" t="s">
        <v>173</v>
      </c>
      <c r="DI4" s="74" t="s">
        <v>174</v>
      </c>
      <c r="DJ4" s="74" t="s">
        <v>177</v>
      </c>
      <c r="DK4" s="62" t="s">
        <v>60</v>
      </c>
      <c r="DL4" s="36" t="s">
        <v>57</v>
      </c>
      <c r="DM4" s="44" t="s">
        <v>201</v>
      </c>
      <c r="DN4" s="44" t="s">
        <v>202</v>
      </c>
      <c r="DO4" s="44" t="s">
        <v>60</v>
      </c>
      <c r="DP4" s="40" t="s">
        <v>203</v>
      </c>
      <c r="DQ4" s="36" t="s">
        <v>57</v>
      </c>
      <c r="DR4" s="44" t="s">
        <v>201</v>
      </c>
      <c r="DS4" s="44" t="s">
        <v>202</v>
      </c>
      <c r="DT4" s="44" t="s">
        <v>60</v>
      </c>
      <c r="DU4" s="44" t="s">
        <v>203</v>
      </c>
      <c r="DV4" s="36" t="s">
        <v>57</v>
      </c>
      <c r="DW4" s="44" t="s">
        <v>201</v>
      </c>
      <c r="DX4" s="44" t="s">
        <v>202</v>
      </c>
      <c r="DY4" s="44" t="s">
        <v>60</v>
      </c>
      <c r="DZ4" s="44" t="s">
        <v>203</v>
      </c>
      <c r="EA4" s="36" t="s">
        <v>57</v>
      </c>
      <c r="EB4" s="44" t="s">
        <v>201</v>
      </c>
      <c r="EC4" s="44" t="s">
        <v>202</v>
      </c>
      <c r="ED4" s="44" t="s">
        <v>60</v>
      </c>
      <c r="EE4" s="44" t="s">
        <v>203</v>
      </c>
      <c r="EF4" s="36" t="s">
        <v>57</v>
      </c>
      <c r="EG4" s="44" t="s">
        <v>201</v>
      </c>
      <c r="EH4" s="44" t="s">
        <v>202</v>
      </c>
      <c r="EI4" s="44" t="s">
        <v>60</v>
      </c>
      <c r="EJ4" s="44" t="s">
        <v>203</v>
      </c>
      <c r="EK4" s="44" t="s">
        <v>57</v>
      </c>
      <c r="EL4" s="44" t="s">
        <v>201</v>
      </c>
      <c r="EM4" s="44" t="s">
        <v>202</v>
      </c>
      <c r="EN4" s="44" t="s">
        <v>60</v>
      </c>
      <c r="EO4" s="44" t="s">
        <v>203</v>
      </c>
      <c r="EP4" s="36" t="s">
        <v>57</v>
      </c>
      <c r="EQ4" s="44" t="s">
        <v>58</v>
      </c>
      <c r="ER4" s="44" t="s">
        <v>59</v>
      </c>
      <c r="ES4" s="44" t="s">
        <v>60</v>
      </c>
      <c r="ET4" s="40" t="s">
        <v>61</v>
      </c>
      <c r="EU4" s="44" t="s">
        <v>57</v>
      </c>
      <c r="EV4" s="44" t="s">
        <v>58</v>
      </c>
      <c r="EW4" s="44" t="s">
        <v>59</v>
      </c>
      <c r="EX4" s="44" t="s">
        <v>60</v>
      </c>
      <c r="EY4" s="40" t="s">
        <v>61</v>
      </c>
      <c r="EZ4" s="44" t="s">
        <v>57</v>
      </c>
      <c r="FA4" s="44" t="s">
        <v>58</v>
      </c>
      <c r="FB4" s="44" t="s">
        <v>59</v>
      </c>
      <c r="FC4" s="44" t="s">
        <v>60</v>
      </c>
      <c r="FD4" s="40" t="s">
        <v>61</v>
      </c>
      <c r="FE4" s="44" t="s">
        <v>57</v>
      </c>
      <c r="FF4" s="44" t="s">
        <v>201</v>
      </c>
      <c r="FG4" s="44" t="s">
        <v>202</v>
      </c>
      <c r="FH4" s="44" t="s">
        <v>60</v>
      </c>
      <c r="FI4" s="40" t="s">
        <v>203</v>
      </c>
      <c r="FJ4" s="44" t="s">
        <v>57</v>
      </c>
      <c r="FK4" s="44" t="s">
        <v>201</v>
      </c>
      <c r="FL4" s="44" t="s">
        <v>202</v>
      </c>
      <c r="FM4" s="44" t="s">
        <v>60</v>
      </c>
      <c r="FN4" s="40" t="s">
        <v>203</v>
      </c>
      <c r="FO4" s="44" t="s">
        <v>57</v>
      </c>
      <c r="FP4" s="44" t="s">
        <v>201</v>
      </c>
      <c r="FQ4" s="44" t="s">
        <v>202</v>
      </c>
      <c r="FR4" s="44" t="s">
        <v>60</v>
      </c>
      <c r="FS4" s="44" t="s">
        <v>203</v>
      </c>
      <c r="FT4" s="44" t="s">
        <v>57</v>
      </c>
      <c r="FU4" s="44" t="s">
        <v>201</v>
      </c>
      <c r="FV4" s="44" t="s">
        <v>202</v>
      </c>
      <c r="FW4" s="44" t="s">
        <v>60</v>
      </c>
      <c r="FX4" s="44" t="s">
        <v>203</v>
      </c>
      <c r="FY4" s="44" t="s">
        <v>57</v>
      </c>
      <c r="FZ4" s="44" t="s">
        <v>201</v>
      </c>
      <c r="GA4" s="44" t="s">
        <v>202</v>
      </c>
      <c r="GB4" s="44" t="s">
        <v>60</v>
      </c>
      <c r="GC4" s="44" t="s">
        <v>203</v>
      </c>
      <c r="GD4" s="44" t="s">
        <v>57</v>
      </c>
      <c r="GE4" s="44" t="s">
        <v>201</v>
      </c>
      <c r="GF4" s="44" t="s">
        <v>202</v>
      </c>
      <c r="GG4" s="44" t="s">
        <v>60</v>
      </c>
      <c r="GH4" s="44" t="s">
        <v>203</v>
      </c>
      <c r="GI4" s="47" t="s">
        <v>57</v>
      </c>
      <c r="GJ4" s="45" t="s">
        <v>58</v>
      </c>
      <c r="GK4" s="45" t="s">
        <v>59</v>
      </c>
      <c r="GL4" s="45" t="s">
        <v>60</v>
      </c>
      <c r="GM4" s="46" t="s">
        <v>61</v>
      </c>
      <c r="GN4" s="45" t="s">
        <v>57</v>
      </c>
      <c r="GO4" s="45" t="s">
        <v>58</v>
      </c>
      <c r="GP4" s="45" t="s">
        <v>59</v>
      </c>
      <c r="GQ4" s="45" t="s">
        <v>60</v>
      </c>
      <c r="GR4" s="46" t="s">
        <v>61</v>
      </c>
      <c r="GS4" s="36" t="s">
        <v>57</v>
      </c>
      <c r="GT4" s="44" t="s">
        <v>201</v>
      </c>
      <c r="GU4" s="44" t="s">
        <v>202</v>
      </c>
      <c r="GV4" s="44" t="s">
        <v>60</v>
      </c>
      <c r="GW4" s="44" t="s">
        <v>203</v>
      </c>
      <c r="GX4" s="36" t="s">
        <v>57</v>
      </c>
      <c r="GY4" s="44" t="s">
        <v>201</v>
      </c>
      <c r="GZ4" s="44" t="s">
        <v>202</v>
      </c>
      <c r="HA4" s="44" t="s">
        <v>60</v>
      </c>
      <c r="HB4" s="44" t="s">
        <v>203</v>
      </c>
      <c r="HC4" s="36" t="s">
        <v>57</v>
      </c>
      <c r="HD4" s="44" t="s">
        <v>201</v>
      </c>
      <c r="HE4" s="44" t="s">
        <v>202</v>
      </c>
      <c r="HF4" s="44" t="s">
        <v>60</v>
      </c>
      <c r="HG4" s="44" t="s">
        <v>203</v>
      </c>
      <c r="HH4" s="36" t="s">
        <v>57</v>
      </c>
      <c r="HI4" s="44" t="s">
        <v>201</v>
      </c>
      <c r="HJ4" s="44" t="s">
        <v>202</v>
      </c>
      <c r="HK4" s="44" t="s">
        <v>60</v>
      </c>
      <c r="HL4" s="44" t="s">
        <v>203</v>
      </c>
      <c r="HM4" s="36" t="s">
        <v>57</v>
      </c>
      <c r="HN4" s="44" t="s">
        <v>201</v>
      </c>
      <c r="HO4" s="44" t="s">
        <v>202</v>
      </c>
      <c r="HP4" s="44" t="s">
        <v>60</v>
      </c>
      <c r="HQ4" s="44" t="s">
        <v>203</v>
      </c>
      <c r="HR4" s="44" t="s">
        <v>57</v>
      </c>
      <c r="HS4" s="44" t="s">
        <v>201</v>
      </c>
      <c r="HT4" s="44" t="s">
        <v>202</v>
      </c>
      <c r="HU4" s="44" t="s">
        <v>60</v>
      </c>
      <c r="HV4" s="44" t="s">
        <v>203</v>
      </c>
      <c r="HW4" s="47" t="s">
        <v>57</v>
      </c>
      <c r="HX4" s="45" t="s">
        <v>58</v>
      </c>
      <c r="HY4" s="45" t="s">
        <v>59</v>
      </c>
      <c r="HZ4" s="45" t="s">
        <v>60</v>
      </c>
      <c r="IA4" s="45" t="s">
        <v>61</v>
      </c>
      <c r="IB4" s="47" t="s">
        <v>57</v>
      </c>
      <c r="IC4" s="45" t="s">
        <v>58</v>
      </c>
      <c r="ID4" s="45" t="s">
        <v>59</v>
      </c>
      <c r="IE4" s="45" t="s">
        <v>60</v>
      </c>
      <c r="IF4" s="46" t="s">
        <v>61</v>
      </c>
      <c r="IG4" s="36" t="s">
        <v>57</v>
      </c>
      <c r="IH4" s="44" t="s">
        <v>201</v>
      </c>
      <c r="II4" s="44" t="s">
        <v>202</v>
      </c>
      <c r="IJ4" s="44" t="s">
        <v>60</v>
      </c>
      <c r="IK4" s="40" t="s">
        <v>203</v>
      </c>
      <c r="IL4" s="47" t="s">
        <v>57</v>
      </c>
      <c r="IM4" s="45" t="s">
        <v>201</v>
      </c>
      <c r="IN4" s="45" t="s">
        <v>202</v>
      </c>
      <c r="IO4" s="45" t="s">
        <v>60</v>
      </c>
      <c r="IP4" s="46" t="s">
        <v>203</v>
      </c>
      <c r="IQ4" s="45" t="s">
        <v>57</v>
      </c>
      <c r="IR4" s="45" t="s">
        <v>201</v>
      </c>
      <c r="IS4" s="45" t="s">
        <v>212</v>
      </c>
      <c r="IT4" s="45" t="s">
        <v>60</v>
      </c>
      <c r="IU4" s="46" t="s">
        <v>203</v>
      </c>
      <c r="IV4" s="45" t="s">
        <v>57</v>
      </c>
      <c r="IW4" s="45" t="s">
        <v>201</v>
      </c>
      <c r="IX4" s="45" t="s">
        <v>212</v>
      </c>
      <c r="IY4" s="45" t="s">
        <v>60</v>
      </c>
      <c r="IZ4" s="45" t="s">
        <v>203</v>
      </c>
      <c r="JA4" s="47" t="s">
        <v>57</v>
      </c>
      <c r="JB4" s="45" t="s">
        <v>201</v>
      </c>
      <c r="JC4" s="45" t="s">
        <v>212</v>
      </c>
      <c r="JD4" s="45" t="s">
        <v>60</v>
      </c>
      <c r="JE4" s="45" t="s">
        <v>203</v>
      </c>
      <c r="JF4" s="47" t="s">
        <v>57</v>
      </c>
      <c r="JG4" s="45" t="s">
        <v>201</v>
      </c>
      <c r="JH4" s="45" t="s">
        <v>212</v>
      </c>
      <c r="JI4" s="45" t="s">
        <v>60</v>
      </c>
      <c r="JJ4" s="45" t="s">
        <v>203</v>
      </c>
      <c r="JK4" s="47" t="s">
        <v>57</v>
      </c>
      <c r="JL4" s="45" t="s">
        <v>58</v>
      </c>
      <c r="JM4" s="45" t="s">
        <v>59</v>
      </c>
      <c r="JN4" s="45" t="s">
        <v>60</v>
      </c>
      <c r="JO4" s="46" t="s">
        <v>61</v>
      </c>
      <c r="JP4" s="45" t="s">
        <v>57</v>
      </c>
      <c r="JQ4" s="45" t="s">
        <v>58</v>
      </c>
      <c r="JR4" s="45" t="s">
        <v>59</v>
      </c>
      <c r="JS4" s="45" t="s">
        <v>60</v>
      </c>
      <c r="JT4" s="45" t="s">
        <v>61</v>
      </c>
      <c r="JU4" s="36" t="s">
        <v>57</v>
      </c>
      <c r="JV4" s="44" t="s">
        <v>201</v>
      </c>
      <c r="JW4" s="44" t="s">
        <v>202</v>
      </c>
      <c r="JX4" s="44" t="s">
        <v>60</v>
      </c>
      <c r="JY4" s="40" t="s">
        <v>203</v>
      </c>
      <c r="JZ4" s="36" t="s">
        <v>57</v>
      </c>
      <c r="KA4" s="44" t="s">
        <v>201</v>
      </c>
      <c r="KB4" s="44" t="s">
        <v>202</v>
      </c>
      <c r="KC4" s="44" t="s">
        <v>60</v>
      </c>
      <c r="KD4" s="40" t="s">
        <v>203</v>
      </c>
      <c r="KE4" s="36" t="s">
        <v>57</v>
      </c>
      <c r="KF4" s="44" t="s">
        <v>201</v>
      </c>
      <c r="KG4" s="44" t="s">
        <v>202</v>
      </c>
      <c r="KH4" s="44" t="s">
        <v>60</v>
      </c>
      <c r="KI4" s="40" t="s">
        <v>203</v>
      </c>
      <c r="KJ4" s="36" t="s">
        <v>57</v>
      </c>
      <c r="KK4" s="44" t="s">
        <v>201</v>
      </c>
      <c r="KL4" s="44" t="s">
        <v>202</v>
      </c>
      <c r="KM4" s="44" t="s">
        <v>60</v>
      </c>
      <c r="KN4" s="40" t="s">
        <v>203</v>
      </c>
      <c r="KO4" s="44" t="s">
        <v>57</v>
      </c>
      <c r="KP4" s="44" t="s">
        <v>201</v>
      </c>
      <c r="KQ4" s="44" t="s">
        <v>202</v>
      </c>
      <c r="KR4" s="44" t="s">
        <v>60</v>
      </c>
      <c r="KS4" s="44" t="s">
        <v>203</v>
      </c>
      <c r="KT4" s="36"/>
      <c r="KU4" s="44"/>
      <c r="KV4" s="100" t="s">
        <v>105</v>
      </c>
      <c r="KW4" s="24" t="s">
        <v>106</v>
      </c>
      <c r="KX4" s="24" t="s">
        <v>107</v>
      </c>
      <c r="KY4" s="24" t="s">
        <v>101</v>
      </c>
      <c r="KZ4" s="24" t="s">
        <v>77</v>
      </c>
      <c r="LA4" s="24" t="s">
        <v>71</v>
      </c>
      <c r="LB4" s="24" t="s">
        <v>102</v>
      </c>
      <c r="LC4" s="24" t="s">
        <v>72</v>
      </c>
      <c r="LD4" s="24" t="s">
        <v>73</v>
      </c>
      <c r="LE4" s="100" t="s">
        <v>105</v>
      </c>
      <c r="LF4" s="24" t="s">
        <v>106</v>
      </c>
      <c r="LG4" s="24" t="s">
        <v>107</v>
      </c>
      <c r="LH4" s="24" t="s">
        <v>101</v>
      </c>
      <c r="LI4" s="24" t="s">
        <v>77</v>
      </c>
      <c r="LJ4" s="24" t="s">
        <v>71</v>
      </c>
      <c r="LK4" s="24" t="s">
        <v>103</v>
      </c>
      <c r="LL4" s="24" t="s">
        <v>78</v>
      </c>
      <c r="LM4" s="24" t="s">
        <v>79</v>
      </c>
      <c r="LN4" s="24" t="s">
        <v>104</v>
      </c>
      <c r="LO4" s="24" t="s">
        <v>80</v>
      </c>
      <c r="LP4" s="24" t="s">
        <v>81</v>
      </c>
      <c r="LQ4" s="100" t="s">
        <v>105</v>
      </c>
      <c r="LR4" s="24" t="s">
        <v>106</v>
      </c>
      <c r="LS4" s="24" t="s">
        <v>107</v>
      </c>
      <c r="LT4" s="45" t="s">
        <v>58</v>
      </c>
      <c r="LU4" s="24" t="s">
        <v>77</v>
      </c>
      <c r="LV4" s="24" t="s">
        <v>71</v>
      </c>
      <c r="LW4" s="24" t="s">
        <v>108</v>
      </c>
      <c r="LX4" s="24" t="s">
        <v>109</v>
      </c>
      <c r="LY4" s="45" t="s">
        <v>59</v>
      </c>
      <c r="LZ4" s="24" t="s">
        <v>78</v>
      </c>
      <c r="MA4" s="24" t="s">
        <v>79</v>
      </c>
      <c r="MB4" s="45" t="s">
        <v>60</v>
      </c>
      <c r="MC4" s="24" t="s">
        <v>80</v>
      </c>
      <c r="MD4" s="24" t="s">
        <v>81</v>
      </c>
      <c r="ME4" s="104" t="s">
        <v>115</v>
      </c>
      <c r="MF4" s="104" t="s">
        <v>116</v>
      </c>
      <c r="MG4" s="104" t="s">
        <v>117</v>
      </c>
      <c r="MH4" s="108" t="s">
        <v>118</v>
      </c>
      <c r="MI4" s="108" t="s">
        <v>119</v>
      </c>
      <c r="MJ4" s="108" t="s">
        <v>120</v>
      </c>
      <c r="MK4" s="112" t="s">
        <v>86</v>
      </c>
      <c r="ML4" s="112" t="s">
        <v>87</v>
      </c>
      <c r="MM4" s="112" t="s">
        <v>88</v>
      </c>
      <c r="MN4" s="47" t="s">
        <v>57</v>
      </c>
      <c r="MO4" s="24" t="s">
        <v>106</v>
      </c>
      <c r="MP4" s="24" t="s">
        <v>107</v>
      </c>
      <c r="MQ4" s="45" t="s">
        <v>58</v>
      </c>
      <c r="MR4" s="44" t="s">
        <v>92</v>
      </c>
      <c r="MS4" s="24" t="s">
        <v>121</v>
      </c>
      <c r="MT4" s="43" t="s">
        <v>122</v>
      </c>
      <c r="MU4" s="24" t="s">
        <v>108</v>
      </c>
      <c r="MV4" s="24" t="s">
        <v>109</v>
      </c>
      <c r="MW4" s="45" t="s">
        <v>59</v>
      </c>
      <c r="MX4" s="44" t="s">
        <v>95</v>
      </c>
      <c r="MY4" s="24" t="s">
        <v>123</v>
      </c>
      <c r="MZ4" s="24" t="s">
        <v>124</v>
      </c>
      <c r="NA4" s="45" t="s">
        <v>60</v>
      </c>
      <c r="NB4" s="24" t="s">
        <v>80</v>
      </c>
      <c r="NC4" s="24" t="s">
        <v>81</v>
      </c>
      <c r="ND4" s="45" t="s">
        <v>61</v>
      </c>
      <c r="NE4" s="117" t="s">
        <v>116</v>
      </c>
      <c r="NF4" s="117" t="s">
        <v>117</v>
      </c>
      <c r="NG4" s="116" t="s">
        <v>118</v>
      </c>
      <c r="NH4" s="116" t="s">
        <v>119</v>
      </c>
      <c r="NI4" s="116" t="s">
        <v>120</v>
      </c>
      <c r="NJ4" s="23" t="s">
        <v>86</v>
      </c>
      <c r="NK4" s="23" t="s">
        <v>87</v>
      </c>
      <c r="NL4" s="23" t="s">
        <v>88</v>
      </c>
      <c r="NM4" s="24" t="s">
        <v>110</v>
      </c>
      <c r="NN4" s="24" t="s">
        <v>111</v>
      </c>
      <c r="NO4" s="24" t="s">
        <v>112</v>
      </c>
      <c r="NP4" s="24" t="s">
        <v>113</v>
      </c>
      <c r="NQ4" s="87" t="s">
        <v>57</v>
      </c>
      <c r="NR4" s="24" t="s">
        <v>127</v>
      </c>
      <c r="NS4" s="24" t="s">
        <v>128</v>
      </c>
      <c r="NT4" s="45" t="s">
        <v>126</v>
      </c>
      <c r="NU4" s="45" t="s">
        <v>127</v>
      </c>
      <c r="NV4" s="45" t="s">
        <v>128</v>
      </c>
      <c r="NW4" s="124" t="s">
        <v>125</v>
      </c>
      <c r="NX4" s="24" t="s">
        <v>121</v>
      </c>
      <c r="NY4" s="24" t="s">
        <v>122</v>
      </c>
      <c r="NZ4" s="45" t="s">
        <v>129</v>
      </c>
      <c r="OA4" s="24" t="s">
        <v>78</v>
      </c>
      <c r="OB4" s="24" t="s">
        <v>79</v>
      </c>
      <c r="OC4" s="45" t="s">
        <v>60</v>
      </c>
      <c r="OD4" s="24" t="s">
        <v>80</v>
      </c>
      <c r="OE4" s="24" t="s">
        <v>81</v>
      </c>
      <c r="OF4" s="211" t="s">
        <v>131</v>
      </c>
      <c r="OG4" s="24" t="s">
        <v>87</v>
      </c>
      <c r="OH4" s="24" t="s">
        <v>88</v>
      </c>
      <c r="OI4" s="198" t="s">
        <v>57</v>
      </c>
      <c r="OJ4" s="504" t="s">
        <v>168</v>
      </c>
      <c r="OK4" s="74" t="s">
        <v>169</v>
      </c>
      <c r="OL4" s="74" t="s">
        <v>176</v>
      </c>
      <c r="OM4" s="45" t="s">
        <v>60</v>
      </c>
      <c r="ON4" s="64" t="s">
        <v>57</v>
      </c>
      <c r="OO4" s="512" t="s">
        <v>171</v>
      </c>
      <c r="OP4" s="74" t="s">
        <v>172</v>
      </c>
      <c r="OQ4" s="74" t="s">
        <v>176</v>
      </c>
      <c r="OR4" s="62" t="s">
        <v>60</v>
      </c>
      <c r="OS4" s="64" t="s">
        <v>57</v>
      </c>
      <c r="OT4" s="74" t="s">
        <v>171</v>
      </c>
      <c r="OU4" s="74" t="s">
        <v>172</v>
      </c>
      <c r="OV4" s="74" t="s">
        <v>176</v>
      </c>
      <c r="OW4" s="62" t="s">
        <v>60</v>
      </c>
      <c r="OX4" s="36" t="s">
        <v>57</v>
      </c>
      <c r="OY4" s="44" t="s">
        <v>201</v>
      </c>
      <c r="OZ4" s="44" t="s">
        <v>202</v>
      </c>
      <c r="PA4" s="44" t="s">
        <v>60</v>
      </c>
      <c r="PB4" s="40" t="s">
        <v>203</v>
      </c>
      <c r="PC4" s="36" t="s">
        <v>57</v>
      </c>
      <c r="PD4" s="44" t="s">
        <v>201</v>
      </c>
      <c r="PE4" s="44" t="s">
        <v>202</v>
      </c>
      <c r="PF4" s="44" t="s">
        <v>60</v>
      </c>
      <c r="PG4" s="40" t="s">
        <v>203</v>
      </c>
      <c r="PH4" s="36" t="s">
        <v>57</v>
      </c>
      <c r="PI4" s="44" t="s">
        <v>201</v>
      </c>
      <c r="PJ4" s="44" t="s">
        <v>202</v>
      </c>
      <c r="PK4" s="44" t="s">
        <v>60</v>
      </c>
      <c r="PL4" s="40" t="s">
        <v>203</v>
      </c>
      <c r="PM4" s="36" t="s">
        <v>57</v>
      </c>
      <c r="PN4" s="44" t="s">
        <v>201</v>
      </c>
      <c r="PO4" s="44" t="s">
        <v>202</v>
      </c>
      <c r="PP4" s="44" t="s">
        <v>60</v>
      </c>
      <c r="PQ4" s="40" t="s">
        <v>203</v>
      </c>
      <c r="PR4" s="36" t="s">
        <v>57</v>
      </c>
      <c r="PS4" s="44" t="s">
        <v>201</v>
      </c>
      <c r="PT4" s="44" t="s">
        <v>202</v>
      </c>
      <c r="PU4" s="44" t="s">
        <v>60</v>
      </c>
      <c r="PV4" s="40" t="s">
        <v>203</v>
      </c>
      <c r="PW4" s="44" t="s">
        <v>57</v>
      </c>
      <c r="PX4" s="44" t="s">
        <v>201</v>
      </c>
      <c r="PY4" s="44" t="s">
        <v>202</v>
      </c>
      <c r="PZ4" s="44" t="s">
        <v>60</v>
      </c>
      <c r="QA4" s="44" t="s">
        <v>203</v>
      </c>
      <c r="QB4" s="47" t="s">
        <v>57</v>
      </c>
      <c r="QC4" s="45" t="s">
        <v>58</v>
      </c>
      <c r="QD4" s="45" t="s">
        <v>59</v>
      </c>
      <c r="QE4" s="45" t="s">
        <v>60</v>
      </c>
      <c r="QF4" s="46" t="s">
        <v>61</v>
      </c>
      <c r="QG4" s="45" t="s">
        <v>57</v>
      </c>
      <c r="QH4" s="45" t="s">
        <v>58</v>
      </c>
      <c r="QI4" s="45" t="s">
        <v>59</v>
      </c>
      <c r="QJ4" s="45" t="s">
        <v>60</v>
      </c>
      <c r="QK4" s="46" t="s">
        <v>61</v>
      </c>
      <c r="QL4" s="36" t="s">
        <v>57</v>
      </c>
      <c r="QM4" s="44" t="s">
        <v>201</v>
      </c>
      <c r="QN4" s="44" t="s">
        <v>202</v>
      </c>
      <c r="QO4" s="44" t="s">
        <v>60</v>
      </c>
      <c r="QP4" s="44" t="s">
        <v>203</v>
      </c>
      <c r="QQ4" s="36" t="s">
        <v>57</v>
      </c>
      <c r="QR4" s="44" t="s">
        <v>201</v>
      </c>
      <c r="QS4" s="44" t="s">
        <v>202</v>
      </c>
      <c r="QT4" s="44" t="s">
        <v>60</v>
      </c>
      <c r="QU4" s="44" t="s">
        <v>203</v>
      </c>
      <c r="QV4" s="36" t="s">
        <v>57</v>
      </c>
      <c r="QW4" s="44" t="s">
        <v>201</v>
      </c>
      <c r="QX4" s="44" t="s">
        <v>202</v>
      </c>
      <c r="QY4" s="44" t="s">
        <v>60</v>
      </c>
      <c r="QZ4" s="40" t="s">
        <v>203</v>
      </c>
      <c r="RA4" s="36" t="s">
        <v>57</v>
      </c>
      <c r="RB4" s="44" t="s">
        <v>201</v>
      </c>
      <c r="RC4" s="44" t="s">
        <v>202</v>
      </c>
      <c r="RD4" s="44" t="s">
        <v>60</v>
      </c>
      <c r="RE4" s="40" t="s">
        <v>203</v>
      </c>
      <c r="RF4" s="36" t="s">
        <v>57</v>
      </c>
      <c r="RG4" s="44" t="s">
        <v>201</v>
      </c>
      <c r="RH4" s="44" t="s">
        <v>202</v>
      </c>
      <c r="RI4" s="44" t="s">
        <v>60</v>
      </c>
      <c r="RJ4" s="40" t="s">
        <v>203</v>
      </c>
      <c r="RK4" s="36" t="s">
        <v>57</v>
      </c>
      <c r="RL4" s="44" t="s">
        <v>201</v>
      </c>
      <c r="RM4" s="44" t="s">
        <v>202</v>
      </c>
      <c r="RN4" s="44" t="s">
        <v>60</v>
      </c>
      <c r="RO4" s="40" t="s">
        <v>203</v>
      </c>
    </row>
    <row r="5" spans="1:483" s="1" customFormat="1" x14ac:dyDescent="0.2">
      <c r="A5" s="253" t="s">
        <v>180</v>
      </c>
      <c r="B5" s="291">
        <v>24257683</v>
      </c>
      <c r="C5" s="292">
        <v>17510678</v>
      </c>
      <c r="D5" s="292">
        <v>3507219</v>
      </c>
      <c r="E5" s="292">
        <v>2710825</v>
      </c>
      <c r="F5" s="293">
        <v>502997</v>
      </c>
      <c r="G5" s="273">
        <f>+G6+G24+G39+G53+G64</f>
        <v>16502211</v>
      </c>
      <c r="H5" s="273">
        <f t="shared" ref="H5:K5" si="0">+H6+H24+H39+H53+H64</f>
        <v>11806669</v>
      </c>
      <c r="I5" s="273">
        <f t="shared" si="0"/>
        <v>2306445</v>
      </c>
      <c r="J5" s="273">
        <f t="shared" si="0"/>
        <v>3445912</v>
      </c>
      <c r="K5" s="274">
        <f t="shared" si="0"/>
        <v>2389097</v>
      </c>
      <c r="L5" s="273">
        <f>+L6+L24+L39+L53+L64</f>
        <v>13755477</v>
      </c>
      <c r="M5" s="273">
        <f t="shared" ref="M5" si="1">+M6+M24+M39+M53+M64</f>
        <v>8439716</v>
      </c>
      <c r="N5" s="273">
        <f t="shared" ref="N5" si="2">+N6+N24+N39+N53+N64</f>
        <v>1571844</v>
      </c>
      <c r="O5" s="273">
        <f t="shared" ref="O5" si="3">+O6+O24+O39+O53+O64</f>
        <v>4995869</v>
      </c>
      <c r="P5" s="274">
        <f t="shared" ref="P5" si="4">+P6+P24+P39+P53+P64</f>
        <v>3685625</v>
      </c>
      <c r="Q5" s="554">
        <f>+Q6+Q24+Q39+Q53+Q64</f>
        <v>12562778</v>
      </c>
      <c r="R5" s="554">
        <f t="shared" ref="R5:U5" si="5">+R6+R24+R39+R53+R64</f>
        <v>7906714</v>
      </c>
      <c r="S5" s="554">
        <f t="shared" si="5"/>
        <v>1278964</v>
      </c>
      <c r="T5" s="554">
        <f t="shared" si="5"/>
        <v>6090299</v>
      </c>
      <c r="U5" s="555">
        <f t="shared" si="5"/>
        <v>3377100</v>
      </c>
      <c r="V5" s="554">
        <f>+V6+V24+V39+V53+V64</f>
        <v>12299194</v>
      </c>
      <c r="W5" s="554">
        <f t="shared" ref="W5" si="6">+W6+W24+W39+W53+W64</f>
        <v>7716254</v>
      </c>
      <c r="X5" s="554">
        <f t="shared" ref="X5" si="7">+X6+X24+X39+X53+X64</f>
        <v>1211703</v>
      </c>
      <c r="Y5" s="554">
        <f t="shared" ref="Y5" si="8">+Y6+Y24+Y39+Y53+Y64</f>
        <v>6172886</v>
      </c>
      <c r="Z5" s="555">
        <f t="shared" ref="Z5:AA5" si="9">+Z6+Z24+Z39+Z53+Z64</f>
        <v>3369896</v>
      </c>
      <c r="AA5" s="555">
        <f t="shared" si="9"/>
        <v>12198000</v>
      </c>
      <c r="AB5" s="555">
        <f t="shared" ref="AB5:AC5" si="10">+AB6+AB24+AB39+AB53+AB64</f>
        <v>3760668</v>
      </c>
      <c r="AC5" s="555">
        <f t="shared" si="10"/>
        <v>1187883</v>
      </c>
      <c r="AD5" s="555">
        <f t="shared" ref="AD5:AH5" si="11">+AD6+AD24+AD39+AD53+AD64</f>
        <v>6197285</v>
      </c>
      <c r="AE5" s="555">
        <f t="shared" si="11"/>
        <v>3362046</v>
      </c>
      <c r="AF5" s="554">
        <f t="shared" si="11"/>
        <v>11988039</v>
      </c>
      <c r="AG5" s="554">
        <f t="shared" si="11"/>
        <v>3353875</v>
      </c>
      <c r="AH5" s="554">
        <f t="shared" si="11"/>
        <v>1108285</v>
      </c>
      <c r="AI5" s="554">
        <f t="shared" ref="AI5:AM5" si="12">+AI6+AI24+AI39+AI53+AI64</f>
        <v>6381512</v>
      </c>
      <c r="AJ5" s="554">
        <f t="shared" si="12"/>
        <v>3493875</v>
      </c>
      <c r="AK5" s="554">
        <f t="shared" si="12"/>
        <v>11692904</v>
      </c>
      <c r="AL5" s="554">
        <f t="shared" si="12"/>
        <v>3230694</v>
      </c>
      <c r="AM5" s="554">
        <f t="shared" si="12"/>
        <v>1067747</v>
      </c>
      <c r="AN5" s="554">
        <f t="shared" ref="AN5:AO5" si="13">+AN6+AN24+AN39+AN53+AN64</f>
        <v>6255679</v>
      </c>
      <c r="AO5" s="554">
        <f t="shared" si="13"/>
        <v>3573537</v>
      </c>
      <c r="AP5" s="273">
        <f>+AP6+AP24+AP39+AP53+AP64</f>
        <v>22841507</v>
      </c>
      <c r="AQ5" s="273">
        <f t="shared" ref="AQ5" si="14">+AQ6+AQ24+AQ39+AQ53+AQ64</f>
        <v>17355153</v>
      </c>
      <c r="AR5" s="273">
        <f t="shared" ref="AR5" si="15">+AR6+AR24+AR39+AR53+AR64</f>
        <v>3881407</v>
      </c>
      <c r="AS5" s="273">
        <f t="shared" ref="AS5" si="16">+AS6+AS24+AS39+AS53+AS64</f>
        <v>2188309</v>
      </c>
      <c r="AT5" s="274">
        <f t="shared" ref="AT5" si="17">+AT6+AT24+AT39+AT53+AT64</f>
        <v>1604947</v>
      </c>
      <c r="AU5" s="273">
        <f>+AU6+AU24+AU39+AU53+AU64</f>
        <v>21960148</v>
      </c>
      <c r="AV5" s="273">
        <f t="shared" ref="AV5" si="18">+AV6+AV24+AV39+AV53+AV64</f>
        <v>15058521</v>
      </c>
      <c r="AW5" s="273">
        <f t="shared" ref="AW5" si="19">+AW6+AW24+AW39+AW53+AW64</f>
        <v>3918908</v>
      </c>
      <c r="AX5" s="273">
        <f t="shared" ref="AX5" si="20">+AX6+AX24+AX39+AX53+AX64</f>
        <v>3553051</v>
      </c>
      <c r="AY5" s="274">
        <f t="shared" ref="AY5" si="21">+AY6+AY24+AY39+AY53+AY64</f>
        <v>2916505</v>
      </c>
      <c r="AZ5" s="273">
        <f>+AZ6+AZ24+AZ39+AZ53+AZ64</f>
        <v>17125417</v>
      </c>
      <c r="BA5" s="273">
        <f t="shared" ref="BA5:BD5" si="22">+BA6+BA24+BA39+BA53+BA64</f>
        <v>11605879</v>
      </c>
      <c r="BB5" s="273">
        <f t="shared" si="22"/>
        <v>3032382</v>
      </c>
      <c r="BC5" s="273">
        <f t="shared" si="22"/>
        <v>4077583</v>
      </c>
      <c r="BD5" s="274">
        <f t="shared" si="22"/>
        <v>2487156</v>
      </c>
      <c r="BE5" s="274">
        <f t="shared" ref="BE5:BJ5" si="23">+BE6+BE24+BE39+BE53+BE64</f>
        <v>16728246</v>
      </c>
      <c r="BF5" s="274">
        <f t="shared" si="23"/>
        <v>11249240</v>
      </c>
      <c r="BG5" s="274">
        <f t="shared" si="23"/>
        <v>2966711</v>
      </c>
      <c r="BH5" s="274">
        <f t="shared" si="23"/>
        <v>4215302</v>
      </c>
      <c r="BI5" s="274">
        <f t="shared" si="23"/>
        <v>2509944</v>
      </c>
      <c r="BJ5" s="274">
        <f t="shared" si="23"/>
        <v>16434993</v>
      </c>
      <c r="BK5" s="274">
        <f t="shared" ref="BK5:BL5" si="24">+BK6+BK24+BK39+BK53+BK64</f>
        <v>8336651</v>
      </c>
      <c r="BL5" s="274">
        <f t="shared" si="24"/>
        <v>2910708</v>
      </c>
      <c r="BM5" s="274">
        <f t="shared" ref="BM5:BQ5" si="25">+BM6+BM24+BM39+BM53+BM64</f>
        <v>4238441</v>
      </c>
      <c r="BN5" s="274">
        <f t="shared" si="25"/>
        <v>2496399</v>
      </c>
      <c r="BO5" s="274">
        <f t="shared" si="25"/>
        <v>15838087</v>
      </c>
      <c r="BP5" s="274">
        <f t="shared" si="25"/>
        <v>7689680</v>
      </c>
      <c r="BQ5" s="274">
        <f t="shared" si="25"/>
        <v>2795027</v>
      </c>
      <c r="BR5" s="274">
        <f t="shared" ref="BR5:BV5" si="26">+BR6+BR24+BR39+BR53+BR64</f>
        <v>4381659</v>
      </c>
      <c r="BS5" s="274">
        <f t="shared" si="26"/>
        <v>2508425</v>
      </c>
      <c r="BT5" s="273">
        <f t="shared" si="26"/>
        <v>15719330</v>
      </c>
      <c r="BU5" s="273">
        <f t="shared" si="26"/>
        <v>7570914</v>
      </c>
      <c r="BV5" s="273">
        <f t="shared" si="26"/>
        <v>2756911</v>
      </c>
      <c r="BW5" s="273">
        <f t="shared" ref="BW5:BX5" si="27">+BW6+BW24+BW39+BW53+BW64</f>
        <v>4377162</v>
      </c>
      <c r="BX5" s="273">
        <f t="shared" si="27"/>
        <v>2632149</v>
      </c>
      <c r="BY5" s="476">
        <f t="shared" ref="BY5" si="28">+BY6+BY24+BY39+BY53+BY64</f>
        <v>29428089</v>
      </c>
      <c r="BZ5" s="273">
        <f t="shared" ref="BZ5:CC5" si="29">+BZ6+BZ24+BZ39+BZ53+BZ64</f>
        <v>19238641</v>
      </c>
      <c r="CA5" s="273">
        <f t="shared" si="29"/>
        <v>4235330</v>
      </c>
      <c r="CB5" s="273">
        <f t="shared" si="29"/>
        <v>10325387</v>
      </c>
      <c r="CC5" s="273">
        <f t="shared" si="29"/>
        <v>5954118</v>
      </c>
      <c r="CD5" s="542">
        <v>18034195</v>
      </c>
      <c r="CE5" s="294">
        <v>29206900</v>
      </c>
      <c r="CF5" s="294">
        <v>40822827</v>
      </c>
      <c r="CG5" s="294">
        <v>57526047</v>
      </c>
      <c r="CH5" s="12">
        <v>88300490</v>
      </c>
      <c r="CI5" s="295">
        <v>76722382.368000001</v>
      </c>
      <c r="CJ5" s="295">
        <v>6665530.8799999999</v>
      </c>
      <c r="CK5" s="295">
        <v>2965287.6</v>
      </c>
      <c r="CL5" s="296">
        <v>1913824.52</v>
      </c>
      <c r="CM5" s="273">
        <f>+CM6+CM24+CM39+CM53+CM64</f>
        <v>119524718</v>
      </c>
      <c r="CN5" s="273">
        <f t="shared" ref="CN5" si="30">+CN6+CN24+CN39+CN53+CN64</f>
        <v>102861486</v>
      </c>
      <c r="CO5" s="273">
        <f t="shared" ref="CO5" si="31">+CO6+CO24+CO39+CO53+CO64</f>
        <v>10573382</v>
      </c>
      <c r="CP5" s="273">
        <f t="shared" ref="CP5" si="32">+CP6+CP24+CP39+CP53+CP64</f>
        <v>5592572</v>
      </c>
      <c r="CQ5" s="274">
        <f t="shared" ref="CQ5" si="33">+CQ6+CQ24+CQ39+CQ53+CQ64</f>
        <v>6089850</v>
      </c>
      <c r="CR5" s="273">
        <f>+CR6+CR24+CR39+CR53+CR64</f>
        <v>146496014</v>
      </c>
      <c r="CS5" s="273">
        <f t="shared" ref="CS5" si="34">+CS6+CS24+CS39+CS53+CS64</f>
        <v>119587422</v>
      </c>
      <c r="CT5" s="273">
        <f t="shared" ref="CT5" si="35">+CT6+CT24+CT39+CT53+CT64</f>
        <v>14283820</v>
      </c>
      <c r="CU5" s="273">
        <f t="shared" ref="CU5" si="36">+CU6+CU24+CU39+CU53+CU64</f>
        <v>9440212</v>
      </c>
      <c r="CV5" s="273">
        <f t="shared" ref="CV5" si="37">+CV6+CV24+CV39+CV53+CV64</f>
        <v>12358566</v>
      </c>
      <c r="CW5" s="474">
        <f>+CW6+CW24+CW39+CW53+CW64</f>
        <v>164397924</v>
      </c>
      <c r="CX5" s="273">
        <f t="shared" ref="CX5" si="38">+CX6+CX24+CX39+CX53+CX64</f>
        <v>130387267</v>
      </c>
      <c r="CY5" s="273">
        <f t="shared" ref="CY5" si="39">+CY6+CY24+CY39+CY53+CY64</f>
        <v>17320855</v>
      </c>
      <c r="CZ5" s="273">
        <f t="shared" ref="CZ5" si="40">+CZ6+CZ24+CZ39+CZ53+CZ64</f>
        <v>16689802</v>
      </c>
      <c r="DA5" s="274">
        <f t="shared" ref="DA5" si="41">+DA6+DA24+DA39+DA53+DA64</f>
        <v>14360084</v>
      </c>
      <c r="DB5" s="273">
        <f>+DB6+DB24+DB39+DB53+DB64</f>
        <v>167190402</v>
      </c>
      <c r="DC5" s="273">
        <f t="shared" ref="DC5" si="42">+DC6+DC24+DC39+DC53+DC64</f>
        <v>132726994</v>
      </c>
      <c r="DD5" s="273">
        <f t="shared" ref="DD5" si="43">+DD6+DD24+DD39+DD53+DD64</f>
        <v>17740884</v>
      </c>
      <c r="DE5" s="273">
        <f t="shared" ref="DE5" si="44">+DE6+DE24+DE39+DE53+DE64</f>
        <v>16722524</v>
      </c>
      <c r="DF5" s="274">
        <f t="shared" ref="DF5" si="45">+DF6+DF24+DF39+DF53+DF64</f>
        <v>14963027</v>
      </c>
      <c r="DG5" s="273">
        <f>+DG6+DG24+DG39+DG53+DG64</f>
        <v>169695758</v>
      </c>
      <c r="DH5" s="273">
        <f t="shared" ref="DH5" si="46">+DH6+DH24+DH39+DH53+DH64</f>
        <v>134880643</v>
      </c>
      <c r="DI5" s="273">
        <f t="shared" ref="DI5" si="47">+DI6+DI24+DI39+DI53+DI64</f>
        <v>18248417</v>
      </c>
      <c r="DJ5" s="273">
        <f t="shared" ref="DJ5" si="48">+DJ6+DJ24+DJ39+DJ53+DJ64</f>
        <v>16566698</v>
      </c>
      <c r="DK5" s="273">
        <f t="shared" ref="DK5" si="49">+DK6+DK24+DK39+DK53+DK64</f>
        <v>15343854</v>
      </c>
      <c r="DL5" s="476">
        <f>+DL6+DL24+DL39+DL53+DL64</f>
        <v>172364998</v>
      </c>
      <c r="DM5" s="273">
        <f t="shared" ref="DM5:DP5" si="50">+DM6+DM24+DM39+DM53+DM64</f>
        <v>136490551</v>
      </c>
      <c r="DN5" s="273">
        <f t="shared" si="50"/>
        <v>18856790</v>
      </c>
      <c r="DO5" s="273">
        <f t="shared" si="50"/>
        <v>16298339</v>
      </c>
      <c r="DP5" s="273">
        <f t="shared" si="50"/>
        <v>14385490</v>
      </c>
      <c r="DQ5" s="476">
        <f>+DQ6+DQ24+DQ39+DQ53+DQ64</f>
        <v>174961280.70700002</v>
      </c>
      <c r="DR5" s="273">
        <f t="shared" ref="DR5:DU5" si="51">+DR6+DR24+DR39+DR53+DR64</f>
        <v>138179898.06</v>
      </c>
      <c r="DS5" s="273">
        <f t="shared" si="51"/>
        <v>19262373.876000002</v>
      </c>
      <c r="DT5" s="273">
        <f t="shared" si="51"/>
        <v>17007150.676000003</v>
      </c>
      <c r="DU5" s="274">
        <f t="shared" si="51"/>
        <v>17519008.771000002</v>
      </c>
      <c r="DV5" s="274">
        <f t="shared" ref="DV5" si="52">+DV6+DV24+DV39+DV53+DV64</f>
        <v>177569763</v>
      </c>
      <c r="DW5" s="273">
        <f t="shared" ref="DW5:DX5" si="53">+DW6+DW24+DW39+DW53+DW64</f>
        <v>139885535</v>
      </c>
      <c r="DX5" s="273">
        <f t="shared" si="53"/>
        <v>19721613</v>
      </c>
      <c r="DY5" s="273">
        <f t="shared" ref="DY5:DZ5" si="54">+DY6+DY24+DY39+DY53+DY64</f>
        <v>17772491</v>
      </c>
      <c r="DZ5" s="273">
        <f t="shared" si="54"/>
        <v>17940060</v>
      </c>
      <c r="EA5" s="273">
        <f t="shared" ref="EA5:EB5" si="55">+EA6+EA24+EA39+EA53+EA64</f>
        <v>180164623</v>
      </c>
      <c r="EB5" s="273">
        <f t="shared" si="55"/>
        <v>128814010</v>
      </c>
      <c r="EC5" s="273">
        <f t="shared" ref="EC5:ED5" si="56">+EC6+EC24+EC39+EC53+EC64</f>
        <v>20152240</v>
      </c>
      <c r="ED5" s="273">
        <f t="shared" si="56"/>
        <v>18513091</v>
      </c>
      <c r="EE5" s="273">
        <f t="shared" ref="EE5:EJ5" si="57">+EE6+EE24+EE39+EE53+EE64</f>
        <v>18536091</v>
      </c>
      <c r="EF5" s="273">
        <f>+EF6+EF24+EF39+EF53+EF64</f>
        <v>188621037</v>
      </c>
      <c r="EG5" s="273">
        <f t="shared" si="57"/>
        <v>131667618</v>
      </c>
      <c r="EH5" s="273">
        <f t="shared" si="57"/>
        <v>21665369</v>
      </c>
      <c r="EI5" s="273">
        <f t="shared" si="57"/>
        <v>20890036</v>
      </c>
      <c r="EJ5" s="273">
        <f t="shared" si="57"/>
        <v>20485657</v>
      </c>
      <c r="EK5" s="273">
        <f>+EK6+EK24+EK39+EK53+EK64</f>
        <v>191063246</v>
      </c>
      <c r="EL5" s="273">
        <f t="shared" ref="EL5:EO5" si="58">+EL6+EL24+EL39+EL53+EL64</f>
        <v>132430436</v>
      </c>
      <c r="EM5" s="273">
        <f t="shared" si="58"/>
        <v>22094142</v>
      </c>
      <c r="EN5" s="273">
        <f t="shared" si="58"/>
        <v>21698901</v>
      </c>
      <c r="EO5" s="273">
        <f t="shared" si="58"/>
        <v>21364523</v>
      </c>
      <c r="EP5" s="236">
        <v>20794975</v>
      </c>
      <c r="EQ5" s="292">
        <v>17743111</v>
      </c>
      <c r="ER5" s="292">
        <v>1763300</v>
      </c>
      <c r="ES5" s="292">
        <v>806118</v>
      </c>
      <c r="ET5" s="293">
        <v>460650</v>
      </c>
      <c r="EU5" s="273">
        <f>+EU6+EU24+EU39+EU53+EU64</f>
        <v>39571702</v>
      </c>
      <c r="EV5" s="273">
        <f t="shared" ref="EV5" si="59">+EV6+EV24+EV39+EV53+EV64</f>
        <v>33524828</v>
      </c>
      <c r="EW5" s="273">
        <f t="shared" ref="EW5" si="60">+EW6+EW24+EW39+EW53+EW64</f>
        <v>3987410</v>
      </c>
      <c r="EX5" s="273">
        <f t="shared" ref="EX5" si="61">+EX6+EX24+EX39+EX53+EX64</f>
        <v>2145181</v>
      </c>
      <c r="EY5" s="274">
        <f t="shared" ref="EY5" si="62">+EY6+EY24+EY39+EY53+EY64</f>
        <v>2059464</v>
      </c>
      <c r="EZ5" s="273">
        <f>+EZ6+EZ24+EZ39+EZ53+EZ64</f>
        <v>49864428</v>
      </c>
      <c r="FA5" s="273">
        <f t="shared" ref="FA5" si="63">+FA6+FA24+FA39+FA53+FA64</f>
        <v>40079327</v>
      </c>
      <c r="FB5" s="273">
        <f t="shared" ref="FB5" si="64">+FB6+FB24+FB39+FB53+FB64</f>
        <v>5581877</v>
      </c>
      <c r="FC5" s="273">
        <f t="shared" ref="FC5" si="65">+FC6+FC24+FC39+FC53+FC64</f>
        <v>3579767</v>
      </c>
      <c r="FD5" s="274">
        <f t="shared" ref="FD5:FI5" si="66">+FD6+FD24+FD39+FD53+FD64</f>
        <v>4101654</v>
      </c>
      <c r="FE5" s="273">
        <f t="shared" si="66"/>
        <v>58313760</v>
      </c>
      <c r="FF5" s="273">
        <f t="shared" si="66"/>
        <v>45623498</v>
      </c>
      <c r="FG5" s="273">
        <f t="shared" si="66"/>
        <v>7441762</v>
      </c>
      <c r="FH5" s="273">
        <f t="shared" si="66"/>
        <v>5925587</v>
      </c>
      <c r="FI5" s="274">
        <f t="shared" si="66"/>
        <v>5248500</v>
      </c>
      <c r="FJ5" s="273">
        <f t="shared" ref="FJ5:FN5" si="67">+FJ6+FJ24+FJ39+FJ53+FJ64</f>
        <v>59135974.840999998</v>
      </c>
      <c r="FK5" s="273">
        <f t="shared" si="67"/>
        <v>46145601.186000004</v>
      </c>
      <c r="FL5" s="273">
        <f t="shared" si="67"/>
        <v>7611490.4570000004</v>
      </c>
      <c r="FM5" s="273">
        <f t="shared" si="67"/>
        <v>6194049.0950000007</v>
      </c>
      <c r="FN5" s="274">
        <f t="shared" si="67"/>
        <v>5378883.1979999989</v>
      </c>
      <c r="FO5" s="274">
        <f t="shared" ref="FO5:FP5" si="68">+FO6+FO24+FO39+FO53+FO64</f>
        <v>59995776</v>
      </c>
      <c r="FP5" s="274">
        <f t="shared" si="68"/>
        <v>46658304</v>
      </c>
      <c r="FQ5" s="274">
        <f t="shared" ref="FQ5:FR5" si="69">+FQ6+FQ24+FQ39+FQ53+FQ64</f>
        <v>7812520</v>
      </c>
      <c r="FR5" s="274">
        <f t="shared" si="69"/>
        <v>6488159</v>
      </c>
      <c r="FS5" s="274">
        <f t="shared" ref="FS5:FT5" si="70">+FS6+FS24+FS39+FS53+FS64</f>
        <v>5515594</v>
      </c>
      <c r="FT5" s="274">
        <f t="shared" si="70"/>
        <v>60817386</v>
      </c>
      <c r="FU5" s="274">
        <f t="shared" ref="FU5:FV5" si="71">+FU6+FU24+FU39+FU53+FU64</f>
        <v>42552250</v>
      </c>
      <c r="FV5" s="274">
        <f t="shared" si="71"/>
        <v>7999771</v>
      </c>
      <c r="FW5" s="274">
        <f t="shared" ref="FW5:GC5" si="72">+FW6+FW24+FW39+FW53+FW64</f>
        <v>6753349</v>
      </c>
      <c r="FX5" s="274">
        <f t="shared" si="72"/>
        <v>5679312</v>
      </c>
      <c r="FY5" s="274">
        <f t="shared" si="72"/>
        <v>62716503</v>
      </c>
      <c r="FZ5" s="274">
        <f t="shared" si="72"/>
        <v>42985877</v>
      </c>
      <c r="GA5" s="274">
        <f t="shared" si="72"/>
        <v>8433216</v>
      </c>
      <c r="GB5" s="274">
        <f t="shared" si="72"/>
        <v>7474682</v>
      </c>
      <c r="GC5" s="274">
        <f t="shared" si="72"/>
        <v>6168607</v>
      </c>
      <c r="GD5" s="273">
        <f t="shared" ref="GD5:GH5" si="73">+GD6+GD24+GD39+GD53+GD64</f>
        <v>63355189</v>
      </c>
      <c r="GE5" s="273">
        <f t="shared" si="73"/>
        <v>43107302</v>
      </c>
      <c r="GF5" s="273">
        <f t="shared" si="73"/>
        <v>8580459</v>
      </c>
      <c r="GG5" s="273">
        <f t="shared" si="73"/>
        <v>7750580</v>
      </c>
      <c r="GH5" s="273">
        <f t="shared" si="73"/>
        <v>6451108</v>
      </c>
      <c r="GI5" s="476">
        <f>+GI6+GI24+GI39+GI53+GI64</f>
        <v>9791925</v>
      </c>
      <c r="GJ5" s="273">
        <f t="shared" ref="GJ5" si="74">+GJ6+GJ24+GJ39+GJ53+GJ64</f>
        <v>8303582</v>
      </c>
      <c r="GK5" s="273">
        <f t="shared" ref="GK5" si="75">+GK6+GK24+GK39+GK53+GK64</f>
        <v>886118</v>
      </c>
      <c r="GL5" s="273">
        <f t="shared" ref="GL5" si="76">+GL6+GL24+GL39+GL53+GL64</f>
        <v>542709</v>
      </c>
      <c r="GM5" s="274">
        <f t="shared" ref="GM5" si="77">+GM6+GM24+GM39+GM53+GM64</f>
        <v>602225</v>
      </c>
      <c r="GN5" s="273">
        <f>+GN6+GN24+GN39+GN53+GN64</f>
        <v>11512833</v>
      </c>
      <c r="GO5" s="273">
        <f t="shared" ref="GO5" si="78">+GO6+GO24+GO39+GO53+GO64</f>
        <v>9315598</v>
      </c>
      <c r="GP5" s="273">
        <f t="shared" ref="GP5" si="79">+GP6+GP24+GP39+GP53+GP64</f>
        <v>1139850</v>
      </c>
      <c r="GQ5" s="273">
        <f t="shared" ref="GQ5" si="80">+GQ6+GQ24+GQ39+GQ53+GQ64</f>
        <v>773800</v>
      </c>
      <c r="GR5" s="274">
        <f t="shared" ref="GR5" si="81">+GR6+GR24+GR39+GR53+GR64</f>
        <v>1037012</v>
      </c>
      <c r="GS5" s="273">
        <f>+GS6+GS24+GS39+GS53+GS64</f>
        <v>15274031</v>
      </c>
      <c r="GT5" s="273">
        <f t="shared" ref="GT5:GW5" si="82">+GT6+GT24+GT39+GT53+GT64</f>
        <v>12126207</v>
      </c>
      <c r="GU5" s="273">
        <f t="shared" si="82"/>
        <v>1718562</v>
      </c>
      <c r="GV5" s="273">
        <f t="shared" si="82"/>
        <v>1432023</v>
      </c>
      <c r="GW5" s="273">
        <f t="shared" si="82"/>
        <v>1429262</v>
      </c>
      <c r="GX5" s="273">
        <f>+GX6+GX24+GX39+GX53+GX64</f>
        <v>0</v>
      </c>
      <c r="GY5" s="273">
        <f t="shared" ref="GY5:HW5" si="83">+GY6+GY24+GY39+GY53+GY64</f>
        <v>0</v>
      </c>
      <c r="GZ5" s="273">
        <f t="shared" si="83"/>
        <v>0</v>
      </c>
      <c r="HA5" s="273">
        <f t="shared" si="83"/>
        <v>0</v>
      </c>
      <c r="HB5" s="274">
        <f t="shared" si="83"/>
        <v>0</v>
      </c>
      <c r="HC5" s="274">
        <f t="shared" ref="HC5:HG5" si="84">+HC6+HC24+HC39+HC53+HC64</f>
        <v>16069996</v>
      </c>
      <c r="HD5" s="274">
        <f t="shared" si="84"/>
        <v>12740859</v>
      </c>
      <c r="HE5" s="274">
        <f t="shared" si="84"/>
        <v>1806418</v>
      </c>
      <c r="HF5" s="274">
        <f t="shared" si="84"/>
        <v>1576537</v>
      </c>
      <c r="HG5" s="274">
        <f t="shared" si="84"/>
        <v>1520758</v>
      </c>
      <c r="HH5" s="274">
        <f t="shared" ref="HH5:HI5" si="85">+HH6+HH24+HH39+HH53+HH64</f>
        <v>16557369</v>
      </c>
      <c r="HI5" s="274">
        <f t="shared" si="85"/>
        <v>11941569</v>
      </c>
      <c r="HJ5" s="274">
        <f t="shared" ref="HJ5:HK5" si="86">+HJ6+HJ24+HJ39+HJ53+HJ64</f>
        <v>1871216</v>
      </c>
      <c r="HK5" s="274">
        <f t="shared" si="86"/>
        <v>1655549</v>
      </c>
      <c r="HL5" s="274">
        <f t="shared" ref="HL5:HQ5" si="87">+HL6+HL24+HL39+HL53+HL64</f>
        <v>1593339</v>
      </c>
      <c r="HM5" s="274">
        <f t="shared" si="87"/>
        <v>17806750</v>
      </c>
      <c r="HN5" s="274">
        <f t="shared" si="87"/>
        <v>12590400</v>
      </c>
      <c r="HO5" s="274">
        <f t="shared" si="87"/>
        <v>2100206</v>
      </c>
      <c r="HP5" s="274">
        <f t="shared" si="87"/>
        <v>1899028</v>
      </c>
      <c r="HQ5" s="274">
        <f t="shared" si="87"/>
        <v>1789084</v>
      </c>
      <c r="HR5" s="273">
        <f t="shared" ref="HR5:HV5" si="88">+HR6+HR24+HR39+HR53+HR64</f>
        <v>18259841</v>
      </c>
      <c r="HS5" s="273">
        <f t="shared" si="88"/>
        <v>12797821</v>
      </c>
      <c r="HT5" s="273">
        <f t="shared" si="88"/>
        <v>2173137</v>
      </c>
      <c r="HU5" s="273">
        <f t="shared" si="88"/>
        <v>2041816</v>
      </c>
      <c r="HV5" s="273">
        <f t="shared" si="88"/>
        <v>1881308</v>
      </c>
      <c r="HW5" s="476">
        <f t="shared" si="83"/>
        <v>42102178</v>
      </c>
      <c r="HX5" s="273">
        <f t="shared" ref="HX5:IF5" si="89">+HX6+HX24+HX39+HX53+HX64</f>
        <v>36749038</v>
      </c>
      <c r="HY5" s="273">
        <f t="shared" si="89"/>
        <v>2791496</v>
      </c>
      <c r="HZ5" s="273">
        <f t="shared" si="89"/>
        <v>1570468</v>
      </c>
      <c r="IA5" s="273">
        <f t="shared" si="89"/>
        <v>2561644</v>
      </c>
      <c r="IB5" s="476">
        <f t="shared" si="89"/>
        <v>55975438</v>
      </c>
      <c r="IC5" s="273">
        <f t="shared" si="89"/>
        <v>46607161</v>
      </c>
      <c r="ID5" s="273">
        <f t="shared" si="89"/>
        <v>3958714</v>
      </c>
      <c r="IE5" s="273">
        <f t="shared" si="89"/>
        <v>2660996</v>
      </c>
      <c r="IF5" s="273">
        <f t="shared" si="89"/>
        <v>5327165</v>
      </c>
      <c r="IG5" s="273">
        <f>+IG6+IG24+IG39+IG53+IG64</f>
        <v>61474625</v>
      </c>
      <c r="IH5" s="273">
        <f t="shared" ref="IH5:IK5" si="90">+IH6+IH24+IH39+IH53+IH64</f>
        <v>49573243</v>
      </c>
      <c r="II5" s="273">
        <f t="shared" si="90"/>
        <v>4955109</v>
      </c>
      <c r="IJ5" s="273">
        <f t="shared" si="90"/>
        <v>4301201</v>
      </c>
      <c r="IK5" s="274">
        <f t="shared" si="90"/>
        <v>6946273</v>
      </c>
      <c r="IL5" s="554">
        <f>+IL6+IL24+IL39+IL53+IL64</f>
        <v>0</v>
      </c>
      <c r="IM5" s="554">
        <f t="shared" ref="IM5:IP5" si="91">+IM6+IM24+IM39+IM53+IM64</f>
        <v>0</v>
      </c>
      <c r="IN5" s="554">
        <f t="shared" si="91"/>
        <v>0</v>
      </c>
      <c r="IO5" s="554">
        <f t="shared" si="91"/>
        <v>0</v>
      </c>
      <c r="IP5" s="555">
        <f t="shared" si="91"/>
        <v>0</v>
      </c>
      <c r="IQ5" s="555">
        <f t="shared" ref="IQ5:IU5" si="92">+IQ6+IQ24+IQ39+IQ53+IQ64</f>
        <v>75233878</v>
      </c>
      <c r="IR5" s="555">
        <f t="shared" si="92"/>
        <v>60355024</v>
      </c>
      <c r="IS5" s="555">
        <f t="shared" si="92"/>
        <v>6194935</v>
      </c>
      <c r="IT5" s="555">
        <f t="shared" si="92"/>
        <v>5341217</v>
      </c>
      <c r="IU5" s="555">
        <f t="shared" si="92"/>
        <v>8677368</v>
      </c>
      <c r="IV5" s="555">
        <f t="shared" ref="IV5:IW5" si="93">+IV6+IV24+IV39+IV53+IV64</f>
        <v>77342477</v>
      </c>
      <c r="IW5" s="555">
        <f t="shared" si="93"/>
        <v>57745369</v>
      </c>
      <c r="IX5" s="555">
        <f t="shared" ref="IX5:IY5" si="94">+IX6+IX24+IX39+IX53+IX64</f>
        <v>6441567</v>
      </c>
      <c r="IY5" s="555">
        <f t="shared" si="94"/>
        <v>5621250</v>
      </c>
      <c r="IZ5" s="554">
        <f t="shared" ref="IZ5:JE5" si="95">+IZ6+IZ24+IZ39+IZ53+IZ64</f>
        <v>9083245</v>
      </c>
      <c r="JA5" s="836">
        <f t="shared" si="95"/>
        <v>84048303</v>
      </c>
      <c r="JB5" s="555">
        <f t="shared" si="95"/>
        <v>61413842</v>
      </c>
      <c r="JC5" s="555">
        <f t="shared" si="95"/>
        <v>7272463</v>
      </c>
      <c r="JD5" s="555">
        <f t="shared" si="95"/>
        <v>6576392</v>
      </c>
      <c r="JE5" s="554">
        <f t="shared" si="95"/>
        <v>10376329</v>
      </c>
      <c r="JF5" s="839">
        <f t="shared" ref="JF5:JJ5" si="96">+JF6+JF24+JF39+JF53+JF64</f>
        <v>86594118</v>
      </c>
      <c r="JG5" s="554">
        <f t="shared" si="96"/>
        <v>62882160</v>
      </c>
      <c r="JH5" s="554">
        <f t="shared" si="96"/>
        <v>7582647</v>
      </c>
      <c r="JI5" s="554">
        <f t="shared" si="96"/>
        <v>7003567</v>
      </c>
      <c r="JJ5" s="554">
        <f t="shared" si="96"/>
        <v>10853820</v>
      </c>
      <c r="JK5" s="273">
        <f>+JK6+JK24+JK39+JK53+JK64</f>
        <v>20832567</v>
      </c>
      <c r="JL5" s="273">
        <f t="shared" ref="JL5" si="97">+JL6+JL24+JL39+JL53+JL64</f>
        <v>18337917</v>
      </c>
      <c r="JM5" s="273">
        <f t="shared" ref="JM5" si="98">+JM6+JM24+JM39+JM53+JM64</f>
        <v>1261090</v>
      </c>
      <c r="JN5" s="273">
        <f t="shared" ref="JN5" si="99">+JN6+JN24+JN39+JN53+JN64</f>
        <v>658197</v>
      </c>
      <c r="JO5" s="274">
        <f t="shared" ref="JO5" si="100">+JO6+JO24+JO39+JO53+JO64</f>
        <v>1233560</v>
      </c>
      <c r="JP5" s="273">
        <f>+JP6+JP24+JP39+JP53+JP64</f>
        <v>28317792</v>
      </c>
      <c r="JQ5" s="273">
        <f t="shared" ref="JQ5" si="101">+JQ6+JQ24+JQ39+JQ53+JQ64</f>
        <v>23734685</v>
      </c>
      <c r="JR5" s="273">
        <f t="shared" ref="JR5" si="102">+JR6+JR24+JR39+JR53+JR64</f>
        <v>1869240</v>
      </c>
      <c r="JS5" s="273">
        <f t="shared" ref="JS5" si="103">+JS6+JS24+JS39+JS53+JS64</f>
        <v>1202931</v>
      </c>
      <c r="JT5" s="273">
        <f t="shared" ref="JT5" si="104">+JT6+JT24+JT39+JT53+JT64</f>
        <v>2673172</v>
      </c>
      <c r="JU5" s="273">
        <f>+JU6+JU24+JU39+JU53+JU64</f>
        <v>35654477</v>
      </c>
      <c r="JV5" s="273">
        <f t="shared" ref="JV5:JY5" si="105">+JV6+JV24+JV39+JV53+JV64</f>
        <v>28811962</v>
      </c>
      <c r="JW5" s="273">
        <f t="shared" si="105"/>
        <v>2689108</v>
      </c>
      <c r="JX5" s="273">
        <f t="shared" si="105"/>
        <v>2358158</v>
      </c>
      <c r="JY5" s="273">
        <f t="shared" si="105"/>
        <v>4153407</v>
      </c>
      <c r="JZ5" s="273">
        <f>+JZ6+JZ24+JZ39+JZ53+JZ64</f>
        <v>36287839.023999996</v>
      </c>
      <c r="KA5" s="273">
        <f t="shared" ref="KA5:KD5" si="106">+KA6+KA24+KA39+KA53+KA64</f>
        <v>29266831.604000002</v>
      </c>
      <c r="KB5" s="273">
        <f t="shared" si="106"/>
        <v>2748776.4449999998</v>
      </c>
      <c r="KC5" s="273">
        <f t="shared" si="106"/>
        <v>2444532.5970000005</v>
      </c>
      <c r="KD5" s="273">
        <f t="shared" si="106"/>
        <v>4272230.9750000006</v>
      </c>
      <c r="KE5" s="273">
        <f t="shared" ref="KE5:KF5" si="107">+KE6+KE24+KE39+KE53+KE64</f>
        <v>37970801</v>
      </c>
      <c r="KF5" s="273">
        <f t="shared" si="107"/>
        <v>28528394</v>
      </c>
      <c r="KG5" s="273">
        <f t="shared" ref="KG5:KH5" si="108">+KG6+KG24+KG39+KG53+KG64</f>
        <v>2923977</v>
      </c>
      <c r="KH5" s="273">
        <f t="shared" si="108"/>
        <v>2714933</v>
      </c>
      <c r="KI5" s="273">
        <f t="shared" ref="KI5:KN5" si="109">+KI6+KI24+KI39+KI53+KI64</f>
        <v>4547197</v>
      </c>
      <c r="KJ5" s="273">
        <f t="shared" si="109"/>
        <v>41152388</v>
      </c>
      <c r="KK5" s="273">
        <f t="shared" si="109"/>
        <v>30240653</v>
      </c>
      <c r="KL5" s="273">
        <f t="shared" si="109"/>
        <v>3265857</v>
      </c>
      <c r="KM5" s="273">
        <f t="shared" si="109"/>
        <v>3222634</v>
      </c>
      <c r="KN5" s="273">
        <f t="shared" si="109"/>
        <v>5297281</v>
      </c>
      <c r="KO5" s="273">
        <f t="shared" ref="KO5:KS5" si="110">+KO6+KO24+KO39+KO53+KO64</f>
        <v>42242395</v>
      </c>
      <c r="KP5" s="273">
        <f t="shared" si="110"/>
        <v>30914492</v>
      </c>
      <c r="KQ5" s="273">
        <f t="shared" si="110"/>
        <v>3392749</v>
      </c>
      <c r="KR5" s="273">
        <f t="shared" si="110"/>
        <v>3385826</v>
      </c>
      <c r="KS5" s="273">
        <f t="shared" si="110"/>
        <v>5485393</v>
      </c>
      <c r="KT5" s="297">
        <v>3407331</v>
      </c>
      <c r="KU5" s="298">
        <v>5284580</v>
      </c>
      <c r="KV5" s="299">
        <f t="shared" ref="KV5:LD5" si="111">+KV6+KV24+KV39+KV53+KV64</f>
        <v>7626349</v>
      </c>
      <c r="KW5" s="300">
        <f t="shared" si="111"/>
        <v>4640033</v>
      </c>
      <c r="KX5" s="300">
        <f t="shared" si="111"/>
        <v>2986316</v>
      </c>
      <c r="KY5" s="300">
        <f t="shared" si="111"/>
        <v>7278920</v>
      </c>
      <c r="KZ5" s="300">
        <f t="shared" si="111"/>
        <v>4476723</v>
      </c>
      <c r="LA5" s="300">
        <f t="shared" si="111"/>
        <v>2802197</v>
      </c>
      <c r="LB5" s="300">
        <f t="shared" si="111"/>
        <v>347429</v>
      </c>
      <c r="LC5" s="300">
        <f t="shared" si="111"/>
        <v>163310</v>
      </c>
      <c r="LD5" s="300">
        <f t="shared" si="111"/>
        <v>184119</v>
      </c>
      <c r="LE5" s="299">
        <f t="shared" ref="LE5" si="112">+LE6+LE24+LE39+LE53+LE64</f>
        <v>11405835</v>
      </c>
      <c r="LF5" s="300">
        <f t="shared" ref="LF5" si="113">+LF6+LF24+LF39+LF53+LF64</f>
        <v>6833500</v>
      </c>
      <c r="LG5" s="300">
        <f t="shared" ref="LG5" si="114">+LG6+LG24+LG39+LG53+LG64</f>
        <v>4572335</v>
      </c>
      <c r="LH5" s="300">
        <f t="shared" ref="LH5" si="115">+LH6+LH24+LH39+LH53+LH64</f>
        <v>10721545</v>
      </c>
      <c r="LI5" s="300">
        <f t="shared" ref="LI5" si="116">+LI6+LI24+LI39+LI53+LI64</f>
        <v>6492633</v>
      </c>
      <c r="LJ5" s="300">
        <f t="shared" ref="LJ5" si="117">+LJ6+LJ24+LJ39+LJ53+LJ64</f>
        <v>4228912</v>
      </c>
      <c r="LK5" s="300">
        <f t="shared" ref="LK5" si="118">+LK6+LK24+LK39+LK53+LK64</f>
        <v>450964</v>
      </c>
      <c r="LL5" s="300">
        <f t="shared" ref="LL5" si="119">+LL6+LL24+LL39+LL53+LL64</f>
        <v>193257</v>
      </c>
      <c r="LM5" s="300">
        <f t="shared" ref="LM5" si="120">+LM6+LM24+LM39+LM53+LM64</f>
        <v>257707</v>
      </c>
      <c r="LN5" s="300">
        <f t="shared" ref="LN5" si="121">+LN6+LN24+LN39+LN53+LN64</f>
        <v>233326</v>
      </c>
      <c r="LO5" s="300">
        <f t="shared" ref="LO5" si="122">+LO6+LO24+LO39+LO53+LO64</f>
        <v>147610</v>
      </c>
      <c r="LP5" s="300">
        <f t="shared" ref="LP5" si="123">+LP6+LP24+LP39+LP53+LP64</f>
        <v>85716</v>
      </c>
      <c r="LQ5" s="299">
        <f t="shared" ref="LQ5" si="124">+LQ6+LQ24+LQ39+LQ53+LQ64</f>
        <v>21558480</v>
      </c>
      <c r="LR5" s="300">
        <f t="shared" ref="LR5" si="125">+LR6+LR24+LR39+LR53+LR64</f>
        <v>12524713</v>
      </c>
      <c r="LS5" s="300">
        <f t="shared" ref="LS5" si="126">+LS6+LS24+LS39+LS53+LS64</f>
        <v>9033767</v>
      </c>
      <c r="LT5" s="301">
        <f t="shared" ref="LT5" si="127">+LT6+LT24+LT39+LT53+LT64</f>
        <v>19593574</v>
      </c>
      <c r="LU5" s="300">
        <f t="shared" ref="LU5" si="128">+LU6+LU24+LU39+LU53+LU64</f>
        <v>11298163</v>
      </c>
      <c r="LV5" s="300">
        <f t="shared" ref="LV5" si="129">+LV6+LV24+LV39+LV53+LV64</f>
        <v>7894891</v>
      </c>
      <c r="LW5" s="300">
        <f t="shared" ref="LW5" si="130">+LW6+LW24+LW39+LW53+LW64</f>
        <v>1226550</v>
      </c>
      <c r="LX5" s="300">
        <f t="shared" ref="LX5" si="131">+LX6+LX24+LX39+LX53+LX64</f>
        <v>1138876</v>
      </c>
      <c r="LY5" s="301">
        <f t="shared" ref="LY5" si="132">+LY6+LY24+LY39+LY53+LY64</f>
        <v>1091552</v>
      </c>
      <c r="LZ5" s="300">
        <f t="shared" ref="LZ5" si="133">+LZ6+LZ24+LZ39+LZ53+LZ64</f>
        <v>491466</v>
      </c>
      <c r="MA5" s="300">
        <f t="shared" ref="MA5" si="134">+MA6+MA24+MA39+MA53+MA64</f>
        <v>600086</v>
      </c>
      <c r="MB5" s="301">
        <f t="shared" ref="MB5" si="135">+MB6+MB24+MB39+MB53+MB64</f>
        <v>514747</v>
      </c>
      <c r="MC5" s="300">
        <f t="shared" ref="MC5" si="136">+MC6+MC24+MC39+MC53+MC64</f>
        <v>304242</v>
      </c>
      <c r="MD5" s="300">
        <f t="shared" ref="MD5" si="137">+MD6+MD24+MD39+MD53+MD64</f>
        <v>210505</v>
      </c>
      <c r="ME5" s="300">
        <f t="shared" ref="ME5" si="138">+ME6+ME24+ME39+ME53+ME64</f>
        <v>759127</v>
      </c>
      <c r="MF5" s="300">
        <f t="shared" ref="MF5" si="139">+MF6+MF24+MF39+MF53+MF64</f>
        <v>430842</v>
      </c>
      <c r="MG5" s="300">
        <f t="shared" ref="MG5" si="140">+MG6+MG24+MG39+MG53+MG64</f>
        <v>328285</v>
      </c>
      <c r="MH5" s="300">
        <f t="shared" ref="MH5" si="141">+MH6+MH24+MH39+MH53+MH64</f>
        <v>24263</v>
      </c>
      <c r="MI5" s="300">
        <f t="shared" ref="MI5" si="142">+MI6+MI24+MI39+MI53+MI64</f>
        <v>15778</v>
      </c>
      <c r="MJ5" s="300">
        <f t="shared" ref="MJ5" si="143">+MJ6+MJ24+MJ39+MJ53+MJ64</f>
        <v>8485</v>
      </c>
      <c r="MK5" s="300">
        <f t="shared" ref="MK5" si="144">+MK6+MK24+MK39+MK53+MK64</f>
        <v>734864</v>
      </c>
      <c r="ML5" s="300">
        <f t="shared" ref="ML5" si="145">+ML6+ML24+ML39+ML53+ML64</f>
        <v>415064</v>
      </c>
      <c r="MM5" s="300">
        <f t="shared" ref="MM5" si="146">+MM6+MM24+MM39+MM53+MM64</f>
        <v>319800</v>
      </c>
      <c r="MN5" s="279">
        <f t="shared" ref="MN5" si="147">+MN6+MN24+MN39+MN53+MN64</f>
        <v>32310253</v>
      </c>
      <c r="MO5" s="300">
        <f t="shared" ref="MO5" si="148">+MO6+MO24+MO39+MO53+MO64</f>
        <v>17554647</v>
      </c>
      <c r="MP5" s="300">
        <f t="shared" ref="MP5" si="149">+MP6+MP24+MP39+MP53+MP64</f>
        <v>14755606</v>
      </c>
      <c r="MQ5" s="280">
        <f t="shared" ref="MQ5" si="150">+MQ6+MQ24+MQ39+MQ53+MQ64</f>
        <v>28445456</v>
      </c>
      <c r="MR5" s="272">
        <f t="shared" ref="MR5" si="151">+MR6+MR24+MR39+MR53+MR64</f>
        <v>27744576</v>
      </c>
      <c r="MS5" s="300">
        <f t="shared" ref="MS5" si="152">+MS6+MS24+MS39+MS53+MS64</f>
        <v>15292021</v>
      </c>
      <c r="MT5" s="300">
        <f t="shared" ref="MT5" si="153">+MT6+MT24+MT39+MT53+MT64</f>
        <v>12452555</v>
      </c>
      <c r="MU5" s="300">
        <f t="shared" ref="MU5" si="154">+MU6+MU24+MU39+MU53+MU64</f>
        <v>2262626</v>
      </c>
      <c r="MV5" s="300">
        <f t="shared" ref="MV5" si="155">+MV6+MV24+MV39+MV53+MV64</f>
        <v>2303051</v>
      </c>
      <c r="MW5" s="280">
        <f t="shared" ref="MW5" si="156">+MW6+MW24+MW39+MW53+MW64</f>
        <v>1905378</v>
      </c>
      <c r="MX5" s="272">
        <f t="shared" ref="MX5" si="157">+MX6+MX24+MX39+MX53+MX64</f>
        <v>1873462</v>
      </c>
      <c r="MY5" s="300">
        <f t="shared" ref="MY5" si="158">+MY6+MY24+MY39+MY53+MY64</f>
        <v>806722</v>
      </c>
      <c r="MZ5" s="300">
        <f t="shared" ref="MZ5" si="159">+MZ6+MZ24+MZ39+MZ53+MZ64</f>
        <v>1066740</v>
      </c>
      <c r="NA5" s="280">
        <f t="shared" ref="NA5" si="160">+NA6+NA24+NA39+NA53+NA64</f>
        <v>1028759</v>
      </c>
      <c r="NB5" s="300">
        <f t="shared" ref="NB5" si="161">+NB6+NB24+NB39+NB53+NB64</f>
        <v>557874</v>
      </c>
      <c r="NC5" s="300">
        <f t="shared" ref="NC5" si="162">+NC6+NC24+NC39+NC53+NC64</f>
        <v>470885</v>
      </c>
      <c r="ND5" s="281">
        <f t="shared" ref="ND5" si="163">+ND6+ND24+ND39+ND53+ND64</f>
        <v>1959419</v>
      </c>
      <c r="NE5" s="302">
        <f t="shared" ref="NE5" si="164">+NE6+NE24+NE39+NE53+NE64</f>
        <v>898030</v>
      </c>
      <c r="NF5" s="302">
        <f t="shared" ref="NF5" si="165">+NF6+NF24+NF39+NF53+NF64</f>
        <v>765426</v>
      </c>
      <c r="NG5" s="302">
        <f t="shared" ref="NG5" si="166">+NG6+NG24+NG39+NG53+NG64</f>
        <v>17006</v>
      </c>
      <c r="NH5" s="302">
        <f t="shared" ref="NH5" si="167">+NH6+NH24+NH39+NH53+NH64</f>
        <v>7689</v>
      </c>
      <c r="NI5" s="302">
        <f t="shared" ref="NI5" si="168">+NI6+NI24+NI39+NI53+NI64</f>
        <v>9317</v>
      </c>
      <c r="NJ5" s="302">
        <f t="shared" ref="NJ5" si="169">+NJ6+NJ24+NJ39+NJ53+NJ64</f>
        <v>1646450</v>
      </c>
      <c r="NK5" s="302">
        <f t="shared" ref="NK5" si="170">+NK6+NK24+NK39+NK53+NK64</f>
        <v>890341</v>
      </c>
      <c r="NL5" s="302">
        <f t="shared" ref="NL5" si="171">+NL6+NL24+NL39+NL53+NL64</f>
        <v>756109</v>
      </c>
      <c r="NM5" s="300">
        <f t="shared" ref="NM5" si="172">+NM6+NM24+NM39+NM53+NM64</f>
        <v>49086</v>
      </c>
      <c r="NN5" s="300">
        <f t="shared" ref="NN5" si="173">+NN6+NN24+NN39+NN53+NN64</f>
        <v>46160</v>
      </c>
      <c r="NO5" s="300">
        <f t="shared" ref="NO5" si="174">+NO6+NO24+NO39+NO53+NO64</f>
        <v>841255</v>
      </c>
      <c r="NP5" s="300">
        <f t="shared" ref="NP5" si="175">+NP6+NP24+NP39+NP53+NP64</f>
        <v>709949</v>
      </c>
      <c r="NQ5" s="303">
        <f t="shared" ref="NQ5" si="176">+NQ6+NQ24+NQ39+NQ53+NQ64</f>
        <v>44462605</v>
      </c>
      <c r="NR5" s="300">
        <f t="shared" ref="NR5" si="177">+NR6+NR24+NR39+NR53+NR64</f>
        <v>22725125</v>
      </c>
      <c r="NS5" s="300">
        <f t="shared" ref="NS5" si="178">+NS6+NS24+NS39+NS53+NS64</f>
        <v>21737480</v>
      </c>
      <c r="NT5" s="282">
        <f t="shared" ref="NT5" si="179">+NT6+NT24+NT39+NT53+NT64</f>
        <v>37291563</v>
      </c>
      <c r="NU5" s="282">
        <f t="shared" ref="NU5" si="180">+NU6+NU24+NU39+NU53+NU64</f>
        <v>19346754</v>
      </c>
      <c r="NV5" s="282">
        <f t="shared" ref="NV5" si="181">+NV6+NV24+NV39+NV53+NV64</f>
        <v>17944809</v>
      </c>
      <c r="NW5" s="282">
        <f t="shared" ref="NW5" si="182">+NW6+NW24+NW39+NW53+NW64</f>
        <v>36060622</v>
      </c>
      <c r="NX5" s="300">
        <f t="shared" ref="NX5" si="183">+NX6+NX24+NX39+NX53+NX64</f>
        <v>18737073</v>
      </c>
      <c r="NY5" s="300">
        <f t="shared" ref="NY5" si="184">+NY6+NY24+NY39+NY53+NY64</f>
        <v>17323549</v>
      </c>
      <c r="NZ5" s="282">
        <f t="shared" ref="NZ5" si="185">+NZ6+NZ24+NZ39+NZ53+NZ64</f>
        <v>2831269</v>
      </c>
      <c r="OA5" s="300">
        <f t="shared" ref="OA5" si="186">+OA6+OA24+OA39+OA53+OA64</f>
        <v>1176692</v>
      </c>
      <c r="OB5" s="300">
        <f t="shared" ref="OB5" si="187">+OB6+OB24+OB39+OB53+OB64</f>
        <v>1654577</v>
      </c>
      <c r="OC5" s="282">
        <f t="shared" ref="OC5" si="188">+OC6+OC24+OC39+OC53+OC64</f>
        <v>1908039</v>
      </c>
      <c r="OD5" s="300">
        <f t="shared" ref="OD5" si="189">+OD6+OD24+OD39+OD53+OD64</f>
        <v>933014</v>
      </c>
      <c r="OE5" s="300">
        <f t="shared" ref="OE5" si="190">+OE6+OE24+OE39+OE53+OE64</f>
        <v>975025</v>
      </c>
      <c r="OF5" s="282">
        <f t="shared" ref="OF5" si="191">+OF6+OF24+OF39+OF53+OF64</f>
        <v>4339773</v>
      </c>
      <c r="OG5" s="282">
        <f t="shared" ref="OG5" si="192">+OG6+OG24+OG39+OG53+OG64</f>
        <v>2201679</v>
      </c>
      <c r="OH5" s="282">
        <f t="shared" ref="OH5" si="193">+OH6+OH24+OH39+OH53+OH64</f>
        <v>2138094</v>
      </c>
      <c r="OI5" s="304">
        <f t="shared" ref="OI5" si="194">+OI6+OI24+OI39+OI53+OI64</f>
        <v>52859997</v>
      </c>
      <c r="OJ5" s="300">
        <f t="shared" ref="OJ5" si="195">+OJ6+OJ24+OJ39+OJ53+OJ64</f>
        <v>43096155</v>
      </c>
      <c r="OK5" s="300">
        <f t="shared" ref="OK5" si="196">+OK6+OK24+OK39+OK53+OK64</f>
        <v>5405655</v>
      </c>
      <c r="OL5" s="300">
        <f t="shared" ref="OL5" si="197">+OL6+OL24+OL39+OL53+OL64</f>
        <v>6089874</v>
      </c>
      <c r="OM5" s="282">
        <f t="shared" ref="OM5" si="198">+OM6+OM24+OM39+OM53+OM64</f>
        <v>2942378</v>
      </c>
      <c r="ON5" s="283">
        <f t="shared" ref="ON5" si="199">+ON6+ON24+ON39+ON53+ON64</f>
        <v>54221942</v>
      </c>
      <c r="OO5" s="272">
        <f t="shared" ref="OO5" si="200">+OO6+OO24+OO39+OO53+OO64</f>
        <v>44163351</v>
      </c>
      <c r="OP5" s="272">
        <f t="shared" ref="OP5" si="201">+OP6+OP24+OP39+OP53+OP64</f>
        <v>3820189</v>
      </c>
      <c r="OQ5" s="305">
        <f t="shared" ref="OQ5" si="202">+OQ6+OQ24+OQ39+OQ53+OQ64</f>
        <v>6238402</v>
      </c>
      <c r="OR5" s="272">
        <f t="shared" ref="OR5" si="203">+OR6+OR24+OR39+OR53+OR64</f>
        <v>3118016</v>
      </c>
      <c r="OS5" s="299">
        <f t="shared" ref="OS5" si="204">+OS6+OS24+OS39+OS53+OS64</f>
        <v>55491484</v>
      </c>
      <c r="OT5" s="300">
        <f t="shared" ref="OT5" si="205">+OT6+OT24+OT39+OT53+OT64</f>
        <v>45207721</v>
      </c>
      <c r="OU5" s="300">
        <f t="shared" ref="OU5" si="206">+OU6+OU24+OU39+OU53+OU64</f>
        <v>3950515</v>
      </c>
      <c r="OV5" s="300">
        <f t="shared" ref="OV5" si="207">+OV6+OV24+OV39+OV53+OV64</f>
        <v>6333248</v>
      </c>
      <c r="OW5" s="300">
        <f t="shared" ref="OW5:OX5" si="208">+OW6+OW24+OW39+OW53+OW64</f>
        <v>3212087</v>
      </c>
      <c r="OX5" s="299">
        <f t="shared" si="208"/>
        <v>56589087</v>
      </c>
      <c r="OY5" s="300">
        <f t="shared" ref="OY5:PB5" si="209">+OY6+OY24+OY39+OY53+OY64</f>
        <v>45728587</v>
      </c>
      <c r="OZ5" s="300">
        <f t="shared" si="209"/>
        <v>4125522</v>
      </c>
      <c r="PA5" s="300">
        <f>+PA6+PA24+PA39+PA53+PA64</f>
        <v>6734978</v>
      </c>
      <c r="PB5" s="300">
        <f t="shared" si="209"/>
        <v>3447016</v>
      </c>
      <c r="PC5" s="476">
        <f>+PC6+PC24+PC39+PC53+PC64</f>
        <v>57720749.875</v>
      </c>
      <c r="PD5" s="273">
        <f t="shared" ref="PD5:PG5" si="210">+PD6+PD24+PD39+PD53+PD64</f>
        <v>46568177.143000007</v>
      </c>
      <c r="PE5" s="273">
        <f t="shared" si="210"/>
        <v>4238436.8599999994</v>
      </c>
      <c r="PF5" s="273">
        <f t="shared" si="210"/>
        <v>3567013.5639999993</v>
      </c>
      <c r="PG5" s="273">
        <f t="shared" si="210"/>
        <v>6914135.8720000004</v>
      </c>
      <c r="PH5" s="273">
        <f t="shared" ref="PH5:PL5" si="211">+PH6+PH24+PH39+PH53+PH64</f>
        <v>59163882</v>
      </c>
      <c r="PI5" s="273">
        <f t="shared" si="211"/>
        <v>47614165</v>
      </c>
      <c r="PJ5" s="273">
        <f t="shared" si="211"/>
        <v>4388517</v>
      </c>
      <c r="PK5" s="273">
        <f t="shared" si="211"/>
        <v>3764680</v>
      </c>
      <c r="PL5" s="273">
        <f t="shared" si="211"/>
        <v>7156610</v>
      </c>
      <c r="PM5" s="273">
        <f t="shared" ref="PM5:PN5" si="212">+PM6+PM24+PM39+PM53+PM64</f>
        <v>60785108</v>
      </c>
      <c r="PN5" s="273">
        <f t="shared" si="212"/>
        <v>45803800</v>
      </c>
      <c r="PO5" s="273">
        <f t="shared" ref="PO5:PP5" si="213">+PO6+PO24+PO39+PO53+PO64</f>
        <v>4570351</v>
      </c>
      <c r="PP5" s="273">
        <f t="shared" si="213"/>
        <v>3965701</v>
      </c>
      <c r="PQ5" s="273">
        <f t="shared" ref="PQ5:PV5" si="214">+PQ6+PQ24+PQ39+PQ53+PQ64</f>
        <v>7489906</v>
      </c>
      <c r="PR5" s="273">
        <f t="shared" si="214"/>
        <v>66241553</v>
      </c>
      <c r="PS5" s="273">
        <f t="shared" si="214"/>
        <v>48823442</v>
      </c>
      <c r="PT5" s="273">
        <f t="shared" si="214"/>
        <v>5172257</v>
      </c>
      <c r="PU5" s="273">
        <f t="shared" si="214"/>
        <v>4677364</v>
      </c>
      <c r="PV5" s="273">
        <f t="shared" si="214"/>
        <v>8630882</v>
      </c>
      <c r="PW5" s="273">
        <f t="shared" ref="PW5:QA5" si="215">+PW6+PW24+PW39+PW53+PW64</f>
        <v>68334277</v>
      </c>
      <c r="PX5" s="273">
        <f t="shared" si="215"/>
        <v>50084339</v>
      </c>
      <c r="PY5" s="273">
        <f t="shared" si="215"/>
        <v>5409510</v>
      </c>
      <c r="PZ5" s="273">
        <f t="shared" si="215"/>
        <v>4961751</v>
      </c>
      <c r="QA5" s="273">
        <f t="shared" si="215"/>
        <v>9016231</v>
      </c>
      <c r="QB5" s="476">
        <f>+QB6+QB24+QB39+QB53+QB64</f>
        <v>11477686</v>
      </c>
      <c r="QC5" s="273">
        <f t="shared" ref="QC5" si="216">+QC6+QC24+QC39+QC53+QC64</f>
        <v>10107539</v>
      </c>
      <c r="QD5" s="273">
        <f t="shared" ref="QD5" si="217">+QD6+QD24+QD39+QD53+QD64</f>
        <v>644288</v>
      </c>
      <c r="QE5" s="273">
        <f t="shared" ref="QE5" si="218">+QE6+QE24+QE39+QE53+QE64</f>
        <v>369562</v>
      </c>
      <c r="QF5" s="274">
        <f t="shared" ref="QF5" si="219">+QF6+QF24+QF39+QF53+QF64</f>
        <v>725859</v>
      </c>
      <c r="QG5" s="273">
        <f>+QG6+QG24+QG39+QG53+QG64</f>
        <v>16144813</v>
      </c>
      <c r="QH5" s="273">
        <f t="shared" ref="QH5" si="220">+QH6+QH24+QH39+QH53+QH64</f>
        <v>13556878</v>
      </c>
      <c r="QI5" s="273">
        <f t="shared" ref="QI5" si="221">+QI6+QI24+QI39+QI53+QI64</f>
        <v>949624</v>
      </c>
      <c r="QJ5" s="273">
        <f t="shared" ref="QJ5" si="222">+QJ6+QJ24+QJ39+QJ53+QJ64</f>
        <v>684265</v>
      </c>
      <c r="QK5" s="273">
        <f t="shared" ref="QK5:QL5" si="223">+QK6+QK24+QK39+QK53+QK64</f>
        <v>1616981</v>
      </c>
      <c r="QL5" s="476">
        <f t="shared" si="223"/>
        <v>20934610</v>
      </c>
      <c r="QM5" s="273">
        <f t="shared" ref="QM5:QQ5" si="224">+QM6+QM24+QM39+QM53+QM64</f>
        <v>16916625</v>
      </c>
      <c r="QN5" s="273">
        <f t="shared" si="224"/>
        <v>1436414</v>
      </c>
      <c r="QO5" s="273">
        <f t="shared" si="224"/>
        <v>1088858</v>
      </c>
      <c r="QP5" s="273">
        <f t="shared" si="224"/>
        <v>2581571</v>
      </c>
      <c r="QQ5" s="476">
        <f t="shared" si="224"/>
        <v>21432910.851</v>
      </c>
      <c r="QR5" s="273">
        <f t="shared" ref="QR5:QU5" si="225">+QR6+QR24+QR39+QR53+QR64</f>
        <v>17301345.539000001</v>
      </c>
      <c r="QS5" s="273">
        <f t="shared" si="225"/>
        <v>1489660.415</v>
      </c>
      <c r="QT5" s="273">
        <f t="shared" si="225"/>
        <v>1122480.9670000002</v>
      </c>
      <c r="QU5" s="274">
        <f t="shared" si="225"/>
        <v>2641904.8969999999</v>
      </c>
      <c r="QV5" s="273">
        <f t="shared" ref="QV5:QW5" si="226">+QV6+QV24+QV39+QV53+QV64</f>
        <v>22073005</v>
      </c>
      <c r="QW5" s="273">
        <f t="shared" si="226"/>
        <v>17727106</v>
      </c>
      <c r="QX5" s="273">
        <f t="shared" ref="QX5:QY5" si="227">+QX6+QX24+QX39+QX53+QX64</f>
        <v>1557817</v>
      </c>
      <c r="QY5" s="273">
        <f t="shared" si="227"/>
        <v>1188964</v>
      </c>
      <c r="QZ5" s="274">
        <f t="shared" ref="QZ5:RA5" si="228">+QZ6+QZ24+QZ39+QZ53+QZ64</f>
        <v>2786721</v>
      </c>
      <c r="RA5" s="274">
        <f t="shared" si="228"/>
        <v>22814307</v>
      </c>
      <c r="RB5" s="274">
        <f t="shared" ref="RB5:RC5" si="229">+RB6+RB24+RB39+RB53+RB64</f>
        <v>17275406</v>
      </c>
      <c r="RC5" s="274">
        <f t="shared" si="229"/>
        <v>1646374</v>
      </c>
      <c r="RD5" s="274">
        <f t="shared" ref="RD5:RE5" si="230">+RD6+RD24+RD39+RD53+RD64</f>
        <v>1250768</v>
      </c>
      <c r="RE5" s="274">
        <f t="shared" si="230"/>
        <v>2942709</v>
      </c>
      <c r="RF5" s="274">
        <f t="shared" ref="RF5:RJ5" si="231">+RF6+RF24+RF39+RF53+RF64</f>
        <v>25089165</v>
      </c>
      <c r="RG5" s="274">
        <f t="shared" si="231"/>
        <v>18582789</v>
      </c>
      <c r="RH5" s="274">
        <f t="shared" si="231"/>
        <v>1906400</v>
      </c>
      <c r="RI5" s="274">
        <f t="shared" si="231"/>
        <v>1454730</v>
      </c>
      <c r="RJ5" s="274">
        <f t="shared" si="231"/>
        <v>3495061</v>
      </c>
      <c r="RK5" s="274">
        <f t="shared" ref="RK5:RO5" si="232">+RK6+RK24+RK39+RK53+RK64</f>
        <v>26091882</v>
      </c>
      <c r="RL5" s="274">
        <f t="shared" si="232"/>
        <v>19169847</v>
      </c>
      <c r="RM5" s="274">
        <f t="shared" si="232"/>
        <v>2016761</v>
      </c>
      <c r="RN5" s="274">
        <f t="shared" si="232"/>
        <v>1575925</v>
      </c>
      <c r="RO5" s="274">
        <f t="shared" si="232"/>
        <v>3706916</v>
      </c>
    </row>
    <row r="6" spans="1:483" s="1" customFormat="1" x14ac:dyDescent="0.2">
      <c r="A6" s="216" t="s">
        <v>63</v>
      </c>
      <c r="B6" s="256">
        <f>SUM(B8:B23)</f>
        <v>9738075</v>
      </c>
      <c r="C6" s="257">
        <f t="shared" ref="C6:K6" si="233">SUM(C8:C23)</f>
        <v>5995415</v>
      </c>
      <c r="D6" s="257">
        <f t="shared" si="233"/>
        <v>2715068</v>
      </c>
      <c r="E6" s="257">
        <f t="shared" si="233"/>
        <v>931469</v>
      </c>
      <c r="F6" s="257">
        <f t="shared" si="233"/>
        <v>90177</v>
      </c>
      <c r="G6" s="256">
        <f>SUM(G8:G23)</f>
        <v>6794920</v>
      </c>
      <c r="H6" s="257">
        <f t="shared" si="233"/>
        <v>4780029</v>
      </c>
      <c r="I6" s="257">
        <f t="shared" si="233"/>
        <v>1471663</v>
      </c>
      <c r="J6" s="257">
        <f t="shared" si="233"/>
        <v>1125155</v>
      </c>
      <c r="K6" s="257">
        <f t="shared" si="233"/>
        <v>543228</v>
      </c>
      <c r="L6" s="256">
        <f>SUM(L8:L23)</f>
        <v>5526318</v>
      </c>
      <c r="M6" s="257">
        <f t="shared" ref="M6:P6" si="234">SUM(M8:M23)</f>
        <v>3620101</v>
      </c>
      <c r="N6" s="257">
        <f t="shared" si="234"/>
        <v>1008783</v>
      </c>
      <c r="O6" s="257">
        <f t="shared" si="234"/>
        <v>1688685</v>
      </c>
      <c r="P6" s="257">
        <f t="shared" si="234"/>
        <v>897434</v>
      </c>
      <c r="Q6" s="556">
        <f>SUM(Q8:Q23)</f>
        <v>5052500</v>
      </c>
      <c r="R6" s="288">
        <f t="shared" ref="R6:U6" si="235">SUM(R8:R23)</f>
        <v>3371252</v>
      </c>
      <c r="S6" s="288">
        <f t="shared" si="235"/>
        <v>780302</v>
      </c>
      <c r="T6" s="288">
        <f t="shared" si="235"/>
        <v>2190894</v>
      </c>
      <c r="U6" s="288">
        <f t="shared" si="235"/>
        <v>900946</v>
      </c>
      <c r="V6" s="556">
        <f>SUM(V8:V23)</f>
        <v>4912994</v>
      </c>
      <c r="W6" s="288">
        <f t="shared" ref="W6" si="236">SUM(W8:W23)</f>
        <v>3319429</v>
      </c>
      <c r="X6" s="288">
        <f t="shared" ref="X6" si="237">SUM(X8:X23)</f>
        <v>731073</v>
      </c>
      <c r="Y6" s="288">
        <f t="shared" ref="Y6" si="238">SUM(Y8:Y23)</f>
        <v>2230645</v>
      </c>
      <c r="Z6" s="288">
        <f t="shared" ref="Z6:AA6" si="239">SUM(Z8:Z23)</f>
        <v>861799</v>
      </c>
      <c r="AA6" s="288">
        <f t="shared" si="239"/>
        <v>4846309</v>
      </c>
      <c r="AB6" s="288">
        <f t="shared" ref="AB6:AC6" si="240">SUM(AB8:AB23)</f>
        <v>1680696</v>
      </c>
      <c r="AC6" s="288">
        <f t="shared" si="240"/>
        <v>707516</v>
      </c>
      <c r="AD6" s="288">
        <f t="shared" ref="AD6:AH6" si="241">SUM(AD8:AD23)</f>
        <v>2238949</v>
      </c>
      <c r="AE6" s="288">
        <f t="shared" si="241"/>
        <v>832826</v>
      </c>
      <c r="AF6" s="288">
        <f t="shared" si="241"/>
        <v>4710095</v>
      </c>
      <c r="AG6" s="288">
        <f t="shared" si="241"/>
        <v>1483447</v>
      </c>
      <c r="AH6" s="288">
        <f t="shared" si="241"/>
        <v>664779</v>
      </c>
      <c r="AI6" s="288">
        <f t="shared" ref="AI6:AM6" si="242">SUM(AI8:AI23)</f>
        <v>2327146</v>
      </c>
      <c r="AJ6" s="288">
        <f t="shared" si="242"/>
        <v>825560</v>
      </c>
      <c r="AK6" s="288">
        <f t="shared" si="242"/>
        <v>4593325</v>
      </c>
      <c r="AL6" s="288">
        <f t="shared" si="242"/>
        <v>1440782</v>
      </c>
      <c r="AM6" s="288">
        <f t="shared" si="242"/>
        <v>638709</v>
      </c>
      <c r="AN6" s="288">
        <f t="shared" ref="AN6:AO6" si="243">SUM(AN8:AN23)</f>
        <v>2272465</v>
      </c>
      <c r="AO6" s="288">
        <f t="shared" si="243"/>
        <v>841312</v>
      </c>
      <c r="AP6" s="256">
        <f>SUM(AP8:AP23)</f>
        <v>8707077</v>
      </c>
      <c r="AQ6" s="257">
        <f t="shared" ref="AQ6:AT6" si="244">SUM(AQ8:AQ23)</f>
        <v>6357912</v>
      </c>
      <c r="AR6" s="257">
        <f t="shared" si="244"/>
        <v>2013351</v>
      </c>
      <c r="AS6" s="257">
        <f t="shared" si="244"/>
        <v>612099</v>
      </c>
      <c r="AT6" s="257">
        <f t="shared" si="244"/>
        <v>335814</v>
      </c>
      <c r="AU6" s="256">
        <f>SUM(AU8:AU23)</f>
        <v>8845118</v>
      </c>
      <c r="AV6" s="257">
        <f t="shared" ref="AV6:CL6" si="245">SUM(AV8:AV23)</f>
        <v>5977603</v>
      </c>
      <c r="AW6" s="257">
        <f t="shared" si="245"/>
        <v>2143225</v>
      </c>
      <c r="AX6" s="257">
        <f t="shared" si="245"/>
        <v>1157592</v>
      </c>
      <c r="AY6" s="257">
        <f t="shared" si="245"/>
        <v>724290</v>
      </c>
      <c r="AZ6" s="256">
        <f>SUM(AZ8:AZ23)</f>
        <v>7224483</v>
      </c>
      <c r="BA6" s="257">
        <f t="shared" ref="BA6:BD6" si="246">SUM(BA8:BA23)</f>
        <v>4812676</v>
      </c>
      <c r="BB6" s="257">
        <f t="shared" si="246"/>
        <v>1756497</v>
      </c>
      <c r="BC6" s="257">
        <f t="shared" si="246"/>
        <v>1417122</v>
      </c>
      <c r="BD6" s="257">
        <f t="shared" si="246"/>
        <v>655310</v>
      </c>
      <c r="BE6" s="257">
        <f t="shared" ref="BE6:BY6" si="247">SUM(BE8:BE23)</f>
        <v>7089820</v>
      </c>
      <c r="BF6" s="257">
        <f t="shared" si="247"/>
        <v>4726419</v>
      </c>
      <c r="BG6" s="257">
        <f t="shared" si="247"/>
        <v>1723086</v>
      </c>
      <c r="BH6" s="257">
        <f t="shared" si="247"/>
        <v>1480072</v>
      </c>
      <c r="BI6" s="257">
        <f t="shared" si="247"/>
        <v>639368</v>
      </c>
      <c r="BJ6" s="257">
        <f t="shared" ref="BJ6:BK6" si="248">SUM(BJ8:BJ23)</f>
        <v>6964416</v>
      </c>
      <c r="BK6" s="257">
        <f t="shared" si="248"/>
        <v>3538223</v>
      </c>
      <c r="BL6" s="257">
        <f t="shared" ref="BL6:BM6" si="249">SUM(BL8:BL23)</f>
        <v>1691910</v>
      </c>
      <c r="BM6" s="257">
        <f t="shared" si="249"/>
        <v>1492953</v>
      </c>
      <c r="BN6" s="257">
        <f t="shared" ref="BN6:BR6" si="250">SUM(BN8:BN23)</f>
        <v>616259</v>
      </c>
      <c r="BO6" s="257">
        <f t="shared" si="250"/>
        <v>6720165</v>
      </c>
      <c r="BP6" s="257">
        <f t="shared" si="250"/>
        <v>3276132</v>
      </c>
      <c r="BQ6" s="257">
        <f t="shared" si="250"/>
        <v>1647230</v>
      </c>
      <c r="BR6" s="257">
        <f t="shared" si="250"/>
        <v>1544407</v>
      </c>
      <c r="BS6" s="257">
        <f t="shared" ref="BS6:BW6" si="251">SUM(BS8:BS23)</f>
        <v>592632</v>
      </c>
      <c r="BT6" s="257">
        <f t="shared" si="251"/>
        <v>6721098</v>
      </c>
      <c r="BU6" s="257">
        <f t="shared" si="251"/>
        <v>3258626</v>
      </c>
      <c r="BV6" s="257">
        <f t="shared" si="251"/>
        <v>1624820</v>
      </c>
      <c r="BW6" s="257">
        <f t="shared" si="251"/>
        <v>1568241</v>
      </c>
      <c r="BX6" s="257">
        <f t="shared" ref="BX6" si="252">SUM(BX8:BX23)</f>
        <v>642455</v>
      </c>
      <c r="BY6" s="284">
        <f t="shared" si="247"/>
        <v>12170148</v>
      </c>
      <c r="BZ6" s="257">
        <f t="shared" ref="BZ6:CC6" si="253">SUM(BZ8:BZ23)</f>
        <v>8111647</v>
      </c>
      <c r="CA6" s="257">
        <f t="shared" si="253"/>
        <v>2494163</v>
      </c>
      <c r="CB6" s="257">
        <f t="shared" si="253"/>
        <v>3682387</v>
      </c>
      <c r="CC6" s="257">
        <f t="shared" si="253"/>
        <v>1564338</v>
      </c>
      <c r="CD6" s="284">
        <f>SUM(CD8:CD23)</f>
        <v>4072893</v>
      </c>
      <c r="CE6" s="257">
        <f t="shared" si="245"/>
        <v>6292090</v>
      </c>
      <c r="CF6" s="257">
        <f t="shared" si="245"/>
        <v>9997417</v>
      </c>
      <c r="CG6" s="257">
        <f t="shared" si="245"/>
        <v>14790732</v>
      </c>
      <c r="CH6" s="256">
        <f>SUM(CH8:CH23)</f>
        <v>26045603</v>
      </c>
      <c r="CI6" s="257">
        <f t="shared" si="245"/>
        <v>21678999.625999998</v>
      </c>
      <c r="CJ6" s="257">
        <f t="shared" si="245"/>
        <v>2895346.4440000001</v>
      </c>
      <c r="CK6" s="257">
        <f t="shared" si="245"/>
        <v>908591.29700000002</v>
      </c>
      <c r="CL6" s="257">
        <f t="shared" si="245"/>
        <v>307511.52200000006</v>
      </c>
      <c r="CM6" s="256">
        <f>SUM(CM8:CM23)</f>
        <v>38424457</v>
      </c>
      <c r="CN6" s="257">
        <f t="shared" ref="CN6:CQ6" si="254">SUM(CN8:CN23)</f>
        <v>32208884</v>
      </c>
      <c r="CO6" s="257">
        <f t="shared" si="254"/>
        <v>4996875</v>
      </c>
      <c r="CP6" s="257">
        <f t="shared" si="254"/>
        <v>1796611</v>
      </c>
      <c r="CQ6" s="257">
        <f t="shared" si="254"/>
        <v>1218698</v>
      </c>
      <c r="CR6" s="256">
        <f>SUM(CR8:CR23)</f>
        <v>50165562</v>
      </c>
      <c r="CS6" s="257">
        <f t="shared" ref="CS6:CV6" si="255">SUM(CS8:CS23)</f>
        <v>39797423</v>
      </c>
      <c r="CT6" s="257">
        <f t="shared" si="255"/>
        <v>7464519</v>
      </c>
      <c r="CU6" s="257">
        <f t="shared" si="255"/>
        <v>3346601</v>
      </c>
      <c r="CV6" s="257">
        <f t="shared" si="255"/>
        <v>2903620</v>
      </c>
      <c r="CW6" s="451">
        <f>SUM(CW8:CW23)</f>
        <v>57888206</v>
      </c>
      <c r="CX6" s="257">
        <f t="shared" ref="CX6:DA6" si="256">SUM(CX8:CX23)</f>
        <v>44500385</v>
      </c>
      <c r="CY6" s="257">
        <f t="shared" si="256"/>
        <v>9324710</v>
      </c>
      <c r="CZ6" s="257">
        <f t="shared" si="256"/>
        <v>4063111</v>
      </c>
      <c r="DA6" s="257">
        <f t="shared" si="256"/>
        <v>5137655</v>
      </c>
      <c r="DB6" s="256">
        <f>SUM(DB8:DB23)</f>
        <v>59200533</v>
      </c>
      <c r="DC6" s="257">
        <f t="shared" ref="DC6:DF6" si="257">SUM(DC8:DC23)</f>
        <v>45524676</v>
      </c>
      <c r="DD6" s="257">
        <f t="shared" si="257"/>
        <v>9609281</v>
      </c>
      <c r="DE6" s="257">
        <f t="shared" si="257"/>
        <v>4066576</v>
      </c>
      <c r="DF6" s="257">
        <f t="shared" si="257"/>
        <v>5399587</v>
      </c>
      <c r="DG6" s="256">
        <f>SUM(DG8:DG23)</f>
        <v>60351009</v>
      </c>
      <c r="DH6" s="257">
        <f t="shared" ref="DH6:DK6" si="258">SUM(DH8:DH23)</f>
        <v>46369819</v>
      </c>
      <c r="DI6" s="257">
        <f t="shared" si="258"/>
        <v>9944061</v>
      </c>
      <c r="DJ6" s="257">
        <f t="shared" si="258"/>
        <v>4037129</v>
      </c>
      <c r="DK6" s="257">
        <f t="shared" si="258"/>
        <v>5603707</v>
      </c>
      <c r="DL6" s="284">
        <f>SUM(DL8:DL23)</f>
        <v>61863790</v>
      </c>
      <c r="DM6" s="257">
        <f t="shared" ref="DM6:DP6" si="259">SUM(DM8:DM23)</f>
        <v>47374240</v>
      </c>
      <c r="DN6" s="257">
        <f t="shared" si="259"/>
        <v>10340409</v>
      </c>
      <c r="DO6" s="257">
        <f t="shared" si="259"/>
        <v>6075792</v>
      </c>
      <c r="DP6" s="257">
        <f t="shared" si="259"/>
        <v>3350252</v>
      </c>
      <c r="DQ6" s="284">
        <f>SUM(DQ8:DQ23)</f>
        <v>63019593.373999998</v>
      </c>
      <c r="DR6" s="257">
        <f t="shared" ref="DR6:DU6" si="260">SUM(DR8:DR23)</f>
        <v>48124399.611000001</v>
      </c>
      <c r="DS6" s="257">
        <f t="shared" si="260"/>
        <v>10621223.862000002</v>
      </c>
      <c r="DT6" s="257">
        <f t="shared" si="260"/>
        <v>6363433.8280000016</v>
      </c>
      <c r="DU6" s="287">
        <f t="shared" si="260"/>
        <v>4273969.9010000015</v>
      </c>
      <c r="DV6" s="287">
        <f t="shared" ref="DV6" si="261">SUM(DV8:DV23)</f>
        <v>64211904</v>
      </c>
      <c r="DW6" s="257">
        <f t="shared" ref="DW6:DX6" si="262">SUM(DW8:DW23)</f>
        <v>48952480</v>
      </c>
      <c r="DX6" s="257">
        <f t="shared" si="262"/>
        <v>10907710</v>
      </c>
      <c r="DY6" s="257">
        <f t="shared" ref="DY6:DZ6" si="263">SUM(DY8:DY23)</f>
        <v>6676166</v>
      </c>
      <c r="DZ6" s="257">
        <f t="shared" si="263"/>
        <v>4341160</v>
      </c>
      <c r="EA6" s="257">
        <f t="shared" ref="EA6:EB6" si="264">SUM(EA8:EA23)</f>
        <v>65399021</v>
      </c>
      <c r="EB6" s="257">
        <f t="shared" si="264"/>
        <v>44169488</v>
      </c>
      <c r="EC6" s="257">
        <f t="shared" ref="EC6:ED6" si="265">SUM(EC8:EC23)</f>
        <v>11192709</v>
      </c>
      <c r="ED6" s="257">
        <f t="shared" si="265"/>
        <v>6976687</v>
      </c>
      <c r="EE6" s="257">
        <f t="shared" ref="EE6:EJ6" si="266">SUM(EE8:EE23)</f>
        <v>4500328</v>
      </c>
      <c r="EF6" s="257">
        <f t="shared" si="266"/>
        <v>69281715</v>
      </c>
      <c r="EG6" s="257">
        <f t="shared" si="266"/>
        <v>45658917</v>
      </c>
      <c r="EH6" s="257">
        <f t="shared" si="266"/>
        <v>12150967</v>
      </c>
      <c r="EI6" s="257">
        <f t="shared" si="266"/>
        <v>7926382</v>
      </c>
      <c r="EJ6" s="257">
        <f t="shared" si="266"/>
        <v>4954020</v>
      </c>
      <c r="EK6" s="257">
        <f t="shared" ref="EK6:EO6" si="267">SUM(EK8:EK23)</f>
        <v>70471115</v>
      </c>
      <c r="EL6" s="257">
        <f t="shared" si="267"/>
        <v>46077742</v>
      </c>
      <c r="EM6" s="257">
        <f t="shared" si="267"/>
        <v>12457491</v>
      </c>
      <c r="EN6" s="257">
        <f t="shared" si="267"/>
        <v>8265378</v>
      </c>
      <c r="EO6" s="257">
        <f t="shared" si="267"/>
        <v>5214914</v>
      </c>
      <c r="EP6" s="256">
        <f>SUM(EP8:EP23)</f>
        <v>6187696</v>
      </c>
      <c r="EQ6" s="257">
        <f t="shared" ref="EQ6:ET6" si="268">SUM(EQ8:EQ23)</f>
        <v>5170230</v>
      </c>
      <c r="ER6" s="257">
        <f t="shared" si="268"/>
        <v>698211</v>
      </c>
      <c r="ES6" s="257">
        <f t="shared" si="268"/>
        <v>242770</v>
      </c>
      <c r="ET6" s="257">
        <f t="shared" si="268"/>
        <v>70559</v>
      </c>
      <c r="EU6" s="256">
        <f>SUM(EU8:EU23)</f>
        <v>12734835</v>
      </c>
      <c r="EV6" s="257">
        <f t="shared" ref="EV6:EY6" si="269">SUM(EV8:EV23)</f>
        <v>10576488</v>
      </c>
      <c r="EW6" s="257">
        <f t="shared" si="269"/>
        <v>1752812</v>
      </c>
      <c r="EX6" s="257">
        <f t="shared" si="269"/>
        <v>676325</v>
      </c>
      <c r="EY6" s="257">
        <f t="shared" si="269"/>
        <v>405535</v>
      </c>
      <c r="EZ6" s="256">
        <f>SUM(EZ8:EZ23)</f>
        <v>17128355</v>
      </c>
      <c r="FA6" s="257">
        <f t="shared" ref="FA6:FD6" si="270">SUM(FA8:FA23)</f>
        <v>13387528</v>
      </c>
      <c r="FB6" s="257">
        <f t="shared" si="270"/>
        <v>2784593</v>
      </c>
      <c r="FC6" s="257">
        <f t="shared" si="270"/>
        <v>1233192</v>
      </c>
      <c r="FD6" s="257">
        <f t="shared" si="270"/>
        <v>956234</v>
      </c>
      <c r="FE6" s="256">
        <f t="shared" ref="FE6:FI6" si="271">SUM(FE8:FE23)</f>
        <v>21147709</v>
      </c>
      <c r="FF6" s="257">
        <f t="shared" si="271"/>
        <v>15916317</v>
      </c>
      <c r="FG6" s="257">
        <f t="shared" si="271"/>
        <v>3967091</v>
      </c>
      <c r="FH6" s="257">
        <f t="shared" si="271"/>
        <v>2135214</v>
      </c>
      <c r="FI6" s="257">
        <f t="shared" si="271"/>
        <v>1264301</v>
      </c>
      <c r="FJ6" s="256">
        <f t="shared" ref="FJ6:FN6" si="272">SUM(FJ8:FJ23)</f>
        <v>21516735.212000001</v>
      </c>
      <c r="FK6" s="257">
        <f t="shared" si="272"/>
        <v>16130813.506999997</v>
      </c>
      <c r="FL6" s="257">
        <f t="shared" si="272"/>
        <v>4082336.139</v>
      </c>
      <c r="FM6" s="257">
        <f t="shared" si="272"/>
        <v>2236603.4169999999</v>
      </c>
      <c r="FN6" s="257">
        <f t="shared" si="272"/>
        <v>1303585.5660000008</v>
      </c>
      <c r="FO6" s="257">
        <f t="shared" ref="FO6:FP6" si="273">SUM(FO8:FO23)</f>
        <v>21929977</v>
      </c>
      <c r="FP6" s="257">
        <f t="shared" si="273"/>
        <v>16386312</v>
      </c>
      <c r="FQ6" s="257">
        <f t="shared" ref="FQ6:FR6" si="274">SUM(FQ8:FQ23)</f>
        <v>4207045</v>
      </c>
      <c r="FR6" s="257">
        <f t="shared" si="274"/>
        <v>2346651</v>
      </c>
      <c r="FS6" s="257">
        <f t="shared" ref="FS6:FT6" si="275">SUM(FS8:FS23)</f>
        <v>1332207</v>
      </c>
      <c r="FT6" s="257">
        <f t="shared" si="275"/>
        <v>22318861</v>
      </c>
      <c r="FU6" s="257">
        <f t="shared" ref="FU6:FV6" si="276">SUM(FU8:FU23)</f>
        <v>14696699</v>
      </c>
      <c r="FV6" s="257">
        <f t="shared" si="276"/>
        <v>4327209</v>
      </c>
      <c r="FW6" s="257">
        <f t="shared" ref="FW6:GC6" si="277">SUM(FW8:FW23)</f>
        <v>2446183</v>
      </c>
      <c r="FX6" s="257">
        <f t="shared" si="277"/>
        <v>1361253</v>
      </c>
      <c r="FY6" s="257">
        <f t="shared" si="277"/>
        <v>23300502</v>
      </c>
      <c r="FZ6" s="257">
        <f t="shared" si="277"/>
        <v>15055493</v>
      </c>
      <c r="GA6" s="257">
        <f t="shared" si="277"/>
        <v>4630002</v>
      </c>
      <c r="GB6" s="257">
        <f t="shared" si="277"/>
        <v>2709061</v>
      </c>
      <c r="GC6" s="257">
        <f t="shared" si="277"/>
        <v>1437979</v>
      </c>
      <c r="GD6" s="257">
        <f t="shared" ref="GD6:GH6" si="278">SUM(GD8:GD23)</f>
        <v>23721395</v>
      </c>
      <c r="GE6" s="257">
        <f t="shared" si="278"/>
        <v>15213892</v>
      </c>
      <c r="GF6" s="257">
        <f t="shared" si="278"/>
        <v>4711930</v>
      </c>
      <c r="GG6" s="257">
        <f t="shared" si="278"/>
        <v>2843141</v>
      </c>
      <c r="GH6" s="257">
        <f t="shared" si="278"/>
        <v>1547107</v>
      </c>
      <c r="GI6" s="284">
        <f>SUM(GI8:GI23)</f>
        <v>2870950</v>
      </c>
      <c r="GJ6" s="257">
        <f t="shared" ref="GJ6:GM6" si="279">SUM(GJ8:GJ23)</f>
        <v>2381689</v>
      </c>
      <c r="GK6" s="257">
        <f t="shared" si="279"/>
        <v>382009</v>
      </c>
      <c r="GL6" s="257">
        <f t="shared" si="279"/>
        <v>170565</v>
      </c>
      <c r="GM6" s="257">
        <f t="shared" si="279"/>
        <v>107252</v>
      </c>
      <c r="GN6" s="256">
        <f>SUM(GN8:GN23)</f>
        <v>3627173</v>
      </c>
      <c r="GO6" s="257">
        <f t="shared" ref="GO6:GR6" si="280">SUM(GO8:GO23)</f>
        <v>2862109</v>
      </c>
      <c r="GP6" s="257">
        <f t="shared" si="280"/>
        <v>542138</v>
      </c>
      <c r="GQ6" s="257">
        <f t="shared" si="280"/>
        <v>268873</v>
      </c>
      <c r="GR6" s="257">
        <f t="shared" si="280"/>
        <v>222926</v>
      </c>
      <c r="GS6" s="256">
        <f>SUM(GS8:GS23)</f>
        <v>5209298</v>
      </c>
      <c r="GT6" s="257">
        <f t="shared" ref="GT6:GW6" si="281">SUM(GT8:GT23)</f>
        <v>3977715</v>
      </c>
      <c r="GU6" s="257">
        <f t="shared" si="281"/>
        <v>902062</v>
      </c>
      <c r="GV6" s="257">
        <f t="shared" si="281"/>
        <v>540734</v>
      </c>
      <c r="GW6" s="257">
        <f t="shared" si="281"/>
        <v>329521</v>
      </c>
      <c r="GX6" s="256">
        <f>SUM(GX8:GX23)</f>
        <v>0</v>
      </c>
      <c r="GY6" s="257">
        <f t="shared" ref="GY6:HW6" si="282">SUM(GY8:GY23)</f>
        <v>0</v>
      </c>
      <c r="GZ6" s="257">
        <f t="shared" si="282"/>
        <v>0</v>
      </c>
      <c r="HA6" s="257">
        <f t="shared" si="282"/>
        <v>0</v>
      </c>
      <c r="HB6" s="287">
        <f t="shared" si="282"/>
        <v>0</v>
      </c>
      <c r="HC6" s="287">
        <f t="shared" ref="HC6:HG6" si="283">SUM(HC8:HC23)</f>
        <v>5548086</v>
      </c>
      <c r="HD6" s="287">
        <f t="shared" si="283"/>
        <v>4218809</v>
      </c>
      <c r="HE6" s="287">
        <f t="shared" si="283"/>
        <v>966909</v>
      </c>
      <c r="HF6" s="287">
        <f t="shared" si="283"/>
        <v>598859</v>
      </c>
      <c r="HG6" s="287">
        <f t="shared" si="283"/>
        <v>361457</v>
      </c>
      <c r="HH6" s="287">
        <f t="shared" ref="HH6:HI6" si="284">SUM(HH8:HH23)</f>
        <v>5735384</v>
      </c>
      <c r="HI6" s="287">
        <f t="shared" si="284"/>
        <v>3844961</v>
      </c>
      <c r="HJ6" s="287">
        <f t="shared" ref="HJ6:HK6" si="285">SUM(HJ8:HJ23)</f>
        <v>1009813</v>
      </c>
      <c r="HK6" s="287">
        <f t="shared" si="285"/>
        <v>629831</v>
      </c>
      <c r="HL6" s="287">
        <f t="shared" ref="HL6:HQ6" si="286">SUM(HL8:HL23)</f>
        <v>374258</v>
      </c>
      <c r="HM6" s="287">
        <f t="shared" si="286"/>
        <v>6350971</v>
      </c>
      <c r="HN6" s="287">
        <f t="shared" si="286"/>
        <v>4176556</v>
      </c>
      <c r="HO6" s="287">
        <f t="shared" si="286"/>
        <v>1155993</v>
      </c>
      <c r="HP6" s="287">
        <f t="shared" si="286"/>
        <v>740377</v>
      </c>
      <c r="HQ6" s="287">
        <f t="shared" si="286"/>
        <v>423455</v>
      </c>
      <c r="HR6" s="257">
        <f t="shared" ref="HR6:HV6" si="287">SUM(HR8:HR23)</f>
        <v>6592376</v>
      </c>
      <c r="HS6" s="257">
        <f t="shared" si="287"/>
        <v>4282096</v>
      </c>
      <c r="HT6" s="257">
        <f t="shared" si="287"/>
        <v>1208925</v>
      </c>
      <c r="HU6" s="257">
        <f t="shared" si="287"/>
        <v>809153</v>
      </c>
      <c r="HV6" s="257">
        <f t="shared" si="287"/>
        <v>454577</v>
      </c>
      <c r="HW6" s="256">
        <f t="shared" si="282"/>
        <v>12911287</v>
      </c>
      <c r="HX6" s="257">
        <f t="shared" ref="HX6:IF6" si="288">SUM(HX8:HX23)</f>
        <v>11159463</v>
      </c>
      <c r="HY6" s="257">
        <f t="shared" si="288"/>
        <v>1273811</v>
      </c>
      <c r="HZ6" s="257">
        <f t="shared" si="288"/>
        <v>548188</v>
      </c>
      <c r="IA6" s="257">
        <f t="shared" si="288"/>
        <v>478013</v>
      </c>
      <c r="IB6" s="256">
        <f t="shared" si="288"/>
        <v>18112798</v>
      </c>
      <c r="IC6" s="257">
        <f t="shared" si="288"/>
        <v>14927326</v>
      </c>
      <c r="ID6" s="257">
        <f t="shared" si="288"/>
        <v>1992280</v>
      </c>
      <c r="IE6" s="257">
        <f t="shared" si="288"/>
        <v>1033061</v>
      </c>
      <c r="IF6" s="257">
        <f t="shared" si="288"/>
        <v>1193192</v>
      </c>
      <c r="IG6" s="256">
        <f>SUM(IG8:IG23)</f>
        <v>20847575</v>
      </c>
      <c r="IH6" s="257">
        <f t="shared" ref="IH6:IK6" si="289">SUM(IH8:IH23)</f>
        <v>16570602</v>
      </c>
      <c r="II6" s="257">
        <f t="shared" si="289"/>
        <v>2639218</v>
      </c>
      <c r="IJ6" s="257">
        <f t="shared" si="289"/>
        <v>1727654</v>
      </c>
      <c r="IK6" s="257">
        <f t="shared" si="289"/>
        <v>1637755</v>
      </c>
      <c r="IL6" s="556">
        <f>SUM(IL8:IL23)</f>
        <v>0</v>
      </c>
      <c r="IM6" s="288">
        <f t="shared" ref="IM6:IP6" si="290">SUM(IM8:IM23)</f>
        <v>0</v>
      </c>
      <c r="IN6" s="288">
        <f t="shared" si="290"/>
        <v>0</v>
      </c>
      <c r="IO6" s="288">
        <f t="shared" si="290"/>
        <v>0</v>
      </c>
      <c r="IP6" s="288">
        <f t="shared" si="290"/>
        <v>0</v>
      </c>
      <c r="IQ6" s="288">
        <f t="shared" ref="IQ6:IU6" si="291">SUM(IQ8:IQ23)</f>
        <v>25617944</v>
      </c>
      <c r="IR6" s="288">
        <f t="shared" si="291"/>
        <v>20162256</v>
      </c>
      <c r="IS6" s="288">
        <f t="shared" si="291"/>
        <v>3368256</v>
      </c>
      <c r="IT6" s="288">
        <f t="shared" si="291"/>
        <v>2154744</v>
      </c>
      <c r="IU6" s="671">
        <f t="shared" si="291"/>
        <v>2084741</v>
      </c>
      <c r="IV6" s="288">
        <f>SUM(IV8:IV23)</f>
        <v>26458404</v>
      </c>
      <c r="IW6" s="288">
        <f t="shared" ref="IW6" si="292">SUM(IW8:IW23)</f>
        <v>18863911</v>
      </c>
      <c r="IX6" s="288">
        <f t="shared" ref="IX6:IY6" si="293">SUM(IX8:IX23)</f>
        <v>3528009</v>
      </c>
      <c r="IY6" s="288">
        <f t="shared" si="293"/>
        <v>2271111</v>
      </c>
      <c r="IZ6" s="288">
        <f t="shared" ref="IZ6:JE6" si="294">SUM(IZ8:IZ23)</f>
        <v>2203313</v>
      </c>
      <c r="JA6" s="309">
        <f t="shared" si="294"/>
        <v>29258267</v>
      </c>
      <c r="JB6" s="288">
        <f t="shared" si="294"/>
        <v>20362021</v>
      </c>
      <c r="JC6" s="288">
        <f t="shared" si="294"/>
        <v>4032384</v>
      </c>
      <c r="JD6" s="288">
        <f t="shared" si="294"/>
        <v>2699244</v>
      </c>
      <c r="JE6" s="288">
        <f t="shared" si="294"/>
        <v>2555661</v>
      </c>
      <c r="JF6" s="309">
        <f t="shared" ref="JF6:JJ6" si="295">SUM(JF8:JF23)</f>
        <v>30239431</v>
      </c>
      <c r="JG6" s="288">
        <f t="shared" si="295"/>
        <v>20850280</v>
      </c>
      <c r="JH6" s="288">
        <f t="shared" si="295"/>
        <v>4238468</v>
      </c>
      <c r="JI6" s="288">
        <f t="shared" si="295"/>
        <v>2897262</v>
      </c>
      <c r="JJ6" s="288">
        <f t="shared" si="295"/>
        <v>2695968</v>
      </c>
      <c r="JK6" s="256">
        <f>SUM(JK8:JK23)</f>
        <v>6573082</v>
      </c>
      <c r="JL6" s="257">
        <f t="shared" ref="JL6:JO6" si="296">SUM(JL8:JL23)</f>
        <v>5753449</v>
      </c>
      <c r="JM6" s="257">
        <f t="shared" si="296"/>
        <v>599921</v>
      </c>
      <c r="JN6" s="257">
        <f t="shared" si="296"/>
        <v>242832</v>
      </c>
      <c r="JO6" s="257">
        <f t="shared" si="296"/>
        <v>219712</v>
      </c>
      <c r="JP6" s="256">
        <f>SUM(JP8:JP23)</f>
        <v>9336380</v>
      </c>
      <c r="JQ6" s="257">
        <f t="shared" ref="JQ6:JT6" si="297">SUM(JQ8:JQ23)</f>
        <v>7778900</v>
      </c>
      <c r="JR6" s="257">
        <f t="shared" si="297"/>
        <v>980391</v>
      </c>
      <c r="JS6" s="257">
        <f t="shared" si="297"/>
        <v>483313</v>
      </c>
      <c r="JT6" s="257">
        <f t="shared" si="297"/>
        <v>577089</v>
      </c>
      <c r="JU6" s="256">
        <f>SUM(JU8:JU23)</f>
        <v>12184080</v>
      </c>
      <c r="JV6" s="257">
        <f t="shared" ref="JV6:JY6" si="298">SUM(JV8:JV23)</f>
        <v>9776798</v>
      </c>
      <c r="JW6" s="257">
        <f t="shared" si="298"/>
        <v>1461251</v>
      </c>
      <c r="JX6" s="257">
        <f t="shared" si="298"/>
        <v>970553</v>
      </c>
      <c r="JY6" s="257">
        <f t="shared" si="298"/>
        <v>946031</v>
      </c>
      <c r="JZ6" s="256">
        <f>SUM(JZ8:JZ23)</f>
        <v>12438148.312999999</v>
      </c>
      <c r="KA6" s="257">
        <f t="shared" ref="KA6:KD6" si="299">SUM(KA8:KA23)</f>
        <v>9947738.6849999987</v>
      </c>
      <c r="KB6" s="257">
        <f t="shared" si="299"/>
        <v>1511822.335</v>
      </c>
      <c r="KC6" s="257">
        <f t="shared" si="299"/>
        <v>1010565.547</v>
      </c>
      <c r="KD6" s="257">
        <f t="shared" si="299"/>
        <v>978587.29299999983</v>
      </c>
      <c r="KE6" s="257">
        <f t="shared" ref="KE6:KF6" si="300">SUM(KE8:KE23)</f>
        <v>13126723</v>
      </c>
      <c r="KF6" s="257">
        <f t="shared" si="300"/>
        <v>9506503</v>
      </c>
      <c r="KG6" s="257">
        <f t="shared" ref="KG6:KH6" si="301">SUM(KG8:KG23)</f>
        <v>1621229</v>
      </c>
      <c r="KH6" s="257">
        <f t="shared" si="301"/>
        <v>1131815</v>
      </c>
      <c r="KI6" s="257">
        <f t="shared" ref="KI6:KN6" si="302">SUM(KI8:KI23)</f>
        <v>1068523</v>
      </c>
      <c r="KJ6" s="257">
        <f t="shared" si="302"/>
        <v>14385701</v>
      </c>
      <c r="KK6" s="257">
        <f t="shared" si="302"/>
        <v>10164169</v>
      </c>
      <c r="KL6" s="257">
        <f t="shared" si="302"/>
        <v>1818916</v>
      </c>
      <c r="KM6" s="257">
        <f t="shared" si="302"/>
        <v>1355775</v>
      </c>
      <c r="KN6" s="257">
        <f t="shared" si="302"/>
        <v>1263029</v>
      </c>
      <c r="KO6" s="257">
        <f t="shared" ref="KO6:KS6" si="303">SUM(KO8:KO23)</f>
        <v>14767273</v>
      </c>
      <c r="KP6" s="257">
        <f t="shared" si="303"/>
        <v>10369917</v>
      </c>
      <c r="KQ6" s="257">
        <f t="shared" si="303"/>
        <v>1902244</v>
      </c>
      <c r="KR6" s="257">
        <f t="shared" si="303"/>
        <v>1423603</v>
      </c>
      <c r="KS6" s="257">
        <f t="shared" si="303"/>
        <v>1318770</v>
      </c>
      <c r="KT6" s="277">
        <f t="shared" ref="KT6:LD6" si="304">SUM(KT8:KT23)</f>
        <v>790723</v>
      </c>
      <c r="KU6" s="278">
        <f t="shared" si="304"/>
        <v>1262875</v>
      </c>
      <c r="KV6" s="284">
        <f t="shared" si="304"/>
        <v>1979939</v>
      </c>
      <c r="KW6" s="306">
        <f t="shared" si="304"/>
        <v>1151373</v>
      </c>
      <c r="KX6" s="306">
        <f t="shared" si="304"/>
        <v>828566</v>
      </c>
      <c r="KY6" s="257">
        <f t="shared" si="304"/>
        <v>1829425</v>
      </c>
      <c r="KZ6" s="306">
        <f t="shared" si="304"/>
        <v>1094198</v>
      </c>
      <c r="LA6" s="306">
        <f t="shared" si="304"/>
        <v>735227</v>
      </c>
      <c r="LB6" s="257">
        <f t="shared" si="304"/>
        <v>150514</v>
      </c>
      <c r="LC6" s="306">
        <f t="shared" si="304"/>
        <v>57175</v>
      </c>
      <c r="LD6" s="257">
        <f t="shared" si="304"/>
        <v>93339</v>
      </c>
      <c r="LE6" s="284">
        <f t="shared" ref="LE6:LM6" si="305">SUM(LE8:LE23)</f>
        <v>3254997</v>
      </c>
      <c r="LF6" s="306">
        <f t="shared" si="305"/>
        <v>1906132</v>
      </c>
      <c r="LG6" s="306">
        <f t="shared" si="305"/>
        <v>1348865</v>
      </c>
      <c r="LH6" s="257">
        <f t="shared" si="305"/>
        <v>2948971</v>
      </c>
      <c r="LI6" s="306">
        <f t="shared" si="305"/>
        <v>1768699</v>
      </c>
      <c r="LJ6" s="306">
        <f t="shared" si="305"/>
        <v>1180272</v>
      </c>
      <c r="LK6" s="257">
        <f t="shared" si="305"/>
        <v>218029</v>
      </c>
      <c r="LL6" s="306">
        <f t="shared" si="305"/>
        <v>81789</v>
      </c>
      <c r="LM6" s="257">
        <f t="shared" si="305"/>
        <v>136240</v>
      </c>
      <c r="LN6" s="257">
        <f t="shared" ref="LN6:MM6" si="306">SUM(LN8:LN23)</f>
        <v>87997</v>
      </c>
      <c r="LO6" s="257">
        <f t="shared" si="306"/>
        <v>55644</v>
      </c>
      <c r="LP6" s="257">
        <f t="shared" si="306"/>
        <v>32353</v>
      </c>
      <c r="LQ6" s="284">
        <f t="shared" si="306"/>
        <v>6428016</v>
      </c>
      <c r="LR6" s="257">
        <f t="shared" si="306"/>
        <v>3697041</v>
      </c>
      <c r="LS6" s="257">
        <f t="shared" si="306"/>
        <v>2730975</v>
      </c>
      <c r="LT6" s="307">
        <f t="shared" si="306"/>
        <v>6000640</v>
      </c>
      <c r="LU6" s="306">
        <f t="shared" si="306"/>
        <v>3302917</v>
      </c>
      <c r="LV6" s="306">
        <f t="shared" si="306"/>
        <v>2297203</v>
      </c>
      <c r="LW6" s="306">
        <f t="shared" si="306"/>
        <v>394124</v>
      </c>
      <c r="LX6" s="306">
        <f t="shared" si="306"/>
        <v>433772</v>
      </c>
      <c r="LY6" s="307">
        <f t="shared" si="306"/>
        <v>518716</v>
      </c>
      <c r="LZ6" s="306">
        <f t="shared" si="306"/>
        <v>214440</v>
      </c>
      <c r="MA6" s="306">
        <f t="shared" si="306"/>
        <v>304276</v>
      </c>
      <c r="MB6" s="307">
        <f t="shared" si="306"/>
        <v>185511</v>
      </c>
      <c r="MC6" s="306">
        <f t="shared" si="306"/>
        <v>107545</v>
      </c>
      <c r="MD6" s="306">
        <f t="shared" si="306"/>
        <v>77966</v>
      </c>
      <c r="ME6" s="306">
        <f t="shared" si="306"/>
        <v>123669</v>
      </c>
      <c r="MF6" s="306">
        <f t="shared" si="306"/>
        <v>72139</v>
      </c>
      <c r="MG6" s="306">
        <f t="shared" si="306"/>
        <v>51530</v>
      </c>
      <c r="MH6" s="306">
        <f t="shared" si="306"/>
        <v>7662</v>
      </c>
      <c r="MI6" s="306">
        <f t="shared" si="306"/>
        <v>5371</v>
      </c>
      <c r="MJ6" s="306">
        <f t="shared" si="306"/>
        <v>2291</v>
      </c>
      <c r="MK6" s="306">
        <f t="shared" si="306"/>
        <v>116007</v>
      </c>
      <c r="ML6" s="306">
        <f t="shared" si="306"/>
        <v>66768</v>
      </c>
      <c r="MM6" s="306">
        <f t="shared" si="306"/>
        <v>49239</v>
      </c>
      <c r="MN6" s="284">
        <f t="shared" ref="MN6:OW6" si="307">SUM(MN8:MN23)</f>
        <v>10040337</v>
      </c>
      <c r="MO6" s="257">
        <f t="shared" si="307"/>
        <v>5439263</v>
      </c>
      <c r="MP6" s="257">
        <f t="shared" si="307"/>
        <v>4601074</v>
      </c>
      <c r="MQ6" s="257">
        <f t="shared" si="307"/>
        <v>8777774</v>
      </c>
      <c r="MR6" s="285">
        <f t="shared" si="307"/>
        <v>8484760</v>
      </c>
      <c r="MS6" s="306">
        <f t="shared" si="307"/>
        <v>4713398</v>
      </c>
      <c r="MT6" s="306">
        <f t="shared" si="307"/>
        <v>3771362</v>
      </c>
      <c r="MU6" s="306">
        <f t="shared" si="307"/>
        <v>725865</v>
      </c>
      <c r="MV6" s="306">
        <f t="shared" si="307"/>
        <v>829712</v>
      </c>
      <c r="MW6" s="257">
        <f t="shared" si="307"/>
        <v>891802</v>
      </c>
      <c r="MX6" s="285">
        <f t="shared" si="307"/>
        <v>884585</v>
      </c>
      <c r="MY6" s="306">
        <f t="shared" si="307"/>
        <v>358619</v>
      </c>
      <c r="MZ6" s="306">
        <f t="shared" si="307"/>
        <v>525966</v>
      </c>
      <c r="NA6" s="286">
        <f t="shared" si="307"/>
        <v>377623</v>
      </c>
      <c r="NB6" s="257">
        <f t="shared" si="307"/>
        <v>203698</v>
      </c>
      <c r="NC6" s="306">
        <f t="shared" si="307"/>
        <v>173925</v>
      </c>
      <c r="ND6" s="287">
        <f t="shared" si="307"/>
        <v>370761</v>
      </c>
      <c r="NE6" s="308">
        <f t="shared" si="307"/>
        <v>163548</v>
      </c>
      <c r="NF6" s="308">
        <f t="shared" si="307"/>
        <v>129821</v>
      </c>
      <c r="NG6" s="308">
        <f t="shared" si="307"/>
        <v>3090</v>
      </c>
      <c r="NH6" s="308">
        <f t="shared" si="307"/>
        <v>1699</v>
      </c>
      <c r="NI6" s="308">
        <f t="shared" si="307"/>
        <v>1391</v>
      </c>
      <c r="NJ6" s="308">
        <f t="shared" si="307"/>
        <v>290279</v>
      </c>
      <c r="NK6" s="308">
        <f t="shared" si="307"/>
        <v>161849</v>
      </c>
      <c r="NL6" s="308">
        <f t="shared" si="307"/>
        <v>128430</v>
      </c>
      <c r="NM6" s="306">
        <f t="shared" si="307"/>
        <v>19119</v>
      </c>
      <c r="NN6" s="306">
        <f t="shared" si="307"/>
        <v>16403</v>
      </c>
      <c r="NO6" s="306">
        <f t="shared" si="307"/>
        <v>142730</v>
      </c>
      <c r="NP6" s="306">
        <f t="shared" si="307"/>
        <v>112027</v>
      </c>
      <c r="NQ6" s="309">
        <f t="shared" si="307"/>
        <v>14485625</v>
      </c>
      <c r="NR6" s="257">
        <f t="shared" si="307"/>
        <v>7387571</v>
      </c>
      <c r="NS6" s="306">
        <f t="shared" si="307"/>
        <v>7098054</v>
      </c>
      <c r="NT6" s="288">
        <f t="shared" si="307"/>
        <v>12065217</v>
      </c>
      <c r="NU6" s="288">
        <f t="shared" si="307"/>
        <v>6305850</v>
      </c>
      <c r="NV6" s="288">
        <f t="shared" si="307"/>
        <v>5759367</v>
      </c>
      <c r="NW6" s="289">
        <f t="shared" si="307"/>
        <v>11493413</v>
      </c>
      <c r="NX6" s="306">
        <f t="shared" si="307"/>
        <v>6020933</v>
      </c>
      <c r="NY6" s="306">
        <f t="shared" si="307"/>
        <v>5472480</v>
      </c>
      <c r="NZ6" s="289">
        <f t="shared" si="307"/>
        <v>1450142</v>
      </c>
      <c r="OA6" s="257">
        <f t="shared" si="307"/>
        <v>580771</v>
      </c>
      <c r="OB6" s="306">
        <f t="shared" si="307"/>
        <v>869371</v>
      </c>
      <c r="OC6" s="289">
        <f t="shared" si="307"/>
        <v>764188</v>
      </c>
      <c r="OD6" s="306">
        <f t="shared" si="307"/>
        <v>378295</v>
      </c>
      <c r="OE6" s="257">
        <f t="shared" si="307"/>
        <v>385893</v>
      </c>
      <c r="OF6" s="289">
        <f t="shared" si="307"/>
        <v>970266</v>
      </c>
      <c r="OG6" s="289">
        <f t="shared" si="307"/>
        <v>500950</v>
      </c>
      <c r="OH6" s="289">
        <f t="shared" si="307"/>
        <v>469316</v>
      </c>
      <c r="OI6" s="310">
        <f t="shared" si="307"/>
        <v>17544561</v>
      </c>
      <c r="OJ6" s="257">
        <f t="shared" si="307"/>
        <v>14192470</v>
      </c>
      <c r="OK6" s="306">
        <f t="shared" si="307"/>
        <v>1922186</v>
      </c>
      <c r="OL6" s="306">
        <f t="shared" si="307"/>
        <v>1429905</v>
      </c>
      <c r="OM6" s="288">
        <f t="shared" si="307"/>
        <v>1190332</v>
      </c>
      <c r="ON6" s="284">
        <f t="shared" si="307"/>
        <v>18087547</v>
      </c>
      <c r="OO6" s="257">
        <f t="shared" si="307"/>
        <v>14599833</v>
      </c>
      <c r="OP6" s="257">
        <f t="shared" si="307"/>
        <v>2017001</v>
      </c>
      <c r="OQ6" s="290">
        <f t="shared" si="307"/>
        <v>1470713</v>
      </c>
      <c r="OR6" s="257">
        <f t="shared" si="307"/>
        <v>1267014</v>
      </c>
      <c r="OS6" s="284">
        <f t="shared" si="307"/>
        <v>18565217</v>
      </c>
      <c r="OT6" s="257">
        <f t="shared" si="307"/>
        <v>14962982</v>
      </c>
      <c r="OU6" s="257">
        <f t="shared" si="307"/>
        <v>2099292</v>
      </c>
      <c r="OV6" s="257">
        <f t="shared" si="307"/>
        <v>1502943</v>
      </c>
      <c r="OW6" s="257">
        <f t="shared" si="307"/>
        <v>1306464</v>
      </c>
      <c r="OX6" s="284">
        <f t="shared" ref="OX6:PB6" si="308">SUM(OX8:OX23)</f>
        <v>19043404</v>
      </c>
      <c r="OY6" s="257">
        <f t="shared" si="308"/>
        <v>15211913</v>
      </c>
      <c r="OZ6" s="257">
        <f t="shared" si="308"/>
        <v>2219508</v>
      </c>
      <c r="PA6" s="257">
        <f>SUM(PA8:PA23)</f>
        <v>1611983</v>
      </c>
      <c r="PB6" s="257">
        <f t="shared" si="308"/>
        <v>1414066</v>
      </c>
      <c r="PC6" s="256">
        <f>SUM(PC8:PC23)</f>
        <v>19497608.986000001</v>
      </c>
      <c r="PD6" s="513">
        <f t="shared" ref="PD6:PG6" si="309">SUM(PD8:PD23)</f>
        <v>15533325.210000003</v>
      </c>
      <c r="PE6" s="513">
        <f t="shared" si="309"/>
        <v>2306118.3089999999</v>
      </c>
      <c r="PF6" s="513">
        <f t="shared" si="309"/>
        <v>1469405.8239999998</v>
      </c>
      <c r="PG6" s="513">
        <f t="shared" si="309"/>
        <v>1658165.4669999999</v>
      </c>
      <c r="PH6" s="513">
        <f t="shared" ref="PH6:PL6" si="310">SUM(PH8:PH23)</f>
        <v>20069858</v>
      </c>
      <c r="PI6" s="513">
        <f t="shared" si="310"/>
        <v>15943447</v>
      </c>
      <c r="PJ6" s="513">
        <f t="shared" si="310"/>
        <v>2401347</v>
      </c>
      <c r="PK6" s="513">
        <f t="shared" si="310"/>
        <v>1555885</v>
      </c>
      <c r="PL6" s="513">
        <f t="shared" si="310"/>
        <v>1723284</v>
      </c>
      <c r="PM6" s="513">
        <f t="shared" ref="PM6:PN6" si="311">SUM(PM8:PM23)</f>
        <v>20723020</v>
      </c>
      <c r="PN6" s="513">
        <f t="shared" si="311"/>
        <v>15018950</v>
      </c>
      <c r="PO6" s="513">
        <f t="shared" ref="PO6:PP6" si="312">SUM(PO8:PO23)</f>
        <v>2518196</v>
      </c>
      <c r="PP6" s="513">
        <f t="shared" si="312"/>
        <v>1641280</v>
      </c>
      <c r="PQ6" s="513">
        <f t="shared" ref="PQ6:PV6" si="313">SUM(PQ8:PQ23)</f>
        <v>1829055</v>
      </c>
      <c r="PR6" s="513">
        <f t="shared" si="313"/>
        <v>22907296</v>
      </c>
      <c r="PS6" s="513">
        <f t="shared" si="313"/>
        <v>16185465</v>
      </c>
      <c r="PT6" s="513">
        <f t="shared" si="313"/>
        <v>2876391</v>
      </c>
      <c r="PU6" s="513">
        <f t="shared" si="313"/>
        <v>1958867</v>
      </c>
      <c r="PV6" s="513">
        <f t="shared" si="313"/>
        <v>2147415</v>
      </c>
      <c r="PW6" s="257">
        <f t="shared" ref="PW6:QA6" si="314">SUM(PW8:PW23)</f>
        <v>23647055</v>
      </c>
      <c r="PX6" s="257">
        <f t="shared" si="314"/>
        <v>16568184</v>
      </c>
      <c r="PY6" s="257">
        <f t="shared" si="314"/>
        <v>3029543</v>
      </c>
      <c r="PZ6" s="257">
        <f t="shared" si="314"/>
        <v>2088109</v>
      </c>
      <c r="QA6" s="257">
        <f t="shared" si="314"/>
        <v>2254622</v>
      </c>
      <c r="QB6" s="284">
        <f>SUM(QB8:QB23)</f>
        <v>3467255</v>
      </c>
      <c r="QC6" s="257">
        <f t="shared" ref="QC6:QF6" si="315">SUM(QC8:QC23)</f>
        <v>3024325</v>
      </c>
      <c r="QD6" s="257">
        <f t="shared" si="315"/>
        <v>291881</v>
      </c>
      <c r="QE6" s="257">
        <f t="shared" si="315"/>
        <v>134791</v>
      </c>
      <c r="QF6" s="257">
        <f t="shared" si="315"/>
        <v>151049</v>
      </c>
      <c r="QG6" s="256">
        <f t="shared" ref="QG6:QL6" si="316">SUM(QG8:QG23)</f>
        <v>5149245</v>
      </c>
      <c r="QH6" s="257">
        <f t="shared" si="316"/>
        <v>4286317</v>
      </c>
      <c r="QI6" s="257">
        <f t="shared" si="316"/>
        <v>469751</v>
      </c>
      <c r="QJ6" s="257">
        <f t="shared" si="316"/>
        <v>280875</v>
      </c>
      <c r="QK6" s="257">
        <f t="shared" si="316"/>
        <v>393177</v>
      </c>
      <c r="QL6" s="284">
        <f t="shared" si="316"/>
        <v>6859324</v>
      </c>
      <c r="QM6" s="513">
        <f t="shared" ref="QM6:QQ6" si="317">SUM(QM8:QM23)</f>
        <v>5435115</v>
      </c>
      <c r="QN6" s="513">
        <f t="shared" si="317"/>
        <v>758257</v>
      </c>
      <c r="QO6" s="513">
        <f t="shared" si="317"/>
        <v>443513</v>
      </c>
      <c r="QP6" s="513">
        <f t="shared" si="317"/>
        <v>665952</v>
      </c>
      <c r="QQ6" s="284">
        <f t="shared" si="317"/>
        <v>7059460.6730000004</v>
      </c>
      <c r="QR6" s="513">
        <f t="shared" ref="QR6:QU6" si="318">SUM(QR8:QR23)</f>
        <v>5585586.5249999994</v>
      </c>
      <c r="QS6" s="513">
        <f t="shared" si="318"/>
        <v>794295.97400000005</v>
      </c>
      <c r="QT6" s="513">
        <f t="shared" si="318"/>
        <v>458840.27700000006</v>
      </c>
      <c r="QU6" s="587">
        <f t="shared" si="318"/>
        <v>679578.17399999977</v>
      </c>
      <c r="QV6" s="513">
        <f t="shared" ref="QV6:QW6" si="319">SUM(QV8:QV23)</f>
        <v>7312789</v>
      </c>
      <c r="QW6" s="513">
        <f t="shared" si="319"/>
        <v>5759082</v>
      </c>
      <c r="QX6" s="513">
        <f t="shared" ref="QX6:QY6" si="320">SUM(QX8:QX23)</f>
        <v>838317</v>
      </c>
      <c r="QY6" s="513">
        <f t="shared" si="320"/>
        <v>482302</v>
      </c>
      <c r="QZ6" s="587">
        <f t="shared" ref="QZ6:RA6" si="321">SUM(QZ8:QZ23)</f>
        <v>714949</v>
      </c>
      <c r="RA6" s="587">
        <f t="shared" si="321"/>
        <v>7596297</v>
      </c>
      <c r="RB6" s="587">
        <f t="shared" ref="RB6:RC6" si="322">SUM(RB8:RB23)</f>
        <v>5512447</v>
      </c>
      <c r="RC6" s="587">
        <f t="shared" si="322"/>
        <v>896967</v>
      </c>
      <c r="RD6" s="587">
        <f t="shared" ref="RD6:RE6" si="323">SUM(RD8:RD23)</f>
        <v>509465</v>
      </c>
      <c r="RE6" s="587">
        <f t="shared" si="323"/>
        <v>760532</v>
      </c>
      <c r="RF6" s="587">
        <f t="shared" ref="RF6:RJ6" si="324">SUM(RF8:RF23)</f>
        <v>8521595</v>
      </c>
      <c r="RG6" s="587">
        <f t="shared" si="324"/>
        <v>6021296</v>
      </c>
      <c r="RH6" s="587">
        <f t="shared" si="324"/>
        <v>1057475</v>
      </c>
      <c r="RI6" s="587">
        <f t="shared" si="324"/>
        <v>603092</v>
      </c>
      <c r="RJ6" s="587">
        <f t="shared" si="324"/>
        <v>938203</v>
      </c>
      <c r="RK6" s="587">
        <f t="shared" ref="RK6:RO6" si="325">SUM(RK8:RK23)</f>
        <v>8879782</v>
      </c>
      <c r="RL6" s="587">
        <f t="shared" si="325"/>
        <v>6198267</v>
      </c>
      <c r="RM6" s="587">
        <f t="shared" si="325"/>
        <v>1127299</v>
      </c>
      <c r="RN6" s="587">
        <f t="shared" si="325"/>
        <v>664506</v>
      </c>
      <c r="RO6" s="587">
        <f t="shared" si="325"/>
        <v>993630</v>
      </c>
    </row>
    <row r="7" spans="1:483" s="1" customFormat="1" x14ac:dyDescent="0.2">
      <c r="A7" s="224" t="s">
        <v>181</v>
      </c>
      <c r="B7" s="226"/>
      <c r="C7" s="311"/>
      <c r="D7" s="311"/>
      <c r="E7" s="311"/>
      <c r="F7" s="312"/>
      <c r="G7" s="311"/>
      <c r="H7" s="311"/>
      <c r="I7" s="311"/>
      <c r="J7" s="311"/>
      <c r="K7" s="312"/>
      <c r="L7" s="311"/>
      <c r="M7" s="311"/>
      <c r="N7" s="311"/>
      <c r="O7" s="311"/>
      <c r="P7" s="312"/>
      <c r="Q7" s="323"/>
      <c r="R7" s="323"/>
      <c r="S7" s="323"/>
      <c r="T7" s="323"/>
      <c r="U7" s="574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226"/>
      <c r="AQ7" s="311"/>
      <c r="AR7" s="311"/>
      <c r="AS7" s="311"/>
      <c r="AT7" s="312"/>
      <c r="AU7" s="311"/>
      <c r="AV7" s="311"/>
      <c r="AW7" s="311"/>
      <c r="AX7" s="311"/>
      <c r="AY7" s="312"/>
      <c r="AZ7" s="311"/>
      <c r="BA7" s="311"/>
      <c r="BB7" s="311"/>
      <c r="BC7" s="311"/>
      <c r="BD7" s="312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6"/>
      <c r="BZ7" s="311"/>
      <c r="CA7" s="311"/>
      <c r="CB7" s="311"/>
      <c r="CC7" s="545"/>
      <c r="CD7" s="226"/>
      <c r="CE7" s="311"/>
      <c r="CF7" s="311"/>
      <c r="CG7" s="311"/>
      <c r="CH7" s="226"/>
      <c r="CI7" s="311"/>
      <c r="CJ7" s="311"/>
      <c r="CK7" s="311"/>
      <c r="CL7" s="312"/>
      <c r="CM7" s="311"/>
      <c r="CN7" s="311"/>
      <c r="CO7" s="311"/>
      <c r="CP7" s="311"/>
      <c r="CQ7" s="312"/>
      <c r="CR7" s="311"/>
      <c r="CS7" s="311"/>
      <c r="CT7" s="311"/>
      <c r="CU7" s="311"/>
      <c r="CV7" s="311"/>
      <c r="CW7" s="313"/>
      <c r="CX7" s="311"/>
      <c r="CY7" s="311"/>
      <c r="CZ7" s="311"/>
      <c r="DA7" s="311"/>
      <c r="DB7" s="226"/>
      <c r="DC7" s="311"/>
      <c r="DD7" s="311"/>
      <c r="DE7" s="311"/>
      <c r="DF7" s="311"/>
      <c r="DG7" s="314"/>
      <c r="DH7" s="315"/>
      <c r="DI7" s="315"/>
      <c r="DJ7" s="315"/>
      <c r="DK7" s="315"/>
      <c r="DL7" s="226"/>
      <c r="DM7" s="311"/>
      <c r="DN7" s="311"/>
      <c r="DO7" s="311"/>
      <c r="DP7" s="311"/>
      <c r="DQ7" s="226"/>
      <c r="DR7" s="311"/>
      <c r="DS7" s="311"/>
      <c r="DT7" s="311"/>
      <c r="DU7" s="266"/>
      <c r="DV7" s="545"/>
      <c r="DW7" s="545"/>
      <c r="DX7" s="545"/>
      <c r="DY7" s="545"/>
      <c r="DZ7" s="545"/>
      <c r="EA7" s="545"/>
      <c r="EB7" s="545"/>
      <c r="EC7" s="545"/>
      <c r="ED7" s="545"/>
      <c r="EE7" s="545"/>
      <c r="EF7" s="545"/>
      <c r="EG7" s="545"/>
      <c r="EH7" s="545"/>
      <c r="EI7" s="545"/>
      <c r="EJ7" s="545"/>
      <c r="EK7" s="545"/>
      <c r="EL7" s="545"/>
      <c r="EM7" s="545"/>
      <c r="EN7" s="545"/>
      <c r="EO7" s="545"/>
      <c r="EP7" s="226"/>
      <c r="EQ7" s="311"/>
      <c r="ER7" s="311"/>
      <c r="ES7" s="311"/>
      <c r="ET7" s="312"/>
      <c r="EU7" s="311"/>
      <c r="EV7" s="311"/>
      <c r="EW7" s="311"/>
      <c r="EX7" s="311"/>
      <c r="EY7" s="312"/>
      <c r="EZ7" s="311"/>
      <c r="FA7" s="311"/>
      <c r="FB7" s="311"/>
      <c r="FC7" s="311"/>
      <c r="FD7" s="312"/>
      <c r="FE7" s="311"/>
      <c r="FF7" s="311"/>
      <c r="FG7" s="311"/>
      <c r="FH7" s="311"/>
      <c r="FI7" s="312"/>
      <c r="FJ7" s="311"/>
      <c r="FK7" s="311"/>
      <c r="FL7" s="311"/>
      <c r="FM7" s="311"/>
      <c r="FN7" s="312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6"/>
      <c r="GJ7" s="311"/>
      <c r="GK7" s="311"/>
      <c r="GL7" s="311"/>
      <c r="GM7" s="312"/>
      <c r="GN7" s="311"/>
      <c r="GO7" s="311"/>
      <c r="GP7" s="311"/>
      <c r="GQ7" s="311"/>
      <c r="GR7" s="312"/>
      <c r="GS7" s="477"/>
      <c r="GT7" s="201"/>
      <c r="GU7" s="201"/>
      <c r="GV7" s="201"/>
      <c r="GW7" s="201"/>
      <c r="GX7" s="477"/>
      <c r="GY7" s="201"/>
      <c r="GZ7" s="201"/>
      <c r="HA7" s="201"/>
      <c r="HB7" s="620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569"/>
      <c r="HX7" s="257"/>
      <c r="HY7" s="257"/>
      <c r="HZ7" s="257"/>
      <c r="IA7" s="257"/>
      <c r="IB7" s="284"/>
      <c r="IC7" s="257"/>
      <c r="ID7" s="257"/>
      <c r="IE7" s="257"/>
      <c r="IF7" s="257"/>
      <c r="IG7" s="477"/>
      <c r="IH7" s="201"/>
      <c r="II7" s="201"/>
      <c r="IJ7" s="201"/>
      <c r="IK7" s="201"/>
      <c r="IL7" s="557"/>
      <c r="IM7" s="558"/>
      <c r="IN7" s="558"/>
      <c r="IO7" s="558"/>
      <c r="IP7" s="558"/>
      <c r="IQ7" s="558"/>
      <c r="IR7" s="558"/>
      <c r="IS7" s="558"/>
      <c r="IT7" s="558"/>
      <c r="IU7" s="672"/>
      <c r="IV7" s="558"/>
      <c r="IW7" s="558"/>
      <c r="IX7" s="558"/>
      <c r="IY7" s="558"/>
      <c r="IZ7" s="558"/>
      <c r="JA7" s="557"/>
      <c r="JB7" s="558"/>
      <c r="JC7" s="558"/>
      <c r="JD7" s="558"/>
      <c r="JE7" s="558"/>
      <c r="JF7" s="557"/>
      <c r="JG7" s="558"/>
      <c r="JH7" s="558"/>
      <c r="JI7" s="558"/>
      <c r="JJ7" s="558"/>
      <c r="JK7" s="226"/>
      <c r="JL7" s="311"/>
      <c r="JM7" s="311"/>
      <c r="JN7" s="311"/>
      <c r="JO7" s="311"/>
      <c r="JP7" s="226"/>
      <c r="JQ7" s="311"/>
      <c r="JR7" s="311"/>
      <c r="JS7" s="311"/>
      <c r="JT7" s="228"/>
      <c r="JU7" s="477"/>
      <c r="JV7" s="201"/>
      <c r="JW7" s="201"/>
      <c r="JX7" s="201"/>
      <c r="JY7" s="201"/>
      <c r="JZ7" s="477"/>
      <c r="KA7" s="201"/>
      <c r="KB7" s="201"/>
      <c r="KC7" s="201"/>
      <c r="KD7" s="201"/>
      <c r="KE7" s="201"/>
      <c r="KF7" s="201"/>
      <c r="KG7" s="201"/>
      <c r="KH7" s="201"/>
      <c r="KI7" s="201"/>
      <c r="KJ7" s="201"/>
      <c r="KK7" s="201"/>
      <c r="KL7" s="201"/>
      <c r="KM7" s="201"/>
      <c r="KN7" s="201"/>
      <c r="KO7" s="201"/>
      <c r="KP7" s="201"/>
      <c r="KQ7" s="201"/>
      <c r="KR7" s="201"/>
      <c r="KS7" s="201"/>
      <c r="KT7" s="226"/>
      <c r="KU7" s="311"/>
      <c r="KV7" s="316"/>
      <c r="KW7" s="317"/>
      <c r="KX7" s="317"/>
      <c r="KY7" s="317"/>
      <c r="KZ7" s="317"/>
      <c r="LA7" s="317"/>
      <c r="LB7" s="317"/>
      <c r="LC7" s="317"/>
      <c r="LD7" s="318"/>
      <c r="LE7" s="317"/>
      <c r="LF7" s="317"/>
      <c r="LG7" s="317"/>
      <c r="LH7" s="317"/>
      <c r="LI7" s="317"/>
      <c r="LJ7" s="317"/>
      <c r="LK7" s="317"/>
      <c r="LL7" s="317"/>
      <c r="LM7" s="317"/>
      <c r="LN7" s="317"/>
      <c r="LO7" s="317"/>
      <c r="LP7" s="317"/>
      <c r="LQ7" s="317"/>
      <c r="LR7" s="317"/>
      <c r="LS7" s="317"/>
      <c r="LT7" s="311"/>
      <c r="LU7" s="317"/>
      <c r="LV7" s="317"/>
      <c r="LW7" s="317"/>
      <c r="LX7" s="317"/>
      <c r="LY7" s="311"/>
      <c r="LZ7" s="317"/>
      <c r="MA7" s="317"/>
      <c r="MB7" s="311"/>
      <c r="MC7" s="317"/>
      <c r="MD7" s="317"/>
      <c r="ME7" s="317"/>
      <c r="MF7" s="317"/>
      <c r="MG7" s="317"/>
      <c r="MH7" s="319"/>
      <c r="MI7" s="319"/>
      <c r="MJ7" s="319"/>
      <c r="MK7" s="317"/>
      <c r="ML7" s="317"/>
      <c r="MM7" s="317"/>
      <c r="MN7" s="226"/>
      <c r="MO7" s="317"/>
      <c r="MP7" s="317"/>
      <c r="MQ7" s="311"/>
      <c r="MR7" s="311"/>
      <c r="MS7" s="317"/>
      <c r="MT7" s="317"/>
      <c r="MU7" s="317"/>
      <c r="MV7" s="317"/>
      <c r="MW7" s="311"/>
      <c r="MX7" s="311"/>
      <c r="MY7" s="317"/>
      <c r="MZ7" s="317"/>
      <c r="NA7" s="311"/>
      <c r="NB7" s="318"/>
      <c r="NC7" s="317"/>
      <c r="ND7" s="312"/>
      <c r="NE7" s="320"/>
      <c r="NF7" s="320"/>
      <c r="NG7" s="321"/>
      <c r="NH7" s="321"/>
      <c r="NI7" s="321"/>
      <c r="NJ7" s="320"/>
      <c r="NK7" s="320"/>
      <c r="NL7" s="320"/>
      <c r="NM7" s="317"/>
      <c r="NN7" s="317"/>
      <c r="NO7" s="317"/>
      <c r="NP7" s="317"/>
      <c r="NQ7" s="322"/>
      <c r="NR7" s="317"/>
      <c r="NS7" s="317"/>
      <c r="NT7" s="323"/>
      <c r="NU7" s="323"/>
      <c r="NV7" s="323"/>
      <c r="NW7" s="324"/>
      <c r="NX7" s="317"/>
      <c r="NY7" s="317"/>
      <c r="NZ7" s="325"/>
      <c r="OA7" s="317"/>
      <c r="OB7" s="317"/>
      <c r="OC7" s="325"/>
      <c r="OD7" s="317"/>
      <c r="OE7" s="317"/>
      <c r="OF7" s="325"/>
      <c r="OG7" s="54"/>
      <c r="OH7" s="54"/>
      <c r="OI7" s="326"/>
      <c r="OJ7" s="317"/>
      <c r="OK7" s="317"/>
      <c r="OL7" s="317"/>
      <c r="OM7" s="323"/>
      <c r="ON7" s="226"/>
      <c r="OO7" s="311"/>
      <c r="OP7" s="311"/>
      <c r="OQ7" s="311"/>
      <c r="OR7" s="311"/>
      <c r="OS7" s="314"/>
      <c r="OT7" s="201"/>
      <c r="OU7" s="201"/>
      <c r="OV7" s="201"/>
      <c r="OW7" s="201"/>
      <c r="OX7" s="477"/>
      <c r="OY7" s="201"/>
      <c r="OZ7" s="201"/>
      <c r="PA7" s="201"/>
      <c r="PB7" s="201"/>
      <c r="PC7" s="226"/>
      <c r="PD7" s="311"/>
      <c r="PE7" s="311"/>
      <c r="PF7" s="311"/>
      <c r="PG7" s="228"/>
      <c r="PH7" s="228"/>
      <c r="PI7" s="228"/>
      <c r="PJ7" s="228"/>
      <c r="PK7" s="228"/>
      <c r="PL7" s="228"/>
      <c r="PM7" s="228"/>
      <c r="PN7" s="228"/>
      <c r="PO7" s="228"/>
      <c r="PP7" s="228"/>
      <c r="PQ7" s="228"/>
      <c r="PR7" s="228"/>
      <c r="PS7" s="228"/>
      <c r="PT7" s="228"/>
      <c r="PU7" s="228"/>
      <c r="PV7" s="228"/>
      <c r="PW7" s="228"/>
      <c r="PX7" s="228"/>
      <c r="PY7" s="228"/>
      <c r="PZ7" s="228"/>
      <c r="QA7" s="228"/>
      <c r="QB7" s="226"/>
      <c r="QC7" s="311"/>
      <c r="QD7" s="311"/>
      <c r="QE7" s="311"/>
      <c r="QF7" s="311"/>
      <c r="QG7" s="226"/>
      <c r="QH7" s="311"/>
      <c r="QI7" s="311"/>
      <c r="QJ7" s="311"/>
      <c r="QK7" s="228"/>
      <c r="QL7" s="226"/>
      <c r="QM7" s="311"/>
      <c r="QN7" s="311"/>
      <c r="QO7" s="311"/>
      <c r="QP7" s="228"/>
      <c r="QQ7" s="226"/>
      <c r="QR7" s="311"/>
      <c r="QS7" s="311"/>
      <c r="QT7" s="311"/>
      <c r="QU7" s="312"/>
      <c r="QV7" s="2"/>
      <c r="QW7" s="2"/>
      <c r="QX7" s="2"/>
      <c r="QY7" s="2"/>
      <c r="QZ7" s="69"/>
      <c r="RA7" s="2"/>
      <c r="RB7" s="2"/>
      <c r="RC7" s="2"/>
    </row>
    <row r="8" spans="1:483" ht="14.25" x14ac:dyDescent="0.2">
      <c r="A8" s="216" t="s">
        <v>0</v>
      </c>
      <c r="B8" s="183">
        <f>77648+122695+64035+64029+144819+80651</f>
        <v>553877</v>
      </c>
      <c r="C8" s="53">
        <f>39751+87956+50793+30784+97656+60823</f>
        <v>367763</v>
      </c>
      <c r="D8" s="53">
        <f>36649+33151+12618+32112+45049+18751</f>
        <v>178330</v>
      </c>
      <c r="E8" s="53">
        <f>951+1066+442+659+1386+720</f>
        <v>5224</v>
      </c>
      <c r="F8" s="296">
        <f>153+339+146+139+137+36+122+269+215+336+428+129</f>
        <v>2449</v>
      </c>
      <c r="G8" s="5">
        <v>348848</v>
      </c>
      <c r="H8" s="53">
        <v>235969</v>
      </c>
      <c r="I8" s="53">
        <v>109577</v>
      </c>
      <c r="J8" s="53">
        <v>1421</v>
      </c>
      <c r="K8" s="296">
        <v>3302</v>
      </c>
      <c r="L8" s="5">
        <v>240333</v>
      </c>
      <c r="M8" s="53">
        <v>159182</v>
      </c>
      <c r="N8" s="53">
        <v>71586</v>
      </c>
      <c r="O8" s="53">
        <v>8919</v>
      </c>
      <c r="P8" s="296">
        <v>9565</v>
      </c>
      <c r="Q8" s="7">
        <v>196368</v>
      </c>
      <c r="R8" s="560">
        <v>131140</v>
      </c>
      <c r="S8" s="560">
        <v>50373</v>
      </c>
      <c r="T8" s="560">
        <v>27143</v>
      </c>
      <c r="U8" s="575">
        <v>14855</v>
      </c>
      <c r="V8" s="560">
        <v>183636</v>
      </c>
      <c r="W8" s="4">
        <v>121652</v>
      </c>
      <c r="X8" s="560">
        <v>46431</v>
      </c>
      <c r="Y8" s="560">
        <v>29152</v>
      </c>
      <c r="Z8" s="560">
        <v>15543</v>
      </c>
      <c r="AA8" s="560">
        <v>170230</v>
      </c>
      <c r="AB8" s="560">
        <v>97617</v>
      </c>
      <c r="AC8" s="560">
        <v>43547</v>
      </c>
      <c r="AD8" s="560">
        <v>24686</v>
      </c>
      <c r="AE8" s="675">
        <v>15122</v>
      </c>
      <c r="AF8" s="560">
        <v>158830</v>
      </c>
      <c r="AG8" s="560">
        <v>92243</v>
      </c>
      <c r="AH8" s="560">
        <v>37171</v>
      </c>
      <c r="AI8" s="560">
        <v>24830</v>
      </c>
      <c r="AJ8" s="560">
        <v>14192</v>
      </c>
      <c r="AK8" s="560">
        <v>157797</v>
      </c>
      <c r="AL8" s="560">
        <v>89540</v>
      </c>
      <c r="AM8" s="560">
        <v>36826</v>
      </c>
      <c r="AN8" s="560">
        <v>25284</v>
      </c>
      <c r="AO8" s="560">
        <v>16888</v>
      </c>
      <c r="AP8" s="183">
        <v>494790</v>
      </c>
      <c r="AQ8" s="53">
        <v>348248</v>
      </c>
      <c r="AR8" s="53">
        <v>142874</v>
      </c>
      <c r="AS8" s="53">
        <v>1814</v>
      </c>
      <c r="AT8" s="296">
        <v>3668</v>
      </c>
      <c r="AU8" s="5">
        <v>473748</v>
      </c>
      <c r="AV8" s="53">
        <v>316543</v>
      </c>
      <c r="AW8" s="53">
        <v>145741</v>
      </c>
      <c r="AX8" s="53">
        <v>6795</v>
      </c>
      <c r="AY8" s="296">
        <v>11464</v>
      </c>
      <c r="AZ8" s="5">
        <v>371325</v>
      </c>
      <c r="BA8" s="53">
        <v>241267</v>
      </c>
      <c r="BB8" s="53">
        <v>117987</v>
      </c>
      <c r="BC8" s="53">
        <v>13039</v>
      </c>
      <c r="BD8" s="296">
        <v>12071</v>
      </c>
      <c r="BE8" s="53">
        <v>360496</v>
      </c>
      <c r="BF8" s="53">
        <v>230197</v>
      </c>
      <c r="BG8" s="53">
        <v>116712</v>
      </c>
      <c r="BH8" s="53">
        <v>13349</v>
      </c>
      <c r="BI8" s="53">
        <v>13421</v>
      </c>
      <c r="BJ8" s="53">
        <v>351467</v>
      </c>
      <c r="BK8" s="53">
        <v>215886</v>
      </c>
      <c r="BL8" s="53">
        <v>114310</v>
      </c>
      <c r="BM8" s="53">
        <v>13561</v>
      </c>
      <c r="BN8" s="53">
        <v>12842</v>
      </c>
      <c r="BO8" s="53">
        <v>338052</v>
      </c>
      <c r="BP8" s="53">
        <v>198270</v>
      </c>
      <c r="BQ8" s="53">
        <v>113629</v>
      </c>
      <c r="BR8" s="53">
        <v>16400</v>
      </c>
      <c r="BS8" s="53">
        <v>15920</v>
      </c>
      <c r="BT8" s="53">
        <v>333897</v>
      </c>
      <c r="BU8" s="53">
        <v>199554</v>
      </c>
      <c r="BV8" s="53">
        <v>112244</v>
      </c>
      <c r="BW8" s="53">
        <v>15706</v>
      </c>
      <c r="BX8" s="53">
        <v>14975</v>
      </c>
      <c r="BY8" s="12">
        <v>560877</v>
      </c>
      <c r="BZ8" s="53">
        <v>365535</v>
      </c>
      <c r="CA8" s="53">
        <v>166040</v>
      </c>
      <c r="CB8" s="53">
        <v>42691</v>
      </c>
      <c r="CC8" s="546">
        <f>BY8-BZ8-CA8</f>
        <v>29302</v>
      </c>
      <c r="CD8" s="327">
        <v>212672</v>
      </c>
      <c r="CE8" s="328">
        <v>328435</v>
      </c>
      <c r="CF8" s="328">
        <v>506507</v>
      </c>
      <c r="CG8" s="328">
        <v>746492</v>
      </c>
      <c r="CH8" s="12">
        <v>1252783</v>
      </c>
      <c r="CI8" s="53">
        <v>1039210.708</v>
      </c>
      <c r="CJ8" s="53">
        <v>198545.56800000003</v>
      </c>
      <c r="CK8" s="53">
        <v>7727.3480000000009</v>
      </c>
      <c r="CL8" s="296">
        <v>6723.5380000000005</v>
      </c>
      <c r="CM8" s="5">
        <v>1702331</v>
      </c>
      <c r="CN8" s="53">
        <v>1379566</v>
      </c>
      <c r="CO8" s="53">
        <v>304197</v>
      </c>
      <c r="CP8" s="53">
        <v>9110</v>
      </c>
      <c r="CQ8" s="296">
        <v>18568</v>
      </c>
      <c r="CR8" s="5">
        <v>2173319</v>
      </c>
      <c r="CS8" s="53">
        <v>1682209</v>
      </c>
      <c r="CT8" s="53">
        <v>439906</v>
      </c>
      <c r="CU8" s="53">
        <v>20772</v>
      </c>
      <c r="CV8" s="53">
        <v>51204</v>
      </c>
      <c r="CW8" s="329">
        <v>2411872</v>
      </c>
      <c r="CX8" s="53">
        <v>1823574</v>
      </c>
      <c r="CY8" s="53">
        <v>525986</v>
      </c>
      <c r="CZ8" s="53">
        <v>62312</v>
      </c>
      <c r="DA8" s="53">
        <v>32093</v>
      </c>
      <c r="DB8" s="183">
        <v>2468260</v>
      </c>
      <c r="DC8" s="53">
        <v>1858547</v>
      </c>
      <c r="DD8" s="53">
        <v>544093</v>
      </c>
      <c r="DE8" s="5">
        <v>65620</v>
      </c>
      <c r="DF8" s="53">
        <v>34148</v>
      </c>
      <c r="DG8" s="56">
        <v>2512780</v>
      </c>
      <c r="DH8" s="54">
        <v>1882304</v>
      </c>
      <c r="DI8" s="54">
        <v>558916</v>
      </c>
      <c r="DJ8" s="54">
        <v>71560</v>
      </c>
      <c r="DK8" s="54">
        <v>37972</v>
      </c>
      <c r="DL8" s="12">
        <v>2574611</v>
      </c>
      <c r="DM8" s="53">
        <v>1915041</v>
      </c>
      <c r="DN8" s="53">
        <v>580741</v>
      </c>
      <c r="DO8" s="53">
        <v>46174</v>
      </c>
      <c r="DP8" s="53">
        <v>54660</v>
      </c>
      <c r="DQ8" s="12">
        <v>2607918.2849999997</v>
      </c>
      <c r="DR8" s="53">
        <v>1931129.7599999998</v>
      </c>
      <c r="DS8" s="53">
        <v>592892.85</v>
      </c>
      <c r="DT8" s="53">
        <v>48920.274000000005</v>
      </c>
      <c r="DU8" s="581">
        <f>DQ8-DR8-DS8</f>
        <v>83895.67499999993</v>
      </c>
      <c r="DV8" s="53">
        <v>2647872</v>
      </c>
      <c r="DW8" s="53">
        <v>1957215</v>
      </c>
      <c r="DX8" s="53">
        <v>607417</v>
      </c>
      <c r="DY8" s="53">
        <v>52554</v>
      </c>
      <c r="DZ8" s="53">
        <v>82473</v>
      </c>
      <c r="EA8" s="53">
        <v>2691555</v>
      </c>
      <c r="EB8" s="53">
        <v>1943078</v>
      </c>
      <c r="EC8" s="53">
        <v>620869</v>
      </c>
      <c r="ED8" s="53">
        <v>57220</v>
      </c>
      <c r="EE8" s="53">
        <v>87850</v>
      </c>
      <c r="EF8" s="53">
        <v>2785370</v>
      </c>
      <c r="EG8" s="53">
        <v>1989189</v>
      </c>
      <c r="EH8" s="53">
        <v>665958</v>
      </c>
      <c r="EI8" s="53">
        <v>55544</v>
      </c>
      <c r="EJ8" s="53">
        <v>90451</v>
      </c>
      <c r="EK8" s="53">
        <v>2809019</v>
      </c>
      <c r="EL8" s="53">
        <v>1996769</v>
      </c>
      <c r="EM8" s="53">
        <v>676912</v>
      </c>
      <c r="EN8" s="53">
        <v>57299</v>
      </c>
      <c r="EO8" s="53">
        <v>97568</v>
      </c>
      <c r="EP8" s="12">
        <f>141126+137079</f>
        <v>278205</v>
      </c>
      <c r="EQ8" s="53">
        <f>118474+108771</f>
        <v>227245</v>
      </c>
      <c r="ER8" s="53">
        <f>20734+26717</f>
        <v>47451</v>
      </c>
      <c r="ES8" s="53">
        <f>989+817</f>
        <v>1806</v>
      </c>
      <c r="ET8" s="296">
        <f>367+331+244+456</f>
        <v>1398</v>
      </c>
      <c r="EU8" s="5">
        <v>553512</v>
      </c>
      <c r="EV8" s="53">
        <v>439009</v>
      </c>
      <c r="EW8" s="53">
        <v>108703</v>
      </c>
      <c r="EX8" s="53">
        <v>3344</v>
      </c>
      <c r="EY8" s="296">
        <v>5800</v>
      </c>
      <c r="EZ8" s="5">
        <v>746495</v>
      </c>
      <c r="FA8" s="53">
        <v>564883</v>
      </c>
      <c r="FB8" s="53">
        <v>163437</v>
      </c>
      <c r="FC8" s="53">
        <v>7570</v>
      </c>
      <c r="FD8" s="296">
        <v>18175</v>
      </c>
      <c r="FE8" s="5">
        <v>900383</v>
      </c>
      <c r="FF8" s="53">
        <v>652737</v>
      </c>
      <c r="FG8" s="53">
        <v>223109</v>
      </c>
      <c r="FH8" s="53">
        <v>13499</v>
      </c>
      <c r="FI8" s="296">
        <v>24537</v>
      </c>
      <c r="FJ8" s="5">
        <v>925288.1399999999</v>
      </c>
      <c r="FK8" s="53">
        <v>666699.55999999994</v>
      </c>
      <c r="FL8" s="53">
        <v>230485.19999999998</v>
      </c>
      <c r="FM8" s="53">
        <v>15024.203999999998</v>
      </c>
      <c r="FN8" s="296">
        <v>28103.379999999976</v>
      </c>
      <c r="FO8" s="53">
        <v>936979</v>
      </c>
      <c r="FP8" s="53">
        <v>676209</v>
      </c>
      <c r="FQ8" s="53">
        <v>234439</v>
      </c>
      <c r="FR8" s="53">
        <v>16135</v>
      </c>
      <c r="FS8" s="618">
        <v>25991</v>
      </c>
      <c r="FT8" s="618">
        <v>955715</v>
      </c>
      <c r="FU8" s="618">
        <v>673748</v>
      </c>
      <c r="FV8" s="618">
        <v>241646</v>
      </c>
      <c r="FW8" s="618">
        <v>17114</v>
      </c>
      <c r="FX8" s="618">
        <v>28278</v>
      </c>
      <c r="FY8" s="618">
        <v>974431</v>
      </c>
      <c r="FZ8" s="618">
        <v>677151</v>
      </c>
      <c r="GA8" s="618">
        <v>252793</v>
      </c>
      <c r="GB8" s="618">
        <v>16428</v>
      </c>
      <c r="GC8" s="618">
        <v>32184</v>
      </c>
      <c r="GD8" s="618">
        <v>982261</v>
      </c>
      <c r="GE8" s="618">
        <v>682174</v>
      </c>
      <c r="GF8" s="618">
        <v>256808</v>
      </c>
      <c r="GG8" s="618">
        <v>19374</v>
      </c>
      <c r="GH8" s="618">
        <v>29854</v>
      </c>
      <c r="GI8" s="12">
        <v>126450</v>
      </c>
      <c r="GJ8" s="53">
        <v>95690</v>
      </c>
      <c r="GK8" s="53">
        <v>29227</v>
      </c>
      <c r="GL8" s="53">
        <v>793</v>
      </c>
      <c r="GM8" s="296">
        <v>1533</v>
      </c>
      <c r="GN8" s="5">
        <v>155440</v>
      </c>
      <c r="GO8" s="53">
        <v>115166</v>
      </c>
      <c r="GP8" s="53">
        <v>35853</v>
      </c>
      <c r="GQ8" s="53">
        <v>1602</v>
      </c>
      <c r="GR8" s="296">
        <v>4421</v>
      </c>
      <c r="GS8" s="183">
        <v>219390</v>
      </c>
      <c r="GT8" s="53">
        <v>158887</v>
      </c>
      <c r="GU8" s="53">
        <v>53603</v>
      </c>
      <c r="GV8" s="53">
        <v>3124</v>
      </c>
      <c r="GW8" s="53">
        <v>6900</v>
      </c>
      <c r="GX8" s="183"/>
      <c r="GY8" s="53"/>
      <c r="GZ8" s="53"/>
      <c r="HA8" s="53"/>
      <c r="HB8" s="296"/>
      <c r="HC8" s="53">
        <v>234239</v>
      </c>
      <c r="HD8" s="53">
        <v>168020</v>
      </c>
      <c r="HE8" s="53">
        <v>58603</v>
      </c>
      <c r="HF8" s="53">
        <v>4057</v>
      </c>
      <c r="HG8" s="53">
        <v>7566</v>
      </c>
      <c r="HH8" s="53">
        <v>244391</v>
      </c>
      <c r="HI8" s="53">
        <v>170894</v>
      </c>
      <c r="HJ8" s="53">
        <v>62355</v>
      </c>
      <c r="HK8" s="53">
        <v>4141</v>
      </c>
      <c r="HL8" s="53">
        <v>8172</v>
      </c>
      <c r="HM8" s="53">
        <v>266452</v>
      </c>
      <c r="HN8" s="53">
        <v>187897</v>
      </c>
      <c r="HO8" s="53">
        <v>65758</v>
      </c>
      <c r="HP8" s="53">
        <v>4127</v>
      </c>
      <c r="HQ8" s="53">
        <v>10344</v>
      </c>
      <c r="HR8" s="53">
        <v>271030</v>
      </c>
      <c r="HS8" s="53">
        <v>192623</v>
      </c>
      <c r="HT8" s="53">
        <v>66563</v>
      </c>
      <c r="HU8" s="53">
        <v>5901</v>
      </c>
      <c r="HV8" s="53">
        <v>7530</v>
      </c>
      <c r="HW8" s="569">
        <f t="shared" ref="HW8:IF8" si="326">GI8+JK8+QB8</f>
        <v>525678</v>
      </c>
      <c r="HX8" s="546">
        <f t="shared" si="326"/>
        <v>436075</v>
      </c>
      <c r="HY8" s="546">
        <f t="shared" si="326"/>
        <v>80850</v>
      </c>
      <c r="HZ8" s="546">
        <f t="shared" si="326"/>
        <v>3279</v>
      </c>
      <c r="IA8" s="546">
        <f t="shared" si="326"/>
        <v>8753</v>
      </c>
      <c r="IB8" s="569">
        <f t="shared" si="326"/>
        <v>705048</v>
      </c>
      <c r="IC8" s="546">
        <f t="shared" si="326"/>
        <v>572433</v>
      </c>
      <c r="ID8" s="546">
        <f t="shared" si="326"/>
        <v>111449</v>
      </c>
      <c r="IE8" s="546">
        <f t="shared" si="326"/>
        <v>6922</v>
      </c>
      <c r="IF8" s="546">
        <f t="shared" si="326"/>
        <v>21166</v>
      </c>
      <c r="IG8" s="183">
        <v>778599</v>
      </c>
      <c r="IH8" s="53">
        <v>613039</v>
      </c>
      <c r="II8" s="53">
        <v>135781</v>
      </c>
      <c r="IJ8" s="53">
        <v>11731</v>
      </c>
      <c r="IK8" s="53">
        <v>29779</v>
      </c>
      <c r="IL8" s="559"/>
      <c r="IM8" s="560"/>
      <c r="IN8" s="560"/>
      <c r="IO8" s="560"/>
      <c r="IP8" s="560"/>
      <c r="IQ8" s="560">
        <v>952240</v>
      </c>
      <c r="IR8" s="560">
        <v>740873</v>
      </c>
      <c r="IS8" s="560">
        <v>173233</v>
      </c>
      <c r="IT8" s="560">
        <v>15358</v>
      </c>
      <c r="IU8" s="575">
        <v>37886</v>
      </c>
      <c r="IV8" s="560">
        <v>983805</v>
      </c>
      <c r="IW8" s="560">
        <v>748277</v>
      </c>
      <c r="IX8" s="560">
        <v>183073</v>
      </c>
      <c r="IY8" s="560">
        <v>16597</v>
      </c>
      <c r="IZ8" s="560">
        <v>39929</v>
      </c>
      <c r="JA8" s="559">
        <v>1059328</v>
      </c>
      <c r="JB8" s="560">
        <v>803061</v>
      </c>
      <c r="JC8" s="560">
        <v>198957</v>
      </c>
      <c r="JD8" s="560">
        <v>16586</v>
      </c>
      <c r="JE8" s="560">
        <v>45080</v>
      </c>
      <c r="JF8" s="559">
        <v>1086552</v>
      </c>
      <c r="JG8" s="560">
        <v>815543</v>
      </c>
      <c r="JH8" s="560">
        <v>212277</v>
      </c>
      <c r="JI8" s="560">
        <v>18631</v>
      </c>
      <c r="JJ8" s="560">
        <v>45593</v>
      </c>
      <c r="JK8" s="12">
        <v>258231</v>
      </c>
      <c r="JL8" s="5">
        <v>220946</v>
      </c>
      <c r="JM8" s="5">
        <v>33780</v>
      </c>
      <c r="JN8" s="5">
        <v>1551</v>
      </c>
      <c r="JO8" s="5">
        <v>3505</v>
      </c>
      <c r="JP8" s="12">
        <v>351772</v>
      </c>
      <c r="JQ8" s="53">
        <v>293705</v>
      </c>
      <c r="JR8" s="53">
        <v>49467</v>
      </c>
      <c r="JS8" s="53">
        <v>3209</v>
      </c>
      <c r="JT8" s="53">
        <v>8600</v>
      </c>
      <c r="JU8" s="183">
        <v>443185</v>
      </c>
      <c r="JV8" s="53">
        <v>356558</v>
      </c>
      <c r="JW8" s="53">
        <v>70125</v>
      </c>
      <c r="JX8" s="53">
        <v>7026</v>
      </c>
      <c r="JY8" s="53">
        <v>16502</v>
      </c>
      <c r="JZ8" s="183">
        <v>446800.09499999997</v>
      </c>
      <c r="KA8" s="53">
        <v>358638.38400000002</v>
      </c>
      <c r="KB8" s="53">
        <v>70510.275000000009</v>
      </c>
      <c r="KC8" s="53">
        <v>7420.491</v>
      </c>
      <c r="KD8" s="53">
        <v>17651.435999999943</v>
      </c>
      <c r="KE8" s="53">
        <v>465326</v>
      </c>
      <c r="KF8" s="53">
        <v>365186</v>
      </c>
      <c r="KG8" s="53">
        <v>76270</v>
      </c>
      <c r="KH8" s="53">
        <v>8396</v>
      </c>
      <c r="KI8" s="53">
        <v>17635</v>
      </c>
      <c r="KJ8" s="53">
        <v>504626</v>
      </c>
      <c r="KK8" s="53">
        <v>392939</v>
      </c>
      <c r="KL8" s="53">
        <v>85115</v>
      </c>
      <c r="KM8" s="53">
        <v>8311</v>
      </c>
      <c r="KN8" s="53">
        <v>19668</v>
      </c>
      <c r="KO8" s="53">
        <v>506680</v>
      </c>
      <c r="KP8" s="53">
        <v>386565</v>
      </c>
      <c r="KQ8" s="53">
        <v>92464</v>
      </c>
      <c r="KR8" s="53">
        <v>9313</v>
      </c>
      <c r="KS8" s="53">
        <v>21088</v>
      </c>
      <c r="KT8" s="330">
        <v>38960</v>
      </c>
      <c r="KU8" s="331">
        <v>56840</v>
      </c>
      <c r="KV8" s="316">
        <v>95131</v>
      </c>
      <c r="KW8" s="332">
        <f t="shared" ref="KW8:KW23" si="327">+KZ8+LC8</f>
        <v>52834</v>
      </c>
      <c r="KX8" s="332">
        <f t="shared" ref="KX8:KX23" si="328">+LA8+LD8</f>
        <v>42297</v>
      </c>
      <c r="KY8" s="332">
        <f t="shared" ref="KY8:KY23" si="329">+KZ8+LA8</f>
        <v>82310</v>
      </c>
      <c r="KZ8" s="318">
        <v>48526</v>
      </c>
      <c r="LA8" s="318">
        <v>33784</v>
      </c>
      <c r="LB8" s="332">
        <f t="shared" ref="LB8:LB23" si="330">+LC8+LD8</f>
        <v>12821</v>
      </c>
      <c r="LC8" s="318">
        <v>4308</v>
      </c>
      <c r="LD8" s="318">
        <v>8513</v>
      </c>
      <c r="LE8" s="316">
        <v>142580</v>
      </c>
      <c r="LF8" s="332">
        <f t="shared" ref="LF8:LF23" si="331">+LI8+LL8+LO8</f>
        <v>81133</v>
      </c>
      <c r="LG8" s="332">
        <f t="shared" ref="LG8:LG23" si="332">+LJ8+LM8+LP8</f>
        <v>61447</v>
      </c>
      <c r="LH8" s="332">
        <f t="shared" ref="LH8:LH23" si="333">+LI8+LJ8</f>
        <v>125103</v>
      </c>
      <c r="LI8" s="318">
        <v>74785</v>
      </c>
      <c r="LJ8" s="318">
        <v>50318</v>
      </c>
      <c r="LK8" s="332">
        <f t="shared" ref="LK8:LK23" si="334">+LL8+LM8</f>
        <v>16342</v>
      </c>
      <c r="LL8" s="318">
        <v>5565</v>
      </c>
      <c r="LM8" s="318">
        <v>10777</v>
      </c>
      <c r="LN8" s="332">
        <f t="shared" ref="LN8:LN23" si="335">+LO8+LP8</f>
        <v>1135</v>
      </c>
      <c r="LO8" s="318">
        <v>783</v>
      </c>
      <c r="LP8" s="318">
        <v>352</v>
      </c>
      <c r="LQ8" s="316">
        <v>270063</v>
      </c>
      <c r="LR8" s="332">
        <f t="shared" ref="LR8:LR23" si="336">+LU8+LZ8+MC8+MF8</f>
        <v>152401</v>
      </c>
      <c r="LS8" s="332">
        <f t="shared" ref="LS8:LS23" si="337">+LV8+MA8+MD8+MG8</f>
        <v>117662</v>
      </c>
      <c r="LT8" s="53">
        <f>136672+94383</f>
        <v>231055</v>
      </c>
      <c r="LU8" s="318">
        <v>136672</v>
      </c>
      <c r="LV8" s="318">
        <v>94383</v>
      </c>
      <c r="LW8" s="318">
        <v>15729</v>
      </c>
      <c r="LX8" s="318">
        <v>23279</v>
      </c>
      <c r="LY8" s="53">
        <f>21473+13200</f>
        <v>34673</v>
      </c>
      <c r="LZ8" s="318">
        <v>13200</v>
      </c>
      <c r="MA8" s="318">
        <v>21473</v>
      </c>
      <c r="MB8" s="53">
        <f>940+689</f>
        <v>1629</v>
      </c>
      <c r="MC8" s="318">
        <v>940</v>
      </c>
      <c r="MD8" s="318">
        <v>689</v>
      </c>
      <c r="ME8" s="333">
        <f t="shared" ref="ME8:ME23" si="338">+MF8+MG8</f>
        <v>2706</v>
      </c>
      <c r="MF8" s="333">
        <f t="shared" ref="MF8:MF23" si="339">+MI8+ML8</f>
        <v>1589</v>
      </c>
      <c r="MG8" s="333">
        <f t="shared" ref="MG8:MG23" si="340">+MJ8+MM8</f>
        <v>1117</v>
      </c>
      <c r="MH8" s="334">
        <f t="shared" ref="MH8:MH23" si="341">+MI8+MJ8</f>
        <v>314</v>
      </c>
      <c r="MI8" s="334">
        <f t="shared" ref="MI8:MI23" si="342">+LW8-LZ8-MC8-ML8</f>
        <v>216</v>
      </c>
      <c r="MJ8" s="334">
        <f t="shared" ref="MJ8:MJ23" si="343">+LX8-MA8-MD8-MM8</f>
        <v>98</v>
      </c>
      <c r="MK8" s="318">
        <v>2392</v>
      </c>
      <c r="ML8" s="318">
        <v>1373</v>
      </c>
      <c r="MM8" s="318">
        <v>1019</v>
      </c>
      <c r="MN8" s="14">
        <f t="shared" ref="MN8:MN23" si="344">+JK8+QB8</f>
        <v>399228</v>
      </c>
      <c r="MO8" s="332">
        <f t="shared" ref="MO8:MO23" si="345">+MS8+MY8+NB8+NE8</f>
        <v>214018</v>
      </c>
      <c r="MP8" s="332">
        <f t="shared" ref="MP8:MP23" si="346">+MT8+MZ8+NC8+NF8</f>
        <v>185210</v>
      </c>
      <c r="MQ8" s="13">
        <f t="shared" ref="MQ8:MQ23" si="347">+JL8+QC8</f>
        <v>340385</v>
      </c>
      <c r="MR8" s="136">
        <f t="shared" ref="MR8:MR23" si="348">+MS8+MT8</f>
        <v>338539</v>
      </c>
      <c r="MS8" s="318">
        <v>189371</v>
      </c>
      <c r="MT8" s="318">
        <v>149168</v>
      </c>
      <c r="MU8" s="318">
        <v>24647</v>
      </c>
      <c r="MV8" s="318">
        <v>36042</v>
      </c>
      <c r="MW8" s="13">
        <f t="shared" ref="MW8:MW23" si="349">+JM8+QD8</f>
        <v>51623</v>
      </c>
      <c r="MX8" s="136">
        <f t="shared" ref="MX8:MX23" si="350">+MY8+MZ8</f>
        <v>51446</v>
      </c>
      <c r="MY8" s="318">
        <v>19026</v>
      </c>
      <c r="MZ8" s="318">
        <v>32420</v>
      </c>
      <c r="NA8" s="13">
        <f t="shared" ref="NA8:NA23" si="351">+NB8+NC8</f>
        <v>2486</v>
      </c>
      <c r="NB8" s="318">
        <v>1485</v>
      </c>
      <c r="NC8" s="318">
        <v>1001</v>
      </c>
      <c r="ND8" s="11">
        <f t="shared" ref="ND8:ND23" si="352">+JO8+QF8</f>
        <v>7220</v>
      </c>
      <c r="NE8" s="335">
        <f t="shared" ref="NE8:NE23" si="353">+NH8+NK8</f>
        <v>4136</v>
      </c>
      <c r="NF8" s="335">
        <f t="shared" ref="NF8:NF23" si="354">+NI8+NL8</f>
        <v>2621</v>
      </c>
      <c r="NG8" s="336">
        <f t="shared" ref="NG8:NG23" si="355">+NH8+NI8</f>
        <v>72</v>
      </c>
      <c r="NH8" s="336">
        <f t="shared" ref="NH8:NH23" si="356">+MU8-MY8-NB8-NK8</f>
        <v>52</v>
      </c>
      <c r="NI8" s="336">
        <f t="shared" ref="NI8:NI23" si="357">+MV8-MZ8-NC8-NL8</f>
        <v>20</v>
      </c>
      <c r="NJ8" s="337">
        <f t="shared" ref="NJ8:NJ23" si="358">+NK8+NL8</f>
        <v>6685</v>
      </c>
      <c r="NK8" s="337">
        <f t="shared" ref="NK8:NK23" si="359">+NM8+NO8</f>
        <v>4084</v>
      </c>
      <c r="NL8" s="337">
        <f t="shared" ref="NL8:NL23" si="360">+NN8+NP8</f>
        <v>2601</v>
      </c>
      <c r="NM8" s="318">
        <v>696</v>
      </c>
      <c r="NN8" s="318">
        <v>473</v>
      </c>
      <c r="NO8" s="318">
        <v>3388</v>
      </c>
      <c r="NP8" s="318">
        <v>2128</v>
      </c>
      <c r="NQ8" s="338">
        <v>549608</v>
      </c>
      <c r="NR8" s="318">
        <v>274406</v>
      </c>
      <c r="NS8" s="318">
        <v>275202</v>
      </c>
      <c r="NT8" s="7">
        <f t="shared" ref="NT8:NT23" si="361">+JQ8+QH8</f>
        <v>457267</v>
      </c>
      <c r="NU8" s="7">
        <v>238172</v>
      </c>
      <c r="NV8" s="7">
        <v>219095</v>
      </c>
      <c r="NW8" s="125">
        <f t="shared" ref="NW8:NW23" si="362">+NX8+NY8</f>
        <v>453632</v>
      </c>
      <c r="NX8" s="318">
        <v>236309</v>
      </c>
      <c r="NY8" s="318">
        <v>217323</v>
      </c>
      <c r="NZ8" s="7">
        <f t="shared" ref="NZ8:NZ23" si="363">+OA8+OB8</f>
        <v>75596</v>
      </c>
      <c r="OA8" s="318">
        <v>27458</v>
      </c>
      <c r="OB8" s="318">
        <v>48138</v>
      </c>
      <c r="OC8" s="7">
        <f t="shared" ref="OC8:OC23" si="364">+OD8+OE8</f>
        <v>5320</v>
      </c>
      <c r="OD8" s="318">
        <v>2753</v>
      </c>
      <c r="OE8" s="318">
        <v>2567</v>
      </c>
      <c r="OF8" s="125">
        <f t="shared" ref="OF8:OF23" si="365">+NQ8-NT8-NZ8</f>
        <v>16745</v>
      </c>
      <c r="OG8" s="125">
        <f t="shared" ref="OG8:OG23" si="366">+NR8-NU8-OA8</f>
        <v>8776</v>
      </c>
      <c r="OH8" s="125">
        <f t="shared" ref="OH8:OH23" si="367">+NS8-NV8-OB8</f>
        <v>7969</v>
      </c>
      <c r="OI8" s="326">
        <v>637662</v>
      </c>
      <c r="OJ8" s="318">
        <v>518731</v>
      </c>
      <c r="OK8" s="318">
        <v>96951</v>
      </c>
      <c r="OL8" s="318">
        <v>21980</v>
      </c>
      <c r="OM8" s="7">
        <v>7464</v>
      </c>
      <c r="ON8" s="183">
        <v>656325</v>
      </c>
      <c r="OO8" s="53">
        <v>531350</v>
      </c>
      <c r="OP8" s="53">
        <v>101979</v>
      </c>
      <c r="OQ8" s="5">
        <v>22996</v>
      </c>
      <c r="OR8" s="53">
        <v>7537</v>
      </c>
      <c r="OS8" s="183">
        <v>672968</v>
      </c>
      <c r="OT8" s="53">
        <v>544278</v>
      </c>
      <c r="OU8" s="53">
        <v>103636</v>
      </c>
      <c r="OV8" s="5">
        <v>25054</v>
      </c>
      <c r="OW8" s="53">
        <v>8667</v>
      </c>
      <c r="OX8" s="183">
        <v>688050</v>
      </c>
      <c r="OY8" s="53">
        <v>552279</v>
      </c>
      <c r="OZ8" s="53">
        <v>106720</v>
      </c>
      <c r="PA8" s="53">
        <v>29051</v>
      </c>
      <c r="PB8" s="53">
        <v>9873</v>
      </c>
      <c r="PC8" s="12">
        <v>700303.69499999995</v>
      </c>
      <c r="PD8" s="53">
        <v>560947.21600000001</v>
      </c>
      <c r="PE8" s="53">
        <v>109935.37500000001</v>
      </c>
      <c r="PF8" s="53">
        <v>10810.098</v>
      </c>
      <c r="PG8" s="53">
        <v>29421.103999999919</v>
      </c>
      <c r="PH8" s="53">
        <v>718001</v>
      </c>
      <c r="PI8" s="53">
        <v>572853</v>
      </c>
      <c r="PJ8" s="53">
        <v>114630</v>
      </c>
      <c r="PK8" s="53">
        <v>11301</v>
      </c>
      <c r="PL8" s="2">
        <v>30320</v>
      </c>
      <c r="PM8" s="2">
        <v>739414</v>
      </c>
      <c r="PN8" s="2">
        <v>577383</v>
      </c>
      <c r="PO8" s="2">
        <v>120718</v>
      </c>
      <c r="PP8" s="2">
        <v>12456</v>
      </c>
      <c r="PQ8" s="2">
        <v>31757</v>
      </c>
      <c r="PR8" s="2">
        <v>792876</v>
      </c>
      <c r="PS8" s="2">
        <v>615164</v>
      </c>
      <c r="PT8" s="2">
        <v>133199</v>
      </c>
      <c r="PU8" s="2">
        <v>12459</v>
      </c>
      <c r="PV8" s="2">
        <v>34736</v>
      </c>
      <c r="PW8" s="2">
        <v>815522</v>
      </c>
      <c r="PX8" s="2">
        <v>622920</v>
      </c>
      <c r="PY8" s="2">
        <v>145714</v>
      </c>
      <c r="PZ8" s="2">
        <v>12730</v>
      </c>
      <c r="QA8" s="2">
        <v>38063</v>
      </c>
      <c r="QB8" s="12">
        <v>140997</v>
      </c>
      <c r="QC8" s="5">
        <v>119439</v>
      </c>
      <c r="QD8" s="5">
        <v>17843</v>
      </c>
      <c r="QE8" s="5">
        <v>935</v>
      </c>
      <c r="QF8" s="5">
        <v>3715</v>
      </c>
      <c r="QG8" s="12">
        <v>197836</v>
      </c>
      <c r="QH8" s="53">
        <v>163562</v>
      </c>
      <c r="QI8" s="53">
        <v>26129</v>
      </c>
      <c r="QJ8" s="53">
        <v>2111</v>
      </c>
      <c r="QK8" s="53">
        <v>8145</v>
      </c>
      <c r="QL8" s="12">
        <v>244865</v>
      </c>
      <c r="QM8" s="53">
        <v>195721</v>
      </c>
      <c r="QN8" s="53">
        <v>36595</v>
      </c>
      <c r="QO8" s="53">
        <v>2847</v>
      </c>
      <c r="QP8" s="53">
        <v>12549</v>
      </c>
      <c r="QQ8" s="12">
        <v>253503.6</v>
      </c>
      <c r="QR8" s="53">
        <v>202308.83200000002</v>
      </c>
      <c r="QS8" s="53">
        <v>39425.100000000006</v>
      </c>
      <c r="QT8" s="53">
        <v>3389.6070000000004</v>
      </c>
      <c r="QU8" s="296">
        <v>11769.667999999976</v>
      </c>
      <c r="QV8" s="1">
        <v>265550</v>
      </c>
      <c r="QW8" s="2">
        <v>208816</v>
      </c>
      <c r="QX8" s="2">
        <v>42518</v>
      </c>
      <c r="QY8" s="2">
        <v>3639</v>
      </c>
      <c r="QZ8" s="69">
        <v>14168</v>
      </c>
      <c r="RA8" s="2">
        <v>274088</v>
      </c>
      <c r="RB8" s="2">
        <v>212197</v>
      </c>
      <c r="RC8" s="2">
        <v>44448</v>
      </c>
      <c r="RD8" s="2">
        <v>4060</v>
      </c>
      <c r="RE8" s="2">
        <v>14122</v>
      </c>
      <c r="RF8" s="2">
        <v>288250</v>
      </c>
      <c r="RG8" s="2">
        <v>222225</v>
      </c>
      <c r="RH8" s="2">
        <v>48084</v>
      </c>
      <c r="RI8" s="2">
        <v>4148</v>
      </c>
      <c r="RJ8" s="2">
        <v>15068</v>
      </c>
      <c r="RK8" s="2">
        <v>308842</v>
      </c>
      <c r="RL8" s="2">
        <v>236355</v>
      </c>
      <c r="RM8" s="2">
        <v>53250</v>
      </c>
      <c r="RN8" s="2">
        <v>3417</v>
      </c>
      <c r="RO8" s="2">
        <v>16975</v>
      </c>
    </row>
    <row r="9" spans="1:483" ht="14.25" x14ac:dyDescent="0.2">
      <c r="A9" s="216" t="s">
        <v>1</v>
      </c>
      <c r="B9" s="183">
        <f>47172+65010+63889+34186+68897+79516</f>
        <v>358670</v>
      </c>
      <c r="C9" s="53">
        <f>31361+51940+56670+21075+50969+67561</f>
        <v>279576</v>
      </c>
      <c r="D9" s="53">
        <f>14956+12331+6508+12197+16762+10949</f>
        <v>73703</v>
      </c>
      <c r="E9" s="53">
        <f>484+374+312+359+458+435</f>
        <v>2422</v>
      </c>
      <c r="F9" s="296">
        <f>271+288+280+89+77+117+280+357+402+275+332+153</f>
        <v>2921</v>
      </c>
      <c r="G9" s="5">
        <v>227633</v>
      </c>
      <c r="H9" s="53">
        <v>179843</v>
      </c>
      <c r="I9" s="53">
        <v>44394</v>
      </c>
      <c r="J9" s="53">
        <v>2079</v>
      </c>
      <c r="K9" s="296">
        <v>3396</v>
      </c>
      <c r="L9" s="5">
        <v>162464</v>
      </c>
      <c r="M9" s="53">
        <v>121627</v>
      </c>
      <c r="N9" s="53">
        <v>27602</v>
      </c>
      <c r="O9" s="53">
        <v>14517</v>
      </c>
      <c r="P9" s="296">
        <v>13235</v>
      </c>
      <c r="Q9" s="7">
        <v>127823</v>
      </c>
      <c r="R9" s="560">
        <v>93586</v>
      </c>
      <c r="S9" s="560">
        <v>17496</v>
      </c>
      <c r="T9" s="560">
        <v>25380</v>
      </c>
      <c r="U9" s="575">
        <v>16741</v>
      </c>
      <c r="V9" s="560">
        <v>117886</v>
      </c>
      <c r="W9" s="4">
        <v>85992</v>
      </c>
      <c r="X9" s="560">
        <v>16344</v>
      </c>
      <c r="Y9" s="560">
        <v>27706</v>
      </c>
      <c r="Z9" s="560">
        <v>15205</v>
      </c>
      <c r="AA9" s="560">
        <v>113716</v>
      </c>
      <c r="AB9" s="560">
        <v>65437</v>
      </c>
      <c r="AC9" s="560">
        <v>15339</v>
      </c>
      <c r="AD9" s="560">
        <v>28353</v>
      </c>
      <c r="AE9" s="675">
        <v>15058</v>
      </c>
      <c r="AF9" s="560">
        <v>105945</v>
      </c>
      <c r="AG9" s="560">
        <v>58054</v>
      </c>
      <c r="AH9" s="560">
        <v>15352</v>
      </c>
      <c r="AI9" s="560">
        <v>27443</v>
      </c>
      <c r="AJ9" s="560">
        <v>14098</v>
      </c>
      <c r="AK9" s="560">
        <v>100157</v>
      </c>
      <c r="AL9" s="560">
        <v>55580</v>
      </c>
      <c r="AM9" s="560">
        <v>13286</v>
      </c>
      <c r="AN9" s="560">
        <v>26654</v>
      </c>
      <c r="AO9" s="560">
        <v>18432</v>
      </c>
      <c r="AP9" s="183">
        <v>275848</v>
      </c>
      <c r="AQ9" s="53">
        <v>222462</v>
      </c>
      <c r="AR9" s="53">
        <v>50113</v>
      </c>
      <c r="AS9" s="53">
        <v>1641</v>
      </c>
      <c r="AT9" s="296">
        <v>3273</v>
      </c>
      <c r="AU9" s="5">
        <v>264985</v>
      </c>
      <c r="AV9" s="53">
        <v>203853</v>
      </c>
      <c r="AW9" s="53">
        <v>49742</v>
      </c>
      <c r="AX9" s="53">
        <v>8998</v>
      </c>
      <c r="AY9" s="296">
        <v>11390</v>
      </c>
      <c r="AZ9" s="5">
        <v>205325</v>
      </c>
      <c r="BA9" s="53">
        <v>151598</v>
      </c>
      <c r="BB9" s="53">
        <v>40975</v>
      </c>
      <c r="BC9" s="53">
        <v>17323</v>
      </c>
      <c r="BD9" s="296">
        <v>12752</v>
      </c>
      <c r="BE9" s="53">
        <v>197227</v>
      </c>
      <c r="BF9" s="53">
        <v>146008</v>
      </c>
      <c r="BG9" s="53">
        <v>38170</v>
      </c>
      <c r="BH9" s="53">
        <v>17752</v>
      </c>
      <c r="BI9" s="53">
        <v>12761</v>
      </c>
      <c r="BJ9" s="53">
        <v>194500</v>
      </c>
      <c r="BK9" s="53">
        <v>133431</v>
      </c>
      <c r="BL9" s="53">
        <v>38264</v>
      </c>
      <c r="BM9" s="53">
        <v>17116</v>
      </c>
      <c r="BN9" s="53">
        <v>12731</v>
      </c>
      <c r="BO9" s="53">
        <v>184126</v>
      </c>
      <c r="BP9" s="53">
        <v>121534</v>
      </c>
      <c r="BQ9" s="53">
        <v>39872</v>
      </c>
      <c r="BR9" s="53">
        <v>17384</v>
      </c>
      <c r="BS9" s="53">
        <v>11364</v>
      </c>
      <c r="BT9" s="53">
        <v>179465</v>
      </c>
      <c r="BU9" s="53">
        <v>120289</v>
      </c>
      <c r="BV9" s="53">
        <v>36018</v>
      </c>
      <c r="BW9" s="53">
        <v>17498</v>
      </c>
      <c r="BX9" s="53">
        <v>14207</v>
      </c>
      <c r="BY9" s="12">
        <v>324972</v>
      </c>
      <c r="BZ9" s="53">
        <v>239636</v>
      </c>
      <c r="CA9" s="53">
        <v>56534</v>
      </c>
      <c r="CB9" s="53">
        <v>44404</v>
      </c>
      <c r="CC9" s="546">
        <f t="shared" ref="CC9:CC23" si="368">BY9-BZ9-CA9</f>
        <v>28802</v>
      </c>
      <c r="CD9" s="327">
        <v>144575</v>
      </c>
      <c r="CE9" s="328">
        <v>212135</v>
      </c>
      <c r="CF9" s="328">
        <v>278619</v>
      </c>
      <c r="CG9" s="328">
        <v>422363</v>
      </c>
      <c r="CH9" s="12">
        <v>741481</v>
      </c>
      <c r="CI9" s="53">
        <v>668504.80000000005</v>
      </c>
      <c r="CJ9" s="53">
        <v>63328.356</v>
      </c>
      <c r="CK9" s="53">
        <v>3640.3119999999999</v>
      </c>
      <c r="CL9" s="296">
        <v>5956.4079999999994</v>
      </c>
      <c r="CM9" s="5">
        <v>992669</v>
      </c>
      <c r="CN9" s="53">
        <v>880612</v>
      </c>
      <c r="CO9" s="53">
        <v>100551</v>
      </c>
      <c r="CP9" s="53">
        <v>5377</v>
      </c>
      <c r="CQ9" s="296">
        <v>11506</v>
      </c>
      <c r="CR9" s="5">
        <v>1303751</v>
      </c>
      <c r="CS9" s="53">
        <v>1118029</v>
      </c>
      <c r="CT9" s="53">
        <v>148641</v>
      </c>
      <c r="CU9" s="53">
        <v>16504</v>
      </c>
      <c r="CV9" s="53">
        <v>37081</v>
      </c>
      <c r="CW9" s="329">
        <v>1485371</v>
      </c>
      <c r="CX9" s="53">
        <v>1244550</v>
      </c>
      <c r="CY9" s="53">
        <v>188107</v>
      </c>
      <c r="CZ9" s="53">
        <v>52714</v>
      </c>
      <c r="DA9" s="53">
        <v>31664</v>
      </c>
      <c r="DB9" s="183">
        <v>1512740</v>
      </c>
      <c r="DC9" s="53">
        <v>1267437</v>
      </c>
      <c r="DD9" s="53">
        <v>191230</v>
      </c>
      <c r="DE9" s="53">
        <v>54073</v>
      </c>
      <c r="DF9" s="53">
        <v>33941</v>
      </c>
      <c r="DG9" s="56">
        <v>1545311</v>
      </c>
      <c r="DH9" s="54">
        <v>1292975</v>
      </c>
      <c r="DI9" s="54">
        <v>195520</v>
      </c>
      <c r="DJ9" s="54">
        <v>56816</v>
      </c>
      <c r="DK9" s="54">
        <v>36386</v>
      </c>
      <c r="DL9" s="12">
        <v>1570953</v>
      </c>
      <c r="DM9" s="53">
        <v>1309590</v>
      </c>
      <c r="DN9" s="53">
        <v>202677</v>
      </c>
      <c r="DO9" s="53">
        <v>39654</v>
      </c>
      <c r="DP9" s="53">
        <v>39986</v>
      </c>
      <c r="DQ9" s="12">
        <v>1596016.13</v>
      </c>
      <c r="DR9" s="53">
        <v>1326610.362</v>
      </c>
      <c r="DS9" s="53">
        <v>209147.80799999996</v>
      </c>
      <c r="DT9" s="53">
        <v>42575.273999999998</v>
      </c>
      <c r="DU9" s="581">
        <f t="shared" ref="DU9:DU23" si="369">DQ9-DR9-DS9</f>
        <v>60257.959999999963</v>
      </c>
      <c r="DV9" s="53">
        <v>1623562</v>
      </c>
      <c r="DW9" s="53">
        <v>1345579</v>
      </c>
      <c r="DX9" s="53">
        <v>214193</v>
      </c>
      <c r="DY9" s="53">
        <v>45555</v>
      </c>
      <c r="DZ9" s="53">
        <v>61773</v>
      </c>
      <c r="EA9" s="53">
        <v>1642842</v>
      </c>
      <c r="EB9" s="53">
        <v>1325021</v>
      </c>
      <c r="EC9" s="53">
        <v>216572</v>
      </c>
      <c r="ED9" s="53">
        <v>49413</v>
      </c>
      <c r="EE9" s="53">
        <v>65808</v>
      </c>
      <c r="EF9" s="53">
        <v>1697748</v>
      </c>
      <c r="EG9" s="53">
        <v>1358657</v>
      </c>
      <c r="EH9" s="53">
        <v>227656</v>
      </c>
      <c r="EI9" s="53">
        <v>54643</v>
      </c>
      <c r="EJ9" s="53">
        <v>72566</v>
      </c>
      <c r="EK9" s="53">
        <v>1710826</v>
      </c>
      <c r="EL9" s="53">
        <v>1361279</v>
      </c>
      <c r="EM9" s="53">
        <v>232481</v>
      </c>
      <c r="EN9" s="53">
        <v>56850</v>
      </c>
      <c r="EO9" s="53">
        <v>80394</v>
      </c>
      <c r="EP9" s="12">
        <f>76335+77040</f>
        <v>153375</v>
      </c>
      <c r="EQ9" s="53">
        <f>68960+68655</f>
        <v>137615</v>
      </c>
      <c r="ER9" s="53">
        <f>6514+6948</f>
        <v>13462</v>
      </c>
      <c r="ES9" s="53">
        <f>496+417</f>
        <v>913</v>
      </c>
      <c r="ET9" s="296">
        <f>455+254+359+256</f>
        <v>1324</v>
      </c>
      <c r="EU9" s="5">
        <v>303795</v>
      </c>
      <c r="EV9" s="53">
        <v>268322</v>
      </c>
      <c r="EW9" s="53">
        <v>31402</v>
      </c>
      <c r="EX9" s="53">
        <v>2033</v>
      </c>
      <c r="EY9" s="296">
        <v>4071</v>
      </c>
      <c r="EZ9" s="5">
        <v>424907</v>
      </c>
      <c r="FA9" s="53">
        <v>361323</v>
      </c>
      <c r="FB9" s="53">
        <v>50654</v>
      </c>
      <c r="FC9" s="53">
        <v>5481</v>
      </c>
      <c r="FD9" s="296">
        <v>12930</v>
      </c>
      <c r="FE9" s="5">
        <v>542540</v>
      </c>
      <c r="FF9" s="53">
        <v>446188</v>
      </c>
      <c r="FG9" s="53">
        <v>76590</v>
      </c>
      <c r="FH9" s="53">
        <v>11332</v>
      </c>
      <c r="FI9" s="296">
        <v>19762</v>
      </c>
      <c r="FJ9" s="5">
        <v>546106.72399999993</v>
      </c>
      <c r="FK9" s="53">
        <v>447946.35600000003</v>
      </c>
      <c r="FL9" s="53">
        <v>77766.887999999992</v>
      </c>
      <c r="FM9" s="53">
        <v>12189.240000000002</v>
      </c>
      <c r="FN9" s="296">
        <v>20393.479999999909</v>
      </c>
      <c r="FO9" s="53">
        <v>551433</v>
      </c>
      <c r="FP9" s="53">
        <v>452528</v>
      </c>
      <c r="FQ9" s="53">
        <v>77658</v>
      </c>
      <c r="FR9" s="53">
        <v>13168</v>
      </c>
      <c r="FS9" s="618">
        <v>20694</v>
      </c>
      <c r="FT9" s="618">
        <v>550297</v>
      </c>
      <c r="FU9" s="618">
        <v>440250</v>
      </c>
      <c r="FV9" s="618">
        <v>77516</v>
      </c>
      <c r="FW9" s="618">
        <v>15565</v>
      </c>
      <c r="FX9" s="618">
        <v>21126</v>
      </c>
      <c r="FY9" s="618">
        <v>585915</v>
      </c>
      <c r="FZ9" s="618">
        <v>463783</v>
      </c>
      <c r="GA9" s="618">
        <v>90687</v>
      </c>
      <c r="GB9" s="618">
        <v>15354</v>
      </c>
      <c r="GC9" s="618">
        <v>21125</v>
      </c>
      <c r="GD9" s="618">
        <v>583024</v>
      </c>
      <c r="GE9" s="618">
        <v>459300</v>
      </c>
      <c r="GF9" s="618">
        <v>87579</v>
      </c>
      <c r="GG9" s="618">
        <v>16427</v>
      </c>
      <c r="GH9" s="618">
        <v>25838</v>
      </c>
      <c r="GI9" s="12">
        <v>54695</v>
      </c>
      <c r="GJ9" s="53">
        <v>47575</v>
      </c>
      <c r="GK9" s="53">
        <v>6106</v>
      </c>
      <c r="GL9" s="53">
        <v>424</v>
      </c>
      <c r="GM9" s="296">
        <v>1014</v>
      </c>
      <c r="GN9" s="5">
        <v>69578</v>
      </c>
      <c r="GO9" s="53">
        <v>59021</v>
      </c>
      <c r="GP9" s="53">
        <v>8170</v>
      </c>
      <c r="GQ9" s="53">
        <v>911</v>
      </c>
      <c r="GR9" s="296">
        <v>2387</v>
      </c>
      <c r="GS9" s="183">
        <v>114590</v>
      </c>
      <c r="GT9" s="53">
        <v>93907</v>
      </c>
      <c r="GU9" s="53">
        <v>16186</v>
      </c>
      <c r="GV9" s="53">
        <v>2935</v>
      </c>
      <c r="GW9" s="53">
        <v>4497</v>
      </c>
      <c r="GX9" s="183"/>
      <c r="GY9" s="53"/>
      <c r="GZ9" s="53"/>
      <c r="HA9" s="53"/>
      <c r="HB9" s="296"/>
      <c r="HC9" s="53">
        <v>117981</v>
      </c>
      <c r="HD9" s="53">
        <v>96195</v>
      </c>
      <c r="HE9" s="53">
        <v>17531</v>
      </c>
      <c r="HF9" s="53">
        <v>3210</v>
      </c>
      <c r="HG9" s="53">
        <v>4207</v>
      </c>
      <c r="HH9" s="53">
        <v>116085</v>
      </c>
      <c r="HI9" s="53">
        <v>92368</v>
      </c>
      <c r="HJ9" s="53">
        <v>16148</v>
      </c>
      <c r="HK9" s="53">
        <v>4124</v>
      </c>
      <c r="HL9" s="53">
        <v>4333</v>
      </c>
      <c r="HM9" s="53">
        <v>135029</v>
      </c>
      <c r="HN9" s="53">
        <v>109540</v>
      </c>
      <c r="HO9" s="53">
        <v>19099</v>
      </c>
      <c r="HP9" s="53">
        <v>2029</v>
      </c>
      <c r="HQ9" s="53">
        <v>5012</v>
      </c>
      <c r="HR9" s="53">
        <v>133315</v>
      </c>
      <c r="HS9" s="53">
        <v>106424</v>
      </c>
      <c r="HT9" s="53">
        <v>17316</v>
      </c>
      <c r="HU9" s="53">
        <v>4553</v>
      </c>
      <c r="HV9" s="53">
        <v>6619</v>
      </c>
      <c r="HW9" s="569">
        <f t="shared" ref="HW9:HW23" si="370">GI9+JK9+QB9</f>
        <v>253999</v>
      </c>
      <c r="HX9" s="546">
        <f t="shared" ref="HX9:HX23" si="371">GJ9+JL9+QC9</f>
        <v>227886</v>
      </c>
      <c r="HY9" s="546">
        <f t="shared" ref="HY9:HY23" si="372">GK9+JM9+QD9</f>
        <v>22411</v>
      </c>
      <c r="HZ9" s="546">
        <f t="shared" ref="HZ9:HZ23" si="373">GL9+JN9+QE9</f>
        <v>1433</v>
      </c>
      <c r="IA9" s="546">
        <f t="shared" ref="IA9:IA23" si="374">GM9+JO9+QF9</f>
        <v>3702</v>
      </c>
      <c r="IB9" s="569">
        <f t="shared" ref="IB9:IB23" si="375">GN9+JP9+QG9</f>
        <v>358006</v>
      </c>
      <c r="IC9" s="546">
        <f t="shared" ref="IC9:IC23" si="376">GO9+JQ9+QH9</f>
        <v>315561</v>
      </c>
      <c r="ID9" s="546">
        <f t="shared" ref="ID9:ID23" si="377">GP9+JR9+QI9</f>
        <v>31268</v>
      </c>
      <c r="IE9" s="546">
        <f t="shared" ref="IE9:IE23" si="378">GQ9+JS9+QJ9</f>
        <v>3755</v>
      </c>
      <c r="IF9" s="546">
        <f t="shared" ref="IF9:IF23" si="379">GR9+JT9+QK9</f>
        <v>11177</v>
      </c>
      <c r="IG9" s="183">
        <v>415526</v>
      </c>
      <c r="IH9" s="53">
        <v>354975</v>
      </c>
      <c r="II9" s="53">
        <v>42333</v>
      </c>
      <c r="IJ9" s="53">
        <v>8881</v>
      </c>
      <c r="IK9" s="53">
        <v>18218</v>
      </c>
      <c r="IL9" s="559"/>
      <c r="IM9" s="560"/>
      <c r="IN9" s="560"/>
      <c r="IO9" s="560"/>
      <c r="IP9" s="560"/>
      <c r="IQ9" s="560">
        <v>510244</v>
      </c>
      <c r="IR9" s="560">
        <v>432666</v>
      </c>
      <c r="IS9" s="560">
        <v>54061</v>
      </c>
      <c r="IT9" s="560">
        <v>11393</v>
      </c>
      <c r="IU9" s="575">
        <v>23376</v>
      </c>
      <c r="IV9" s="560">
        <v>519734</v>
      </c>
      <c r="IW9" s="560">
        <v>432184</v>
      </c>
      <c r="IX9" s="560">
        <v>53782</v>
      </c>
      <c r="IY9" s="560">
        <v>12242</v>
      </c>
      <c r="IZ9" s="560">
        <v>24887</v>
      </c>
      <c r="JA9" s="559">
        <v>568410</v>
      </c>
      <c r="JB9" s="560">
        <v>471763</v>
      </c>
      <c r="JC9" s="560">
        <v>57762</v>
      </c>
      <c r="JD9" s="560">
        <v>11717</v>
      </c>
      <c r="JE9" s="560">
        <v>30496</v>
      </c>
      <c r="JF9" s="559">
        <v>579148</v>
      </c>
      <c r="JG9" s="560">
        <v>475313</v>
      </c>
      <c r="JH9" s="560">
        <v>62408</v>
      </c>
      <c r="JI9" s="560">
        <v>14297</v>
      </c>
      <c r="JJ9" s="560">
        <v>31992</v>
      </c>
      <c r="JK9" s="12">
        <v>132712</v>
      </c>
      <c r="JL9" s="5">
        <v>119838</v>
      </c>
      <c r="JM9" s="5">
        <v>11414</v>
      </c>
      <c r="JN9" s="5">
        <v>587</v>
      </c>
      <c r="JO9" s="5">
        <v>1460</v>
      </c>
      <c r="JP9" s="12">
        <v>190427</v>
      </c>
      <c r="JQ9" s="53">
        <v>169547</v>
      </c>
      <c r="JR9" s="53">
        <v>15950</v>
      </c>
      <c r="JS9" s="53">
        <v>1757</v>
      </c>
      <c r="JT9" s="53">
        <v>4930</v>
      </c>
      <c r="JU9" s="183">
        <v>243362</v>
      </c>
      <c r="JV9" s="53">
        <v>210705</v>
      </c>
      <c r="JW9" s="53">
        <v>22208</v>
      </c>
      <c r="JX9" s="53">
        <v>4780</v>
      </c>
      <c r="JY9" s="53">
        <v>10449</v>
      </c>
      <c r="JZ9" s="183">
        <v>249978.43000000002</v>
      </c>
      <c r="KA9" s="53">
        <v>214575.70199999996</v>
      </c>
      <c r="KB9" s="53">
        <v>24152.856</v>
      </c>
      <c r="KC9" s="53">
        <v>5311.0259999999998</v>
      </c>
      <c r="KD9" s="53">
        <v>11249.872000000061</v>
      </c>
      <c r="KE9" s="53">
        <v>263636</v>
      </c>
      <c r="KF9" s="53">
        <v>222160</v>
      </c>
      <c r="KG9" s="53">
        <v>26290</v>
      </c>
      <c r="KH9" s="53">
        <v>5212</v>
      </c>
      <c r="KI9" s="53">
        <v>11553</v>
      </c>
      <c r="KJ9" s="53">
        <v>278975</v>
      </c>
      <c r="KK9" s="53">
        <v>233929</v>
      </c>
      <c r="KL9" s="53">
        <v>27261</v>
      </c>
      <c r="KM9" s="53">
        <v>7373</v>
      </c>
      <c r="KN9" s="53">
        <v>12405</v>
      </c>
      <c r="KO9" s="53">
        <v>282608</v>
      </c>
      <c r="KP9" s="53">
        <v>234161</v>
      </c>
      <c r="KQ9" s="53">
        <v>29509</v>
      </c>
      <c r="KR9" s="53">
        <v>6465</v>
      </c>
      <c r="KS9" s="53">
        <v>14381</v>
      </c>
      <c r="KT9" s="330">
        <v>21584</v>
      </c>
      <c r="KU9" s="331">
        <v>31210</v>
      </c>
      <c r="KV9" s="316">
        <v>46166</v>
      </c>
      <c r="KW9" s="332">
        <f t="shared" si="327"/>
        <v>26586</v>
      </c>
      <c r="KX9" s="332">
        <f t="shared" si="328"/>
        <v>19580</v>
      </c>
      <c r="KY9" s="332">
        <f t="shared" si="329"/>
        <v>42398</v>
      </c>
      <c r="KZ9" s="318">
        <v>25138</v>
      </c>
      <c r="LA9" s="318">
        <v>17260</v>
      </c>
      <c r="LB9" s="332">
        <f t="shared" si="330"/>
        <v>3768</v>
      </c>
      <c r="LC9" s="318">
        <v>1448</v>
      </c>
      <c r="LD9" s="318">
        <v>2320</v>
      </c>
      <c r="LE9" s="316">
        <v>70529</v>
      </c>
      <c r="LF9" s="332">
        <f t="shared" si="331"/>
        <v>39776</v>
      </c>
      <c r="LG9" s="332">
        <f t="shared" si="332"/>
        <v>30753</v>
      </c>
      <c r="LH9" s="332">
        <f t="shared" si="333"/>
        <v>65067</v>
      </c>
      <c r="LI9" s="318">
        <v>37574</v>
      </c>
      <c r="LJ9" s="318">
        <v>27493</v>
      </c>
      <c r="LK9" s="332">
        <f t="shared" si="334"/>
        <v>5021</v>
      </c>
      <c r="LL9" s="318">
        <v>1946</v>
      </c>
      <c r="LM9" s="318">
        <v>3075</v>
      </c>
      <c r="LN9" s="332">
        <f t="shared" si="335"/>
        <v>441</v>
      </c>
      <c r="LO9" s="318">
        <v>256</v>
      </c>
      <c r="LP9" s="318">
        <v>185</v>
      </c>
      <c r="LQ9" s="316">
        <v>144677</v>
      </c>
      <c r="LR9" s="332">
        <f t="shared" si="336"/>
        <v>81595</v>
      </c>
      <c r="LS9" s="332">
        <f t="shared" si="337"/>
        <v>63082</v>
      </c>
      <c r="LT9" s="53">
        <f>56193+75936</f>
        <v>132129</v>
      </c>
      <c r="LU9" s="318">
        <v>75936</v>
      </c>
      <c r="LV9" s="318">
        <v>56193</v>
      </c>
      <c r="LW9" s="318">
        <v>5659</v>
      </c>
      <c r="LX9" s="318">
        <v>6889</v>
      </c>
      <c r="LY9" s="53">
        <f>4412+6082</f>
        <v>10494</v>
      </c>
      <c r="LZ9" s="318">
        <v>4412</v>
      </c>
      <c r="MA9" s="318">
        <v>6082</v>
      </c>
      <c r="MB9" s="53">
        <f>269+369</f>
        <v>638</v>
      </c>
      <c r="MC9" s="318">
        <v>369</v>
      </c>
      <c r="MD9" s="318">
        <v>269</v>
      </c>
      <c r="ME9" s="333">
        <f t="shared" si="338"/>
        <v>1416</v>
      </c>
      <c r="MF9" s="333">
        <f t="shared" si="339"/>
        <v>878</v>
      </c>
      <c r="MG9" s="333">
        <f t="shared" si="340"/>
        <v>538</v>
      </c>
      <c r="MH9" s="334">
        <f t="shared" si="341"/>
        <v>61</v>
      </c>
      <c r="MI9" s="334">
        <f t="shared" si="342"/>
        <v>30</v>
      </c>
      <c r="MJ9" s="334">
        <f t="shared" si="343"/>
        <v>31</v>
      </c>
      <c r="MK9" s="318">
        <v>1355</v>
      </c>
      <c r="ML9" s="318">
        <v>848</v>
      </c>
      <c r="MM9" s="318">
        <v>507</v>
      </c>
      <c r="MN9" s="14">
        <f t="shared" si="344"/>
        <v>199304</v>
      </c>
      <c r="MO9" s="332">
        <f t="shared" si="345"/>
        <v>104715</v>
      </c>
      <c r="MP9" s="332">
        <f t="shared" si="346"/>
        <v>94589</v>
      </c>
      <c r="MQ9" s="13">
        <f t="shared" si="347"/>
        <v>180311</v>
      </c>
      <c r="MR9" s="136">
        <f t="shared" si="348"/>
        <v>179572</v>
      </c>
      <c r="MS9" s="318">
        <v>96351</v>
      </c>
      <c r="MT9" s="318">
        <v>83221</v>
      </c>
      <c r="MU9" s="318">
        <v>8364</v>
      </c>
      <c r="MV9" s="318">
        <v>11368</v>
      </c>
      <c r="MW9" s="13">
        <f t="shared" si="349"/>
        <v>16305</v>
      </c>
      <c r="MX9" s="136">
        <f t="shared" si="350"/>
        <v>16254</v>
      </c>
      <c r="MY9" s="318">
        <v>6386</v>
      </c>
      <c r="MZ9" s="318">
        <v>9868</v>
      </c>
      <c r="NA9" s="13">
        <f t="shared" si="351"/>
        <v>1009</v>
      </c>
      <c r="NB9" s="318">
        <v>579</v>
      </c>
      <c r="NC9" s="318">
        <v>430</v>
      </c>
      <c r="ND9" s="11">
        <f t="shared" si="352"/>
        <v>2688</v>
      </c>
      <c r="NE9" s="335">
        <f t="shared" si="353"/>
        <v>1399</v>
      </c>
      <c r="NF9" s="335">
        <f t="shared" si="354"/>
        <v>1070</v>
      </c>
      <c r="NG9" s="336">
        <f t="shared" si="355"/>
        <v>39</v>
      </c>
      <c r="NH9" s="336">
        <f t="shared" si="356"/>
        <v>17</v>
      </c>
      <c r="NI9" s="336">
        <f t="shared" si="357"/>
        <v>22</v>
      </c>
      <c r="NJ9" s="337">
        <f t="shared" si="358"/>
        <v>2430</v>
      </c>
      <c r="NK9" s="337">
        <f t="shared" si="359"/>
        <v>1382</v>
      </c>
      <c r="NL9" s="337">
        <f t="shared" si="360"/>
        <v>1048</v>
      </c>
      <c r="NM9" s="318">
        <v>475</v>
      </c>
      <c r="NN9" s="318">
        <v>353</v>
      </c>
      <c r="NO9" s="318">
        <v>907</v>
      </c>
      <c r="NP9" s="318">
        <v>695</v>
      </c>
      <c r="NQ9" s="338">
        <v>288428</v>
      </c>
      <c r="NR9" s="318">
        <v>143658</v>
      </c>
      <c r="NS9" s="318">
        <v>144770</v>
      </c>
      <c r="NT9" s="7">
        <f t="shared" si="361"/>
        <v>256540</v>
      </c>
      <c r="NU9" s="7">
        <v>130506</v>
      </c>
      <c r="NV9" s="7">
        <v>126034</v>
      </c>
      <c r="NW9" s="125">
        <f t="shared" si="362"/>
        <v>254781</v>
      </c>
      <c r="NX9" s="318">
        <v>129637</v>
      </c>
      <c r="NY9" s="318">
        <v>125144</v>
      </c>
      <c r="NZ9" s="7">
        <f t="shared" si="363"/>
        <v>23098</v>
      </c>
      <c r="OA9" s="318">
        <v>8704</v>
      </c>
      <c r="OB9" s="318">
        <v>14394</v>
      </c>
      <c r="OC9" s="7">
        <f t="shared" si="364"/>
        <v>2844</v>
      </c>
      <c r="OD9" s="318">
        <v>1373</v>
      </c>
      <c r="OE9" s="318">
        <v>1471</v>
      </c>
      <c r="OF9" s="125">
        <f t="shared" si="365"/>
        <v>8790</v>
      </c>
      <c r="OG9" s="125">
        <f t="shared" si="366"/>
        <v>4448</v>
      </c>
      <c r="OH9" s="125">
        <f t="shared" si="367"/>
        <v>4342</v>
      </c>
      <c r="OI9" s="326">
        <v>343848</v>
      </c>
      <c r="OJ9" s="318">
        <v>300198</v>
      </c>
      <c r="OK9" s="318">
        <v>30024</v>
      </c>
      <c r="OL9" s="318">
        <v>13626</v>
      </c>
      <c r="OM9" s="7">
        <v>5297</v>
      </c>
      <c r="ON9" s="183">
        <v>350866</v>
      </c>
      <c r="OO9" s="53">
        <v>306354</v>
      </c>
      <c r="OP9" s="53">
        <v>30195</v>
      </c>
      <c r="OQ9" s="53">
        <v>14317</v>
      </c>
      <c r="OR9" s="53">
        <v>6077</v>
      </c>
      <c r="OS9" s="183">
        <v>359416</v>
      </c>
      <c r="OT9" s="53">
        <v>313357</v>
      </c>
      <c r="OU9" s="53">
        <v>31182</v>
      </c>
      <c r="OV9" s="53">
        <v>14877</v>
      </c>
      <c r="OW9" s="53">
        <v>6133</v>
      </c>
      <c r="OX9" s="183">
        <v>361884</v>
      </c>
      <c r="OY9" s="53">
        <v>312710</v>
      </c>
      <c r="OZ9" s="53">
        <v>32416</v>
      </c>
      <c r="PA9" s="53">
        <v>16758</v>
      </c>
      <c r="PB9" s="53">
        <v>7106</v>
      </c>
      <c r="PC9" s="12">
        <v>374967.64500000002</v>
      </c>
      <c r="PD9" s="53">
        <v>324212.92199999996</v>
      </c>
      <c r="PE9" s="53">
        <v>34769.495999999999</v>
      </c>
      <c r="PF9" s="53">
        <v>7661.808</v>
      </c>
      <c r="PG9" s="53">
        <v>15985.227000000057</v>
      </c>
      <c r="PH9" s="53">
        <v>392263</v>
      </c>
      <c r="PI9" s="53">
        <v>336471</v>
      </c>
      <c r="PJ9" s="53">
        <v>36530</v>
      </c>
      <c r="PK9" s="53">
        <v>8183</v>
      </c>
      <c r="PL9" s="2">
        <v>19169</v>
      </c>
      <c r="PM9" s="2">
        <v>403649</v>
      </c>
      <c r="PN9" s="2">
        <v>339816</v>
      </c>
      <c r="PO9" s="2">
        <v>37634</v>
      </c>
      <c r="PP9" s="2">
        <v>8118</v>
      </c>
      <c r="PQ9" s="2">
        <v>20554</v>
      </c>
      <c r="PR9" s="2">
        <v>433381</v>
      </c>
      <c r="PS9" s="2">
        <v>362223</v>
      </c>
      <c r="PT9" s="2">
        <v>38663</v>
      </c>
      <c r="PU9" s="2">
        <v>9688</v>
      </c>
      <c r="PV9" s="2">
        <v>25484</v>
      </c>
      <c r="PW9" s="2">
        <v>445833</v>
      </c>
      <c r="PX9" s="2">
        <v>368889</v>
      </c>
      <c r="PY9" s="2">
        <v>45092</v>
      </c>
      <c r="PZ9" s="2">
        <v>9744</v>
      </c>
      <c r="QA9" s="2">
        <v>25373</v>
      </c>
      <c r="QB9" s="12">
        <v>66592</v>
      </c>
      <c r="QC9" s="5">
        <v>60473</v>
      </c>
      <c r="QD9" s="5">
        <v>4891</v>
      </c>
      <c r="QE9" s="5">
        <v>422</v>
      </c>
      <c r="QF9" s="5">
        <v>1228</v>
      </c>
      <c r="QG9" s="12">
        <v>98001</v>
      </c>
      <c r="QH9" s="53">
        <v>86993</v>
      </c>
      <c r="QI9" s="53">
        <v>7148</v>
      </c>
      <c r="QJ9" s="53">
        <v>1087</v>
      </c>
      <c r="QK9" s="53">
        <v>3860</v>
      </c>
      <c r="QL9" s="12">
        <v>118522</v>
      </c>
      <c r="QM9" s="53">
        <v>102005</v>
      </c>
      <c r="QN9" s="53">
        <v>10208</v>
      </c>
      <c r="QO9" s="53">
        <v>2326</v>
      </c>
      <c r="QP9" s="53">
        <v>6309</v>
      </c>
      <c r="QQ9" s="12">
        <v>124989.21500000001</v>
      </c>
      <c r="QR9" s="53">
        <v>109637.22000000002</v>
      </c>
      <c r="QS9" s="53">
        <v>10616.64</v>
      </c>
      <c r="QT9" s="53">
        <v>2350.7820000000002</v>
      </c>
      <c r="QU9" s="296">
        <v>4735.3549999999959</v>
      </c>
      <c r="QV9" s="1">
        <v>133431</v>
      </c>
      <c r="QW9" s="2">
        <v>114819</v>
      </c>
      <c r="QX9" s="2">
        <v>11145</v>
      </c>
      <c r="QY9" s="2">
        <v>2945</v>
      </c>
      <c r="QZ9" s="69">
        <v>7406</v>
      </c>
      <c r="RA9" s="2">
        <v>140013</v>
      </c>
      <c r="RB9" s="2">
        <v>117656</v>
      </c>
      <c r="RC9" s="2">
        <v>11344</v>
      </c>
      <c r="RD9" s="2">
        <v>2906</v>
      </c>
      <c r="RE9" s="2">
        <v>9001</v>
      </c>
      <c r="RF9" s="2">
        <v>154406</v>
      </c>
      <c r="RG9" s="2">
        <v>128294</v>
      </c>
      <c r="RH9" s="2">
        <v>11402</v>
      </c>
      <c r="RI9" s="2">
        <v>2315</v>
      </c>
      <c r="RJ9" s="2">
        <v>13079</v>
      </c>
      <c r="RK9" s="2">
        <v>163225</v>
      </c>
      <c r="RL9" s="2">
        <v>134728</v>
      </c>
      <c r="RM9" s="2">
        <v>15583</v>
      </c>
      <c r="RN9" s="2">
        <v>3279</v>
      </c>
      <c r="RO9" s="2">
        <v>10992</v>
      </c>
    </row>
    <row r="10" spans="1:483" ht="14.25" x14ac:dyDescent="0.2">
      <c r="A10" s="221" t="s">
        <v>2</v>
      </c>
      <c r="B10" s="339" t="s">
        <v>185</v>
      </c>
      <c r="C10" s="340" t="s">
        <v>185</v>
      </c>
      <c r="D10" s="340" t="s">
        <v>185</v>
      </c>
      <c r="E10" s="340" t="s">
        <v>185</v>
      </c>
      <c r="F10" s="341" t="s">
        <v>185</v>
      </c>
      <c r="G10" s="5">
        <v>31009</v>
      </c>
      <c r="H10" s="53">
        <v>22373</v>
      </c>
      <c r="I10" s="53">
        <v>6952</v>
      </c>
      <c r="J10" s="53">
        <v>1540</v>
      </c>
      <c r="K10" s="296">
        <v>1684</v>
      </c>
      <c r="L10" s="5">
        <v>25490</v>
      </c>
      <c r="M10" s="53">
        <v>16704</v>
      </c>
      <c r="N10" s="53">
        <v>5231</v>
      </c>
      <c r="O10" s="53">
        <v>4469</v>
      </c>
      <c r="P10" s="296">
        <v>3555</v>
      </c>
      <c r="Q10" s="7">
        <v>24464</v>
      </c>
      <c r="R10" s="560">
        <v>16609</v>
      </c>
      <c r="S10" s="560">
        <v>4218</v>
      </c>
      <c r="T10" s="560">
        <v>8763</v>
      </c>
      <c r="U10" s="575">
        <v>3637</v>
      </c>
      <c r="V10" s="560">
        <v>25601</v>
      </c>
      <c r="W10" s="4">
        <v>17720</v>
      </c>
      <c r="X10" s="560">
        <v>3616</v>
      </c>
      <c r="Y10" s="560">
        <v>9426</v>
      </c>
      <c r="Z10" s="560">
        <v>4142</v>
      </c>
      <c r="AA10" s="560">
        <v>26726</v>
      </c>
      <c r="AB10" s="560">
        <v>11315</v>
      </c>
      <c r="AC10" s="560">
        <v>4074</v>
      </c>
      <c r="AD10" s="560">
        <v>9852</v>
      </c>
      <c r="AE10" s="675">
        <v>4632</v>
      </c>
      <c r="AF10" s="560">
        <v>24692</v>
      </c>
      <c r="AG10" s="560">
        <v>9485</v>
      </c>
      <c r="AH10" s="560">
        <v>3416</v>
      </c>
      <c r="AI10" s="560">
        <v>10524</v>
      </c>
      <c r="AJ10" s="560">
        <v>3292</v>
      </c>
      <c r="AK10" s="560">
        <v>22347</v>
      </c>
      <c r="AL10" s="560">
        <v>9022</v>
      </c>
      <c r="AM10" s="560">
        <v>3971</v>
      </c>
      <c r="AN10" s="560">
        <v>8455</v>
      </c>
      <c r="AO10" s="560">
        <v>2504</v>
      </c>
      <c r="AP10" s="183">
        <v>65463</v>
      </c>
      <c r="AQ10" s="53">
        <v>47769</v>
      </c>
      <c r="AR10" s="53">
        <v>16124</v>
      </c>
      <c r="AS10" s="53">
        <v>1477</v>
      </c>
      <c r="AT10" s="296">
        <v>1570</v>
      </c>
      <c r="AU10" s="5">
        <v>64046</v>
      </c>
      <c r="AV10" s="53">
        <v>43373</v>
      </c>
      <c r="AW10" s="53">
        <v>17182</v>
      </c>
      <c r="AX10" s="53">
        <v>3375</v>
      </c>
      <c r="AY10" s="296">
        <v>3491</v>
      </c>
      <c r="AZ10" s="5">
        <v>51387</v>
      </c>
      <c r="BA10" s="53">
        <v>34083</v>
      </c>
      <c r="BB10" s="53">
        <v>13847</v>
      </c>
      <c r="BC10" s="53">
        <v>5803</v>
      </c>
      <c r="BD10" s="296">
        <v>3457</v>
      </c>
      <c r="BE10" s="53">
        <v>49642</v>
      </c>
      <c r="BF10" s="53">
        <v>32552</v>
      </c>
      <c r="BG10" s="53">
        <v>13782</v>
      </c>
      <c r="BH10" s="53">
        <v>4648</v>
      </c>
      <c r="BI10" s="53">
        <v>3294</v>
      </c>
      <c r="BJ10" s="53">
        <v>48874</v>
      </c>
      <c r="BK10" s="53">
        <v>28908</v>
      </c>
      <c r="BL10" s="53">
        <v>13518</v>
      </c>
      <c r="BM10" s="53">
        <v>4712</v>
      </c>
      <c r="BN10" s="53">
        <v>3759</v>
      </c>
      <c r="BO10" s="53">
        <v>47663</v>
      </c>
      <c r="BP10" s="53">
        <v>26267</v>
      </c>
      <c r="BQ10" s="53">
        <v>12636</v>
      </c>
      <c r="BR10" s="53">
        <v>7755</v>
      </c>
      <c r="BS10" s="53">
        <v>3437</v>
      </c>
      <c r="BT10" s="53">
        <v>48247</v>
      </c>
      <c r="BU10" s="53">
        <v>27244</v>
      </c>
      <c r="BV10" s="53">
        <v>12621</v>
      </c>
      <c r="BW10" s="53">
        <v>6270</v>
      </c>
      <c r="BX10" s="53">
        <v>3668</v>
      </c>
      <c r="BY10" s="12">
        <v>77238</v>
      </c>
      <c r="BZ10" s="53">
        <v>51975</v>
      </c>
      <c r="CA10" s="53">
        <v>17878</v>
      </c>
      <c r="CB10" s="53">
        <v>14869</v>
      </c>
      <c r="CC10" s="546">
        <f t="shared" si="368"/>
        <v>7385</v>
      </c>
      <c r="CD10" s="327">
        <v>37054</v>
      </c>
      <c r="CE10" s="328">
        <v>63915</v>
      </c>
      <c r="CF10" s="328">
        <v>106502</v>
      </c>
      <c r="CG10" s="328">
        <v>156932</v>
      </c>
      <c r="CH10" s="12">
        <v>236594</v>
      </c>
      <c r="CI10" s="53"/>
      <c r="CJ10" s="53"/>
      <c r="CK10" s="53"/>
      <c r="CL10" s="296"/>
      <c r="CM10" s="5">
        <v>332027</v>
      </c>
      <c r="CN10" s="53">
        <v>285043</v>
      </c>
      <c r="CO10" s="53">
        <v>39644</v>
      </c>
      <c r="CP10" s="53">
        <v>4548</v>
      </c>
      <c r="CQ10" s="296">
        <v>7340</v>
      </c>
      <c r="CR10" s="5">
        <v>425122</v>
      </c>
      <c r="CS10" s="53">
        <v>341260</v>
      </c>
      <c r="CT10" s="53">
        <v>64412</v>
      </c>
      <c r="CU10" s="53">
        <v>10457</v>
      </c>
      <c r="CV10" s="53">
        <v>19450</v>
      </c>
      <c r="CW10" s="329">
        <v>485447</v>
      </c>
      <c r="CX10" s="53">
        <v>374192</v>
      </c>
      <c r="CY10" s="53">
        <v>85135</v>
      </c>
      <c r="CZ10" s="53">
        <v>26120</v>
      </c>
      <c r="DA10" s="53">
        <v>15004</v>
      </c>
      <c r="DB10" s="183">
        <v>497004</v>
      </c>
      <c r="DC10" s="53">
        <v>382360</v>
      </c>
      <c r="DD10" s="53">
        <v>87818</v>
      </c>
      <c r="DE10" s="53">
        <v>26826</v>
      </c>
      <c r="DF10" s="53">
        <v>16402</v>
      </c>
      <c r="DG10" s="56">
        <v>512143</v>
      </c>
      <c r="DH10" s="54">
        <v>391530</v>
      </c>
      <c r="DI10" s="54">
        <v>92165</v>
      </c>
      <c r="DJ10" s="54">
        <v>28448</v>
      </c>
      <c r="DK10" s="54">
        <v>17515</v>
      </c>
      <c r="DL10" s="12">
        <v>520158</v>
      </c>
      <c r="DM10" s="53">
        <v>394120</v>
      </c>
      <c r="DN10" s="53">
        <v>94506</v>
      </c>
      <c r="DO10" s="53">
        <v>20542</v>
      </c>
      <c r="DP10" s="53">
        <v>24857</v>
      </c>
      <c r="DQ10" s="12">
        <v>526183.11199999996</v>
      </c>
      <c r="DR10" s="53">
        <v>396083.272</v>
      </c>
      <c r="DS10" s="53">
        <v>97350.335999999981</v>
      </c>
      <c r="DT10" s="53">
        <v>21935.78</v>
      </c>
      <c r="DU10" s="581">
        <f t="shared" si="369"/>
        <v>32749.503999999986</v>
      </c>
      <c r="DV10" s="53">
        <v>535415</v>
      </c>
      <c r="DW10" s="53">
        <v>400948</v>
      </c>
      <c r="DX10" s="53">
        <v>100656</v>
      </c>
      <c r="DY10" s="53">
        <v>24225</v>
      </c>
      <c r="DZ10" s="53">
        <v>33578</v>
      </c>
      <c r="EA10" s="53">
        <v>544432</v>
      </c>
      <c r="EB10" s="53">
        <v>389823</v>
      </c>
      <c r="EC10" s="53">
        <v>103885</v>
      </c>
      <c r="ED10" s="53">
        <v>25678</v>
      </c>
      <c r="EE10" s="53">
        <v>35101</v>
      </c>
      <c r="EF10" s="53">
        <v>580281</v>
      </c>
      <c r="EG10" s="53">
        <v>410005</v>
      </c>
      <c r="EH10" s="53">
        <v>112846</v>
      </c>
      <c r="EI10" s="53">
        <v>26522</v>
      </c>
      <c r="EJ10" s="53">
        <v>38321</v>
      </c>
      <c r="EK10" s="53">
        <v>591953</v>
      </c>
      <c r="EL10" s="53">
        <v>413200</v>
      </c>
      <c r="EM10" s="53">
        <v>115428</v>
      </c>
      <c r="EN10" s="53">
        <v>31003</v>
      </c>
      <c r="EO10" s="53">
        <v>41425</v>
      </c>
      <c r="EP10" s="12"/>
      <c r="EQ10" s="53"/>
      <c r="ER10" s="53"/>
      <c r="ES10" s="53"/>
      <c r="ET10" s="296"/>
      <c r="EU10" s="5">
        <v>100275</v>
      </c>
      <c r="EV10" s="53">
        <v>85774</v>
      </c>
      <c r="EW10" s="53">
        <v>12793</v>
      </c>
      <c r="EX10" s="53">
        <v>1705</v>
      </c>
      <c r="EY10" s="296">
        <v>1708</v>
      </c>
      <c r="EZ10" s="5">
        <v>134445</v>
      </c>
      <c r="FA10" s="53">
        <v>106454</v>
      </c>
      <c r="FB10" s="53">
        <v>22957</v>
      </c>
      <c r="FC10" s="53">
        <v>3774</v>
      </c>
      <c r="FD10" s="296">
        <v>5034</v>
      </c>
      <c r="FE10" s="5">
        <v>164476</v>
      </c>
      <c r="FF10" s="53">
        <v>122228</v>
      </c>
      <c r="FG10" s="53">
        <v>35212</v>
      </c>
      <c r="FH10" s="53">
        <v>6522</v>
      </c>
      <c r="FI10" s="296">
        <v>7036</v>
      </c>
      <c r="FJ10" s="5">
        <v>163527.09100000001</v>
      </c>
      <c r="FK10" s="53">
        <v>120527.60199999998</v>
      </c>
      <c r="FL10" s="53">
        <v>35525.951999999997</v>
      </c>
      <c r="FM10" s="53">
        <v>7618.6349999999993</v>
      </c>
      <c r="FN10" s="296">
        <v>7473.537000000033</v>
      </c>
      <c r="FO10" s="53">
        <v>165547</v>
      </c>
      <c r="FP10" s="53">
        <v>121955</v>
      </c>
      <c r="FQ10" s="53">
        <v>35446</v>
      </c>
      <c r="FR10" s="53">
        <v>8323</v>
      </c>
      <c r="FS10" s="618">
        <v>7939</v>
      </c>
      <c r="FT10" s="618">
        <v>167694</v>
      </c>
      <c r="FU10" s="618">
        <v>116198</v>
      </c>
      <c r="FV10" s="618">
        <v>37639</v>
      </c>
      <c r="FW10" s="618">
        <v>8627</v>
      </c>
      <c r="FX10" s="618">
        <v>8323</v>
      </c>
      <c r="FY10" s="618">
        <v>183542</v>
      </c>
      <c r="FZ10" s="618">
        <v>126793</v>
      </c>
      <c r="GA10" s="618">
        <v>41681</v>
      </c>
      <c r="GB10" s="618">
        <v>8360</v>
      </c>
      <c r="GC10" s="618">
        <v>8294</v>
      </c>
      <c r="GD10" s="618">
        <v>174410</v>
      </c>
      <c r="GE10" s="618">
        <v>120937</v>
      </c>
      <c r="GF10" s="618">
        <v>37088</v>
      </c>
      <c r="GG10" s="618">
        <v>8065</v>
      </c>
      <c r="GH10" s="618">
        <v>9339</v>
      </c>
      <c r="GI10" s="12">
        <v>27655</v>
      </c>
      <c r="GJ10" s="53">
        <v>24444</v>
      </c>
      <c r="GK10" s="53">
        <v>2697</v>
      </c>
      <c r="GL10" s="53">
        <v>550</v>
      </c>
      <c r="GM10" s="296">
        <v>514</v>
      </c>
      <c r="GN10" s="5">
        <v>33831</v>
      </c>
      <c r="GO10" s="53">
        <v>28192</v>
      </c>
      <c r="GP10" s="53">
        <v>4300</v>
      </c>
      <c r="GQ10" s="53">
        <v>886</v>
      </c>
      <c r="GR10" s="296">
        <v>1339</v>
      </c>
      <c r="GS10" s="183">
        <v>43249</v>
      </c>
      <c r="GT10" s="53">
        <v>34279</v>
      </c>
      <c r="GU10" s="53">
        <v>7351</v>
      </c>
      <c r="GV10" s="53">
        <v>1190</v>
      </c>
      <c r="GW10" s="53">
        <v>1619</v>
      </c>
      <c r="GX10" s="183"/>
      <c r="GY10" s="53"/>
      <c r="GZ10" s="53"/>
      <c r="HA10" s="53"/>
      <c r="HB10" s="296"/>
      <c r="HC10" s="53">
        <v>43213</v>
      </c>
      <c r="HD10" s="53">
        <v>33704</v>
      </c>
      <c r="HE10" s="53">
        <v>7037</v>
      </c>
      <c r="HF10" s="53">
        <v>1949</v>
      </c>
      <c r="HG10" s="53">
        <v>2390</v>
      </c>
      <c r="HH10" s="53">
        <v>44666</v>
      </c>
      <c r="HI10" s="53">
        <v>33241</v>
      </c>
      <c r="HJ10" s="53">
        <v>7587</v>
      </c>
      <c r="HK10" s="53">
        <v>2071</v>
      </c>
      <c r="HL10" s="53">
        <v>2378</v>
      </c>
      <c r="HM10" s="53">
        <v>52556</v>
      </c>
      <c r="HN10" s="53">
        <v>39620</v>
      </c>
      <c r="HO10" s="53">
        <v>9067</v>
      </c>
      <c r="HP10" s="53">
        <v>1750</v>
      </c>
      <c r="HQ10" s="53">
        <v>1790</v>
      </c>
      <c r="HR10" s="53">
        <v>52228</v>
      </c>
      <c r="HS10" s="53">
        <v>38607</v>
      </c>
      <c r="HT10" s="53">
        <v>8664</v>
      </c>
      <c r="HU10" s="53">
        <v>1860</v>
      </c>
      <c r="HV10" s="53">
        <v>3190</v>
      </c>
      <c r="HW10" s="569">
        <f t="shared" si="370"/>
        <v>119377</v>
      </c>
      <c r="HX10" s="546">
        <f t="shared" si="371"/>
        <v>106062</v>
      </c>
      <c r="HY10" s="546">
        <f t="shared" si="372"/>
        <v>9327</v>
      </c>
      <c r="HZ10" s="546">
        <f t="shared" si="373"/>
        <v>1798</v>
      </c>
      <c r="IA10" s="546">
        <f t="shared" si="374"/>
        <v>3988</v>
      </c>
      <c r="IB10" s="569">
        <f t="shared" si="375"/>
        <v>162748</v>
      </c>
      <c r="IC10" s="546">
        <f t="shared" si="376"/>
        <v>135536</v>
      </c>
      <c r="ID10" s="546">
        <f t="shared" si="377"/>
        <v>16843</v>
      </c>
      <c r="IE10" s="546">
        <f t="shared" si="378"/>
        <v>3348</v>
      </c>
      <c r="IF10" s="546">
        <f t="shared" si="379"/>
        <v>10369</v>
      </c>
      <c r="IG10" s="183">
        <v>177301</v>
      </c>
      <c r="IH10" s="53">
        <v>138657</v>
      </c>
      <c r="II10" s="53">
        <v>23758</v>
      </c>
      <c r="IJ10" s="53">
        <v>4841</v>
      </c>
      <c r="IK10" s="53">
        <v>14886</v>
      </c>
      <c r="IL10" s="559"/>
      <c r="IM10" s="560"/>
      <c r="IN10" s="560"/>
      <c r="IO10" s="560"/>
      <c r="IP10" s="560"/>
      <c r="IQ10" s="560">
        <v>218081</v>
      </c>
      <c r="IR10" s="560">
        <v>168880</v>
      </c>
      <c r="IS10" s="560">
        <v>29475</v>
      </c>
      <c r="IT10" s="560">
        <v>7546</v>
      </c>
      <c r="IU10" s="575">
        <v>19638</v>
      </c>
      <c r="IV10" s="560">
        <v>226527</v>
      </c>
      <c r="IW10" s="560">
        <v>169264</v>
      </c>
      <c r="IX10" s="560">
        <v>31389</v>
      </c>
      <c r="IY10" s="560">
        <v>8131</v>
      </c>
      <c r="IZ10" s="560">
        <v>20731</v>
      </c>
      <c r="JA10" s="559">
        <v>254485</v>
      </c>
      <c r="JB10" s="560">
        <v>185608</v>
      </c>
      <c r="JC10" s="560">
        <v>38616</v>
      </c>
      <c r="JD10" s="560">
        <v>7959</v>
      </c>
      <c r="JE10" s="560">
        <v>23892</v>
      </c>
      <c r="JF10" s="559">
        <v>257297</v>
      </c>
      <c r="JG10" s="560">
        <v>190463</v>
      </c>
      <c r="JH10" s="560">
        <v>36170</v>
      </c>
      <c r="JI10" s="560">
        <v>9232</v>
      </c>
      <c r="JJ10" s="560">
        <v>24307</v>
      </c>
      <c r="JK10" s="12">
        <v>58615</v>
      </c>
      <c r="JL10" s="5">
        <v>52744</v>
      </c>
      <c r="JM10" s="5">
        <v>4264</v>
      </c>
      <c r="JN10" s="5">
        <v>754</v>
      </c>
      <c r="JO10" s="5">
        <v>1607</v>
      </c>
      <c r="JP10" s="12">
        <v>80376</v>
      </c>
      <c r="JQ10" s="53">
        <v>67664</v>
      </c>
      <c r="JR10" s="53">
        <v>8204</v>
      </c>
      <c r="JS10" s="53">
        <v>1571</v>
      </c>
      <c r="JT10" s="53">
        <v>4508</v>
      </c>
      <c r="JU10" s="183">
        <v>100480</v>
      </c>
      <c r="JV10" s="53">
        <v>78339</v>
      </c>
      <c r="JW10" s="53">
        <v>13637</v>
      </c>
      <c r="JX10" s="53">
        <v>2583</v>
      </c>
      <c r="JY10" s="53">
        <v>8504</v>
      </c>
      <c r="JZ10" s="183">
        <v>101978.14899999999</v>
      </c>
      <c r="KA10" s="53">
        <v>80650.44</v>
      </c>
      <c r="KB10" s="53">
        <v>12918.527999999998</v>
      </c>
      <c r="KC10" s="53">
        <v>3165.2299999999996</v>
      </c>
      <c r="KD10" s="53">
        <v>8409.1809999999896</v>
      </c>
      <c r="KE10" s="53">
        <v>108054</v>
      </c>
      <c r="KF10" s="53">
        <v>81926</v>
      </c>
      <c r="KG10" s="53">
        <v>14843</v>
      </c>
      <c r="KH10" s="53">
        <v>3847</v>
      </c>
      <c r="KI10" s="53">
        <v>8982</v>
      </c>
      <c r="KJ10" s="53">
        <v>117581</v>
      </c>
      <c r="KK10" s="53">
        <v>86355</v>
      </c>
      <c r="KL10" s="53">
        <v>17725</v>
      </c>
      <c r="KM10" s="53">
        <v>4071</v>
      </c>
      <c r="KN10" s="53">
        <v>10845</v>
      </c>
      <c r="KO10" s="53">
        <v>121717</v>
      </c>
      <c r="KP10" s="53">
        <v>91557</v>
      </c>
      <c r="KQ10" s="53">
        <v>17535</v>
      </c>
      <c r="KR10" s="53">
        <v>4571</v>
      </c>
      <c r="KS10" s="53">
        <v>10101</v>
      </c>
      <c r="KT10" s="330">
        <v>8184</v>
      </c>
      <c r="KU10" s="331">
        <v>13810</v>
      </c>
      <c r="KV10" s="316">
        <v>24763</v>
      </c>
      <c r="KW10" s="332">
        <f t="shared" si="327"/>
        <v>16119</v>
      </c>
      <c r="KX10" s="332">
        <f t="shared" si="328"/>
        <v>8644</v>
      </c>
      <c r="KY10" s="332">
        <f t="shared" si="329"/>
        <v>23785</v>
      </c>
      <c r="KZ10" s="318">
        <v>15685</v>
      </c>
      <c r="LA10" s="318">
        <v>8100</v>
      </c>
      <c r="LB10" s="332">
        <f t="shared" si="330"/>
        <v>978</v>
      </c>
      <c r="LC10" s="318">
        <v>434</v>
      </c>
      <c r="LD10" s="318">
        <v>544</v>
      </c>
      <c r="LE10" s="316">
        <v>37443</v>
      </c>
      <c r="LF10" s="332">
        <f t="shared" si="331"/>
        <v>23539</v>
      </c>
      <c r="LG10" s="332">
        <f t="shared" si="332"/>
        <v>13904</v>
      </c>
      <c r="LH10" s="332">
        <f t="shared" si="333"/>
        <v>35423</v>
      </c>
      <c r="LI10" s="318">
        <v>22532</v>
      </c>
      <c r="LJ10" s="318">
        <v>12891</v>
      </c>
      <c r="LK10" s="332">
        <f t="shared" si="334"/>
        <v>1622</v>
      </c>
      <c r="LL10" s="318">
        <v>760</v>
      </c>
      <c r="LM10" s="318">
        <v>862</v>
      </c>
      <c r="LN10" s="332">
        <f t="shared" si="335"/>
        <v>398</v>
      </c>
      <c r="LO10" s="318">
        <v>247</v>
      </c>
      <c r="LP10" s="318">
        <v>151</v>
      </c>
      <c r="LQ10" s="316">
        <v>60206</v>
      </c>
      <c r="LR10" s="332">
        <f t="shared" si="336"/>
        <v>35708</v>
      </c>
      <c r="LS10" s="332">
        <f t="shared" si="337"/>
        <v>24498</v>
      </c>
      <c r="LT10" s="342">
        <f>+LU10+LV10</f>
        <v>54007</v>
      </c>
      <c r="LU10" s="318">
        <v>32636</v>
      </c>
      <c r="LV10" s="318">
        <v>21371</v>
      </c>
      <c r="LW10" s="318">
        <v>3072</v>
      </c>
      <c r="LX10" s="318">
        <v>3127</v>
      </c>
      <c r="LY10" s="342">
        <f>+LZ10+MA10</f>
        <v>3994</v>
      </c>
      <c r="LZ10" s="318">
        <v>1843</v>
      </c>
      <c r="MA10" s="318">
        <v>2151</v>
      </c>
      <c r="MB10" s="342">
        <f>+MC10+MD10</f>
        <v>673</v>
      </c>
      <c r="MC10" s="318">
        <v>360</v>
      </c>
      <c r="MD10" s="318">
        <v>313</v>
      </c>
      <c r="ME10" s="333">
        <f t="shared" si="338"/>
        <v>1532</v>
      </c>
      <c r="MF10" s="333">
        <f t="shared" si="339"/>
        <v>869</v>
      </c>
      <c r="MG10" s="333">
        <f t="shared" si="340"/>
        <v>663</v>
      </c>
      <c r="MH10" s="334">
        <f t="shared" si="341"/>
        <v>98</v>
      </c>
      <c r="MI10" s="334">
        <f t="shared" si="342"/>
        <v>46</v>
      </c>
      <c r="MJ10" s="334">
        <f t="shared" si="343"/>
        <v>52</v>
      </c>
      <c r="MK10" s="318">
        <v>1434</v>
      </c>
      <c r="ML10" s="318">
        <v>823</v>
      </c>
      <c r="MM10" s="318">
        <v>611</v>
      </c>
      <c r="MN10" s="14">
        <f t="shared" si="344"/>
        <v>91722</v>
      </c>
      <c r="MO10" s="332">
        <f t="shared" si="345"/>
        <v>50261</v>
      </c>
      <c r="MP10" s="332">
        <f t="shared" si="346"/>
        <v>41461</v>
      </c>
      <c r="MQ10" s="13">
        <f t="shared" si="347"/>
        <v>81618</v>
      </c>
      <c r="MR10" s="136">
        <f t="shared" si="348"/>
        <v>80699</v>
      </c>
      <c r="MS10" s="318">
        <v>44677</v>
      </c>
      <c r="MT10" s="318">
        <v>36022</v>
      </c>
      <c r="MU10" s="318">
        <v>5584</v>
      </c>
      <c r="MV10" s="318">
        <v>5439</v>
      </c>
      <c r="MW10" s="13">
        <f t="shared" si="349"/>
        <v>6630</v>
      </c>
      <c r="MX10" s="136">
        <f t="shared" si="350"/>
        <v>6588</v>
      </c>
      <c r="MY10" s="318">
        <v>3030</v>
      </c>
      <c r="MZ10" s="318">
        <v>3558</v>
      </c>
      <c r="NA10" s="13">
        <f t="shared" si="351"/>
        <v>1248</v>
      </c>
      <c r="NB10" s="318">
        <v>696</v>
      </c>
      <c r="NC10" s="318">
        <v>552</v>
      </c>
      <c r="ND10" s="11">
        <f t="shared" si="352"/>
        <v>3474</v>
      </c>
      <c r="NE10" s="335">
        <f t="shared" si="353"/>
        <v>1858</v>
      </c>
      <c r="NF10" s="335">
        <f t="shared" si="354"/>
        <v>1329</v>
      </c>
      <c r="NG10" s="336">
        <f t="shared" si="355"/>
        <v>26</v>
      </c>
      <c r="NH10" s="336">
        <f t="shared" si="356"/>
        <v>17</v>
      </c>
      <c r="NI10" s="336">
        <f t="shared" si="357"/>
        <v>9</v>
      </c>
      <c r="NJ10" s="337">
        <f t="shared" si="358"/>
        <v>3161</v>
      </c>
      <c r="NK10" s="337">
        <f t="shared" si="359"/>
        <v>1841</v>
      </c>
      <c r="NL10" s="337">
        <f t="shared" si="360"/>
        <v>1320</v>
      </c>
      <c r="NM10" s="318">
        <v>91</v>
      </c>
      <c r="NN10" s="318">
        <v>58</v>
      </c>
      <c r="NO10" s="318">
        <v>1750</v>
      </c>
      <c r="NP10" s="318">
        <v>1262</v>
      </c>
      <c r="NQ10" s="338">
        <v>128917</v>
      </c>
      <c r="NR10" s="318">
        <v>65424</v>
      </c>
      <c r="NS10" s="318">
        <v>63493</v>
      </c>
      <c r="NT10" s="7">
        <f t="shared" si="361"/>
        <v>107344</v>
      </c>
      <c r="NU10" s="7">
        <v>55254</v>
      </c>
      <c r="NV10" s="7">
        <v>52090</v>
      </c>
      <c r="NW10" s="125">
        <f t="shared" si="362"/>
        <v>105775</v>
      </c>
      <c r="NX10" s="318">
        <v>54449</v>
      </c>
      <c r="NY10" s="318">
        <v>51326</v>
      </c>
      <c r="NZ10" s="7">
        <f t="shared" si="363"/>
        <v>12543</v>
      </c>
      <c r="OA10" s="318">
        <v>5365</v>
      </c>
      <c r="OB10" s="318">
        <v>7178</v>
      </c>
      <c r="OC10" s="7">
        <f t="shared" si="364"/>
        <v>2462</v>
      </c>
      <c r="OD10" s="318">
        <v>1205</v>
      </c>
      <c r="OE10" s="318">
        <v>1257</v>
      </c>
      <c r="OF10" s="125">
        <f t="shared" si="365"/>
        <v>9030</v>
      </c>
      <c r="OG10" s="125">
        <f t="shared" si="366"/>
        <v>4805</v>
      </c>
      <c r="OH10" s="125">
        <f t="shared" si="367"/>
        <v>4225</v>
      </c>
      <c r="OI10" s="326">
        <v>150334</v>
      </c>
      <c r="OJ10" s="318">
        <v>119867</v>
      </c>
      <c r="OK10" s="318">
        <v>18230</v>
      </c>
      <c r="OL10" s="318">
        <v>12237</v>
      </c>
      <c r="OM10" s="7">
        <v>3259</v>
      </c>
      <c r="ON10" s="183">
        <v>153655</v>
      </c>
      <c r="OO10" s="53">
        <v>121031</v>
      </c>
      <c r="OP10" s="53">
        <v>19477</v>
      </c>
      <c r="OQ10" s="53">
        <v>13147</v>
      </c>
      <c r="OR10" s="53">
        <v>3399</v>
      </c>
      <c r="OS10" s="183">
        <v>161508</v>
      </c>
      <c r="OT10" s="53">
        <v>127556</v>
      </c>
      <c r="OU10" s="53">
        <v>19482</v>
      </c>
      <c r="OV10" s="53">
        <v>14470</v>
      </c>
      <c r="OW10" s="53">
        <v>3609</v>
      </c>
      <c r="OX10" s="183">
        <v>167172</v>
      </c>
      <c r="OY10" s="53">
        <v>129226</v>
      </c>
      <c r="OZ10" s="53">
        <v>21165</v>
      </c>
      <c r="PA10" s="53">
        <v>16781</v>
      </c>
      <c r="PB10" s="53">
        <v>4691</v>
      </c>
      <c r="PC10" s="12">
        <v>171371.56400000001</v>
      </c>
      <c r="PD10" s="53">
        <v>133521.28400000001</v>
      </c>
      <c r="PE10" s="53">
        <v>20531.232</v>
      </c>
      <c r="PF10" s="53">
        <v>5005.4799999999996</v>
      </c>
      <c r="PG10" s="53">
        <v>17319.047999999999</v>
      </c>
      <c r="PH10" s="53">
        <v>174868</v>
      </c>
      <c r="PI10" s="53">
        <v>135176</v>
      </c>
      <c r="PJ10" s="53">
        <v>22438</v>
      </c>
      <c r="PK10" s="53">
        <v>5597</v>
      </c>
      <c r="PL10" s="2">
        <v>17248</v>
      </c>
      <c r="PM10" s="2">
        <v>181861</v>
      </c>
      <c r="PN10" s="2">
        <v>136023</v>
      </c>
      <c r="PO10" s="2">
        <v>23802</v>
      </c>
      <c r="PP10" s="2">
        <v>6060</v>
      </c>
      <c r="PQ10" s="2">
        <v>18353</v>
      </c>
      <c r="PR10" s="2">
        <v>201929</v>
      </c>
      <c r="PS10" s="2">
        <v>145988</v>
      </c>
      <c r="PT10" s="2">
        <v>29549</v>
      </c>
      <c r="PU10" s="2">
        <v>6209</v>
      </c>
      <c r="PV10" s="2">
        <v>22102</v>
      </c>
      <c r="PW10" s="2">
        <v>205069</v>
      </c>
      <c r="PX10" s="2">
        <v>151856</v>
      </c>
      <c r="PY10" s="2">
        <v>27506</v>
      </c>
      <c r="PZ10" s="2">
        <v>7372</v>
      </c>
      <c r="QA10" s="2">
        <v>21117</v>
      </c>
      <c r="QB10" s="12">
        <v>33107</v>
      </c>
      <c r="QC10" s="5">
        <v>28874</v>
      </c>
      <c r="QD10" s="5">
        <v>2366</v>
      </c>
      <c r="QE10" s="5">
        <v>494</v>
      </c>
      <c r="QF10" s="5">
        <v>1867</v>
      </c>
      <c r="QG10" s="12">
        <v>48541</v>
      </c>
      <c r="QH10" s="53">
        <v>39680</v>
      </c>
      <c r="QI10" s="53">
        <v>4339</v>
      </c>
      <c r="QJ10" s="53">
        <v>891</v>
      </c>
      <c r="QK10" s="53">
        <v>4522</v>
      </c>
      <c r="QL10" s="12">
        <v>66692</v>
      </c>
      <c r="QM10" s="53">
        <v>50887</v>
      </c>
      <c r="QN10" s="53">
        <v>7528</v>
      </c>
      <c r="QO10" s="53">
        <v>2108</v>
      </c>
      <c r="QP10" s="53">
        <v>8277</v>
      </c>
      <c r="QQ10" s="12">
        <v>69393.415000000008</v>
      </c>
      <c r="QR10" s="53">
        <v>52870.844000000005</v>
      </c>
      <c r="QS10" s="53">
        <v>7612.7040000000006</v>
      </c>
      <c r="QT10" s="53">
        <v>1840.25</v>
      </c>
      <c r="QU10" s="296">
        <v>8909.867000000002</v>
      </c>
      <c r="QV10" s="1">
        <v>70141</v>
      </c>
      <c r="QW10" s="2">
        <v>53255</v>
      </c>
      <c r="QX10" s="2">
        <v>8066</v>
      </c>
      <c r="QY10" s="2">
        <v>2111</v>
      </c>
      <c r="QZ10" s="69">
        <v>8817</v>
      </c>
      <c r="RA10" s="2">
        <v>73807</v>
      </c>
      <c r="RB10" s="2">
        <v>54097</v>
      </c>
      <c r="RC10" s="2">
        <v>8959</v>
      </c>
      <c r="RD10" s="2">
        <v>2213</v>
      </c>
      <c r="RE10" s="2">
        <v>9371</v>
      </c>
      <c r="RF10" s="2">
        <v>84348</v>
      </c>
      <c r="RG10" s="2">
        <v>59633</v>
      </c>
      <c r="RH10" s="2">
        <v>11824</v>
      </c>
      <c r="RI10" s="2">
        <v>2138</v>
      </c>
      <c r="RJ10" s="2">
        <v>11257</v>
      </c>
      <c r="RK10" s="2">
        <v>83352</v>
      </c>
      <c r="RL10" s="2">
        <v>60299</v>
      </c>
      <c r="RM10" s="2">
        <v>9971</v>
      </c>
      <c r="RN10" s="2">
        <v>2801</v>
      </c>
      <c r="RO10" s="2">
        <v>11016</v>
      </c>
    </row>
    <row r="11" spans="1:483" ht="14.25" x14ac:dyDescent="0.2">
      <c r="A11" s="216" t="s">
        <v>3</v>
      </c>
      <c r="B11" s="183">
        <f>112266+202412+211308+104592+218125+252726</f>
        <v>1101429</v>
      </c>
      <c r="C11" s="53">
        <f>42745+40990+19321+33916+47498+26420</f>
        <v>210890</v>
      </c>
      <c r="D11" s="53">
        <f>48211+121779+170897+44131+117459+198912</f>
        <v>701389</v>
      </c>
      <c r="E11" s="53">
        <f>20245+38041+20109+24680+50735+25765</f>
        <v>179575</v>
      </c>
      <c r="F11" s="296">
        <f>401+627+422+449+711+387+325+497+429+1275+1659+1025</f>
        <v>8207</v>
      </c>
      <c r="G11" s="5">
        <v>842811</v>
      </c>
      <c r="H11" s="53">
        <v>621611</v>
      </c>
      <c r="I11" s="53">
        <v>169036</v>
      </c>
      <c r="J11" s="53">
        <v>246176</v>
      </c>
      <c r="K11" s="296">
        <v>52164</v>
      </c>
      <c r="L11" s="5">
        <v>739222</v>
      </c>
      <c r="M11" s="53">
        <v>499052</v>
      </c>
      <c r="N11" s="53">
        <v>132776</v>
      </c>
      <c r="O11" s="53">
        <v>316664</v>
      </c>
      <c r="P11" s="296">
        <v>107394</v>
      </c>
      <c r="Q11" s="7">
        <v>747311</v>
      </c>
      <c r="R11" s="560">
        <v>508496</v>
      </c>
      <c r="S11" s="560">
        <v>138530</v>
      </c>
      <c r="T11" s="560">
        <v>385590</v>
      </c>
      <c r="U11" s="575">
        <v>100285</v>
      </c>
      <c r="V11" s="560">
        <v>742205</v>
      </c>
      <c r="W11" s="4">
        <v>505485</v>
      </c>
      <c r="X11" s="560">
        <v>133186</v>
      </c>
      <c r="Y11" s="560">
        <v>391917</v>
      </c>
      <c r="Z11" s="560">
        <v>103534</v>
      </c>
      <c r="AA11" s="560">
        <v>736482</v>
      </c>
      <c r="AB11" s="560">
        <v>189451</v>
      </c>
      <c r="AC11" s="560">
        <v>129925</v>
      </c>
      <c r="AD11" s="560">
        <v>389083</v>
      </c>
      <c r="AE11" s="675">
        <v>97265</v>
      </c>
      <c r="AF11" s="560">
        <v>750053</v>
      </c>
      <c r="AG11" s="560">
        <v>167139</v>
      </c>
      <c r="AH11" s="560">
        <v>136980</v>
      </c>
      <c r="AI11" s="560">
        <v>416829</v>
      </c>
      <c r="AJ11" s="560">
        <v>95033</v>
      </c>
      <c r="AK11" s="560">
        <v>762762</v>
      </c>
      <c r="AL11" s="560">
        <v>178953</v>
      </c>
      <c r="AM11" s="560">
        <v>138968</v>
      </c>
      <c r="AN11" s="560">
        <v>412322</v>
      </c>
      <c r="AO11" s="560">
        <v>102673</v>
      </c>
      <c r="AP11" s="183">
        <v>1428263</v>
      </c>
      <c r="AQ11" s="53">
        <v>1145047</v>
      </c>
      <c r="AR11" s="53">
        <v>243793</v>
      </c>
      <c r="AS11" s="53">
        <v>180155</v>
      </c>
      <c r="AT11" s="296">
        <v>39423</v>
      </c>
      <c r="AU11" s="5">
        <v>1480726</v>
      </c>
      <c r="AV11" s="53">
        <v>1081943</v>
      </c>
      <c r="AW11" s="53">
        <v>290662</v>
      </c>
      <c r="AX11" s="53">
        <v>305342</v>
      </c>
      <c r="AY11" s="296">
        <v>108121</v>
      </c>
      <c r="AZ11" s="5">
        <v>1137501</v>
      </c>
      <c r="BA11" s="53">
        <v>811333</v>
      </c>
      <c r="BB11" s="53">
        <v>249002</v>
      </c>
      <c r="BC11" s="53">
        <v>288573</v>
      </c>
      <c r="BD11" s="296">
        <v>77166</v>
      </c>
      <c r="BE11" s="53">
        <v>1126188</v>
      </c>
      <c r="BF11" s="53">
        <v>802286</v>
      </c>
      <c r="BG11" s="53">
        <v>247203</v>
      </c>
      <c r="BH11" s="53">
        <v>300662</v>
      </c>
      <c r="BI11" s="53">
        <v>76699</v>
      </c>
      <c r="BJ11" s="53">
        <v>1104117</v>
      </c>
      <c r="BK11" s="53">
        <v>537203</v>
      </c>
      <c r="BL11" s="53">
        <v>242222</v>
      </c>
      <c r="BM11" s="53">
        <v>296671</v>
      </c>
      <c r="BN11" s="53">
        <v>75205</v>
      </c>
      <c r="BO11" s="53">
        <v>1031199</v>
      </c>
      <c r="BP11" s="53">
        <v>465023</v>
      </c>
      <c r="BQ11" s="53">
        <v>238678</v>
      </c>
      <c r="BR11" s="53">
        <v>301440</v>
      </c>
      <c r="BS11" s="53">
        <v>71033</v>
      </c>
      <c r="BT11" s="53">
        <v>1092451</v>
      </c>
      <c r="BU11" s="53">
        <v>487085</v>
      </c>
      <c r="BV11" s="53">
        <v>249974</v>
      </c>
      <c r="BW11" s="53">
        <v>320927</v>
      </c>
      <c r="BX11" s="53">
        <v>88084</v>
      </c>
      <c r="BY11" s="12">
        <v>1886334</v>
      </c>
      <c r="BZ11" s="53">
        <v>1310356</v>
      </c>
      <c r="CA11" s="53">
        <v>387161</v>
      </c>
      <c r="CB11" s="53">
        <v>688242</v>
      </c>
      <c r="CC11" s="546">
        <f t="shared" si="368"/>
        <v>188817</v>
      </c>
      <c r="CD11" s="327">
        <v>283268</v>
      </c>
      <c r="CE11" s="328">
        <v>569215</v>
      </c>
      <c r="CF11" s="328">
        <v>1210958</v>
      </c>
      <c r="CG11" s="328">
        <v>2085344</v>
      </c>
      <c r="CH11" s="12">
        <f>2189572+1047471+930134</f>
        <v>4167177</v>
      </c>
      <c r="CI11" s="53">
        <v>3564949.9339999999</v>
      </c>
      <c r="CJ11" s="53">
        <v>283553.55599999998</v>
      </c>
      <c r="CK11" s="53">
        <v>281956.53000000003</v>
      </c>
      <c r="CL11" s="296">
        <v>32831.191999999995</v>
      </c>
      <c r="CM11" s="5">
        <v>6616094</v>
      </c>
      <c r="CN11" s="53">
        <v>5924776</v>
      </c>
      <c r="CO11" s="53">
        <v>533945</v>
      </c>
      <c r="CP11" s="53">
        <v>569794</v>
      </c>
      <c r="CQ11" s="296">
        <v>157373</v>
      </c>
      <c r="CR11" s="5">
        <v>8804697</v>
      </c>
      <c r="CS11" s="53">
        <v>7471323</v>
      </c>
      <c r="CT11" s="53">
        <v>861576</v>
      </c>
      <c r="CU11" s="53">
        <v>1073491</v>
      </c>
      <c r="CV11" s="53">
        <v>471798</v>
      </c>
      <c r="CW11" s="329">
        <v>10480188</v>
      </c>
      <c r="CX11" s="53">
        <v>8598660</v>
      </c>
      <c r="CY11" s="53">
        <v>1207451</v>
      </c>
      <c r="CZ11" s="53">
        <v>674077</v>
      </c>
      <c r="DA11" s="53">
        <v>1661413</v>
      </c>
      <c r="DB11" s="183">
        <v>10669961</v>
      </c>
      <c r="DC11" s="53">
        <v>8762953</v>
      </c>
      <c r="DD11" s="53">
        <v>1249179</v>
      </c>
      <c r="DE11" s="53">
        <v>657829</v>
      </c>
      <c r="DF11" s="53">
        <v>1734512</v>
      </c>
      <c r="DG11" s="56">
        <v>10801622</v>
      </c>
      <c r="DH11" s="54">
        <v>8874956</v>
      </c>
      <c r="DI11" s="54">
        <v>1285646</v>
      </c>
      <c r="DJ11" s="54">
        <v>641020</v>
      </c>
      <c r="DK11" s="54">
        <v>1793917</v>
      </c>
      <c r="DL11" s="12">
        <v>11046336</v>
      </c>
      <c r="DM11" s="53">
        <v>9060876</v>
      </c>
      <c r="DN11" s="53">
        <v>1347771</v>
      </c>
      <c r="DO11" s="53">
        <v>1919541</v>
      </c>
      <c r="DP11" s="53">
        <v>502048</v>
      </c>
      <c r="DQ11" s="12">
        <v>11226306.637</v>
      </c>
      <c r="DR11" s="53">
        <v>9172493.7499999981</v>
      </c>
      <c r="DS11" s="53">
        <v>1388805.412</v>
      </c>
      <c r="DT11" s="53">
        <v>1987065.6120000002</v>
      </c>
      <c r="DU11" s="581">
        <f t="shared" si="369"/>
        <v>665007.47500000196</v>
      </c>
      <c r="DV11" s="53">
        <v>11439406</v>
      </c>
      <c r="DW11" s="53">
        <v>9331736</v>
      </c>
      <c r="DX11" s="53">
        <v>1442085</v>
      </c>
      <c r="DY11" s="53">
        <v>2079979</v>
      </c>
      <c r="DZ11" s="53">
        <v>665585</v>
      </c>
      <c r="EA11" s="53">
        <v>11682413</v>
      </c>
      <c r="EB11" s="53">
        <v>7601252</v>
      </c>
      <c r="EC11" s="53">
        <v>1497280</v>
      </c>
      <c r="ED11" s="53">
        <v>2182509</v>
      </c>
      <c r="EE11" s="53">
        <v>697280</v>
      </c>
      <c r="EF11" s="53">
        <v>12613029</v>
      </c>
      <c r="EG11" s="53">
        <v>7974541</v>
      </c>
      <c r="EH11" s="53">
        <v>1660852</v>
      </c>
      <c r="EI11" s="53">
        <v>2517399</v>
      </c>
      <c r="EJ11" s="53">
        <v>819490</v>
      </c>
      <c r="EK11" s="53">
        <v>12848458</v>
      </c>
      <c r="EL11" s="53">
        <v>8061167</v>
      </c>
      <c r="EM11" s="53">
        <v>1693559</v>
      </c>
      <c r="EN11" s="53">
        <v>2622922</v>
      </c>
      <c r="EO11" s="53">
        <v>845484</v>
      </c>
      <c r="EP11" s="12">
        <f>511071+536400</f>
        <v>1047471</v>
      </c>
      <c r="EQ11" s="53">
        <f>455294+436962</f>
        <v>892256</v>
      </c>
      <c r="ER11" s="53">
        <f>32054+39253</f>
        <v>71307</v>
      </c>
      <c r="ES11" s="53">
        <f>37492+37601</f>
        <v>75093</v>
      </c>
      <c r="ET11" s="296">
        <f>1381+2533+1073+2744</f>
        <v>7731</v>
      </c>
      <c r="EU11" s="5">
        <v>2312404</v>
      </c>
      <c r="EV11" s="53">
        <v>2065208</v>
      </c>
      <c r="EW11" s="53">
        <v>191516</v>
      </c>
      <c r="EX11" s="53">
        <v>215930</v>
      </c>
      <c r="EY11" s="296">
        <v>55680</v>
      </c>
      <c r="EZ11" s="5">
        <v>3176621</v>
      </c>
      <c r="FA11" s="53">
        <v>2679790</v>
      </c>
      <c r="FB11" s="53">
        <v>328348</v>
      </c>
      <c r="FC11" s="53">
        <v>400615</v>
      </c>
      <c r="FD11" s="296">
        <v>168483</v>
      </c>
      <c r="FE11" s="5">
        <v>3849546</v>
      </c>
      <c r="FF11" s="53">
        <v>3133382</v>
      </c>
      <c r="FG11" s="53">
        <v>508476</v>
      </c>
      <c r="FH11" s="53">
        <v>651129</v>
      </c>
      <c r="FI11" s="296">
        <v>207688</v>
      </c>
      <c r="FJ11" s="5">
        <v>3903663.2179999999</v>
      </c>
      <c r="FK11" s="53">
        <v>3165820.6999999997</v>
      </c>
      <c r="FL11" s="53">
        <v>523909.97</v>
      </c>
      <c r="FM11" s="53">
        <v>672174.48600000003</v>
      </c>
      <c r="FN11" s="296">
        <v>213932.54800000018</v>
      </c>
      <c r="FO11" s="53">
        <v>3965685</v>
      </c>
      <c r="FP11" s="53">
        <v>3198742</v>
      </c>
      <c r="FQ11" s="53">
        <v>545934</v>
      </c>
      <c r="FR11" s="53">
        <v>701570</v>
      </c>
      <c r="FS11" s="618">
        <v>221009</v>
      </c>
      <c r="FT11" s="618">
        <v>4045307</v>
      </c>
      <c r="FU11" s="618">
        <v>2623591</v>
      </c>
      <c r="FV11" s="618">
        <v>564457</v>
      </c>
      <c r="FW11" s="618">
        <v>738199</v>
      </c>
      <c r="FX11" s="618">
        <v>229714</v>
      </c>
      <c r="FY11" s="618">
        <v>4318812</v>
      </c>
      <c r="FZ11" s="618">
        <v>2733673</v>
      </c>
      <c r="GA11" s="618">
        <v>615818</v>
      </c>
      <c r="GB11" s="618">
        <v>844863</v>
      </c>
      <c r="GC11" s="618">
        <v>251467</v>
      </c>
      <c r="GD11" s="618">
        <v>4390269</v>
      </c>
      <c r="GE11" s="618">
        <v>2742548</v>
      </c>
      <c r="GF11" s="618">
        <v>629576</v>
      </c>
      <c r="GG11" s="618">
        <v>891133</v>
      </c>
      <c r="GH11" s="618">
        <v>269775</v>
      </c>
      <c r="GI11" s="12">
        <v>589019</v>
      </c>
      <c r="GJ11" s="53">
        <v>522283</v>
      </c>
      <c r="GK11" s="53">
        <v>49280</v>
      </c>
      <c r="GL11" s="53">
        <v>67830</v>
      </c>
      <c r="GM11" s="296">
        <v>17456</v>
      </c>
      <c r="GN11" s="5">
        <v>773486</v>
      </c>
      <c r="GO11" s="53">
        <v>648553</v>
      </c>
      <c r="GP11" s="53">
        <v>78479</v>
      </c>
      <c r="GQ11" s="53">
        <v>107580</v>
      </c>
      <c r="GR11" s="296">
        <v>46454</v>
      </c>
      <c r="GS11" s="183">
        <v>1100140</v>
      </c>
      <c r="GT11" s="53">
        <v>893916</v>
      </c>
      <c r="GU11" s="53">
        <v>137855</v>
      </c>
      <c r="GV11" s="53">
        <v>218180</v>
      </c>
      <c r="GW11" s="53">
        <v>68369</v>
      </c>
      <c r="GX11" s="183"/>
      <c r="GY11" s="53"/>
      <c r="GZ11" s="53"/>
      <c r="HA11" s="53"/>
      <c r="HB11" s="296"/>
      <c r="HC11" s="53">
        <v>1178924</v>
      </c>
      <c r="HD11" s="53">
        <v>951578</v>
      </c>
      <c r="HE11" s="53">
        <v>153911</v>
      </c>
      <c r="HF11" s="53">
        <v>233893</v>
      </c>
      <c r="HG11" s="53">
        <v>73435</v>
      </c>
      <c r="HH11" s="53">
        <v>1239538</v>
      </c>
      <c r="HI11" s="53">
        <v>781436</v>
      </c>
      <c r="HJ11" s="53">
        <v>164348</v>
      </c>
      <c r="HK11" s="53">
        <v>251270</v>
      </c>
      <c r="HL11" s="53">
        <v>78124</v>
      </c>
      <c r="HM11" s="53">
        <v>1383565</v>
      </c>
      <c r="HN11" s="53">
        <v>845024</v>
      </c>
      <c r="HO11" s="53">
        <v>194173</v>
      </c>
      <c r="HP11" s="53">
        <v>297320</v>
      </c>
      <c r="HQ11" s="53">
        <v>91499</v>
      </c>
      <c r="HR11" s="53">
        <v>1429121</v>
      </c>
      <c r="HS11" s="53">
        <v>863145</v>
      </c>
      <c r="HT11" s="53">
        <v>197946</v>
      </c>
      <c r="HU11" s="53">
        <v>323291</v>
      </c>
      <c r="HV11" s="53">
        <v>95303</v>
      </c>
      <c r="HW11" s="569">
        <f t="shared" si="370"/>
        <v>2213424</v>
      </c>
      <c r="HX11" s="546">
        <f t="shared" si="371"/>
        <v>2006125</v>
      </c>
      <c r="HY11" s="546">
        <f t="shared" si="372"/>
        <v>142017</v>
      </c>
      <c r="HZ11" s="546">
        <f t="shared" si="373"/>
        <v>209727</v>
      </c>
      <c r="IA11" s="546">
        <f t="shared" si="374"/>
        <v>65282</v>
      </c>
      <c r="IB11" s="569">
        <f t="shared" si="375"/>
        <v>3235814</v>
      </c>
      <c r="IC11" s="546">
        <f t="shared" si="376"/>
        <v>2804583</v>
      </c>
      <c r="ID11" s="546">
        <f t="shared" si="377"/>
        <v>238151</v>
      </c>
      <c r="IE11" s="546">
        <f t="shared" si="378"/>
        <v>404032</v>
      </c>
      <c r="IF11" s="546">
        <f t="shared" si="379"/>
        <v>193080</v>
      </c>
      <c r="IG11" s="183">
        <v>3865024</v>
      </c>
      <c r="IH11" s="53">
        <v>3245339</v>
      </c>
      <c r="II11" s="53">
        <v>359026</v>
      </c>
      <c r="IJ11" s="53">
        <v>664309</v>
      </c>
      <c r="IK11" s="53">
        <v>260659</v>
      </c>
      <c r="IL11" s="559"/>
      <c r="IM11" s="560"/>
      <c r="IN11" s="560"/>
      <c r="IO11" s="560"/>
      <c r="IP11" s="560"/>
      <c r="IQ11" s="560">
        <v>4658926</v>
      </c>
      <c r="IR11" s="560">
        <v>3890410</v>
      </c>
      <c r="IS11" s="560">
        <v>447982</v>
      </c>
      <c r="IT11" s="560">
        <v>809483</v>
      </c>
      <c r="IU11" s="575">
        <v>320534</v>
      </c>
      <c r="IV11" s="560">
        <v>4839460</v>
      </c>
      <c r="IW11" s="560">
        <v>3267809</v>
      </c>
      <c r="IX11" s="560">
        <v>475198</v>
      </c>
      <c r="IY11" s="560">
        <v>857480</v>
      </c>
      <c r="IZ11" s="560">
        <v>344034</v>
      </c>
      <c r="JA11" s="559">
        <v>5475903</v>
      </c>
      <c r="JB11" s="560">
        <v>3589088</v>
      </c>
      <c r="JC11" s="560">
        <v>562866</v>
      </c>
      <c r="JD11" s="560">
        <v>1035261</v>
      </c>
      <c r="JE11" s="560">
        <v>423465</v>
      </c>
      <c r="JF11" s="559">
        <v>5637577</v>
      </c>
      <c r="JG11" s="560">
        <v>3674796</v>
      </c>
      <c r="JH11" s="560">
        <v>578085</v>
      </c>
      <c r="JI11" s="560">
        <v>1092087</v>
      </c>
      <c r="JJ11" s="560">
        <v>436006</v>
      </c>
      <c r="JK11" s="12">
        <v>1062649</v>
      </c>
      <c r="JL11" s="5">
        <v>969991</v>
      </c>
      <c r="JM11" s="5">
        <v>62999</v>
      </c>
      <c r="JN11" s="5">
        <v>87363</v>
      </c>
      <c r="JO11" s="5">
        <v>29659</v>
      </c>
      <c r="JP11" s="12">
        <v>1573121</v>
      </c>
      <c r="JQ11" s="53">
        <v>1373946</v>
      </c>
      <c r="JR11" s="53">
        <v>106555</v>
      </c>
      <c r="JS11" s="53">
        <v>177205</v>
      </c>
      <c r="JT11" s="53">
        <v>92620</v>
      </c>
      <c r="JU11" s="183">
        <v>2145766</v>
      </c>
      <c r="JV11" s="53">
        <v>1814613</v>
      </c>
      <c r="JW11" s="53">
        <v>186133</v>
      </c>
      <c r="JX11" s="53">
        <v>360283</v>
      </c>
      <c r="JY11" s="53">
        <v>145020</v>
      </c>
      <c r="JZ11" s="183">
        <v>2161424.2650000001</v>
      </c>
      <c r="KA11" s="53">
        <v>1824015.9</v>
      </c>
      <c r="KB11" s="53">
        <v>188252.39600000001</v>
      </c>
      <c r="KC11" s="53">
        <v>364206.09600000002</v>
      </c>
      <c r="KD11" s="53">
        <v>149155.96900000022</v>
      </c>
      <c r="KE11" s="53">
        <v>2312646</v>
      </c>
      <c r="KF11" s="53">
        <v>1577686</v>
      </c>
      <c r="KG11" s="53">
        <v>201777</v>
      </c>
      <c r="KH11" s="53">
        <v>415547</v>
      </c>
      <c r="KI11" s="53">
        <v>167070</v>
      </c>
      <c r="KJ11" s="53">
        <v>2620339</v>
      </c>
      <c r="KK11" s="53">
        <v>1740596</v>
      </c>
      <c r="KL11" s="53">
        <v>238216</v>
      </c>
      <c r="KM11" s="53">
        <v>503677</v>
      </c>
      <c r="KN11" s="53">
        <v>199121</v>
      </c>
      <c r="KO11" s="53">
        <v>2675907</v>
      </c>
      <c r="KP11" s="53">
        <v>1768885</v>
      </c>
      <c r="KQ11" s="53">
        <v>245899</v>
      </c>
      <c r="KR11" s="53">
        <v>520382</v>
      </c>
      <c r="KS11" s="53">
        <v>204260</v>
      </c>
      <c r="KT11" s="330">
        <v>53109</v>
      </c>
      <c r="KU11" s="331">
        <v>102790</v>
      </c>
      <c r="KV11" s="316">
        <v>221587</v>
      </c>
      <c r="KW11" s="332">
        <f t="shared" si="327"/>
        <v>132763</v>
      </c>
      <c r="KX11" s="332">
        <f t="shared" si="328"/>
        <v>88824</v>
      </c>
      <c r="KY11" s="332">
        <f t="shared" si="329"/>
        <v>209931</v>
      </c>
      <c r="KZ11" s="318">
        <v>128123</v>
      </c>
      <c r="LA11" s="318">
        <v>81808</v>
      </c>
      <c r="LB11" s="332">
        <f t="shared" si="330"/>
        <v>11656</v>
      </c>
      <c r="LC11" s="318">
        <v>4640</v>
      </c>
      <c r="LD11" s="318">
        <v>7016</v>
      </c>
      <c r="LE11" s="316">
        <v>431123</v>
      </c>
      <c r="LF11" s="332">
        <f t="shared" si="331"/>
        <v>255121</v>
      </c>
      <c r="LG11" s="332">
        <f t="shared" si="332"/>
        <v>176002</v>
      </c>
      <c r="LH11" s="332">
        <f t="shared" si="333"/>
        <v>386431</v>
      </c>
      <c r="LI11" s="318">
        <v>232379</v>
      </c>
      <c r="LJ11" s="318">
        <v>154052</v>
      </c>
      <c r="LK11" s="332">
        <f t="shared" si="334"/>
        <v>19055</v>
      </c>
      <c r="LL11" s="318">
        <v>7082</v>
      </c>
      <c r="LM11" s="318">
        <v>11973</v>
      </c>
      <c r="LN11" s="332">
        <f t="shared" si="335"/>
        <v>25637</v>
      </c>
      <c r="LO11" s="318">
        <v>15660</v>
      </c>
      <c r="LP11" s="318">
        <v>9977</v>
      </c>
      <c r="LQ11" s="316">
        <v>930134</v>
      </c>
      <c r="LR11" s="332">
        <f t="shared" si="336"/>
        <v>550471</v>
      </c>
      <c r="LS11" s="332">
        <f t="shared" si="337"/>
        <v>379663</v>
      </c>
      <c r="LT11" s="53">
        <f>317046+484979</f>
        <v>802025</v>
      </c>
      <c r="LU11" s="318">
        <v>484979</v>
      </c>
      <c r="LV11" s="318">
        <v>317046</v>
      </c>
      <c r="LW11" s="318">
        <v>65492</v>
      </c>
      <c r="LX11" s="318">
        <v>62617</v>
      </c>
      <c r="LY11" s="53">
        <f>19384+27184</f>
        <v>46568</v>
      </c>
      <c r="LZ11" s="318">
        <v>19384</v>
      </c>
      <c r="MA11" s="318">
        <v>27184</v>
      </c>
      <c r="MB11" s="53">
        <f>29911+39636</f>
        <v>69547</v>
      </c>
      <c r="MC11" s="318">
        <v>39636</v>
      </c>
      <c r="MD11" s="318">
        <v>29911</v>
      </c>
      <c r="ME11" s="333">
        <f t="shared" si="338"/>
        <v>11994</v>
      </c>
      <c r="MF11" s="333">
        <f t="shared" si="339"/>
        <v>6472</v>
      </c>
      <c r="MG11" s="333">
        <f t="shared" si="340"/>
        <v>5522</v>
      </c>
      <c r="MH11" s="334">
        <f t="shared" si="341"/>
        <v>1179</v>
      </c>
      <c r="MI11" s="334">
        <f t="shared" si="342"/>
        <v>806</v>
      </c>
      <c r="MJ11" s="334">
        <f t="shared" si="343"/>
        <v>373</v>
      </c>
      <c r="MK11" s="318">
        <v>10815</v>
      </c>
      <c r="ML11" s="318">
        <v>5666</v>
      </c>
      <c r="MM11" s="318">
        <v>5149</v>
      </c>
      <c r="MN11" s="14">
        <f t="shared" si="344"/>
        <v>1624405</v>
      </c>
      <c r="MO11" s="332">
        <f t="shared" si="345"/>
        <v>910256</v>
      </c>
      <c r="MP11" s="332">
        <f t="shared" si="346"/>
        <v>714149</v>
      </c>
      <c r="MQ11" s="13">
        <f t="shared" si="347"/>
        <v>1483842</v>
      </c>
      <c r="MR11" s="136">
        <f t="shared" si="348"/>
        <v>1359385</v>
      </c>
      <c r="MS11" s="318">
        <v>778615</v>
      </c>
      <c r="MT11" s="318">
        <v>580770</v>
      </c>
      <c r="MU11" s="318">
        <v>131641</v>
      </c>
      <c r="MV11" s="318">
        <v>133379</v>
      </c>
      <c r="MW11" s="13">
        <f t="shared" si="349"/>
        <v>92737</v>
      </c>
      <c r="MX11" s="136">
        <f t="shared" si="350"/>
        <v>89858</v>
      </c>
      <c r="MY11" s="318">
        <v>36991</v>
      </c>
      <c r="MZ11" s="318">
        <v>52867</v>
      </c>
      <c r="NA11" s="13">
        <f t="shared" si="351"/>
        <v>141897</v>
      </c>
      <c r="NB11" s="318">
        <v>76471</v>
      </c>
      <c r="NC11" s="318">
        <v>65426</v>
      </c>
      <c r="ND11" s="11">
        <f t="shared" si="352"/>
        <v>47826</v>
      </c>
      <c r="NE11" s="335">
        <f t="shared" si="353"/>
        <v>18179</v>
      </c>
      <c r="NF11" s="335">
        <f t="shared" si="354"/>
        <v>15086</v>
      </c>
      <c r="NG11" s="336">
        <f t="shared" si="355"/>
        <v>562</v>
      </c>
      <c r="NH11" s="336">
        <f t="shared" si="356"/>
        <v>284</v>
      </c>
      <c r="NI11" s="336">
        <f t="shared" si="357"/>
        <v>278</v>
      </c>
      <c r="NJ11" s="337">
        <f t="shared" si="358"/>
        <v>32703</v>
      </c>
      <c r="NK11" s="337">
        <f t="shared" si="359"/>
        <v>17895</v>
      </c>
      <c r="NL11" s="337">
        <f t="shared" si="360"/>
        <v>14808</v>
      </c>
      <c r="NM11" s="318">
        <v>1820</v>
      </c>
      <c r="NN11" s="318">
        <v>1164</v>
      </c>
      <c r="NO11" s="318">
        <v>16075</v>
      </c>
      <c r="NP11" s="318">
        <v>13644</v>
      </c>
      <c r="NQ11" s="338">
        <v>2462328</v>
      </c>
      <c r="NR11" s="318">
        <v>1297103</v>
      </c>
      <c r="NS11" s="318">
        <v>1165225</v>
      </c>
      <c r="NT11" s="7">
        <f t="shared" si="361"/>
        <v>2156030</v>
      </c>
      <c r="NU11" s="7">
        <v>1158171</v>
      </c>
      <c r="NV11" s="7">
        <v>997859</v>
      </c>
      <c r="NW11" s="125">
        <f t="shared" si="362"/>
        <v>1904837</v>
      </c>
      <c r="NX11" s="318">
        <v>1033196</v>
      </c>
      <c r="NY11" s="318">
        <v>871641</v>
      </c>
      <c r="NZ11" s="7">
        <f t="shared" si="363"/>
        <v>159672</v>
      </c>
      <c r="OA11" s="318">
        <v>66007</v>
      </c>
      <c r="OB11" s="318">
        <v>93665</v>
      </c>
      <c r="OC11" s="7">
        <f t="shared" si="364"/>
        <v>296452</v>
      </c>
      <c r="OD11" s="318">
        <v>146614</v>
      </c>
      <c r="OE11" s="318">
        <v>149838</v>
      </c>
      <c r="OF11" s="125">
        <f t="shared" si="365"/>
        <v>146626</v>
      </c>
      <c r="OG11" s="125">
        <f t="shared" si="366"/>
        <v>72925</v>
      </c>
      <c r="OH11" s="125">
        <f t="shared" si="367"/>
        <v>73701</v>
      </c>
      <c r="OI11" s="326">
        <v>3133294</v>
      </c>
      <c r="OJ11" s="318">
        <v>2660389</v>
      </c>
      <c r="OK11" s="318">
        <v>242995</v>
      </c>
      <c r="OL11" s="318">
        <v>229910</v>
      </c>
      <c r="OM11" s="7">
        <v>474903</v>
      </c>
      <c r="ON11" s="183">
        <v>3227990</v>
      </c>
      <c r="OO11" s="53">
        <v>2740099</v>
      </c>
      <c r="OP11" s="53">
        <v>257611</v>
      </c>
      <c r="OQ11" s="53">
        <v>230280</v>
      </c>
      <c r="OR11" s="53">
        <v>506134</v>
      </c>
      <c r="OS11" s="183">
        <v>3258489</v>
      </c>
      <c r="OT11" s="53">
        <v>2763471</v>
      </c>
      <c r="OU11" s="53">
        <v>265275</v>
      </c>
      <c r="OV11" s="53">
        <v>229743</v>
      </c>
      <c r="OW11" s="53">
        <v>506116</v>
      </c>
      <c r="OX11" s="183">
        <v>3323312</v>
      </c>
      <c r="OY11" s="53">
        <v>2812254</v>
      </c>
      <c r="OZ11" s="53">
        <v>277774</v>
      </c>
      <c r="PA11" s="53">
        <v>233284</v>
      </c>
      <c r="PB11" s="53">
        <v>536728</v>
      </c>
      <c r="PC11" s="12">
        <v>3366582.037</v>
      </c>
      <c r="PD11" s="53">
        <v>2840852.3499999996</v>
      </c>
      <c r="PE11" s="53">
        <v>284154.56</v>
      </c>
      <c r="PF11" s="53">
        <v>543631.15800000005</v>
      </c>
      <c r="PG11" s="53">
        <v>241575.12700000039</v>
      </c>
      <c r="PH11" s="53">
        <v>3480002</v>
      </c>
      <c r="PI11" s="53">
        <v>2938832</v>
      </c>
      <c r="PJ11" s="53">
        <v>294071</v>
      </c>
      <c r="PK11" s="53">
        <v>575590</v>
      </c>
      <c r="PL11" s="2">
        <v>247099</v>
      </c>
      <c r="PM11" s="2">
        <v>3599922</v>
      </c>
      <c r="PN11" s="2">
        <v>2486373</v>
      </c>
      <c r="PO11" s="2">
        <v>310850</v>
      </c>
      <c r="PP11" s="2">
        <v>606210</v>
      </c>
      <c r="PQ11" s="2">
        <v>265910</v>
      </c>
      <c r="PR11" s="2">
        <v>4092338</v>
      </c>
      <c r="PS11" s="2">
        <v>2744064</v>
      </c>
      <c r="PT11" s="2">
        <v>368693</v>
      </c>
      <c r="PU11" s="2">
        <v>737941</v>
      </c>
      <c r="PV11" s="2">
        <v>331966</v>
      </c>
      <c r="PW11" s="2">
        <v>4208456</v>
      </c>
      <c r="PX11" s="2">
        <v>2811651</v>
      </c>
      <c r="PY11" s="2">
        <v>380139</v>
      </c>
      <c r="PZ11" s="2">
        <v>768796</v>
      </c>
      <c r="QA11" s="2">
        <v>340703</v>
      </c>
      <c r="QB11" s="12">
        <v>561756</v>
      </c>
      <c r="QC11" s="5">
        <v>513851</v>
      </c>
      <c r="QD11" s="5">
        <v>29738</v>
      </c>
      <c r="QE11" s="5">
        <v>54534</v>
      </c>
      <c r="QF11" s="5">
        <v>18167</v>
      </c>
      <c r="QG11" s="12">
        <v>889207</v>
      </c>
      <c r="QH11" s="53">
        <v>782084</v>
      </c>
      <c r="QI11" s="53">
        <v>53117</v>
      </c>
      <c r="QJ11" s="53">
        <v>119247</v>
      </c>
      <c r="QK11" s="53">
        <v>54006</v>
      </c>
      <c r="QL11" s="12">
        <v>1177546</v>
      </c>
      <c r="QM11" s="53">
        <v>997641</v>
      </c>
      <c r="QN11" s="53">
        <v>91641</v>
      </c>
      <c r="QO11" s="53">
        <v>176445</v>
      </c>
      <c r="QP11" s="53">
        <v>88264</v>
      </c>
      <c r="QQ11" s="12">
        <v>1205157.7719999999</v>
      </c>
      <c r="QR11" s="53">
        <v>1016836.4499999998</v>
      </c>
      <c r="QS11" s="53">
        <v>95902.164000000004</v>
      </c>
      <c r="QT11" s="53">
        <v>179425.06200000001</v>
      </c>
      <c r="QU11" s="296">
        <v>92419.158000000039</v>
      </c>
      <c r="QV11" s="1">
        <v>1246349</v>
      </c>
      <c r="QW11" s="2">
        <v>1050884</v>
      </c>
      <c r="QX11" s="2">
        <v>102137</v>
      </c>
      <c r="QY11" s="2">
        <v>186373</v>
      </c>
      <c r="QZ11" s="69">
        <v>93328</v>
      </c>
      <c r="RA11" s="2">
        <v>1287276</v>
      </c>
      <c r="RB11" s="2">
        <v>908687</v>
      </c>
      <c r="RC11" s="2">
        <v>109073</v>
      </c>
      <c r="RD11" s="2">
        <v>190663</v>
      </c>
      <c r="RE11" s="2">
        <v>98840</v>
      </c>
      <c r="RF11" s="2">
        <v>1471999</v>
      </c>
      <c r="RG11" s="2">
        <v>1003468</v>
      </c>
      <c r="RH11" s="2">
        <v>130477</v>
      </c>
      <c r="RI11" s="2">
        <v>234264</v>
      </c>
      <c r="RJ11" s="2">
        <v>132845</v>
      </c>
      <c r="RK11" s="2">
        <v>1532549</v>
      </c>
      <c r="RL11" s="2">
        <v>1042766</v>
      </c>
      <c r="RM11" s="2">
        <v>134240</v>
      </c>
      <c r="RN11" s="2">
        <v>248414</v>
      </c>
      <c r="RO11" s="2">
        <v>136443</v>
      </c>
    </row>
    <row r="12" spans="1:483" ht="14.25" x14ac:dyDescent="0.2">
      <c r="A12" s="216" t="s">
        <v>4</v>
      </c>
      <c r="B12" s="183">
        <f>107429+155043+82713+90541+189608+105512</f>
        <v>730846</v>
      </c>
      <c r="C12" s="53">
        <f>53741+107455+63761+42634+120964+74398</f>
        <v>462953</v>
      </c>
      <c r="D12" s="53">
        <f>52091+45762+18121+46162+65503+29351</f>
        <v>256990</v>
      </c>
      <c r="E12" s="53">
        <f>1209+1354+621+929+2047+1219</f>
        <v>7379</v>
      </c>
      <c r="F12" s="296">
        <f>179+254+128+169+181+61+157+347+184+621+708+326</f>
        <v>3315</v>
      </c>
      <c r="G12" s="5">
        <v>483755</v>
      </c>
      <c r="H12" s="53">
        <v>300773</v>
      </c>
      <c r="I12" s="53">
        <v>171543</v>
      </c>
      <c r="J12" s="53">
        <v>10285</v>
      </c>
      <c r="K12" s="296">
        <v>11439</v>
      </c>
      <c r="L12" s="5">
        <v>393197</v>
      </c>
      <c r="M12" s="53">
        <v>220533</v>
      </c>
      <c r="N12" s="53">
        <v>119905</v>
      </c>
      <c r="O12" s="53">
        <v>68848</v>
      </c>
      <c r="P12" s="296">
        <v>52759</v>
      </c>
      <c r="Q12" s="7">
        <v>370337</v>
      </c>
      <c r="R12" s="560">
        <v>202759</v>
      </c>
      <c r="S12" s="560">
        <v>90881</v>
      </c>
      <c r="T12" s="560">
        <v>118273</v>
      </c>
      <c r="U12" s="575">
        <v>76697</v>
      </c>
      <c r="V12" s="560">
        <v>364592</v>
      </c>
      <c r="W12" s="4">
        <v>204271</v>
      </c>
      <c r="X12" s="560">
        <v>88397</v>
      </c>
      <c r="Y12" s="560">
        <v>122587</v>
      </c>
      <c r="Z12" s="560">
        <v>71924</v>
      </c>
      <c r="AA12" s="560">
        <v>362911</v>
      </c>
      <c r="AB12" s="560">
        <v>134268</v>
      </c>
      <c r="AC12" s="560">
        <v>87550</v>
      </c>
      <c r="AD12" s="560">
        <v>123799</v>
      </c>
      <c r="AE12" s="675">
        <v>67125</v>
      </c>
      <c r="AF12" s="560">
        <v>332116</v>
      </c>
      <c r="AG12" s="560">
        <v>117401</v>
      </c>
      <c r="AH12" s="560">
        <v>77604</v>
      </c>
      <c r="AI12" s="560">
        <v>119016</v>
      </c>
      <c r="AJ12" s="560">
        <v>66177</v>
      </c>
      <c r="AK12" s="560">
        <v>334607</v>
      </c>
      <c r="AL12" s="560">
        <v>113199</v>
      </c>
      <c r="AM12" s="560">
        <v>76479</v>
      </c>
      <c r="AN12" s="560">
        <v>125190</v>
      </c>
      <c r="AO12" s="560">
        <v>74927</v>
      </c>
      <c r="AP12" s="183">
        <v>686060</v>
      </c>
      <c r="AQ12" s="53">
        <v>452897</v>
      </c>
      <c r="AR12" s="53">
        <v>223687</v>
      </c>
      <c r="AS12" s="53">
        <v>7331</v>
      </c>
      <c r="AT12" s="296">
        <v>9476</v>
      </c>
      <c r="AU12" s="5">
        <v>718152</v>
      </c>
      <c r="AV12" s="53">
        <v>429759</v>
      </c>
      <c r="AW12" s="53">
        <v>246874</v>
      </c>
      <c r="AX12" s="53">
        <v>40889</v>
      </c>
      <c r="AY12" s="296">
        <v>41519</v>
      </c>
      <c r="AZ12" s="5">
        <v>613032</v>
      </c>
      <c r="BA12" s="53">
        <v>349260</v>
      </c>
      <c r="BB12" s="53">
        <v>218797</v>
      </c>
      <c r="BC12" s="53">
        <v>62461</v>
      </c>
      <c r="BD12" s="296">
        <v>44975</v>
      </c>
      <c r="BE12" s="53">
        <v>612627</v>
      </c>
      <c r="BF12" s="53">
        <v>347905</v>
      </c>
      <c r="BG12" s="53">
        <v>216709</v>
      </c>
      <c r="BH12" s="53">
        <v>70557</v>
      </c>
      <c r="BI12" s="53">
        <v>48013</v>
      </c>
      <c r="BJ12" s="53">
        <v>600108</v>
      </c>
      <c r="BK12" s="53">
        <v>299859</v>
      </c>
      <c r="BL12" s="53">
        <v>209931</v>
      </c>
      <c r="BM12" s="53">
        <v>72799</v>
      </c>
      <c r="BN12" s="53">
        <v>45473</v>
      </c>
      <c r="BO12" s="53">
        <v>593620</v>
      </c>
      <c r="BP12" s="53">
        <v>283446</v>
      </c>
      <c r="BQ12" s="53">
        <v>219147</v>
      </c>
      <c r="BR12" s="53">
        <v>70806</v>
      </c>
      <c r="BS12" s="53">
        <v>45758</v>
      </c>
      <c r="BT12" s="53">
        <v>588019</v>
      </c>
      <c r="BU12" s="53">
        <v>283748</v>
      </c>
      <c r="BV12" s="53">
        <v>205976</v>
      </c>
      <c r="BW12" s="53">
        <v>75320</v>
      </c>
      <c r="BX12" s="53">
        <v>52624</v>
      </c>
      <c r="BY12" s="12">
        <v>980154</v>
      </c>
      <c r="BZ12" s="53">
        <v>550288</v>
      </c>
      <c r="CA12" s="53">
        <v>305619</v>
      </c>
      <c r="CB12" s="53">
        <v>191943</v>
      </c>
      <c r="CC12" s="546">
        <f t="shared" si="368"/>
        <v>124247</v>
      </c>
      <c r="CD12" s="327">
        <v>264432</v>
      </c>
      <c r="CE12" s="328">
        <v>362030</v>
      </c>
      <c r="CF12" s="328">
        <v>643967</v>
      </c>
      <c r="CG12" s="328">
        <v>956635</v>
      </c>
      <c r="CH12" s="12">
        <v>1740707</v>
      </c>
      <c r="CI12" s="53">
        <v>1414558.53</v>
      </c>
      <c r="CJ12" s="53">
        <v>294061.32299999997</v>
      </c>
      <c r="CK12" s="53">
        <v>16530.93</v>
      </c>
      <c r="CL12" s="296">
        <v>13376.377</v>
      </c>
      <c r="CM12" s="5">
        <v>2853605</v>
      </c>
      <c r="CN12" s="53">
        <v>2244288</v>
      </c>
      <c r="CO12" s="53">
        <v>558979</v>
      </c>
      <c r="CP12" s="53">
        <v>34575</v>
      </c>
      <c r="CQ12" s="296">
        <v>50338</v>
      </c>
      <c r="CR12" s="5">
        <v>4074616</v>
      </c>
      <c r="CS12" s="53">
        <v>2925956</v>
      </c>
      <c r="CT12" s="53">
        <v>966382</v>
      </c>
      <c r="CU12" s="53">
        <v>103453</v>
      </c>
      <c r="CV12" s="53">
        <v>182278</v>
      </c>
      <c r="CW12" s="329">
        <v>4888224</v>
      </c>
      <c r="CX12" s="53">
        <v>3311052</v>
      </c>
      <c r="CY12" s="53">
        <v>1282470</v>
      </c>
      <c r="CZ12" s="53">
        <v>294702</v>
      </c>
      <c r="DA12" s="53">
        <v>194952</v>
      </c>
      <c r="DB12" s="183">
        <v>5034193</v>
      </c>
      <c r="DC12" s="53">
        <v>3388764</v>
      </c>
      <c r="DD12" s="53">
        <v>1344649</v>
      </c>
      <c r="DE12" s="53">
        <v>300780</v>
      </c>
      <c r="DF12" s="53">
        <v>206515</v>
      </c>
      <c r="DG12" s="56">
        <v>5137996</v>
      </c>
      <c r="DH12" s="54">
        <v>3436325</v>
      </c>
      <c r="DI12" s="54">
        <v>1397429</v>
      </c>
      <c r="DJ12" s="54">
        <v>304242</v>
      </c>
      <c r="DK12" s="54">
        <v>212442</v>
      </c>
      <c r="DL12" s="12">
        <v>5171176</v>
      </c>
      <c r="DM12" s="53">
        <v>3416219</v>
      </c>
      <c r="DN12" s="53">
        <v>1429820</v>
      </c>
      <c r="DO12" s="53">
        <v>237889</v>
      </c>
      <c r="DP12" s="53">
        <v>275305</v>
      </c>
      <c r="DQ12" s="12">
        <v>5262865.8600000003</v>
      </c>
      <c r="DR12" s="53">
        <v>3466412.0999999996</v>
      </c>
      <c r="DS12" s="53">
        <v>1469459.085</v>
      </c>
      <c r="DT12" s="53">
        <v>245284.34699999998</v>
      </c>
      <c r="DU12" s="581">
        <f t="shared" si="369"/>
        <v>326994.67500000075</v>
      </c>
      <c r="DV12" s="53">
        <v>5349432</v>
      </c>
      <c r="DW12" s="53">
        <v>3504010</v>
      </c>
      <c r="DX12" s="53">
        <v>1507305</v>
      </c>
      <c r="DY12" s="53">
        <v>255702</v>
      </c>
      <c r="DZ12" s="53">
        <v>338117</v>
      </c>
      <c r="EA12" s="53">
        <v>5440937</v>
      </c>
      <c r="EB12" s="53">
        <v>3378623</v>
      </c>
      <c r="EC12" s="53">
        <v>1546350</v>
      </c>
      <c r="ED12" s="53">
        <v>264463</v>
      </c>
      <c r="EE12" s="53">
        <v>347836</v>
      </c>
      <c r="EF12" s="53">
        <v>5758031</v>
      </c>
      <c r="EG12" s="53">
        <v>3479426</v>
      </c>
      <c r="EH12" s="53">
        <v>1676403</v>
      </c>
      <c r="EI12" s="53">
        <v>301546</v>
      </c>
      <c r="EJ12" s="53">
        <v>402514</v>
      </c>
      <c r="EK12" s="53">
        <v>5862769</v>
      </c>
      <c r="EL12" s="53">
        <v>3498190</v>
      </c>
      <c r="EM12" s="53">
        <v>1752500</v>
      </c>
      <c r="EN12" s="53">
        <v>298918</v>
      </c>
      <c r="EO12" s="53">
        <v>422303</v>
      </c>
      <c r="EP12" s="12">
        <f>201192+210325</f>
        <v>411517</v>
      </c>
      <c r="EQ12" s="53">
        <f>173789+169181</f>
        <v>342970</v>
      </c>
      <c r="ER12" s="53">
        <f>27873+32667</f>
        <v>60540</v>
      </c>
      <c r="ES12" s="53">
        <f>2081+2494</f>
        <v>4575</v>
      </c>
      <c r="ET12" s="296">
        <f>530+913+340+1245</f>
        <v>3028</v>
      </c>
      <c r="EU12" s="5">
        <v>883512</v>
      </c>
      <c r="EV12" s="53">
        <v>690617</v>
      </c>
      <c r="EW12" s="53">
        <v>177988</v>
      </c>
      <c r="EX12" s="53">
        <v>12892</v>
      </c>
      <c r="EY12" s="296">
        <v>14907</v>
      </c>
      <c r="EZ12" s="5">
        <v>1328432</v>
      </c>
      <c r="FA12" s="53">
        <v>920512</v>
      </c>
      <c r="FB12" s="53">
        <v>354883</v>
      </c>
      <c r="FC12" s="53">
        <v>33614</v>
      </c>
      <c r="FD12" s="296">
        <v>53037</v>
      </c>
      <c r="FE12" s="5">
        <v>1689702</v>
      </c>
      <c r="FF12" s="53">
        <v>1068210</v>
      </c>
      <c r="FG12" s="53">
        <v>536342</v>
      </c>
      <c r="FH12" s="53">
        <v>72318</v>
      </c>
      <c r="FI12" s="296">
        <v>85150</v>
      </c>
      <c r="FJ12" s="5">
        <v>1729316.5399999998</v>
      </c>
      <c r="FK12" s="53">
        <v>1080492.2999999998</v>
      </c>
      <c r="FL12" s="53">
        <v>557932.47</v>
      </c>
      <c r="FM12" s="53">
        <v>76077.497999999992</v>
      </c>
      <c r="FN12" s="296">
        <v>90891.770000000019</v>
      </c>
      <c r="FO12" s="53">
        <v>1767834</v>
      </c>
      <c r="FP12" s="53">
        <v>1094437</v>
      </c>
      <c r="FQ12" s="53">
        <v>580479</v>
      </c>
      <c r="FR12" s="53">
        <v>78821</v>
      </c>
      <c r="FS12" s="618">
        <v>92918</v>
      </c>
      <c r="FT12" s="618">
        <v>1805134</v>
      </c>
      <c r="FU12" s="618">
        <v>1065458</v>
      </c>
      <c r="FV12" s="618">
        <v>594464</v>
      </c>
      <c r="FW12" s="618">
        <v>84558</v>
      </c>
      <c r="FX12" s="618">
        <v>94278</v>
      </c>
      <c r="FY12" s="618">
        <v>1878616</v>
      </c>
      <c r="FZ12" s="618">
        <v>1098327</v>
      </c>
      <c r="GA12" s="618">
        <v>617805</v>
      </c>
      <c r="GB12" s="618">
        <v>95242</v>
      </c>
      <c r="GC12" s="618">
        <v>101567</v>
      </c>
      <c r="GD12" s="618">
        <v>1912413</v>
      </c>
      <c r="GE12" s="618">
        <v>1092387</v>
      </c>
      <c r="GF12" s="618">
        <v>655828</v>
      </c>
      <c r="GG12" s="618">
        <v>91603</v>
      </c>
      <c r="GH12" s="618">
        <v>107969</v>
      </c>
      <c r="GI12" s="12">
        <v>199403</v>
      </c>
      <c r="GJ12" s="53">
        <v>156057</v>
      </c>
      <c r="GK12" s="53">
        <v>38926</v>
      </c>
      <c r="GL12" s="53">
        <v>3411</v>
      </c>
      <c r="GM12" s="296">
        <v>4420</v>
      </c>
      <c r="GN12" s="5">
        <v>269740</v>
      </c>
      <c r="GO12" s="53">
        <v>188733</v>
      </c>
      <c r="GP12" s="53">
        <v>68260</v>
      </c>
      <c r="GQ12" s="53">
        <v>7600</v>
      </c>
      <c r="GR12" s="296">
        <v>12747</v>
      </c>
      <c r="GS12" s="183">
        <v>407233</v>
      </c>
      <c r="GT12" s="53">
        <v>254621</v>
      </c>
      <c r="GU12" s="53">
        <v>127745</v>
      </c>
      <c r="GV12" s="53">
        <v>19312</v>
      </c>
      <c r="GW12" s="53">
        <v>24867</v>
      </c>
      <c r="GX12" s="183"/>
      <c r="GY12" s="53"/>
      <c r="GZ12" s="53"/>
      <c r="HA12" s="53"/>
      <c r="HB12" s="296"/>
      <c r="HC12" s="53">
        <v>433809</v>
      </c>
      <c r="HD12" s="53">
        <v>270320</v>
      </c>
      <c r="HE12" s="53">
        <v>135951</v>
      </c>
      <c r="HF12" s="53">
        <v>21217</v>
      </c>
      <c r="HG12" s="53">
        <v>27538</v>
      </c>
      <c r="HH12" s="53">
        <v>452556</v>
      </c>
      <c r="HI12" s="53">
        <v>267712</v>
      </c>
      <c r="HJ12" s="53">
        <v>143108</v>
      </c>
      <c r="HK12" s="53">
        <v>22025</v>
      </c>
      <c r="HL12" s="53">
        <v>27299</v>
      </c>
      <c r="HM12" s="53">
        <v>496008</v>
      </c>
      <c r="HN12" s="53">
        <v>295818</v>
      </c>
      <c r="HO12" s="53">
        <v>153286</v>
      </c>
      <c r="HP12" s="53">
        <v>24558</v>
      </c>
      <c r="HQ12" s="53">
        <v>30668</v>
      </c>
      <c r="HR12" s="53">
        <v>518208</v>
      </c>
      <c r="HS12" s="53">
        <v>294552</v>
      </c>
      <c r="HT12" s="53">
        <v>175859</v>
      </c>
      <c r="HU12" s="53">
        <v>25536</v>
      </c>
      <c r="HV12" s="53">
        <v>31019</v>
      </c>
      <c r="HW12" s="569">
        <f t="shared" si="370"/>
        <v>976561</v>
      </c>
      <c r="HX12" s="546">
        <f t="shared" si="371"/>
        <v>808444</v>
      </c>
      <c r="HY12" s="546">
        <f t="shared" si="372"/>
        <v>143757</v>
      </c>
      <c r="HZ12" s="546">
        <f t="shared" si="373"/>
        <v>14131</v>
      </c>
      <c r="IA12" s="546">
        <f t="shared" si="374"/>
        <v>24360</v>
      </c>
      <c r="IB12" s="569">
        <f t="shared" si="375"/>
        <v>1529918</v>
      </c>
      <c r="IC12" s="546">
        <f t="shared" si="376"/>
        <v>1168422</v>
      </c>
      <c r="ID12" s="546">
        <f t="shared" si="377"/>
        <v>274819</v>
      </c>
      <c r="IE12" s="546">
        <f t="shared" si="378"/>
        <v>36595</v>
      </c>
      <c r="IF12" s="546">
        <f t="shared" si="379"/>
        <v>86677</v>
      </c>
      <c r="IG12" s="183">
        <v>1773765</v>
      </c>
      <c r="IH12" s="53">
        <v>1243413</v>
      </c>
      <c r="II12" s="53">
        <v>392460</v>
      </c>
      <c r="IJ12" s="53">
        <v>66698</v>
      </c>
      <c r="IK12" s="53">
        <v>137892</v>
      </c>
      <c r="IL12" s="559"/>
      <c r="IM12" s="560"/>
      <c r="IN12" s="560"/>
      <c r="IO12" s="560"/>
      <c r="IP12" s="560"/>
      <c r="IQ12" s="560">
        <v>2188068</v>
      </c>
      <c r="IR12" s="560">
        <v>1507663</v>
      </c>
      <c r="IS12" s="560">
        <v>505139</v>
      </c>
      <c r="IT12" s="560">
        <v>82060</v>
      </c>
      <c r="IU12" s="575">
        <v>175266</v>
      </c>
      <c r="IV12" s="560">
        <v>2253778</v>
      </c>
      <c r="IW12" s="560">
        <v>1480947</v>
      </c>
      <c r="IX12" s="560">
        <v>530731</v>
      </c>
      <c r="IY12" s="560">
        <v>83984</v>
      </c>
      <c r="IZ12" s="560">
        <v>183573</v>
      </c>
      <c r="JA12" s="559">
        <v>2496121</v>
      </c>
      <c r="JB12" s="560">
        <v>1598559</v>
      </c>
      <c r="JC12" s="560">
        <v>602891</v>
      </c>
      <c r="JD12" s="560">
        <v>103583</v>
      </c>
      <c r="JE12" s="560">
        <v>218727</v>
      </c>
      <c r="JF12" s="559">
        <v>2584484</v>
      </c>
      <c r="JG12" s="560">
        <v>1615182</v>
      </c>
      <c r="JH12" s="560">
        <v>652411</v>
      </c>
      <c r="JI12" s="560">
        <v>109513</v>
      </c>
      <c r="JJ12" s="560">
        <v>240227</v>
      </c>
      <c r="JK12" s="12">
        <v>519613</v>
      </c>
      <c r="JL12" s="5">
        <v>436787</v>
      </c>
      <c r="JM12" s="5">
        <v>71113</v>
      </c>
      <c r="JN12" s="5">
        <v>6796</v>
      </c>
      <c r="JO12" s="5">
        <v>11713</v>
      </c>
      <c r="JP12" s="12">
        <v>829873</v>
      </c>
      <c r="JQ12" s="53">
        <v>642432</v>
      </c>
      <c r="JR12" s="53">
        <v>142979</v>
      </c>
      <c r="JS12" s="53">
        <v>18560</v>
      </c>
      <c r="JT12" s="53">
        <v>44462</v>
      </c>
      <c r="JU12" s="183">
        <v>1081088</v>
      </c>
      <c r="JV12" s="53">
        <v>775492</v>
      </c>
      <c r="JW12" s="53">
        <v>223907</v>
      </c>
      <c r="JX12" s="53">
        <v>38533</v>
      </c>
      <c r="JY12" s="53">
        <v>81689</v>
      </c>
      <c r="JZ12" s="183">
        <v>1098771.52</v>
      </c>
      <c r="KA12" s="53">
        <v>783256.5</v>
      </c>
      <c r="KB12" s="53">
        <v>230991.15</v>
      </c>
      <c r="KC12" s="53">
        <v>40224.883999999998</v>
      </c>
      <c r="KD12" s="53">
        <v>84523.870000000024</v>
      </c>
      <c r="KE12" s="53">
        <v>1141360</v>
      </c>
      <c r="KF12" s="53">
        <v>769139</v>
      </c>
      <c r="KG12" s="53">
        <v>249883</v>
      </c>
      <c r="KH12" s="53">
        <v>42660</v>
      </c>
      <c r="KI12" s="53">
        <v>92524</v>
      </c>
      <c r="KJ12" s="53">
        <v>1244449</v>
      </c>
      <c r="KK12" s="53">
        <v>822566</v>
      </c>
      <c r="KL12" s="53">
        <v>279712</v>
      </c>
      <c r="KM12" s="53">
        <v>50952</v>
      </c>
      <c r="KN12" s="53">
        <v>104489</v>
      </c>
      <c r="KO12" s="53">
        <v>1270275</v>
      </c>
      <c r="KP12" s="53">
        <v>824821</v>
      </c>
      <c r="KQ12" s="53">
        <v>288997</v>
      </c>
      <c r="KR12" s="53">
        <v>52402</v>
      </c>
      <c r="KS12" s="53">
        <v>119736</v>
      </c>
      <c r="KT12" s="330">
        <v>50512</v>
      </c>
      <c r="KU12" s="331">
        <v>79275</v>
      </c>
      <c r="KV12" s="316">
        <v>125769</v>
      </c>
      <c r="KW12" s="332">
        <f t="shared" si="327"/>
        <v>71066</v>
      </c>
      <c r="KX12" s="332">
        <f t="shared" si="328"/>
        <v>54703</v>
      </c>
      <c r="KY12" s="332">
        <f t="shared" si="329"/>
        <v>113135</v>
      </c>
      <c r="KZ12" s="318">
        <v>66539</v>
      </c>
      <c r="LA12" s="318">
        <v>46596</v>
      </c>
      <c r="LB12" s="332">
        <f t="shared" si="330"/>
        <v>12634</v>
      </c>
      <c r="LC12" s="318">
        <v>4527</v>
      </c>
      <c r="LD12" s="318">
        <v>8107</v>
      </c>
      <c r="LE12" s="316">
        <v>218948</v>
      </c>
      <c r="LF12" s="332">
        <f t="shared" si="331"/>
        <v>125671</v>
      </c>
      <c r="LG12" s="332">
        <f t="shared" si="332"/>
        <v>93277</v>
      </c>
      <c r="LH12" s="332">
        <f t="shared" si="333"/>
        <v>195054</v>
      </c>
      <c r="LI12" s="318">
        <v>116283</v>
      </c>
      <c r="LJ12" s="318">
        <v>78771</v>
      </c>
      <c r="LK12" s="332">
        <f t="shared" si="334"/>
        <v>21078</v>
      </c>
      <c r="LL12" s="318">
        <v>7585</v>
      </c>
      <c r="LM12" s="318">
        <v>13493</v>
      </c>
      <c r="LN12" s="332">
        <f t="shared" si="335"/>
        <v>2816</v>
      </c>
      <c r="LO12" s="318">
        <v>1803</v>
      </c>
      <c r="LP12" s="318">
        <v>1013</v>
      </c>
      <c r="LQ12" s="316">
        <v>450267</v>
      </c>
      <c r="LR12" s="332">
        <f t="shared" si="336"/>
        <v>254608</v>
      </c>
      <c r="LS12" s="332">
        <f t="shared" si="337"/>
        <v>195659</v>
      </c>
      <c r="LT12" s="53">
        <f>160012+227091</f>
        <v>387103</v>
      </c>
      <c r="LU12" s="318">
        <v>227091</v>
      </c>
      <c r="LV12" s="318">
        <v>160012</v>
      </c>
      <c r="LW12" s="318">
        <v>27517</v>
      </c>
      <c r="LX12" s="318">
        <v>35647</v>
      </c>
      <c r="LY12" s="53">
        <f>21326+31828</f>
        <v>53154</v>
      </c>
      <c r="LZ12" s="318">
        <v>21326</v>
      </c>
      <c r="MA12" s="318">
        <v>31828</v>
      </c>
      <c r="MB12" s="53">
        <f>2609+1598</f>
        <v>4207</v>
      </c>
      <c r="MC12" s="318">
        <v>2609</v>
      </c>
      <c r="MD12" s="318">
        <v>1598</v>
      </c>
      <c r="ME12" s="333">
        <f t="shared" si="338"/>
        <v>5803</v>
      </c>
      <c r="MF12" s="333">
        <f t="shared" si="339"/>
        <v>3582</v>
      </c>
      <c r="MG12" s="333">
        <f t="shared" si="340"/>
        <v>2221</v>
      </c>
      <c r="MH12" s="334">
        <f t="shared" si="341"/>
        <v>529</v>
      </c>
      <c r="MI12" s="334">
        <f t="shared" si="342"/>
        <v>371</v>
      </c>
      <c r="MJ12" s="334">
        <f t="shared" si="343"/>
        <v>158</v>
      </c>
      <c r="MK12" s="318">
        <v>5274</v>
      </c>
      <c r="ML12" s="318">
        <v>3211</v>
      </c>
      <c r="MM12" s="318">
        <v>2063</v>
      </c>
      <c r="MN12" s="14">
        <f t="shared" si="344"/>
        <v>777158</v>
      </c>
      <c r="MO12" s="332">
        <f t="shared" si="345"/>
        <v>417695</v>
      </c>
      <c r="MP12" s="332">
        <f t="shared" si="346"/>
        <v>359463</v>
      </c>
      <c r="MQ12" s="13">
        <f t="shared" si="347"/>
        <v>652387</v>
      </c>
      <c r="MR12" s="136">
        <f t="shared" si="348"/>
        <v>644318</v>
      </c>
      <c r="MS12" s="318">
        <v>359885</v>
      </c>
      <c r="MT12" s="318">
        <v>284433</v>
      </c>
      <c r="MU12" s="318">
        <v>57810</v>
      </c>
      <c r="MV12" s="318">
        <v>75030</v>
      </c>
      <c r="MW12" s="13">
        <f t="shared" si="349"/>
        <v>104831</v>
      </c>
      <c r="MX12" s="136">
        <f t="shared" si="350"/>
        <v>104537</v>
      </c>
      <c r="MY12" s="318">
        <v>41364</v>
      </c>
      <c r="MZ12" s="318">
        <v>63173</v>
      </c>
      <c r="NA12" s="13">
        <f t="shared" si="351"/>
        <v>10720</v>
      </c>
      <c r="NB12" s="318">
        <v>6323</v>
      </c>
      <c r="NC12" s="318">
        <v>4397</v>
      </c>
      <c r="ND12" s="11">
        <f t="shared" si="352"/>
        <v>19940</v>
      </c>
      <c r="NE12" s="335">
        <f t="shared" si="353"/>
        <v>10123</v>
      </c>
      <c r="NF12" s="335">
        <f t="shared" si="354"/>
        <v>7460</v>
      </c>
      <c r="NG12" s="336">
        <f t="shared" si="355"/>
        <v>109</v>
      </c>
      <c r="NH12" s="336">
        <f t="shared" si="356"/>
        <v>62</v>
      </c>
      <c r="NI12" s="336">
        <f t="shared" si="357"/>
        <v>47</v>
      </c>
      <c r="NJ12" s="337">
        <f t="shared" si="358"/>
        <v>17474</v>
      </c>
      <c r="NK12" s="337">
        <f t="shared" si="359"/>
        <v>10061</v>
      </c>
      <c r="NL12" s="337">
        <f t="shared" si="360"/>
        <v>7413</v>
      </c>
      <c r="NM12" s="318">
        <v>617</v>
      </c>
      <c r="NN12" s="318">
        <v>488</v>
      </c>
      <c r="NO12" s="318">
        <v>9444</v>
      </c>
      <c r="NP12" s="318">
        <v>6925</v>
      </c>
      <c r="NQ12" s="338">
        <v>1260178</v>
      </c>
      <c r="NR12" s="318">
        <v>636734</v>
      </c>
      <c r="NS12" s="318">
        <v>623444</v>
      </c>
      <c r="NT12" s="7">
        <f t="shared" si="361"/>
        <v>979689</v>
      </c>
      <c r="NU12" s="7">
        <v>513276</v>
      </c>
      <c r="NV12" s="7">
        <v>466413</v>
      </c>
      <c r="NW12" s="125">
        <f t="shared" si="362"/>
        <v>961514</v>
      </c>
      <c r="NX12" s="318">
        <v>503347</v>
      </c>
      <c r="NY12" s="318">
        <v>458167</v>
      </c>
      <c r="NZ12" s="7">
        <f t="shared" si="363"/>
        <v>206559</v>
      </c>
      <c r="OA12" s="318">
        <v>83515</v>
      </c>
      <c r="OB12" s="318">
        <v>123044</v>
      </c>
      <c r="OC12" s="7">
        <f t="shared" si="364"/>
        <v>28995</v>
      </c>
      <c r="OD12" s="318">
        <v>15816</v>
      </c>
      <c r="OE12" s="318">
        <v>13179</v>
      </c>
      <c r="OF12" s="125">
        <f t="shared" si="365"/>
        <v>73930</v>
      </c>
      <c r="OG12" s="125">
        <f t="shared" si="366"/>
        <v>39943</v>
      </c>
      <c r="OH12" s="125">
        <f t="shared" si="367"/>
        <v>33987</v>
      </c>
      <c r="OI12" s="326">
        <v>1578689</v>
      </c>
      <c r="OJ12" s="318">
        <v>1164225</v>
      </c>
      <c r="OK12" s="318">
        <v>294196</v>
      </c>
      <c r="OL12" s="318">
        <v>120268</v>
      </c>
      <c r="OM12" s="7">
        <v>47076</v>
      </c>
      <c r="ON12" s="183">
        <v>1640314</v>
      </c>
      <c r="OO12" s="53">
        <v>1196757</v>
      </c>
      <c r="OP12" s="53">
        <v>317811</v>
      </c>
      <c r="OQ12" s="53">
        <v>125746</v>
      </c>
      <c r="OR12" s="53">
        <v>49999</v>
      </c>
      <c r="OS12" s="183">
        <v>1684388</v>
      </c>
      <c r="OT12" s="53">
        <v>1224314</v>
      </c>
      <c r="OU12" s="53">
        <v>330038</v>
      </c>
      <c r="OV12" s="53">
        <v>130036</v>
      </c>
      <c r="OW12" s="53">
        <v>53061</v>
      </c>
      <c r="OX12" s="183">
        <v>1685250</v>
      </c>
      <c r="OY12" s="53">
        <v>1203731</v>
      </c>
      <c r="OZ12" s="53">
        <v>341623</v>
      </c>
      <c r="PA12" s="53">
        <v>139896</v>
      </c>
      <c r="PB12" s="53">
        <v>56587</v>
      </c>
      <c r="PC12" s="12">
        <v>1710587.48</v>
      </c>
      <c r="PD12" s="53">
        <v>1221076.8</v>
      </c>
      <c r="PE12" s="53">
        <v>351817.29000000004</v>
      </c>
      <c r="PF12" s="53">
        <v>59025.644999999997</v>
      </c>
      <c r="PG12" s="53">
        <v>137693.3899999999</v>
      </c>
      <c r="PH12" s="53">
        <v>1754259</v>
      </c>
      <c r="PI12" s="53">
        <v>1237343</v>
      </c>
      <c r="PJ12" s="53">
        <v>369188</v>
      </c>
      <c r="PK12" s="53">
        <v>60843</v>
      </c>
      <c r="PL12" s="2">
        <v>147728</v>
      </c>
      <c r="PM12" s="2">
        <v>1801222</v>
      </c>
      <c r="PN12" s="2">
        <v>1213235</v>
      </c>
      <c r="PO12" s="2">
        <v>387623</v>
      </c>
      <c r="PP12" s="2">
        <v>61959</v>
      </c>
      <c r="PQ12" s="2">
        <v>156274</v>
      </c>
      <c r="PR12" s="2">
        <v>2000113</v>
      </c>
      <c r="PS12" s="2">
        <v>1302741</v>
      </c>
      <c r="PT12" s="2">
        <v>449605</v>
      </c>
      <c r="PU12" s="2">
        <v>79025</v>
      </c>
      <c r="PV12" s="2">
        <v>188059</v>
      </c>
      <c r="PW12" s="2">
        <v>2066276</v>
      </c>
      <c r="PX12" s="2">
        <v>1320630</v>
      </c>
      <c r="PY12" s="2">
        <v>476552</v>
      </c>
      <c r="PZ12" s="2">
        <v>83977</v>
      </c>
      <c r="QA12" s="2">
        <v>209208</v>
      </c>
      <c r="QB12" s="12">
        <v>257545</v>
      </c>
      <c r="QC12" s="5">
        <v>215600</v>
      </c>
      <c r="QD12" s="5">
        <v>33718</v>
      </c>
      <c r="QE12" s="5">
        <v>3924</v>
      </c>
      <c r="QF12" s="5">
        <v>8227</v>
      </c>
      <c r="QG12" s="12">
        <v>430305</v>
      </c>
      <c r="QH12" s="53">
        <v>337257</v>
      </c>
      <c r="QI12" s="53">
        <v>63580</v>
      </c>
      <c r="QJ12" s="53">
        <v>10435</v>
      </c>
      <c r="QK12" s="53">
        <v>29468</v>
      </c>
      <c r="QL12" s="12">
        <v>604162</v>
      </c>
      <c r="QM12" s="53">
        <v>428239</v>
      </c>
      <c r="QN12" s="53">
        <v>117716</v>
      </c>
      <c r="QO12" s="53">
        <v>18054</v>
      </c>
      <c r="QP12" s="53">
        <v>58207</v>
      </c>
      <c r="QQ12" s="12">
        <v>611815.96000000008</v>
      </c>
      <c r="QR12" s="53">
        <v>437820.3</v>
      </c>
      <c r="QS12" s="53">
        <v>120826.14000000001</v>
      </c>
      <c r="QT12" s="53">
        <v>18800.760999999999</v>
      </c>
      <c r="QU12" s="296">
        <v>53169.520000000077</v>
      </c>
      <c r="QV12" s="1">
        <v>633295</v>
      </c>
      <c r="QW12" s="2">
        <v>444994</v>
      </c>
      <c r="QX12" s="2">
        <v>128629</v>
      </c>
      <c r="QY12" s="2">
        <v>18389</v>
      </c>
      <c r="QZ12" s="69">
        <v>59672</v>
      </c>
      <c r="RA12" s="2">
        <v>659862</v>
      </c>
      <c r="RB12" s="2">
        <v>444096</v>
      </c>
      <c r="RC12" s="2">
        <v>137740</v>
      </c>
      <c r="RD12" s="2">
        <v>19299</v>
      </c>
      <c r="RE12" s="2">
        <v>63750</v>
      </c>
      <c r="RF12" s="2">
        <v>755664</v>
      </c>
      <c r="RG12" s="2">
        <v>480175</v>
      </c>
      <c r="RH12" s="2">
        <v>169893</v>
      </c>
      <c r="RI12" s="2">
        <v>28073</v>
      </c>
      <c r="RJ12" s="2">
        <v>83570</v>
      </c>
      <c r="RK12" s="2">
        <v>796001</v>
      </c>
      <c r="RL12" s="2">
        <v>495809</v>
      </c>
      <c r="RM12" s="2">
        <v>187555</v>
      </c>
      <c r="RN12" s="2">
        <v>31575</v>
      </c>
      <c r="RO12" s="2">
        <v>89472</v>
      </c>
    </row>
    <row r="13" spans="1:483" ht="14.25" x14ac:dyDescent="0.2">
      <c r="A13" s="216" t="s">
        <v>5</v>
      </c>
      <c r="B13" s="183">
        <f>74579+109347+139980+51270+108297+170311</f>
        <v>653784</v>
      </c>
      <c r="C13" s="53">
        <f>68281+102019+132924+46692+99392+161357</f>
        <v>610665</v>
      </c>
      <c r="D13" s="53">
        <f>5419+6108+5899+3778+7382+7446</f>
        <v>36032</v>
      </c>
      <c r="E13" s="53">
        <f>652+993+931+468+1049+1086</f>
        <v>5179</v>
      </c>
      <c r="F13" s="296">
        <f>123+100+154+97+120+70+109+106+166+223+343+240</f>
        <v>1851</v>
      </c>
      <c r="G13" s="5">
        <v>442579</v>
      </c>
      <c r="H13" s="53">
        <v>418668</v>
      </c>
      <c r="I13" s="53">
        <v>21820</v>
      </c>
      <c r="J13" s="53">
        <v>1315</v>
      </c>
      <c r="K13" s="296">
        <v>2091</v>
      </c>
      <c r="L13" s="5">
        <v>309293</v>
      </c>
      <c r="M13" s="53">
        <v>289669</v>
      </c>
      <c r="N13" s="53">
        <v>12281</v>
      </c>
      <c r="O13" s="53">
        <v>6461</v>
      </c>
      <c r="P13" s="296">
        <v>7343</v>
      </c>
      <c r="Q13" s="7">
        <v>228069</v>
      </c>
      <c r="R13" s="560">
        <v>208228</v>
      </c>
      <c r="S13" s="560">
        <v>9196</v>
      </c>
      <c r="T13" s="560">
        <v>12903</v>
      </c>
      <c r="U13" s="575">
        <v>10645</v>
      </c>
      <c r="V13" s="560">
        <v>211805</v>
      </c>
      <c r="W13" s="4">
        <v>190552</v>
      </c>
      <c r="X13" s="560">
        <v>9174</v>
      </c>
      <c r="Y13" s="560">
        <v>13680</v>
      </c>
      <c r="Z13" s="560">
        <v>12040</v>
      </c>
      <c r="AA13" s="560">
        <v>203049</v>
      </c>
      <c r="AB13" s="560">
        <v>173945</v>
      </c>
      <c r="AC13" s="560">
        <v>9384</v>
      </c>
      <c r="AD13" s="560">
        <v>14636</v>
      </c>
      <c r="AE13" s="675">
        <v>12189</v>
      </c>
      <c r="AF13" s="560">
        <v>183951</v>
      </c>
      <c r="AG13" s="560">
        <v>153420</v>
      </c>
      <c r="AH13" s="560">
        <v>10480</v>
      </c>
      <c r="AI13" s="560">
        <v>13842</v>
      </c>
      <c r="AJ13" s="560">
        <v>12106</v>
      </c>
      <c r="AK13" s="560">
        <v>170725</v>
      </c>
      <c r="AL13" s="560">
        <v>143158</v>
      </c>
      <c r="AM13" s="560">
        <v>8490</v>
      </c>
      <c r="AN13" s="560">
        <v>12900</v>
      </c>
      <c r="AO13" s="560">
        <v>12007</v>
      </c>
      <c r="AP13" s="183">
        <v>383278</v>
      </c>
      <c r="AQ13" s="53">
        <v>346512</v>
      </c>
      <c r="AR13" s="53">
        <v>34471</v>
      </c>
      <c r="AS13" s="53">
        <v>1329</v>
      </c>
      <c r="AT13" s="296">
        <v>2295</v>
      </c>
      <c r="AU13" s="5">
        <v>375707</v>
      </c>
      <c r="AV13" s="53">
        <v>334833</v>
      </c>
      <c r="AW13" s="53">
        <v>33396</v>
      </c>
      <c r="AX13" s="53">
        <v>5056</v>
      </c>
      <c r="AY13" s="296">
        <v>7478</v>
      </c>
      <c r="AZ13" s="5">
        <v>301231</v>
      </c>
      <c r="BA13" s="53">
        <v>265808</v>
      </c>
      <c r="BB13" s="53">
        <v>26388</v>
      </c>
      <c r="BC13" s="53">
        <v>8444</v>
      </c>
      <c r="BD13" s="296">
        <v>9035</v>
      </c>
      <c r="BE13" s="53">
        <v>289032</v>
      </c>
      <c r="BF13" s="53">
        <v>253540</v>
      </c>
      <c r="BG13" s="53">
        <v>26836</v>
      </c>
      <c r="BH13" s="53">
        <v>8992</v>
      </c>
      <c r="BI13" s="53">
        <v>8638</v>
      </c>
      <c r="BJ13" s="53">
        <v>278926</v>
      </c>
      <c r="BK13" s="53">
        <v>241771</v>
      </c>
      <c r="BL13" s="53">
        <v>24963</v>
      </c>
      <c r="BM13" s="53">
        <v>8002</v>
      </c>
      <c r="BN13" s="53">
        <v>7182</v>
      </c>
      <c r="BO13" s="53">
        <v>260013</v>
      </c>
      <c r="BP13" s="53">
        <v>221594</v>
      </c>
      <c r="BQ13" s="53">
        <v>24903</v>
      </c>
      <c r="BR13" s="53">
        <v>8552</v>
      </c>
      <c r="BS13" s="53">
        <v>8433</v>
      </c>
      <c r="BT13" s="53">
        <v>257735</v>
      </c>
      <c r="BU13" s="53">
        <v>218664</v>
      </c>
      <c r="BV13" s="53">
        <v>24145</v>
      </c>
      <c r="BW13" s="53">
        <v>10492</v>
      </c>
      <c r="BX13" s="53">
        <v>7817</v>
      </c>
      <c r="BY13" s="12">
        <v>516719</v>
      </c>
      <c r="BZ13" s="53">
        <v>460318</v>
      </c>
      <c r="CA13" s="53">
        <v>36180</v>
      </c>
      <c r="CB13" s="53">
        <v>22490</v>
      </c>
      <c r="CC13" s="546">
        <f t="shared" si="368"/>
        <v>20221</v>
      </c>
      <c r="CD13" s="327">
        <v>222973</v>
      </c>
      <c r="CE13" s="328">
        <v>340225</v>
      </c>
      <c r="CF13" s="328">
        <v>444072</v>
      </c>
      <c r="CG13" s="328">
        <v>660102</v>
      </c>
      <c r="CH13" s="12">
        <v>1107557</v>
      </c>
      <c r="CI13" s="53">
        <v>1033219.9670000001</v>
      </c>
      <c r="CJ13" s="53">
        <v>62819.309000000001</v>
      </c>
      <c r="CK13" s="53">
        <v>5434.91</v>
      </c>
      <c r="CL13" s="296">
        <v>5826.348</v>
      </c>
      <c r="CM13" s="5">
        <v>1507976</v>
      </c>
      <c r="CN13" s="53">
        <v>1405269</v>
      </c>
      <c r="CO13" s="53">
        <v>90536</v>
      </c>
      <c r="CP13" s="53">
        <v>7506</v>
      </c>
      <c r="CQ13" s="296">
        <v>12171</v>
      </c>
      <c r="CR13" s="5">
        <v>1961397</v>
      </c>
      <c r="CS13" s="53">
        <v>1795129</v>
      </c>
      <c r="CT13" s="53">
        <v>124644</v>
      </c>
      <c r="CU13" s="53">
        <v>16614</v>
      </c>
      <c r="CV13" s="53">
        <v>41624</v>
      </c>
      <c r="CW13" s="329">
        <v>2228543</v>
      </c>
      <c r="CX13" s="53">
        <v>2029651</v>
      </c>
      <c r="CY13" s="53">
        <v>147423</v>
      </c>
      <c r="CZ13" s="53">
        <v>51469</v>
      </c>
      <c r="DA13" s="53">
        <v>26372</v>
      </c>
      <c r="DB13" s="183">
        <v>2283201</v>
      </c>
      <c r="DC13" s="53">
        <v>2076250</v>
      </c>
      <c r="DD13" s="53">
        <v>152519</v>
      </c>
      <c r="DE13" s="53">
        <v>54432</v>
      </c>
      <c r="DF13" s="53">
        <v>29259</v>
      </c>
      <c r="DG13" s="56">
        <v>2312303</v>
      </c>
      <c r="DH13" s="54">
        <v>2098818</v>
      </c>
      <c r="DI13" s="54">
        <v>156678</v>
      </c>
      <c r="DJ13" s="54">
        <v>56807</v>
      </c>
      <c r="DK13" s="54">
        <v>31324</v>
      </c>
      <c r="DL13" s="12">
        <v>2350529</v>
      </c>
      <c r="DM13" s="53">
        <v>2125510</v>
      </c>
      <c r="DN13" s="53">
        <v>164743</v>
      </c>
      <c r="DO13" s="53">
        <v>37863</v>
      </c>
      <c r="DP13" s="53">
        <v>41777</v>
      </c>
      <c r="DQ13" s="12">
        <v>2386198.5959999999</v>
      </c>
      <c r="DR13" s="53">
        <v>2155124.2080000001</v>
      </c>
      <c r="DS13" s="53">
        <v>169390.50400000002</v>
      </c>
      <c r="DT13" s="53">
        <v>39809.061000000002</v>
      </c>
      <c r="DU13" s="581">
        <f t="shared" si="369"/>
        <v>61683.883999999787</v>
      </c>
      <c r="DV13" s="53">
        <v>2421838</v>
      </c>
      <c r="DW13" s="53">
        <v>2185202</v>
      </c>
      <c r="DX13" s="53">
        <v>171670</v>
      </c>
      <c r="DY13" s="53">
        <v>43441</v>
      </c>
      <c r="DZ13" s="53">
        <v>64287</v>
      </c>
      <c r="EA13" s="53">
        <v>2455204</v>
      </c>
      <c r="EB13" s="53">
        <v>2180571</v>
      </c>
      <c r="EC13" s="53">
        <v>175889</v>
      </c>
      <c r="ED13" s="53">
        <v>45539</v>
      </c>
      <c r="EE13" s="53">
        <v>67909</v>
      </c>
      <c r="EF13" s="53">
        <v>2544826</v>
      </c>
      <c r="EG13" s="53">
        <v>2246417</v>
      </c>
      <c r="EH13" s="53">
        <v>187808</v>
      </c>
      <c r="EI13" s="53">
        <v>48160</v>
      </c>
      <c r="EJ13" s="53">
        <v>45542</v>
      </c>
      <c r="EK13" s="53">
        <v>2567049</v>
      </c>
      <c r="EL13" s="53">
        <v>2264826</v>
      </c>
      <c r="EM13" s="53">
        <v>190429</v>
      </c>
      <c r="EN13" s="53">
        <v>48900</v>
      </c>
      <c r="EO13" s="53">
        <v>52753</v>
      </c>
      <c r="EP13" s="12">
        <f>107197+116345</f>
        <v>223542</v>
      </c>
      <c r="EQ13" s="53">
        <f>99177+106412</f>
        <v>205589</v>
      </c>
      <c r="ER13" s="53">
        <f>6803+8596</f>
        <v>15399</v>
      </c>
      <c r="ES13" s="53">
        <f>695+573</f>
        <v>1268</v>
      </c>
      <c r="ET13" s="296">
        <f>191+388+121+498</f>
        <v>1198</v>
      </c>
      <c r="EU13" s="5">
        <v>448837</v>
      </c>
      <c r="EV13" s="53">
        <v>411545</v>
      </c>
      <c r="EW13" s="53">
        <v>33814</v>
      </c>
      <c r="EX13" s="53">
        <v>2785</v>
      </c>
      <c r="EY13" s="296">
        <v>3478</v>
      </c>
      <c r="EZ13" s="5">
        <v>619651</v>
      </c>
      <c r="FA13" s="53">
        <v>557640</v>
      </c>
      <c r="FB13" s="53">
        <v>49387</v>
      </c>
      <c r="FC13" s="53">
        <v>5945</v>
      </c>
      <c r="FD13" s="296">
        <v>12624</v>
      </c>
      <c r="FE13" s="5">
        <v>775577</v>
      </c>
      <c r="FF13" s="53">
        <v>687311</v>
      </c>
      <c r="FG13" s="53">
        <v>69507</v>
      </c>
      <c r="FH13" s="53">
        <v>12601</v>
      </c>
      <c r="FI13" s="296">
        <v>18759</v>
      </c>
      <c r="FJ13" s="5">
        <v>789593.69600000011</v>
      </c>
      <c r="FK13" s="53">
        <v>700938.45600000001</v>
      </c>
      <c r="FL13" s="53">
        <v>69482.997999999992</v>
      </c>
      <c r="FM13" s="53">
        <v>12771.295</v>
      </c>
      <c r="FN13" s="296">
        <v>19172.242000000115</v>
      </c>
      <c r="FO13" s="53">
        <v>808333</v>
      </c>
      <c r="FP13" s="53">
        <v>718236</v>
      </c>
      <c r="FQ13" s="53">
        <v>70400</v>
      </c>
      <c r="FR13" s="53">
        <v>13455</v>
      </c>
      <c r="FS13" s="618">
        <v>19390</v>
      </c>
      <c r="FT13" s="618">
        <v>823121</v>
      </c>
      <c r="FU13" s="618">
        <v>721437</v>
      </c>
      <c r="FV13" s="618">
        <v>72126</v>
      </c>
      <c r="FW13" s="618">
        <v>14064</v>
      </c>
      <c r="FX13" s="618">
        <v>20176</v>
      </c>
      <c r="FY13" s="618">
        <v>846111</v>
      </c>
      <c r="FZ13" s="618">
        <v>738428</v>
      </c>
      <c r="GA13" s="618">
        <v>74437</v>
      </c>
      <c r="GB13" s="618">
        <v>13629</v>
      </c>
      <c r="GC13" s="618">
        <v>22206</v>
      </c>
      <c r="GD13" s="618">
        <v>896409</v>
      </c>
      <c r="GE13" s="618">
        <v>777451</v>
      </c>
      <c r="GF13" s="618">
        <v>86088</v>
      </c>
      <c r="GG13" s="618">
        <v>14329</v>
      </c>
      <c r="GH13" s="618">
        <v>23209</v>
      </c>
      <c r="GI13" s="12">
        <v>94610</v>
      </c>
      <c r="GJ13" s="53">
        <v>86907</v>
      </c>
      <c r="GK13" s="53">
        <v>6829</v>
      </c>
      <c r="GL13" s="53">
        <v>657</v>
      </c>
      <c r="GM13" s="296">
        <v>874</v>
      </c>
      <c r="GN13" s="5">
        <v>129481</v>
      </c>
      <c r="GO13" s="53">
        <v>117235</v>
      </c>
      <c r="GP13" s="53">
        <v>9348</v>
      </c>
      <c r="GQ13" s="53">
        <v>1263</v>
      </c>
      <c r="GR13" s="296">
        <v>2898</v>
      </c>
      <c r="GS13" s="183">
        <v>192700</v>
      </c>
      <c r="GT13" s="53">
        <v>172766</v>
      </c>
      <c r="GU13" s="53">
        <v>15315</v>
      </c>
      <c r="GV13" s="53">
        <v>2260</v>
      </c>
      <c r="GW13" s="53">
        <v>4619</v>
      </c>
      <c r="GX13" s="183"/>
      <c r="GY13" s="53"/>
      <c r="GZ13" s="53"/>
      <c r="HA13" s="53"/>
      <c r="HB13" s="296"/>
      <c r="HC13" s="53">
        <v>205573</v>
      </c>
      <c r="HD13" s="53">
        <v>185435</v>
      </c>
      <c r="HE13" s="53">
        <v>15053</v>
      </c>
      <c r="HF13" s="53">
        <v>3124</v>
      </c>
      <c r="HG13" s="53">
        <v>5017</v>
      </c>
      <c r="HH13" s="53">
        <v>212970</v>
      </c>
      <c r="HI13" s="53">
        <v>189884</v>
      </c>
      <c r="HJ13" s="53">
        <v>15229</v>
      </c>
      <c r="HK13" s="53">
        <v>3588</v>
      </c>
      <c r="HL13" s="53">
        <v>5247</v>
      </c>
      <c r="HM13" s="53">
        <v>235061</v>
      </c>
      <c r="HN13" s="53">
        <v>206571</v>
      </c>
      <c r="HO13" s="53">
        <v>18723</v>
      </c>
      <c r="HP13" s="53">
        <v>3892</v>
      </c>
      <c r="HQ13" s="53">
        <v>7039</v>
      </c>
      <c r="HR13" s="53">
        <v>256369</v>
      </c>
      <c r="HS13" s="53">
        <v>226663</v>
      </c>
      <c r="HT13" s="53">
        <v>20971</v>
      </c>
      <c r="HU13" s="53">
        <v>3727</v>
      </c>
      <c r="HV13" s="53">
        <v>6090</v>
      </c>
      <c r="HW13" s="569">
        <f t="shared" si="370"/>
        <v>412737</v>
      </c>
      <c r="HX13" s="546">
        <f t="shared" si="371"/>
        <v>388665</v>
      </c>
      <c r="HY13" s="546">
        <f t="shared" si="372"/>
        <v>18172</v>
      </c>
      <c r="HZ13" s="546">
        <f t="shared" si="373"/>
        <v>2579</v>
      </c>
      <c r="IA13" s="546">
        <f t="shared" si="374"/>
        <v>5900</v>
      </c>
      <c r="IB13" s="569">
        <f t="shared" si="375"/>
        <v>582950</v>
      </c>
      <c r="IC13" s="546">
        <f t="shared" si="376"/>
        <v>537164</v>
      </c>
      <c r="ID13" s="546">
        <f t="shared" si="377"/>
        <v>27504</v>
      </c>
      <c r="IE13" s="546">
        <f t="shared" si="378"/>
        <v>4909</v>
      </c>
      <c r="IF13" s="546">
        <f t="shared" si="379"/>
        <v>18282</v>
      </c>
      <c r="IG13" s="183">
        <v>654680</v>
      </c>
      <c r="IH13" s="53">
        <v>593462</v>
      </c>
      <c r="II13" s="53">
        <v>37851</v>
      </c>
      <c r="IJ13" s="53">
        <v>8738</v>
      </c>
      <c r="IK13" s="53">
        <v>23367</v>
      </c>
      <c r="IL13" s="559"/>
      <c r="IM13" s="560"/>
      <c r="IN13" s="560"/>
      <c r="IO13" s="560"/>
      <c r="IP13" s="560"/>
      <c r="IQ13" s="560">
        <v>823716</v>
      </c>
      <c r="IR13" s="560">
        <v>746199</v>
      </c>
      <c r="IS13" s="560">
        <v>46569</v>
      </c>
      <c r="IT13" s="560">
        <v>12544</v>
      </c>
      <c r="IU13" s="575">
        <v>30697</v>
      </c>
      <c r="IV13" s="560">
        <v>853390</v>
      </c>
      <c r="IW13" s="560">
        <v>762181</v>
      </c>
      <c r="IX13" s="560">
        <v>47699</v>
      </c>
      <c r="IY13" s="560">
        <v>14043</v>
      </c>
      <c r="IZ13" s="560">
        <v>33477</v>
      </c>
      <c r="JA13" s="559">
        <v>931235</v>
      </c>
      <c r="JB13" s="560">
        <v>824804</v>
      </c>
      <c r="JC13" s="560">
        <v>55193</v>
      </c>
      <c r="JD13" s="560">
        <v>16432</v>
      </c>
      <c r="JE13" s="560">
        <v>26678</v>
      </c>
      <c r="JF13" s="559">
        <v>958710</v>
      </c>
      <c r="JG13" s="560">
        <v>853550</v>
      </c>
      <c r="JH13" s="560">
        <v>53413</v>
      </c>
      <c r="JI13" s="560">
        <v>18656</v>
      </c>
      <c r="JJ13" s="560">
        <v>27700</v>
      </c>
      <c r="JK13" s="12">
        <v>189539</v>
      </c>
      <c r="JL13" s="5">
        <v>179804</v>
      </c>
      <c r="JM13" s="5">
        <v>7211</v>
      </c>
      <c r="JN13" s="5">
        <v>1026</v>
      </c>
      <c r="JO13" s="5">
        <v>2524</v>
      </c>
      <c r="JP13" s="12">
        <v>271418</v>
      </c>
      <c r="JQ13" s="53">
        <v>252166</v>
      </c>
      <c r="JR13" s="53">
        <v>11661</v>
      </c>
      <c r="JS13" s="53">
        <v>2169</v>
      </c>
      <c r="JT13" s="53">
        <v>7591</v>
      </c>
      <c r="JU13" s="183">
        <v>354144</v>
      </c>
      <c r="JV13" s="53">
        <v>323777</v>
      </c>
      <c r="JW13" s="53">
        <v>18114</v>
      </c>
      <c r="JX13" s="53">
        <v>4937</v>
      </c>
      <c r="JY13" s="53">
        <v>12253</v>
      </c>
      <c r="JZ13" s="183">
        <v>359961.83199999999</v>
      </c>
      <c r="KA13" s="53">
        <v>329545.69199999998</v>
      </c>
      <c r="KB13" s="53">
        <v>18706.960999999999</v>
      </c>
      <c r="KC13" s="53">
        <v>5295.415</v>
      </c>
      <c r="KD13" s="53">
        <v>11709.179000000015</v>
      </c>
      <c r="KE13" s="53">
        <v>377048</v>
      </c>
      <c r="KF13" s="53">
        <v>337810</v>
      </c>
      <c r="KG13" s="53">
        <v>19824</v>
      </c>
      <c r="KH13" s="53">
        <v>6319</v>
      </c>
      <c r="KI13" s="53">
        <v>15175</v>
      </c>
      <c r="KJ13" s="53">
        <v>406865</v>
      </c>
      <c r="KK13" s="53">
        <v>362079</v>
      </c>
      <c r="KL13" s="53">
        <v>23016</v>
      </c>
      <c r="KM13" s="53">
        <v>7478</v>
      </c>
      <c r="KN13" s="53">
        <v>15927</v>
      </c>
      <c r="KO13" s="53">
        <v>419081</v>
      </c>
      <c r="KP13" s="53">
        <v>374686</v>
      </c>
      <c r="KQ13" s="53">
        <v>20010</v>
      </c>
      <c r="KR13" s="53">
        <v>9625</v>
      </c>
      <c r="KS13" s="53">
        <v>16931</v>
      </c>
      <c r="KT13" s="330">
        <v>42486</v>
      </c>
      <c r="KU13" s="331">
        <v>59010</v>
      </c>
      <c r="KV13" s="316">
        <v>78847</v>
      </c>
      <c r="KW13" s="332">
        <f t="shared" si="327"/>
        <v>46096</v>
      </c>
      <c r="KX13" s="332">
        <f t="shared" si="328"/>
        <v>32751</v>
      </c>
      <c r="KY13" s="332">
        <f t="shared" si="329"/>
        <v>75802</v>
      </c>
      <c r="KZ13" s="318">
        <v>44797</v>
      </c>
      <c r="LA13" s="318">
        <v>31005</v>
      </c>
      <c r="LB13" s="332">
        <f t="shared" si="330"/>
        <v>3045</v>
      </c>
      <c r="LC13" s="318">
        <v>1299</v>
      </c>
      <c r="LD13" s="318">
        <v>1746</v>
      </c>
      <c r="LE13" s="316">
        <v>123947</v>
      </c>
      <c r="LF13" s="332">
        <f t="shared" si="331"/>
        <v>70095</v>
      </c>
      <c r="LG13" s="332">
        <f t="shared" si="332"/>
        <v>53852</v>
      </c>
      <c r="LH13" s="332">
        <f t="shared" si="333"/>
        <v>119317</v>
      </c>
      <c r="LI13" s="318">
        <v>67972</v>
      </c>
      <c r="LJ13" s="318">
        <v>51345</v>
      </c>
      <c r="LK13" s="332">
        <f t="shared" si="334"/>
        <v>3624</v>
      </c>
      <c r="LL13" s="318">
        <v>1462</v>
      </c>
      <c r="LM13" s="318">
        <v>2162</v>
      </c>
      <c r="LN13" s="332">
        <f t="shared" si="335"/>
        <v>1006</v>
      </c>
      <c r="LO13" s="318">
        <v>661</v>
      </c>
      <c r="LP13" s="318">
        <v>345</v>
      </c>
      <c r="LQ13" s="316">
        <v>231139</v>
      </c>
      <c r="LR13" s="332">
        <f t="shared" si="336"/>
        <v>129052</v>
      </c>
      <c r="LS13" s="332">
        <f t="shared" si="337"/>
        <v>102087</v>
      </c>
      <c r="LT13" s="53">
        <f>96165+122904</f>
        <v>219069</v>
      </c>
      <c r="LU13" s="318">
        <v>122904</v>
      </c>
      <c r="LV13" s="318">
        <v>96165</v>
      </c>
      <c r="LW13" s="318">
        <v>6148</v>
      </c>
      <c r="LX13" s="318">
        <v>5922</v>
      </c>
      <c r="LY13" s="53">
        <f>3995+4235</f>
        <v>8230</v>
      </c>
      <c r="LZ13" s="318">
        <v>3995</v>
      </c>
      <c r="MA13" s="318">
        <v>4235</v>
      </c>
      <c r="MB13" s="53">
        <f>665+579</f>
        <v>1244</v>
      </c>
      <c r="MC13" s="318">
        <v>665</v>
      </c>
      <c r="MD13" s="318">
        <v>579</v>
      </c>
      <c r="ME13" s="333">
        <f t="shared" si="338"/>
        <v>2596</v>
      </c>
      <c r="MF13" s="333">
        <f t="shared" si="339"/>
        <v>1488</v>
      </c>
      <c r="MG13" s="333">
        <f t="shared" si="340"/>
        <v>1108</v>
      </c>
      <c r="MH13" s="334">
        <f t="shared" si="341"/>
        <v>62</v>
      </c>
      <c r="MI13" s="334">
        <f t="shared" si="342"/>
        <v>50</v>
      </c>
      <c r="MJ13" s="334">
        <f t="shared" si="343"/>
        <v>12</v>
      </c>
      <c r="MK13" s="318">
        <v>2534</v>
      </c>
      <c r="ML13" s="318">
        <v>1438</v>
      </c>
      <c r="MM13" s="318">
        <v>1096</v>
      </c>
      <c r="MN13" s="14">
        <f t="shared" si="344"/>
        <v>318127</v>
      </c>
      <c r="MO13" s="332">
        <f t="shared" si="345"/>
        <v>166673</v>
      </c>
      <c r="MP13" s="332">
        <f t="shared" si="346"/>
        <v>151454</v>
      </c>
      <c r="MQ13" s="13">
        <f t="shared" si="347"/>
        <v>301758</v>
      </c>
      <c r="MR13" s="136">
        <f t="shared" si="348"/>
        <v>300338</v>
      </c>
      <c r="MS13" s="318">
        <v>157982</v>
      </c>
      <c r="MT13" s="318">
        <v>142356</v>
      </c>
      <c r="MU13" s="318">
        <v>8691</v>
      </c>
      <c r="MV13" s="318">
        <v>9098</v>
      </c>
      <c r="MW13" s="13">
        <f t="shared" si="349"/>
        <v>11343</v>
      </c>
      <c r="MX13" s="136">
        <f t="shared" si="350"/>
        <v>11307</v>
      </c>
      <c r="MY13" s="318">
        <v>4889</v>
      </c>
      <c r="MZ13" s="318">
        <v>6418</v>
      </c>
      <c r="NA13" s="13">
        <f t="shared" si="351"/>
        <v>1922</v>
      </c>
      <c r="NB13" s="318">
        <v>1128</v>
      </c>
      <c r="NC13" s="318">
        <v>794</v>
      </c>
      <c r="ND13" s="11">
        <f t="shared" si="352"/>
        <v>5026</v>
      </c>
      <c r="NE13" s="335">
        <f t="shared" si="353"/>
        <v>2674</v>
      </c>
      <c r="NF13" s="335">
        <f t="shared" si="354"/>
        <v>1886</v>
      </c>
      <c r="NG13" s="336">
        <f t="shared" si="355"/>
        <v>16</v>
      </c>
      <c r="NH13" s="336">
        <f t="shared" si="356"/>
        <v>13</v>
      </c>
      <c r="NI13" s="336">
        <f t="shared" si="357"/>
        <v>3</v>
      </c>
      <c r="NJ13" s="337">
        <f t="shared" si="358"/>
        <v>4544</v>
      </c>
      <c r="NK13" s="337">
        <f t="shared" si="359"/>
        <v>2661</v>
      </c>
      <c r="NL13" s="337">
        <f t="shared" si="360"/>
        <v>1883</v>
      </c>
      <c r="NM13" s="318">
        <v>173</v>
      </c>
      <c r="NN13" s="318">
        <v>172</v>
      </c>
      <c r="NO13" s="318">
        <v>2488</v>
      </c>
      <c r="NP13" s="318">
        <v>1711</v>
      </c>
      <c r="NQ13" s="338">
        <v>453469</v>
      </c>
      <c r="NR13" s="318">
        <v>226434</v>
      </c>
      <c r="NS13" s="318">
        <v>227035</v>
      </c>
      <c r="NT13" s="7">
        <f t="shared" si="361"/>
        <v>419929</v>
      </c>
      <c r="NU13" s="7">
        <v>209804</v>
      </c>
      <c r="NV13" s="7">
        <v>210125</v>
      </c>
      <c r="NW13" s="125">
        <f t="shared" si="362"/>
        <v>417561</v>
      </c>
      <c r="NX13" s="318">
        <v>208518</v>
      </c>
      <c r="NY13" s="318">
        <v>209043</v>
      </c>
      <c r="NZ13" s="7">
        <f t="shared" si="363"/>
        <v>18156</v>
      </c>
      <c r="OA13" s="318">
        <v>8032</v>
      </c>
      <c r="OB13" s="318">
        <v>10124</v>
      </c>
      <c r="OC13" s="7">
        <f t="shared" si="364"/>
        <v>3646</v>
      </c>
      <c r="OD13" s="318">
        <v>1987</v>
      </c>
      <c r="OE13" s="318">
        <v>1659</v>
      </c>
      <c r="OF13" s="125">
        <f t="shared" si="365"/>
        <v>15384</v>
      </c>
      <c r="OG13" s="125">
        <f t="shared" si="366"/>
        <v>8598</v>
      </c>
      <c r="OH13" s="125">
        <f t="shared" si="367"/>
        <v>6786</v>
      </c>
      <c r="OI13" s="326">
        <v>553608</v>
      </c>
      <c r="OJ13" s="318">
        <v>509507</v>
      </c>
      <c r="OK13" s="318">
        <v>23662</v>
      </c>
      <c r="OL13" s="318">
        <v>20439</v>
      </c>
      <c r="OM13" s="7">
        <v>7380</v>
      </c>
      <c r="ON13" s="183">
        <v>567846</v>
      </c>
      <c r="OO13" s="53">
        <v>521789</v>
      </c>
      <c r="OP13" s="53">
        <v>25282</v>
      </c>
      <c r="OQ13" s="53">
        <v>20775</v>
      </c>
      <c r="OR13" s="53">
        <v>6902</v>
      </c>
      <c r="OS13" s="183">
        <v>580967</v>
      </c>
      <c r="OT13" s="53">
        <v>532667</v>
      </c>
      <c r="OU13" s="53">
        <v>26493</v>
      </c>
      <c r="OV13" s="53">
        <v>21807</v>
      </c>
      <c r="OW13" s="53">
        <v>6911</v>
      </c>
      <c r="OX13" s="183">
        <v>590415</v>
      </c>
      <c r="OY13" s="53">
        <v>538008</v>
      </c>
      <c r="OZ13" s="53">
        <v>28958</v>
      </c>
      <c r="PA13" s="53">
        <v>23449</v>
      </c>
      <c r="PB13" s="53">
        <v>8073</v>
      </c>
      <c r="PC13" s="12">
        <v>606709.86199999996</v>
      </c>
      <c r="PD13" s="53">
        <v>551858.26199999999</v>
      </c>
      <c r="PE13" s="53">
        <v>29807.794999999998</v>
      </c>
      <c r="PF13" s="53">
        <v>8348.0660000000007</v>
      </c>
      <c r="PG13" s="53">
        <v>25043.804999999978</v>
      </c>
      <c r="PH13" s="53">
        <v>618143</v>
      </c>
      <c r="PI13" s="53">
        <v>560764</v>
      </c>
      <c r="PJ13" s="53">
        <v>31516</v>
      </c>
      <c r="PK13" s="53">
        <v>9420</v>
      </c>
      <c r="PL13" s="2">
        <v>25680</v>
      </c>
      <c r="PM13" s="2">
        <v>640420</v>
      </c>
      <c r="PN13" s="2">
        <v>572297</v>
      </c>
      <c r="PO13" s="2">
        <v>32470</v>
      </c>
      <c r="PP13" s="2">
        <v>10455</v>
      </c>
      <c r="PQ13" s="2">
        <v>28230</v>
      </c>
      <c r="PR13" s="2">
        <v>696174</v>
      </c>
      <c r="PS13" s="2">
        <v>618233</v>
      </c>
      <c r="PT13" s="2">
        <v>36470</v>
      </c>
      <c r="PU13" s="2">
        <v>12540</v>
      </c>
      <c r="PV13" s="2">
        <v>22884</v>
      </c>
      <c r="PW13" s="2">
        <v>702341</v>
      </c>
      <c r="PX13" s="2">
        <v>626887</v>
      </c>
      <c r="PY13" s="2">
        <v>32442</v>
      </c>
      <c r="PZ13" s="2">
        <v>14929</v>
      </c>
      <c r="QA13" s="2">
        <v>24439</v>
      </c>
      <c r="QB13" s="12">
        <v>128588</v>
      </c>
      <c r="QC13" s="5">
        <v>121954</v>
      </c>
      <c r="QD13" s="5">
        <v>4132</v>
      </c>
      <c r="QE13" s="5">
        <v>896</v>
      </c>
      <c r="QF13" s="5">
        <v>2502</v>
      </c>
      <c r="QG13" s="12">
        <v>182051</v>
      </c>
      <c r="QH13" s="53">
        <v>167763</v>
      </c>
      <c r="QI13" s="53">
        <v>6495</v>
      </c>
      <c r="QJ13" s="53">
        <v>1477</v>
      </c>
      <c r="QK13" s="53">
        <v>7793</v>
      </c>
      <c r="QL13" s="12">
        <v>236271</v>
      </c>
      <c r="QM13" s="53">
        <v>214231</v>
      </c>
      <c r="QN13" s="53">
        <v>10844</v>
      </c>
      <c r="QO13" s="53">
        <v>3136</v>
      </c>
      <c r="QP13" s="53">
        <v>11196</v>
      </c>
      <c r="QQ13" s="12">
        <v>246748.03000000003</v>
      </c>
      <c r="QR13" s="53">
        <v>222312.57</v>
      </c>
      <c r="QS13" s="53">
        <v>11100.834000000001</v>
      </c>
      <c r="QT13" s="53">
        <v>3052.6510000000003</v>
      </c>
      <c r="QU13" s="296">
        <v>13334.62600000002</v>
      </c>
      <c r="QV13" s="1">
        <v>251287</v>
      </c>
      <c r="QW13" s="2">
        <v>226945</v>
      </c>
      <c r="QX13" s="2">
        <v>12294</v>
      </c>
      <c r="QY13" s="2">
        <v>3681</v>
      </c>
      <c r="QZ13" s="69">
        <v>12039</v>
      </c>
      <c r="RA13" s="2">
        <v>263372</v>
      </c>
      <c r="RB13" s="2">
        <v>234487</v>
      </c>
      <c r="RC13" s="2">
        <v>12646</v>
      </c>
      <c r="RD13" s="2">
        <v>4136</v>
      </c>
      <c r="RE13" s="2">
        <v>13055</v>
      </c>
      <c r="RF13" s="2">
        <v>289309</v>
      </c>
      <c r="RG13" s="2">
        <v>256154</v>
      </c>
      <c r="RH13" s="2">
        <v>13454</v>
      </c>
      <c r="RI13" s="2">
        <v>5062</v>
      </c>
      <c r="RJ13" s="2">
        <v>15166</v>
      </c>
      <c r="RK13" s="2">
        <v>283260</v>
      </c>
      <c r="RL13" s="2">
        <v>252201</v>
      </c>
      <c r="RM13" s="2">
        <v>12432</v>
      </c>
      <c r="RN13" s="2">
        <v>5304</v>
      </c>
      <c r="RO13" s="2">
        <v>14319</v>
      </c>
    </row>
    <row r="14" spans="1:483" ht="14.25" x14ac:dyDescent="0.2">
      <c r="A14" s="216" t="s">
        <v>6</v>
      </c>
      <c r="B14" s="183">
        <f>90813+117900+63387+86044+133186+77260</f>
        <v>568590</v>
      </c>
      <c r="C14" s="53">
        <f>42682+73634+43099+40982+76071+48419</f>
        <v>324887</v>
      </c>
      <c r="D14" s="53">
        <f>44977+40517+18473+42009+52259+26255</f>
        <v>224490</v>
      </c>
      <c r="E14" s="53">
        <f>2026+2734+1421+1943+3424+2087</f>
        <v>13635</v>
      </c>
      <c r="F14" s="296">
        <f>645+459+206+377+511+156+522+366+156+529+974+311</f>
        <v>5212</v>
      </c>
      <c r="G14" s="5">
        <v>372913</v>
      </c>
      <c r="H14" s="53">
        <v>215750</v>
      </c>
      <c r="I14" s="53">
        <v>147552</v>
      </c>
      <c r="J14" s="53">
        <v>9203</v>
      </c>
      <c r="K14" s="296">
        <v>9611</v>
      </c>
      <c r="L14" s="5">
        <v>257710</v>
      </c>
      <c r="M14" s="53">
        <v>143433</v>
      </c>
      <c r="N14" s="53">
        <v>99796</v>
      </c>
      <c r="O14" s="53">
        <v>9252</v>
      </c>
      <c r="P14" s="296">
        <v>14481</v>
      </c>
      <c r="Q14" s="7">
        <v>194000</v>
      </c>
      <c r="R14" s="560">
        <v>111066</v>
      </c>
      <c r="S14" s="560">
        <v>67368</v>
      </c>
      <c r="T14" s="560">
        <v>18209</v>
      </c>
      <c r="U14" s="575">
        <v>15566</v>
      </c>
      <c r="V14" s="560">
        <v>185655</v>
      </c>
      <c r="W14" s="4">
        <v>102568</v>
      </c>
      <c r="X14" s="560">
        <v>64836</v>
      </c>
      <c r="Y14" s="560">
        <v>21299</v>
      </c>
      <c r="Z14" s="560">
        <v>18236</v>
      </c>
      <c r="AA14" s="560">
        <v>181275</v>
      </c>
      <c r="AB14" s="560">
        <v>86747</v>
      </c>
      <c r="AC14" s="560">
        <v>62826</v>
      </c>
      <c r="AD14" s="560">
        <v>21087</v>
      </c>
      <c r="AE14" s="675">
        <v>18386</v>
      </c>
      <c r="AF14" s="560">
        <v>159933</v>
      </c>
      <c r="AG14" s="560">
        <v>74085</v>
      </c>
      <c r="AH14" s="560">
        <v>52657</v>
      </c>
      <c r="AI14" s="560">
        <v>20258</v>
      </c>
      <c r="AJ14" s="560">
        <v>19978</v>
      </c>
      <c r="AK14" s="560">
        <v>160929</v>
      </c>
      <c r="AL14" s="560">
        <v>77913</v>
      </c>
      <c r="AM14" s="560">
        <v>54260</v>
      </c>
      <c r="AN14" s="560">
        <v>20114</v>
      </c>
      <c r="AO14" s="560">
        <v>17305</v>
      </c>
      <c r="AP14" s="183">
        <v>430959</v>
      </c>
      <c r="AQ14" s="53">
        <v>252730</v>
      </c>
      <c r="AR14" s="53">
        <v>170986</v>
      </c>
      <c r="AS14" s="53">
        <v>8000</v>
      </c>
      <c r="AT14" s="296">
        <v>7243</v>
      </c>
      <c r="AU14" s="5">
        <v>441342</v>
      </c>
      <c r="AV14" s="53">
        <v>236144</v>
      </c>
      <c r="AW14" s="53">
        <v>189485</v>
      </c>
      <c r="AX14" s="53">
        <v>10354</v>
      </c>
      <c r="AY14" s="296">
        <v>15713</v>
      </c>
      <c r="AZ14" s="5">
        <v>338358</v>
      </c>
      <c r="BA14" s="53">
        <v>179600</v>
      </c>
      <c r="BB14" s="53">
        <v>143530</v>
      </c>
      <c r="BC14" s="53">
        <v>14505</v>
      </c>
      <c r="BD14" s="296">
        <v>15228</v>
      </c>
      <c r="BE14" s="53">
        <v>337589</v>
      </c>
      <c r="BF14" s="53">
        <v>174292</v>
      </c>
      <c r="BG14" s="53">
        <v>147314</v>
      </c>
      <c r="BH14" s="53">
        <v>15986</v>
      </c>
      <c r="BI14" s="53">
        <v>15742</v>
      </c>
      <c r="BJ14" s="53">
        <v>335096</v>
      </c>
      <c r="BK14" s="53">
        <v>160808</v>
      </c>
      <c r="BL14" s="53">
        <v>147923</v>
      </c>
      <c r="BM14" s="53">
        <v>16016</v>
      </c>
      <c r="BN14" s="53">
        <v>15119</v>
      </c>
      <c r="BO14" s="53">
        <v>316837</v>
      </c>
      <c r="BP14" s="53">
        <v>150679</v>
      </c>
      <c r="BQ14" s="53">
        <v>140760</v>
      </c>
      <c r="BR14" s="53">
        <v>15174</v>
      </c>
      <c r="BS14" s="53">
        <v>14794</v>
      </c>
      <c r="BT14" s="53">
        <v>325509</v>
      </c>
      <c r="BU14" s="53">
        <v>151655</v>
      </c>
      <c r="BV14" s="53">
        <v>147398</v>
      </c>
      <c r="BW14" s="53">
        <v>17330</v>
      </c>
      <c r="BX14" s="53">
        <v>18107</v>
      </c>
      <c r="BY14" s="12">
        <v>526903</v>
      </c>
      <c r="BZ14" s="53">
        <v>281136</v>
      </c>
      <c r="CA14" s="53">
        <v>213194</v>
      </c>
      <c r="CB14" s="53">
        <v>34075</v>
      </c>
      <c r="CC14" s="546">
        <f t="shared" si="368"/>
        <v>32573</v>
      </c>
      <c r="CD14" s="327">
        <v>211250</v>
      </c>
      <c r="CE14" s="328">
        <v>305610</v>
      </c>
      <c r="CF14" s="328">
        <v>530109</v>
      </c>
      <c r="CG14" s="328">
        <v>763363</v>
      </c>
      <c r="CH14" s="12">
        <v>1315827</v>
      </c>
      <c r="CI14" s="53">
        <v>1041640.873</v>
      </c>
      <c r="CJ14" s="53">
        <v>233719.42500000002</v>
      </c>
      <c r="CK14" s="53">
        <v>28819.657999999999</v>
      </c>
      <c r="CL14" s="296">
        <v>10138.412</v>
      </c>
      <c r="CM14" s="5">
        <v>1733122</v>
      </c>
      <c r="CN14" s="53">
        <v>1345122</v>
      </c>
      <c r="CO14" s="53">
        <v>360271</v>
      </c>
      <c r="CP14" s="53">
        <v>35934</v>
      </c>
      <c r="CQ14" s="296">
        <v>27729</v>
      </c>
      <c r="CR14" s="5">
        <v>2076416</v>
      </c>
      <c r="CS14" s="53">
        <v>1517193</v>
      </c>
      <c r="CT14" s="53">
        <v>495518</v>
      </c>
      <c r="CU14" s="53">
        <v>43739</v>
      </c>
      <c r="CV14" s="53">
        <v>63705</v>
      </c>
      <c r="CW14" s="329">
        <v>2197220</v>
      </c>
      <c r="CX14" s="53">
        <v>1567079</v>
      </c>
      <c r="CY14" s="53">
        <v>556406</v>
      </c>
      <c r="CZ14" s="53">
        <v>73735</v>
      </c>
      <c r="DA14" s="53">
        <v>55374</v>
      </c>
      <c r="DB14" s="183">
        <v>2206544</v>
      </c>
      <c r="DC14" s="53">
        <v>1587683</v>
      </c>
      <c r="DD14" s="53">
        <v>546696</v>
      </c>
      <c r="DE14" s="53">
        <v>72165</v>
      </c>
      <c r="DF14" s="53">
        <v>56070</v>
      </c>
      <c r="DG14" s="56">
        <v>2309516</v>
      </c>
      <c r="DH14" s="54">
        <v>1635565</v>
      </c>
      <c r="DI14" s="54">
        <v>599899</v>
      </c>
      <c r="DJ14" s="54">
        <v>74052</v>
      </c>
      <c r="DK14" s="54">
        <v>61694</v>
      </c>
      <c r="DL14" s="12">
        <v>2368354</v>
      </c>
      <c r="DM14" s="53">
        <v>1656730</v>
      </c>
      <c r="DN14" s="53">
        <v>625525</v>
      </c>
      <c r="DO14" s="53">
        <v>73674</v>
      </c>
      <c r="DP14" s="53">
        <v>65440</v>
      </c>
      <c r="DQ14" s="12">
        <v>2416690.6740000001</v>
      </c>
      <c r="DR14" s="53">
        <v>1682882.3040000002</v>
      </c>
      <c r="DS14" s="53">
        <v>639581.25</v>
      </c>
      <c r="DT14" s="53">
        <v>80002.727999999988</v>
      </c>
      <c r="DU14" s="581">
        <f t="shared" si="369"/>
        <v>94227.119999999879</v>
      </c>
      <c r="DV14" s="53">
        <v>2457149</v>
      </c>
      <c r="DW14" s="53">
        <v>1709114</v>
      </c>
      <c r="DX14" s="53">
        <v>653403</v>
      </c>
      <c r="DY14" s="53">
        <v>83483</v>
      </c>
      <c r="DZ14" s="53">
        <v>93276</v>
      </c>
      <c r="EA14" s="53">
        <v>2493990</v>
      </c>
      <c r="EB14" s="53">
        <v>1669688</v>
      </c>
      <c r="EC14" s="53">
        <v>665701</v>
      </c>
      <c r="ED14" s="53">
        <v>88287</v>
      </c>
      <c r="EE14" s="53">
        <v>94447</v>
      </c>
      <c r="EF14" s="53">
        <v>2618485</v>
      </c>
      <c r="EG14" s="53">
        <v>1720821</v>
      </c>
      <c r="EH14" s="53">
        <v>721227</v>
      </c>
      <c r="EI14" s="53">
        <v>100211</v>
      </c>
      <c r="EJ14" s="53">
        <v>103989</v>
      </c>
      <c r="EK14" s="53">
        <v>2628582</v>
      </c>
      <c r="EL14" s="53">
        <v>1720971</v>
      </c>
      <c r="EM14" s="53">
        <v>729113</v>
      </c>
      <c r="EN14" s="53">
        <v>98749</v>
      </c>
      <c r="EO14" s="53">
        <v>110433</v>
      </c>
      <c r="EP14" s="12">
        <f>145024+147769</f>
        <v>292793</v>
      </c>
      <c r="EQ14" s="53">
        <f>114264+115955</f>
        <v>230219</v>
      </c>
      <c r="ER14" s="53">
        <f>23783+28875</f>
        <v>52658</v>
      </c>
      <c r="ES14" s="53">
        <f>3527+3916</f>
        <v>7443</v>
      </c>
      <c r="ET14" s="296">
        <f>356+763+195+745</f>
        <v>2059</v>
      </c>
      <c r="EU14" s="5">
        <v>520671</v>
      </c>
      <c r="EV14" s="53">
        <v>395945</v>
      </c>
      <c r="EW14" s="53">
        <v>116018</v>
      </c>
      <c r="EX14" s="53">
        <v>13393</v>
      </c>
      <c r="EY14" s="296">
        <v>8708</v>
      </c>
      <c r="EZ14" s="5">
        <v>657284</v>
      </c>
      <c r="FA14" s="53">
        <v>464844</v>
      </c>
      <c r="FB14" s="53">
        <v>171533</v>
      </c>
      <c r="FC14" s="53">
        <v>15892</v>
      </c>
      <c r="FD14" s="296">
        <v>20907</v>
      </c>
      <c r="FE14" s="5">
        <v>757630</v>
      </c>
      <c r="FF14" s="53">
        <v>510672</v>
      </c>
      <c r="FG14" s="53">
        <v>220569</v>
      </c>
      <c r="FH14" s="53">
        <v>22990</v>
      </c>
      <c r="FI14" s="296">
        <v>26389</v>
      </c>
      <c r="FJ14" s="5">
        <v>777108.81599999999</v>
      </c>
      <c r="FK14" s="53">
        <v>522951.74400000001</v>
      </c>
      <c r="FL14" s="53">
        <v>225985.375</v>
      </c>
      <c r="FM14" s="53">
        <v>24616.224000000002</v>
      </c>
      <c r="FN14" s="296">
        <v>28171.696999999986</v>
      </c>
      <c r="FO14" s="53">
        <v>791755</v>
      </c>
      <c r="FP14" s="53">
        <v>529701</v>
      </c>
      <c r="FQ14" s="53">
        <v>233922</v>
      </c>
      <c r="FR14" s="53">
        <v>26714</v>
      </c>
      <c r="FS14" s="618">
        <v>27785</v>
      </c>
      <c r="FT14" s="618">
        <v>809716</v>
      </c>
      <c r="FU14" s="618">
        <v>519203</v>
      </c>
      <c r="FV14" s="618">
        <v>240318</v>
      </c>
      <c r="FW14" s="618">
        <v>29132</v>
      </c>
      <c r="FX14" s="618">
        <v>28983</v>
      </c>
      <c r="FY14" s="618">
        <v>843894</v>
      </c>
      <c r="FZ14" s="618">
        <v>534075</v>
      </c>
      <c r="GA14" s="618">
        <v>253755</v>
      </c>
      <c r="GB14" s="618">
        <v>31506</v>
      </c>
      <c r="GC14" s="618">
        <v>34435</v>
      </c>
      <c r="GD14" s="618">
        <v>841403</v>
      </c>
      <c r="GE14" s="618">
        <v>528984</v>
      </c>
      <c r="GF14" s="618">
        <v>254355</v>
      </c>
      <c r="GG14" s="618">
        <v>34515</v>
      </c>
      <c r="GH14" s="618">
        <v>33602</v>
      </c>
      <c r="GI14" s="12">
        <v>83049</v>
      </c>
      <c r="GJ14" s="53">
        <v>63058</v>
      </c>
      <c r="GK14" s="53">
        <v>17864</v>
      </c>
      <c r="GL14" s="53">
        <v>2722</v>
      </c>
      <c r="GM14" s="296">
        <v>2127</v>
      </c>
      <c r="GN14" s="5">
        <v>95798</v>
      </c>
      <c r="GO14" s="53">
        <v>69796</v>
      </c>
      <c r="GP14" s="53">
        <v>21920</v>
      </c>
      <c r="GQ14" s="53">
        <v>2909</v>
      </c>
      <c r="GR14" s="296">
        <v>4082</v>
      </c>
      <c r="GS14" s="183">
        <v>142540</v>
      </c>
      <c r="GT14" s="53">
        <v>99920</v>
      </c>
      <c r="GU14" s="53">
        <v>36589</v>
      </c>
      <c r="GV14" s="53">
        <v>4599</v>
      </c>
      <c r="GW14" s="53">
        <v>6031</v>
      </c>
      <c r="GX14" s="183"/>
      <c r="GY14" s="53"/>
      <c r="GZ14" s="53"/>
      <c r="HA14" s="53"/>
      <c r="HB14" s="296"/>
      <c r="HC14" s="53">
        <v>154698</v>
      </c>
      <c r="HD14" s="53">
        <v>107016</v>
      </c>
      <c r="HE14" s="53">
        <v>40891</v>
      </c>
      <c r="HF14" s="53">
        <v>5686</v>
      </c>
      <c r="HG14" s="53">
        <v>6769</v>
      </c>
      <c r="HH14" s="53">
        <v>160232</v>
      </c>
      <c r="HI14" s="53">
        <v>107896</v>
      </c>
      <c r="HJ14" s="53">
        <v>41947</v>
      </c>
      <c r="HK14" s="53">
        <v>6146</v>
      </c>
      <c r="HL14" s="53">
        <v>6427</v>
      </c>
      <c r="HM14" s="53">
        <v>189683</v>
      </c>
      <c r="HN14" s="53">
        <v>126544</v>
      </c>
      <c r="HO14" s="53">
        <v>49001</v>
      </c>
      <c r="HP14" s="53">
        <v>7904</v>
      </c>
      <c r="HQ14" s="53">
        <v>8222</v>
      </c>
      <c r="HR14" s="53">
        <v>187288</v>
      </c>
      <c r="HS14" s="53">
        <v>122607</v>
      </c>
      <c r="HT14" s="53">
        <v>51711</v>
      </c>
      <c r="HU14" s="53">
        <v>7444</v>
      </c>
      <c r="HV14" s="53">
        <v>7803</v>
      </c>
      <c r="HW14" s="569">
        <f t="shared" si="370"/>
        <v>492172</v>
      </c>
      <c r="HX14" s="546">
        <f t="shared" si="371"/>
        <v>401408</v>
      </c>
      <c r="HY14" s="546">
        <f t="shared" si="372"/>
        <v>79645</v>
      </c>
      <c r="HZ14" s="546">
        <f t="shared" si="373"/>
        <v>11536</v>
      </c>
      <c r="IA14" s="546">
        <f t="shared" si="374"/>
        <v>11119</v>
      </c>
      <c r="IB14" s="569">
        <f t="shared" si="375"/>
        <v>615576</v>
      </c>
      <c r="IC14" s="546">
        <f t="shared" si="376"/>
        <v>482701</v>
      </c>
      <c r="ID14" s="546">
        <f t="shared" si="377"/>
        <v>107395</v>
      </c>
      <c r="IE14" s="546">
        <f t="shared" si="378"/>
        <v>15274</v>
      </c>
      <c r="IF14" s="546">
        <f t="shared" si="379"/>
        <v>25480</v>
      </c>
      <c r="IG14" s="183">
        <v>650158</v>
      </c>
      <c r="IH14" s="53">
        <v>499737</v>
      </c>
      <c r="II14" s="53">
        <v>120343</v>
      </c>
      <c r="IJ14" s="53">
        <v>20932</v>
      </c>
      <c r="IK14" s="53">
        <v>30078</v>
      </c>
      <c r="IL14" s="559"/>
      <c r="IM14" s="560"/>
      <c r="IN14" s="560"/>
      <c r="IO14" s="560"/>
      <c r="IP14" s="560"/>
      <c r="IQ14" s="560">
        <v>796128</v>
      </c>
      <c r="IR14" s="560">
        <v>603890</v>
      </c>
      <c r="IS14" s="560">
        <v>153470</v>
      </c>
      <c r="IT14" s="560">
        <v>26284</v>
      </c>
      <c r="IU14" s="575">
        <v>38226</v>
      </c>
      <c r="IV14" s="560">
        <v>820168</v>
      </c>
      <c r="IW14" s="560">
        <v>600563</v>
      </c>
      <c r="IX14" s="560">
        <v>159879</v>
      </c>
      <c r="IY14" s="560">
        <v>27970</v>
      </c>
      <c r="IZ14" s="560">
        <v>38138</v>
      </c>
      <c r="JA14" s="559">
        <v>907741</v>
      </c>
      <c r="JB14" s="560">
        <v>653991</v>
      </c>
      <c r="JC14" s="560">
        <v>186444</v>
      </c>
      <c r="JD14" s="560">
        <v>32072</v>
      </c>
      <c r="JE14" s="560">
        <v>42836</v>
      </c>
      <c r="JF14" s="559">
        <v>915194</v>
      </c>
      <c r="JG14" s="560">
        <v>658826</v>
      </c>
      <c r="JH14" s="560">
        <v>189128</v>
      </c>
      <c r="JI14" s="560">
        <v>29865</v>
      </c>
      <c r="JJ14" s="560">
        <v>44106</v>
      </c>
      <c r="JK14" s="12">
        <v>267055</v>
      </c>
      <c r="JL14" s="5">
        <v>222824</v>
      </c>
      <c r="JM14" s="5">
        <v>39726</v>
      </c>
      <c r="JN14" s="5">
        <v>5394</v>
      </c>
      <c r="JO14" s="5">
        <v>4505</v>
      </c>
      <c r="JP14" s="12">
        <v>339711</v>
      </c>
      <c r="JQ14" s="53">
        <v>271852</v>
      </c>
      <c r="JR14" s="53">
        <v>56197</v>
      </c>
      <c r="JS14" s="53">
        <v>7606</v>
      </c>
      <c r="JT14" s="53">
        <v>11662</v>
      </c>
      <c r="JU14" s="183">
        <v>412873</v>
      </c>
      <c r="JV14" s="53">
        <v>322859</v>
      </c>
      <c r="JW14" s="53">
        <v>72821</v>
      </c>
      <c r="JX14" s="53">
        <v>13198</v>
      </c>
      <c r="JY14" s="53">
        <v>17193</v>
      </c>
      <c r="JZ14" s="183">
        <v>420933.94200000004</v>
      </c>
      <c r="KA14" s="53">
        <v>330285.31200000003</v>
      </c>
      <c r="KB14" s="53">
        <v>73338.649999999994</v>
      </c>
      <c r="KC14" s="53">
        <v>13447.752</v>
      </c>
      <c r="KD14" s="53">
        <v>17309.98000000001</v>
      </c>
      <c r="KE14" s="53">
        <v>436351</v>
      </c>
      <c r="KF14" s="53">
        <v>328585</v>
      </c>
      <c r="KG14" s="53">
        <v>78413</v>
      </c>
      <c r="KH14" s="53">
        <v>14463</v>
      </c>
      <c r="KI14" s="53">
        <v>17556</v>
      </c>
      <c r="KJ14" s="53">
        <v>470739</v>
      </c>
      <c r="KK14" s="53">
        <v>349020</v>
      </c>
      <c r="KL14" s="53">
        <v>88604</v>
      </c>
      <c r="KM14" s="53">
        <v>15523</v>
      </c>
      <c r="KN14" s="53">
        <v>20393</v>
      </c>
      <c r="KO14" s="53">
        <v>473299</v>
      </c>
      <c r="KP14" s="53">
        <v>353995</v>
      </c>
      <c r="KQ14" s="53">
        <v>87507</v>
      </c>
      <c r="KR14" s="53">
        <v>15432</v>
      </c>
      <c r="KS14" s="53">
        <v>20281</v>
      </c>
      <c r="KT14" s="330">
        <v>42316</v>
      </c>
      <c r="KU14" s="331">
        <v>66555</v>
      </c>
      <c r="KV14" s="316">
        <v>110138</v>
      </c>
      <c r="KW14" s="332">
        <f t="shared" si="327"/>
        <v>63772</v>
      </c>
      <c r="KX14" s="332">
        <f t="shared" si="328"/>
        <v>46366</v>
      </c>
      <c r="KY14" s="332">
        <f t="shared" si="329"/>
        <v>98351</v>
      </c>
      <c r="KZ14" s="318">
        <v>59640</v>
      </c>
      <c r="LA14" s="318">
        <v>38711</v>
      </c>
      <c r="LB14" s="332">
        <f t="shared" si="330"/>
        <v>11787</v>
      </c>
      <c r="LC14" s="318">
        <v>4132</v>
      </c>
      <c r="LD14" s="318">
        <v>7655</v>
      </c>
      <c r="LE14" s="316">
        <v>167209</v>
      </c>
      <c r="LF14" s="332">
        <f t="shared" si="331"/>
        <v>95507</v>
      </c>
      <c r="LG14" s="332">
        <f t="shared" si="332"/>
        <v>71702</v>
      </c>
      <c r="LH14" s="332">
        <f t="shared" si="333"/>
        <v>143528</v>
      </c>
      <c r="LI14" s="318">
        <v>85927</v>
      </c>
      <c r="LJ14" s="318">
        <v>57601</v>
      </c>
      <c r="LK14" s="332">
        <f t="shared" si="334"/>
        <v>19698</v>
      </c>
      <c r="LL14" s="318">
        <v>6967</v>
      </c>
      <c r="LM14" s="318">
        <v>12731</v>
      </c>
      <c r="LN14" s="332">
        <f t="shared" si="335"/>
        <v>3983</v>
      </c>
      <c r="LO14" s="318">
        <v>2613</v>
      </c>
      <c r="LP14" s="318">
        <v>1370</v>
      </c>
      <c r="LQ14" s="316">
        <v>317223</v>
      </c>
      <c r="LR14" s="332">
        <f t="shared" si="336"/>
        <v>178440</v>
      </c>
      <c r="LS14" s="332">
        <f t="shared" si="337"/>
        <v>138783</v>
      </c>
      <c r="LT14" s="53">
        <f>107251+155128</f>
        <v>262379</v>
      </c>
      <c r="LU14" s="318">
        <v>155128</v>
      </c>
      <c r="LV14" s="318">
        <v>107251</v>
      </c>
      <c r="LW14" s="318">
        <v>23312</v>
      </c>
      <c r="LX14" s="318">
        <v>31532</v>
      </c>
      <c r="LY14" s="53">
        <f>16425+27001</f>
        <v>43426</v>
      </c>
      <c r="LZ14" s="318">
        <v>16425</v>
      </c>
      <c r="MA14" s="318">
        <v>27001</v>
      </c>
      <c r="MB14" s="53">
        <f>2953+4116</f>
        <v>7069</v>
      </c>
      <c r="MC14" s="318">
        <v>4116</v>
      </c>
      <c r="MD14" s="318">
        <v>2953</v>
      </c>
      <c r="ME14" s="333">
        <f t="shared" si="338"/>
        <v>4349</v>
      </c>
      <c r="MF14" s="333">
        <f t="shared" si="339"/>
        <v>2771</v>
      </c>
      <c r="MG14" s="333">
        <f t="shared" si="340"/>
        <v>1578</v>
      </c>
      <c r="MH14" s="334">
        <f t="shared" si="341"/>
        <v>421</v>
      </c>
      <c r="MI14" s="334">
        <f t="shared" si="342"/>
        <v>322</v>
      </c>
      <c r="MJ14" s="334">
        <f t="shared" si="343"/>
        <v>99</v>
      </c>
      <c r="MK14" s="318">
        <v>3928</v>
      </c>
      <c r="ML14" s="318">
        <v>2449</v>
      </c>
      <c r="MM14" s="318">
        <v>1479</v>
      </c>
      <c r="MN14" s="14">
        <f t="shared" si="344"/>
        <v>409123</v>
      </c>
      <c r="MO14" s="332">
        <f t="shared" si="345"/>
        <v>212703</v>
      </c>
      <c r="MP14" s="332">
        <f t="shared" si="346"/>
        <v>196420</v>
      </c>
      <c r="MQ14" s="13">
        <f t="shared" si="347"/>
        <v>338350</v>
      </c>
      <c r="MR14" s="136">
        <f t="shared" si="348"/>
        <v>331383</v>
      </c>
      <c r="MS14" s="318">
        <v>181452</v>
      </c>
      <c r="MT14" s="318">
        <v>149931</v>
      </c>
      <c r="MU14" s="318">
        <v>31251</v>
      </c>
      <c r="MV14" s="318">
        <v>46489</v>
      </c>
      <c r="MW14" s="13">
        <f t="shared" si="349"/>
        <v>61781</v>
      </c>
      <c r="MX14" s="136">
        <f t="shared" si="350"/>
        <v>61454</v>
      </c>
      <c r="MY14" s="318">
        <v>21925</v>
      </c>
      <c r="MZ14" s="318">
        <v>39529</v>
      </c>
      <c r="NA14" s="13">
        <f t="shared" si="351"/>
        <v>8814</v>
      </c>
      <c r="NB14" s="318">
        <v>4964</v>
      </c>
      <c r="NC14" s="318">
        <v>3850</v>
      </c>
      <c r="ND14" s="11">
        <f t="shared" si="352"/>
        <v>8992</v>
      </c>
      <c r="NE14" s="335">
        <f t="shared" si="353"/>
        <v>4362</v>
      </c>
      <c r="NF14" s="335">
        <f t="shared" si="354"/>
        <v>3110</v>
      </c>
      <c r="NG14" s="336">
        <f t="shared" si="355"/>
        <v>225</v>
      </c>
      <c r="NH14" s="336">
        <f t="shared" si="356"/>
        <v>88</v>
      </c>
      <c r="NI14" s="336">
        <f t="shared" si="357"/>
        <v>137</v>
      </c>
      <c r="NJ14" s="337">
        <f t="shared" si="358"/>
        <v>7247</v>
      </c>
      <c r="NK14" s="337">
        <f t="shared" si="359"/>
        <v>4274</v>
      </c>
      <c r="NL14" s="337">
        <f t="shared" si="360"/>
        <v>2973</v>
      </c>
      <c r="NM14" s="318">
        <v>332</v>
      </c>
      <c r="NN14" s="318">
        <v>228</v>
      </c>
      <c r="NO14" s="318">
        <v>3942</v>
      </c>
      <c r="NP14" s="318">
        <v>2745</v>
      </c>
      <c r="NQ14" s="338">
        <v>519778</v>
      </c>
      <c r="NR14" s="318">
        <v>252505</v>
      </c>
      <c r="NS14" s="318">
        <v>267273</v>
      </c>
      <c r="NT14" s="7">
        <f t="shared" si="361"/>
        <v>412905</v>
      </c>
      <c r="NU14" s="7">
        <v>210990</v>
      </c>
      <c r="NV14" s="7">
        <v>201915</v>
      </c>
      <c r="NW14" s="125">
        <f t="shared" si="362"/>
        <v>404104</v>
      </c>
      <c r="NX14" s="318">
        <v>206431</v>
      </c>
      <c r="NY14" s="318">
        <v>197673</v>
      </c>
      <c r="NZ14" s="7">
        <f t="shared" si="363"/>
        <v>85475</v>
      </c>
      <c r="OA14" s="318">
        <v>30446</v>
      </c>
      <c r="OB14" s="318">
        <v>55029</v>
      </c>
      <c r="OC14" s="7">
        <f t="shared" si="364"/>
        <v>12365</v>
      </c>
      <c r="OD14" s="318">
        <v>6231</v>
      </c>
      <c r="OE14" s="318">
        <v>6134</v>
      </c>
      <c r="OF14" s="125">
        <f t="shared" si="365"/>
        <v>21398</v>
      </c>
      <c r="OG14" s="125">
        <f t="shared" si="366"/>
        <v>11069</v>
      </c>
      <c r="OH14" s="125">
        <f t="shared" si="367"/>
        <v>10329</v>
      </c>
      <c r="OI14" s="326">
        <v>556206</v>
      </c>
      <c r="OJ14" s="318">
        <v>438385</v>
      </c>
      <c r="OK14" s="318">
        <v>93094</v>
      </c>
      <c r="OL14" s="318">
        <v>24727</v>
      </c>
      <c r="OM14" s="7">
        <v>14922</v>
      </c>
      <c r="ON14" s="183">
        <v>561225</v>
      </c>
      <c r="OO14" s="53">
        <v>447249</v>
      </c>
      <c r="OP14" s="53">
        <v>89049</v>
      </c>
      <c r="OQ14" s="53">
        <v>24927</v>
      </c>
      <c r="OR14" s="53">
        <v>14902</v>
      </c>
      <c r="OS14" s="183">
        <v>591932</v>
      </c>
      <c r="OT14" s="53">
        <v>467505</v>
      </c>
      <c r="OU14" s="53">
        <v>99935</v>
      </c>
      <c r="OV14" s="53">
        <v>24492</v>
      </c>
      <c r="OW14" s="53">
        <v>16180</v>
      </c>
      <c r="OX14" s="183">
        <v>612012</v>
      </c>
      <c r="OY14" s="53">
        <v>474757</v>
      </c>
      <c r="OZ14" s="53">
        <v>108138</v>
      </c>
      <c r="PA14" s="53">
        <v>29117</v>
      </c>
      <c r="PB14" s="53">
        <v>19295</v>
      </c>
      <c r="PC14" s="12">
        <v>629929.11600000004</v>
      </c>
      <c r="PD14" s="53">
        <v>487564.03200000001</v>
      </c>
      <c r="PE14" s="53">
        <v>110860.75</v>
      </c>
      <c r="PF14" s="53">
        <v>20057.664000000001</v>
      </c>
      <c r="PG14" s="53">
        <v>31504.334000000032</v>
      </c>
      <c r="PH14" s="53">
        <v>641430</v>
      </c>
      <c r="PI14" s="53">
        <v>496874</v>
      </c>
      <c r="PJ14" s="53">
        <v>112579</v>
      </c>
      <c r="PK14" s="53">
        <v>20598</v>
      </c>
      <c r="PL14" s="2">
        <v>31457</v>
      </c>
      <c r="PM14" s="2">
        <v>659936</v>
      </c>
      <c r="PN14" s="2">
        <v>492667</v>
      </c>
      <c r="PO14" s="2">
        <v>117932</v>
      </c>
      <c r="PP14" s="2">
        <v>21824</v>
      </c>
      <c r="PQ14" s="2">
        <v>31711</v>
      </c>
      <c r="PR14" s="2">
        <v>718058</v>
      </c>
      <c r="PS14" s="2">
        <v>527447</v>
      </c>
      <c r="PT14" s="2">
        <v>137443</v>
      </c>
      <c r="PU14" s="2">
        <v>24168</v>
      </c>
      <c r="PV14" s="2">
        <v>34614</v>
      </c>
      <c r="PW14" s="2">
        <v>727906</v>
      </c>
      <c r="PX14" s="2">
        <v>536219</v>
      </c>
      <c r="PY14" s="2">
        <v>137417</v>
      </c>
      <c r="PZ14" s="2">
        <v>22421</v>
      </c>
      <c r="QA14" s="2">
        <v>36303</v>
      </c>
      <c r="QB14" s="12">
        <v>142068</v>
      </c>
      <c r="QC14" s="5">
        <v>115526</v>
      </c>
      <c r="QD14" s="5">
        <v>22055</v>
      </c>
      <c r="QE14" s="5">
        <v>3420</v>
      </c>
      <c r="QF14" s="5">
        <v>4487</v>
      </c>
      <c r="QG14" s="12">
        <v>180067</v>
      </c>
      <c r="QH14" s="53">
        <v>141053</v>
      </c>
      <c r="QI14" s="53">
        <v>29278</v>
      </c>
      <c r="QJ14" s="53">
        <v>4759</v>
      </c>
      <c r="QK14" s="53">
        <v>9736</v>
      </c>
      <c r="QL14" s="12">
        <v>199139</v>
      </c>
      <c r="QM14" s="53">
        <v>151898</v>
      </c>
      <c r="QN14" s="53">
        <v>35317</v>
      </c>
      <c r="QO14" s="53">
        <v>6097</v>
      </c>
      <c r="QP14" s="53">
        <v>11924</v>
      </c>
      <c r="QQ14" s="12">
        <v>208995.17399999997</v>
      </c>
      <c r="QR14" s="53">
        <v>157278.72</v>
      </c>
      <c r="QS14" s="53">
        <v>37522.100000000006</v>
      </c>
      <c r="QT14" s="53">
        <v>6609.9119999999994</v>
      </c>
      <c r="QU14" s="296">
        <v>14194.353999999963</v>
      </c>
      <c r="QV14" s="1">
        <v>215283</v>
      </c>
      <c r="QW14" s="2">
        <v>164110</v>
      </c>
      <c r="QX14" s="2">
        <v>37979</v>
      </c>
      <c r="QY14" s="2">
        <v>6738</v>
      </c>
      <c r="QZ14" s="69">
        <v>13118</v>
      </c>
      <c r="RA14" s="2">
        <v>223585</v>
      </c>
      <c r="RB14" s="2">
        <v>164082</v>
      </c>
      <c r="RC14" s="2">
        <v>39519</v>
      </c>
      <c r="RD14" s="2">
        <v>7361</v>
      </c>
      <c r="RE14" s="2">
        <v>14155</v>
      </c>
      <c r="RF14" s="2">
        <v>247319</v>
      </c>
      <c r="RG14" s="2">
        <v>178427</v>
      </c>
      <c r="RH14" s="2">
        <v>48839</v>
      </c>
      <c r="RI14" s="2">
        <v>8645</v>
      </c>
      <c r="RJ14" s="2">
        <v>14221</v>
      </c>
      <c r="RK14" s="2">
        <v>254607</v>
      </c>
      <c r="RL14" s="2">
        <v>182224</v>
      </c>
      <c r="RM14" s="2">
        <v>49910</v>
      </c>
      <c r="RN14" s="2">
        <v>6989</v>
      </c>
      <c r="RO14" s="2">
        <v>16022</v>
      </c>
    </row>
    <row r="15" spans="1:483" ht="14.25" x14ac:dyDescent="0.2">
      <c r="A15" s="216" t="s">
        <v>7</v>
      </c>
      <c r="B15" s="183">
        <f>32183+95762+69507+29742+102393+82015</f>
        <v>411602</v>
      </c>
      <c r="C15" s="53">
        <f>16933+66954+54964+16920+72357+64383</f>
        <v>292511</v>
      </c>
      <c r="D15" s="53">
        <f>14291+27011+13463+10987+26817+15914</f>
        <v>108483</v>
      </c>
      <c r="E15" s="53">
        <f>453+899+576+797+1634+939</f>
        <v>5298</v>
      </c>
      <c r="F15" s="296">
        <f>130+290+138+318+529+306+75+228+112+890+1297+609</f>
        <v>4922</v>
      </c>
      <c r="G15" s="5">
        <v>246505</v>
      </c>
      <c r="H15" s="53">
        <v>164757</v>
      </c>
      <c r="I15" s="53">
        <v>68386</v>
      </c>
      <c r="J15" s="53">
        <v>11365</v>
      </c>
      <c r="K15" s="296">
        <v>13362</v>
      </c>
      <c r="L15" s="5">
        <v>178169</v>
      </c>
      <c r="M15" s="53">
        <v>102464</v>
      </c>
      <c r="N15" s="53">
        <v>47404</v>
      </c>
      <c r="O15" s="53">
        <v>27827</v>
      </c>
      <c r="P15" s="296">
        <v>28301</v>
      </c>
      <c r="Q15" s="7">
        <v>178669</v>
      </c>
      <c r="R15" s="560">
        <v>90883</v>
      </c>
      <c r="S15" s="560">
        <v>37921</v>
      </c>
      <c r="T15" s="560">
        <v>68456</v>
      </c>
      <c r="U15" s="575">
        <v>49865</v>
      </c>
      <c r="V15" s="560">
        <v>174799</v>
      </c>
      <c r="W15" s="4">
        <v>81611</v>
      </c>
      <c r="X15" s="560">
        <v>37911</v>
      </c>
      <c r="Y15" s="560">
        <v>71723</v>
      </c>
      <c r="Z15" s="560">
        <v>55277</v>
      </c>
      <c r="AA15" s="560">
        <v>170082</v>
      </c>
      <c r="AB15" s="560">
        <v>48221</v>
      </c>
      <c r="AC15" s="560">
        <v>37301</v>
      </c>
      <c r="AD15" s="560">
        <v>70025</v>
      </c>
      <c r="AE15" s="675">
        <v>56445</v>
      </c>
      <c r="AF15" s="560">
        <v>173874</v>
      </c>
      <c r="AG15" s="560">
        <v>44010</v>
      </c>
      <c r="AH15" s="560">
        <v>32806</v>
      </c>
      <c r="AI15" s="560">
        <v>82160</v>
      </c>
      <c r="AJ15" s="560">
        <v>68248</v>
      </c>
      <c r="AK15" s="560">
        <v>166606</v>
      </c>
      <c r="AL15" s="560">
        <v>41950</v>
      </c>
      <c r="AM15" s="560">
        <v>29621</v>
      </c>
      <c r="AN15" s="560">
        <v>80681</v>
      </c>
      <c r="AO15" s="560">
        <v>62507</v>
      </c>
      <c r="AP15" s="183">
        <v>427427</v>
      </c>
      <c r="AQ15" s="53">
        <v>276455</v>
      </c>
      <c r="AR15" s="53">
        <v>139710</v>
      </c>
      <c r="AS15" s="53">
        <v>8533</v>
      </c>
      <c r="AT15" s="296">
        <v>11262</v>
      </c>
      <c r="AU15" s="5">
        <v>386917</v>
      </c>
      <c r="AV15" s="53">
        <v>218708</v>
      </c>
      <c r="AW15" s="53">
        <v>141012</v>
      </c>
      <c r="AX15" s="53">
        <v>19566</v>
      </c>
      <c r="AY15" s="296">
        <v>27197</v>
      </c>
      <c r="AZ15" s="5">
        <v>283929</v>
      </c>
      <c r="BA15" s="53">
        <v>150715</v>
      </c>
      <c r="BB15" s="53">
        <v>103910</v>
      </c>
      <c r="BC15" s="53">
        <v>33216</v>
      </c>
      <c r="BD15" s="296">
        <v>29304</v>
      </c>
      <c r="BE15" s="53">
        <v>271251</v>
      </c>
      <c r="BF15" s="53">
        <v>141529</v>
      </c>
      <c r="BG15" s="53">
        <v>97978</v>
      </c>
      <c r="BH15" s="53">
        <v>35543</v>
      </c>
      <c r="BI15" s="53">
        <v>31744</v>
      </c>
      <c r="BJ15" s="53">
        <v>266447</v>
      </c>
      <c r="BK15" s="53">
        <v>120156</v>
      </c>
      <c r="BL15" s="53">
        <v>95685</v>
      </c>
      <c r="BM15" s="53">
        <v>37272</v>
      </c>
      <c r="BN15" s="53">
        <v>33063</v>
      </c>
      <c r="BO15" s="53">
        <v>251792</v>
      </c>
      <c r="BP15" s="53">
        <v>111320</v>
      </c>
      <c r="BQ15" s="53">
        <v>86014</v>
      </c>
      <c r="BR15" s="53">
        <v>40095</v>
      </c>
      <c r="BS15" s="53">
        <v>36835</v>
      </c>
      <c r="BT15" s="53">
        <v>240623</v>
      </c>
      <c r="BU15" s="53">
        <v>105564</v>
      </c>
      <c r="BV15" s="53">
        <v>85380</v>
      </c>
      <c r="BW15" s="53">
        <v>35053</v>
      </c>
      <c r="BX15" s="53">
        <v>34384</v>
      </c>
      <c r="BY15" s="12">
        <v>453028</v>
      </c>
      <c r="BZ15" s="53">
        <v>229996</v>
      </c>
      <c r="CA15" s="53">
        <v>135898</v>
      </c>
      <c r="CB15" s="53">
        <v>105069</v>
      </c>
      <c r="CC15" s="546">
        <f t="shared" si="368"/>
        <v>87134</v>
      </c>
      <c r="CD15" s="327">
        <v>216832</v>
      </c>
      <c r="CE15" s="328">
        <v>420515</v>
      </c>
      <c r="CF15" s="328">
        <v>677409</v>
      </c>
      <c r="CG15" s="328">
        <v>1089763</v>
      </c>
      <c r="CH15" s="12">
        <v>1685553</v>
      </c>
      <c r="CI15" s="53">
        <v>1347247.4920000001</v>
      </c>
      <c r="CJ15" s="53">
        <v>278190.13200000004</v>
      </c>
      <c r="CK15" s="53">
        <v>23655.3</v>
      </c>
      <c r="CL15" s="296">
        <v>33275.457000000002</v>
      </c>
      <c r="CM15" s="5">
        <v>2448733</v>
      </c>
      <c r="CN15" s="53">
        <v>1857829</v>
      </c>
      <c r="CO15" s="53">
        <v>499283</v>
      </c>
      <c r="CP15" s="53">
        <v>47003</v>
      </c>
      <c r="CQ15" s="296">
        <v>91621</v>
      </c>
      <c r="CR15" s="5">
        <v>2930509</v>
      </c>
      <c r="CS15" s="53">
        <v>2025415</v>
      </c>
      <c r="CT15" s="53">
        <v>706552</v>
      </c>
      <c r="CU15" s="53">
        <v>77036</v>
      </c>
      <c r="CV15" s="53">
        <v>198542</v>
      </c>
      <c r="CW15" s="329">
        <v>3214597</v>
      </c>
      <c r="CX15" s="53">
        <v>2103257</v>
      </c>
      <c r="CY15" s="53">
        <v>840767</v>
      </c>
      <c r="CZ15" s="53">
        <v>270573</v>
      </c>
      <c r="DA15" s="53">
        <v>121236</v>
      </c>
      <c r="DB15" s="183">
        <v>3257523</v>
      </c>
      <c r="DC15" s="53">
        <v>2123923</v>
      </c>
      <c r="DD15" s="53">
        <v>861323</v>
      </c>
      <c r="DE15" s="53">
        <v>272277</v>
      </c>
      <c r="DF15" s="53">
        <v>126341</v>
      </c>
      <c r="DG15" s="56">
        <v>3306201</v>
      </c>
      <c r="DH15" s="54">
        <v>2137642</v>
      </c>
      <c r="DI15" s="54">
        <v>889304</v>
      </c>
      <c r="DJ15" s="54">
        <v>279255</v>
      </c>
      <c r="DK15" s="54">
        <v>132613</v>
      </c>
      <c r="DL15" s="12">
        <v>3363476</v>
      </c>
      <c r="DM15" s="53">
        <v>2143785</v>
      </c>
      <c r="DN15" s="53">
        <v>917074</v>
      </c>
      <c r="DO15" s="53">
        <v>150658</v>
      </c>
      <c r="DP15" s="53">
        <v>255146</v>
      </c>
      <c r="DQ15" s="12">
        <v>3419003.3729999997</v>
      </c>
      <c r="DR15" s="53">
        <v>2165798.6800000002</v>
      </c>
      <c r="DS15" s="53">
        <v>942657.94400000002</v>
      </c>
      <c r="DT15" s="53">
        <v>159588.171</v>
      </c>
      <c r="DU15" s="581">
        <f t="shared" si="369"/>
        <v>310546.74899999949</v>
      </c>
      <c r="DV15" s="53">
        <v>3476916</v>
      </c>
      <c r="DW15" s="53">
        <v>2189769</v>
      </c>
      <c r="DX15" s="53">
        <v>960072</v>
      </c>
      <c r="DY15" s="53">
        <v>169784</v>
      </c>
      <c r="DZ15" s="53">
        <v>327075</v>
      </c>
      <c r="EA15" s="53">
        <v>3534269</v>
      </c>
      <c r="EB15" s="53">
        <v>2106839</v>
      </c>
      <c r="EC15" s="53">
        <v>980785</v>
      </c>
      <c r="ED15" s="53">
        <v>182064</v>
      </c>
      <c r="EE15" s="53">
        <v>343410</v>
      </c>
      <c r="EF15" s="53">
        <v>3676820</v>
      </c>
      <c r="EG15" s="53">
        <v>2116752</v>
      </c>
      <c r="EH15" s="53">
        <v>1050497</v>
      </c>
      <c r="EI15" s="53">
        <v>199730</v>
      </c>
      <c r="EJ15" s="53">
        <v>394300</v>
      </c>
      <c r="EK15" s="53">
        <v>3715279</v>
      </c>
      <c r="EL15" s="53">
        <v>2115234</v>
      </c>
      <c r="EM15" s="53">
        <v>1076324</v>
      </c>
      <c r="EN15" s="53">
        <v>213662</v>
      </c>
      <c r="EO15" s="53">
        <v>396011</v>
      </c>
      <c r="EP15" s="12">
        <f>170409+194247</f>
        <v>364656</v>
      </c>
      <c r="EQ15" s="53">
        <f>148737+132975</f>
        <v>281712</v>
      </c>
      <c r="ER15" s="53">
        <f>31214+38905</f>
        <v>70119</v>
      </c>
      <c r="ES15" s="53">
        <f>3136+2973</f>
        <v>6109</v>
      </c>
      <c r="ET15" s="296">
        <f>388+2443+365+2915</f>
        <v>6111</v>
      </c>
      <c r="EU15" s="5">
        <v>744137</v>
      </c>
      <c r="EV15" s="53">
        <v>541087</v>
      </c>
      <c r="EW15" s="53">
        <v>179443</v>
      </c>
      <c r="EX15" s="53">
        <v>16616</v>
      </c>
      <c r="EY15" s="296">
        <v>23607</v>
      </c>
      <c r="EZ15" s="5">
        <v>897313</v>
      </c>
      <c r="FA15" s="53">
        <v>583183</v>
      </c>
      <c r="FB15" s="53">
        <v>262880</v>
      </c>
      <c r="FC15" s="53">
        <v>26566</v>
      </c>
      <c r="FD15" s="296">
        <v>51250</v>
      </c>
      <c r="FE15" s="5">
        <v>996567</v>
      </c>
      <c r="FF15" s="53">
        <v>596402</v>
      </c>
      <c r="FG15" s="53">
        <v>329399</v>
      </c>
      <c r="FH15" s="53">
        <v>47618</v>
      </c>
      <c r="FI15" s="296">
        <v>70766</v>
      </c>
      <c r="FJ15" s="5">
        <v>1006728.06</v>
      </c>
      <c r="FK15" s="53">
        <v>598948.75</v>
      </c>
      <c r="FL15" s="53">
        <v>335430.91600000003</v>
      </c>
      <c r="FM15" s="53">
        <v>51872.772000000004</v>
      </c>
      <c r="FN15" s="296">
        <v>72348.394000000029</v>
      </c>
      <c r="FO15" s="53">
        <v>1024857</v>
      </c>
      <c r="FP15" s="53">
        <v>601806</v>
      </c>
      <c r="FQ15" s="53">
        <v>344676</v>
      </c>
      <c r="FR15" s="53">
        <v>53706</v>
      </c>
      <c r="FS15" s="618">
        <v>78375</v>
      </c>
      <c r="FT15" s="618">
        <v>1036271</v>
      </c>
      <c r="FU15" s="618">
        <v>569508</v>
      </c>
      <c r="FV15" s="618">
        <v>354487</v>
      </c>
      <c r="FW15" s="618">
        <v>55409</v>
      </c>
      <c r="FX15" s="618">
        <v>81450</v>
      </c>
      <c r="FY15" s="618">
        <v>1055881</v>
      </c>
      <c r="FZ15" s="618">
        <v>567219</v>
      </c>
      <c r="GA15" s="618">
        <v>371925</v>
      </c>
      <c r="GB15" s="618">
        <v>54449</v>
      </c>
      <c r="GC15" s="618">
        <v>85440</v>
      </c>
      <c r="GD15" s="618">
        <v>1047680</v>
      </c>
      <c r="GE15" s="618">
        <v>555533</v>
      </c>
      <c r="GF15" s="618">
        <v>359221</v>
      </c>
      <c r="GG15" s="618">
        <v>64231</v>
      </c>
      <c r="GH15" s="618">
        <v>96059</v>
      </c>
      <c r="GI15" s="12">
        <v>163304</v>
      </c>
      <c r="GJ15" s="53">
        <v>122461</v>
      </c>
      <c r="GK15" s="53">
        <v>33867</v>
      </c>
      <c r="GL15" s="53">
        <v>4142</v>
      </c>
      <c r="GM15" s="296">
        <v>6976</v>
      </c>
      <c r="GN15" s="5">
        <v>186186</v>
      </c>
      <c r="GO15" s="53">
        <v>128796</v>
      </c>
      <c r="GP15" s="53">
        <v>45446</v>
      </c>
      <c r="GQ15" s="53">
        <v>5594</v>
      </c>
      <c r="GR15" s="296">
        <v>11944</v>
      </c>
      <c r="GS15" s="183">
        <v>237694</v>
      </c>
      <c r="GT15" s="53">
        <v>151841</v>
      </c>
      <c r="GU15" s="53">
        <v>67066</v>
      </c>
      <c r="GV15" s="53">
        <v>11350</v>
      </c>
      <c r="GW15" s="53">
        <v>18787</v>
      </c>
      <c r="GX15" s="183"/>
      <c r="GY15" s="53"/>
      <c r="GZ15" s="53"/>
      <c r="HA15" s="53"/>
      <c r="HB15" s="296"/>
      <c r="HC15" s="53">
        <v>248236</v>
      </c>
      <c r="HD15" s="53">
        <v>155674</v>
      </c>
      <c r="HE15" s="53">
        <v>71085</v>
      </c>
      <c r="HF15" s="53">
        <v>11068</v>
      </c>
      <c r="HG15" s="53">
        <v>21477</v>
      </c>
      <c r="HH15" s="53">
        <v>249514</v>
      </c>
      <c r="HI15" s="53">
        <v>148212</v>
      </c>
      <c r="HJ15" s="53">
        <v>72969</v>
      </c>
      <c r="HK15" s="53">
        <v>10939</v>
      </c>
      <c r="HL15" s="53">
        <v>22091</v>
      </c>
      <c r="HM15" s="53">
        <v>266499</v>
      </c>
      <c r="HN15" s="53">
        <v>153149</v>
      </c>
      <c r="HO15" s="53">
        <v>80817</v>
      </c>
      <c r="HP15" s="53">
        <v>13039</v>
      </c>
      <c r="HQ15" s="53">
        <v>25100</v>
      </c>
      <c r="HR15" s="53">
        <v>268485</v>
      </c>
      <c r="HS15" s="53">
        <v>152523</v>
      </c>
      <c r="HT15" s="53">
        <v>75256</v>
      </c>
      <c r="HU15" s="53">
        <v>16171</v>
      </c>
      <c r="HV15" s="53">
        <v>30109</v>
      </c>
      <c r="HW15" s="569">
        <f t="shared" si="370"/>
        <v>989468</v>
      </c>
      <c r="HX15" s="546">
        <f t="shared" si="371"/>
        <v>787477</v>
      </c>
      <c r="HY15" s="546">
        <f t="shared" si="372"/>
        <v>147435</v>
      </c>
      <c r="HZ15" s="546">
        <f t="shared" si="373"/>
        <v>20975</v>
      </c>
      <c r="IA15" s="546">
        <f t="shared" si="374"/>
        <v>54556</v>
      </c>
      <c r="IB15" s="569">
        <f t="shared" si="375"/>
        <v>1285546</v>
      </c>
      <c r="IC15" s="546">
        <f t="shared" si="376"/>
        <v>943825</v>
      </c>
      <c r="ID15" s="546">
        <f t="shared" si="377"/>
        <v>227070</v>
      </c>
      <c r="IE15" s="546">
        <f t="shared" si="378"/>
        <v>32258</v>
      </c>
      <c r="IF15" s="546">
        <f t="shared" si="379"/>
        <v>114651</v>
      </c>
      <c r="IG15" s="183">
        <v>1290452</v>
      </c>
      <c r="IH15" s="53">
        <v>877913</v>
      </c>
      <c r="II15" s="53">
        <v>264735</v>
      </c>
      <c r="IJ15" s="53">
        <v>49100</v>
      </c>
      <c r="IK15" s="53">
        <v>147804</v>
      </c>
      <c r="IL15" s="559"/>
      <c r="IM15" s="560"/>
      <c r="IN15" s="560"/>
      <c r="IO15" s="560"/>
      <c r="IP15" s="560"/>
      <c r="IQ15" s="560">
        <v>1683321</v>
      </c>
      <c r="IR15" s="560">
        <v>1125930</v>
      </c>
      <c r="IS15" s="560">
        <v>355107</v>
      </c>
      <c r="IT15" s="560">
        <v>65565</v>
      </c>
      <c r="IU15" s="575">
        <v>202284</v>
      </c>
      <c r="IV15" s="560">
        <v>1722427</v>
      </c>
      <c r="IW15" s="560">
        <v>1101472</v>
      </c>
      <c r="IX15" s="560">
        <v>365727</v>
      </c>
      <c r="IY15" s="560">
        <v>71443</v>
      </c>
      <c r="IZ15" s="560">
        <v>209503</v>
      </c>
      <c r="JA15" s="559">
        <v>1858113</v>
      </c>
      <c r="JB15" s="560">
        <v>1145310</v>
      </c>
      <c r="JC15" s="560">
        <v>408530</v>
      </c>
      <c r="JD15" s="560">
        <v>81396</v>
      </c>
      <c r="JE15" s="560">
        <v>248963</v>
      </c>
      <c r="JF15" s="559">
        <v>1889614</v>
      </c>
      <c r="JG15" s="560">
        <v>1152872</v>
      </c>
      <c r="JH15" s="560">
        <v>427102</v>
      </c>
      <c r="JI15" s="560">
        <v>85171</v>
      </c>
      <c r="JJ15" s="560">
        <v>251046</v>
      </c>
      <c r="JK15" s="12">
        <v>486695</v>
      </c>
      <c r="JL15" s="5">
        <v>389362</v>
      </c>
      <c r="JM15" s="5">
        <v>72374</v>
      </c>
      <c r="JN15" s="5">
        <v>9344</v>
      </c>
      <c r="JO15" s="5">
        <v>24959</v>
      </c>
      <c r="JP15" s="12">
        <v>629304</v>
      </c>
      <c r="JQ15" s="53">
        <v>462845</v>
      </c>
      <c r="JR15" s="53">
        <v>113793</v>
      </c>
      <c r="JS15" s="53">
        <v>14759</v>
      </c>
      <c r="JT15" s="53">
        <v>52666</v>
      </c>
      <c r="JU15" s="183">
        <v>752796</v>
      </c>
      <c r="JV15" s="53">
        <v>508822</v>
      </c>
      <c r="JW15" s="53">
        <v>157594</v>
      </c>
      <c r="JX15" s="53">
        <v>28259</v>
      </c>
      <c r="JY15" s="53">
        <v>86380</v>
      </c>
      <c r="JZ15" s="183">
        <v>770534.16899999988</v>
      </c>
      <c r="KA15" s="53">
        <v>517491.72000000009</v>
      </c>
      <c r="KB15" s="53">
        <v>166097.62400000001</v>
      </c>
      <c r="KC15" s="53">
        <v>30700.212</v>
      </c>
      <c r="KD15" s="53">
        <v>86944.824999999779</v>
      </c>
      <c r="KE15" s="53">
        <v>804124</v>
      </c>
      <c r="KF15" s="53">
        <v>516734</v>
      </c>
      <c r="KG15" s="53">
        <v>170198</v>
      </c>
      <c r="KH15" s="53">
        <v>36693</v>
      </c>
      <c r="KI15" s="53">
        <v>94993</v>
      </c>
      <c r="KJ15" s="53">
        <v>866352</v>
      </c>
      <c r="KK15" s="53">
        <v>528224</v>
      </c>
      <c r="KL15" s="53">
        <v>195017</v>
      </c>
      <c r="KM15" s="53">
        <v>42529</v>
      </c>
      <c r="KN15" s="53">
        <v>114188</v>
      </c>
      <c r="KO15" s="53">
        <v>860491</v>
      </c>
      <c r="KP15" s="53">
        <v>527942</v>
      </c>
      <c r="KQ15" s="53">
        <v>200115</v>
      </c>
      <c r="KR15" s="53">
        <v>38803</v>
      </c>
      <c r="KS15" s="53">
        <v>107310</v>
      </c>
      <c r="KT15" s="330">
        <v>50371</v>
      </c>
      <c r="KU15" s="331">
        <v>95315</v>
      </c>
      <c r="KV15" s="316">
        <v>157294</v>
      </c>
      <c r="KW15" s="332">
        <f t="shared" si="327"/>
        <v>101868</v>
      </c>
      <c r="KX15" s="332">
        <f t="shared" si="328"/>
        <v>55426</v>
      </c>
      <c r="KY15" s="332">
        <f t="shared" si="329"/>
        <v>148139</v>
      </c>
      <c r="KZ15" s="318">
        <v>97801</v>
      </c>
      <c r="LA15" s="318">
        <v>50338</v>
      </c>
      <c r="LB15" s="332">
        <f t="shared" si="330"/>
        <v>9155</v>
      </c>
      <c r="LC15" s="318">
        <v>4067</v>
      </c>
      <c r="LD15" s="318">
        <v>5088</v>
      </c>
      <c r="LE15" s="316">
        <v>291502</v>
      </c>
      <c r="LF15" s="332">
        <f t="shared" si="331"/>
        <v>184343</v>
      </c>
      <c r="LG15" s="332">
        <f t="shared" si="332"/>
        <v>107159</v>
      </c>
      <c r="LH15" s="332">
        <f t="shared" si="333"/>
        <v>266488</v>
      </c>
      <c r="LI15" s="318">
        <v>171902</v>
      </c>
      <c r="LJ15" s="318">
        <v>94586</v>
      </c>
      <c r="LK15" s="332">
        <f t="shared" si="334"/>
        <v>18972</v>
      </c>
      <c r="LL15" s="318">
        <v>8398</v>
      </c>
      <c r="LM15" s="318">
        <v>10574</v>
      </c>
      <c r="LN15" s="332">
        <f t="shared" si="335"/>
        <v>6042</v>
      </c>
      <c r="LO15" s="318">
        <v>4043</v>
      </c>
      <c r="LP15" s="318">
        <v>1999</v>
      </c>
      <c r="LQ15" s="316">
        <v>508696</v>
      </c>
      <c r="LR15" s="332">
        <f t="shared" si="336"/>
        <v>297075</v>
      </c>
      <c r="LS15" s="332">
        <f t="shared" si="337"/>
        <v>211621</v>
      </c>
      <c r="LT15" s="53">
        <f>486695+213845+79758+45866</f>
        <v>826164</v>
      </c>
      <c r="LU15" s="318">
        <v>256821</v>
      </c>
      <c r="LV15" s="318">
        <v>168823</v>
      </c>
      <c r="LW15" s="318">
        <v>40254</v>
      </c>
      <c r="LX15" s="318">
        <v>42798</v>
      </c>
      <c r="LY15" s="53">
        <f>24533+31150</f>
        <v>55683</v>
      </c>
      <c r="LZ15" s="318">
        <v>24533</v>
      </c>
      <c r="MA15" s="318">
        <v>31150</v>
      </c>
      <c r="MB15" s="53">
        <f>3465+4764</f>
        <v>8229</v>
      </c>
      <c r="MC15" s="318">
        <v>4764</v>
      </c>
      <c r="MD15" s="318">
        <v>3465</v>
      </c>
      <c r="ME15" s="333">
        <f t="shared" si="338"/>
        <v>19140</v>
      </c>
      <c r="MF15" s="333">
        <f t="shared" si="339"/>
        <v>10957</v>
      </c>
      <c r="MG15" s="333">
        <f t="shared" si="340"/>
        <v>8183</v>
      </c>
      <c r="MH15" s="334">
        <f t="shared" si="341"/>
        <v>1063</v>
      </c>
      <c r="MI15" s="334">
        <f t="shared" si="342"/>
        <v>707</v>
      </c>
      <c r="MJ15" s="334">
        <f t="shared" si="343"/>
        <v>356</v>
      </c>
      <c r="MK15" s="318">
        <v>18077</v>
      </c>
      <c r="ML15" s="318">
        <v>10250</v>
      </c>
      <c r="MM15" s="318">
        <v>7827</v>
      </c>
      <c r="MN15" s="14">
        <f t="shared" si="344"/>
        <v>826164</v>
      </c>
      <c r="MO15" s="332">
        <f t="shared" si="345"/>
        <v>446177</v>
      </c>
      <c r="MP15" s="332">
        <f t="shared" si="346"/>
        <v>379987</v>
      </c>
      <c r="MQ15" s="13">
        <f t="shared" si="347"/>
        <v>665016</v>
      </c>
      <c r="MR15" s="136">
        <f t="shared" si="348"/>
        <v>652634</v>
      </c>
      <c r="MS15" s="318">
        <v>364776</v>
      </c>
      <c r="MT15" s="318">
        <v>287858</v>
      </c>
      <c r="MU15" s="318">
        <v>81401</v>
      </c>
      <c r="MV15" s="318">
        <v>92129</v>
      </c>
      <c r="MW15" s="13">
        <f t="shared" si="349"/>
        <v>113568</v>
      </c>
      <c r="MX15" s="136">
        <f t="shared" si="350"/>
        <v>112621</v>
      </c>
      <c r="MY15" s="318">
        <v>48335</v>
      </c>
      <c r="MZ15" s="318">
        <v>64286</v>
      </c>
      <c r="NA15" s="13">
        <f t="shared" si="351"/>
        <v>16833</v>
      </c>
      <c r="NB15" s="318">
        <v>9179</v>
      </c>
      <c r="NC15" s="318">
        <v>7654</v>
      </c>
      <c r="ND15" s="11">
        <f t="shared" si="352"/>
        <v>47580</v>
      </c>
      <c r="NE15" s="335">
        <f t="shared" si="353"/>
        <v>23887</v>
      </c>
      <c r="NF15" s="335">
        <f t="shared" si="354"/>
        <v>20189</v>
      </c>
      <c r="NG15" s="336">
        <f t="shared" si="355"/>
        <v>371</v>
      </c>
      <c r="NH15" s="336">
        <f t="shared" si="356"/>
        <v>191</v>
      </c>
      <c r="NI15" s="336">
        <f t="shared" si="357"/>
        <v>180</v>
      </c>
      <c r="NJ15" s="337">
        <f t="shared" si="358"/>
        <v>43705</v>
      </c>
      <c r="NK15" s="337">
        <f t="shared" si="359"/>
        <v>23696</v>
      </c>
      <c r="NL15" s="337">
        <f t="shared" si="360"/>
        <v>20009</v>
      </c>
      <c r="NM15" s="318">
        <v>893</v>
      </c>
      <c r="NN15" s="318">
        <v>747</v>
      </c>
      <c r="NO15" s="318">
        <v>22803</v>
      </c>
      <c r="NP15" s="318">
        <v>19262</v>
      </c>
      <c r="NQ15" s="338">
        <v>1099360</v>
      </c>
      <c r="NR15" s="318">
        <v>548412</v>
      </c>
      <c r="NS15" s="318">
        <v>550948</v>
      </c>
      <c r="NT15" s="7">
        <f t="shared" si="361"/>
        <v>815029</v>
      </c>
      <c r="NU15" s="7">
        <v>421943</v>
      </c>
      <c r="NV15" s="7">
        <v>393086</v>
      </c>
      <c r="NW15" s="125">
        <f t="shared" si="362"/>
        <v>797331</v>
      </c>
      <c r="NX15" s="318">
        <v>413276</v>
      </c>
      <c r="NY15" s="318">
        <v>384055</v>
      </c>
      <c r="NZ15" s="7">
        <f t="shared" si="363"/>
        <v>181624</v>
      </c>
      <c r="OA15" s="318">
        <v>74906</v>
      </c>
      <c r="OB15" s="318">
        <v>106718</v>
      </c>
      <c r="OC15" s="7">
        <f t="shared" si="364"/>
        <v>26664</v>
      </c>
      <c r="OD15" s="318">
        <v>12659</v>
      </c>
      <c r="OE15" s="318">
        <v>14005</v>
      </c>
      <c r="OF15" s="125">
        <f t="shared" si="365"/>
        <v>102707</v>
      </c>
      <c r="OG15" s="125">
        <f t="shared" si="366"/>
        <v>51563</v>
      </c>
      <c r="OH15" s="125">
        <f t="shared" si="367"/>
        <v>51144</v>
      </c>
      <c r="OI15" s="326">
        <v>1283348</v>
      </c>
      <c r="OJ15" s="318">
        <v>901778</v>
      </c>
      <c r="OK15" s="318">
        <v>238613</v>
      </c>
      <c r="OL15" s="318">
        <v>142957</v>
      </c>
      <c r="OM15" s="7">
        <v>39123</v>
      </c>
      <c r="ON15" s="183">
        <v>1308005</v>
      </c>
      <c r="OO15" s="53">
        <v>917339</v>
      </c>
      <c r="OP15" s="53">
        <v>244021</v>
      </c>
      <c r="OQ15" s="53">
        <v>146645</v>
      </c>
      <c r="OR15" s="53">
        <v>40940</v>
      </c>
      <c r="OS15" s="183">
        <v>1331345</v>
      </c>
      <c r="OT15" s="53">
        <v>927118</v>
      </c>
      <c r="OU15" s="53">
        <v>253478</v>
      </c>
      <c r="OV15" s="53">
        <v>150749</v>
      </c>
      <c r="OW15" s="53">
        <v>44408</v>
      </c>
      <c r="OX15" s="183">
        <v>1361273</v>
      </c>
      <c r="OY15" s="53">
        <v>931631</v>
      </c>
      <c r="OZ15" s="53">
        <v>262519</v>
      </c>
      <c r="PA15" s="53">
        <v>167123</v>
      </c>
      <c r="PB15" s="53">
        <v>47903</v>
      </c>
      <c r="PC15" s="12">
        <v>1401675.2220000001</v>
      </c>
      <c r="PD15" s="53">
        <v>951130.61500000022</v>
      </c>
      <c r="PE15" s="53">
        <v>277188.89199999999</v>
      </c>
      <c r="PF15" s="53">
        <v>50814.144</v>
      </c>
      <c r="PG15" s="53">
        <v>173355.71499999985</v>
      </c>
      <c r="PH15" s="53">
        <v>1435085</v>
      </c>
      <c r="PI15" s="53">
        <v>970256</v>
      </c>
      <c r="PJ15" s="53">
        <v>284022</v>
      </c>
      <c r="PK15" s="53">
        <v>54497</v>
      </c>
      <c r="PL15" s="2">
        <v>180807</v>
      </c>
      <c r="PM15" s="2">
        <v>1472913</v>
      </c>
      <c r="PN15" s="2">
        <v>953260</v>
      </c>
      <c r="PO15" s="2">
        <v>292758</v>
      </c>
      <c r="PP15" s="2">
        <v>60504</v>
      </c>
      <c r="PQ15" s="2">
        <v>187412</v>
      </c>
      <c r="PR15" s="2">
        <v>1591614</v>
      </c>
      <c r="PS15" s="2">
        <v>992161</v>
      </c>
      <c r="PT15" s="2">
        <v>327713</v>
      </c>
      <c r="PU15" s="2">
        <v>68357</v>
      </c>
      <c r="PV15" s="2">
        <v>223863</v>
      </c>
      <c r="PW15" s="2">
        <v>1621129</v>
      </c>
      <c r="PX15" s="2">
        <v>1000349</v>
      </c>
      <c r="PY15" s="2">
        <v>351846</v>
      </c>
      <c r="PZ15" s="2">
        <v>69000</v>
      </c>
      <c r="QA15" s="2">
        <v>220937</v>
      </c>
      <c r="QB15" s="12">
        <v>339469</v>
      </c>
      <c r="QC15" s="5">
        <v>275654</v>
      </c>
      <c r="QD15" s="5">
        <v>41194</v>
      </c>
      <c r="QE15" s="5">
        <v>7489</v>
      </c>
      <c r="QF15" s="5">
        <v>22621</v>
      </c>
      <c r="QG15" s="12">
        <v>470056</v>
      </c>
      <c r="QH15" s="53">
        <v>352184</v>
      </c>
      <c r="QI15" s="53">
        <v>67831</v>
      </c>
      <c r="QJ15" s="53">
        <v>11905</v>
      </c>
      <c r="QK15" s="53">
        <v>50041</v>
      </c>
      <c r="QL15" s="12">
        <v>608477</v>
      </c>
      <c r="QM15" s="53">
        <v>422809</v>
      </c>
      <c r="QN15" s="53">
        <v>104925</v>
      </c>
      <c r="QO15" s="53">
        <v>19644</v>
      </c>
      <c r="QP15" s="53">
        <v>80743</v>
      </c>
      <c r="QQ15" s="12">
        <v>631141.05300000007</v>
      </c>
      <c r="QR15" s="53">
        <v>433638.89500000008</v>
      </c>
      <c r="QS15" s="53">
        <v>111091.26800000001</v>
      </c>
      <c r="QT15" s="53">
        <v>20113.932000000001</v>
      </c>
      <c r="QU15" s="296">
        <v>86410.889999999985</v>
      </c>
      <c r="QV15" s="1">
        <v>649581</v>
      </c>
      <c r="QW15" s="2">
        <v>442075</v>
      </c>
      <c r="QX15" s="2">
        <v>117952</v>
      </c>
      <c r="QY15" s="2">
        <v>21297</v>
      </c>
      <c r="QZ15" s="69">
        <v>89554</v>
      </c>
      <c r="RA15" s="2">
        <v>668789</v>
      </c>
      <c r="RB15" s="2">
        <v>436526</v>
      </c>
      <c r="RC15" s="2">
        <v>122560</v>
      </c>
      <c r="RD15" s="2">
        <v>23811</v>
      </c>
      <c r="RE15" s="2">
        <v>92419</v>
      </c>
      <c r="RF15" s="2">
        <v>725262</v>
      </c>
      <c r="RG15" s="2">
        <v>463937</v>
      </c>
      <c r="RH15" s="2">
        <v>132696</v>
      </c>
      <c r="RI15" s="2">
        <v>25828</v>
      </c>
      <c r="RJ15" s="2">
        <v>109675</v>
      </c>
      <c r="RK15" s="2">
        <v>760638</v>
      </c>
      <c r="RL15" s="2">
        <v>472407</v>
      </c>
      <c r="RM15" s="2">
        <v>151731</v>
      </c>
      <c r="RN15" s="2">
        <v>30197</v>
      </c>
      <c r="RO15" s="2">
        <v>113627</v>
      </c>
    </row>
    <row r="16" spans="1:483" ht="14.25" x14ac:dyDescent="0.2">
      <c r="A16" s="216" t="s">
        <v>8</v>
      </c>
      <c r="B16" s="183">
        <f>59135+71133+50843+42735+77508+67421</f>
        <v>368775</v>
      </c>
      <c r="C16" s="53">
        <f>20701+36537+33437+12966+33285+38452</f>
        <v>175378</v>
      </c>
      <c r="D16" s="53">
        <f>37410+33629+16707+28619+42909+28136</f>
        <v>187410</v>
      </c>
      <c r="E16" s="53">
        <f>683+652+537+583+841+523</f>
        <v>3819</v>
      </c>
      <c r="F16" s="296">
        <f>243+195+111+93+119+51+340+189+148+205+255+162</f>
        <v>2111</v>
      </c>
      <c r="G16" s="5">
        <v>240267</v>
      </c>
      <c r="H16" s="53">
        <v>114949</v>
      </c>
      <c r="I16" s="53">
        <v>122616</v>
      </c>
      <c r="J16" s="53">
        <v>1068</v>
      </c>
      <c r="K16" s="296">
        <v>2702</v>
      </c>
      <c r="L16" s="5">
        <v>169178</v>
      </c>
      <c r="M16" s="53">
        <v>80067</v>
      </c>
      <c r="N16" s="53">
        <v>83618</v>
      </c>
      <c r="O16" s="53">
        <v>3734</v>
      </c>
      <c r="P16" s="296">
        <v>5493</v>
      </c>
      <c r="Q16" s="7">
        <v>132049</v>
      </c>
      <c r="R16" s="560">
        <v>64478</v>
      </c>
      <c r="S16" s="560">
        <v>60062</v>
      </c>
      <c r="T16" s="560">
        <v>9393</v>
      </c>
      <c r="U16" s="575">
        <v>7509</v>
      </c>
      <c r="V16" s="560">
        <v>119850</v>
      </c>
      <c r="W16" s="4">
        <v>60505</v>
      </c>
      <c r="X16" s="560">
        <v>52920</v>
      </c>
      <c r="Y16" s="560">
        <v>9766</v>
      </c>
      <c r="Z16" s="560">
        <v>6425</v>
      </c>
      <c r="AA16" s="560">
        <v>120471</v>
      </c>
      <c r="AB16" s="560">
        <v>54839</v>
      </c>
      <c r="AC16" s="560">
        <v>51623</v>
      </c>
      <c r="AD16" s="560">
        <v>10654</v>
      </c>
      <c r="AE16" s="675">
        <v>7284</v>
      </c>
      <c r="AF16" s="560">
        <v>112812</v>
      </c>
      <c r="AG16" s="560">
        <v>48076</v>
      </c>
      <c r="AH16" s="560">
        <v>49875</v>
      </c>
      <c r="AI16" s="560">
        <v>10891</v>
      </c>
      <c r="AJ16" s="560">
        <v>7902</v>
      </c>
      <c r="AK16" s="560">
        <v>94724</v>
      </c>
      <c r="AL16" s="560">
        <v>43467</v>
      </c>
      <c r="AM16" s="560">
        <v>40288</v>
      </c>
      <c r="AN16" s="560">
        <v>8167</v>
      </c>
      <c r="AO16" s="560">
        <v>6629</v>
      </c>
      <c r="AP16" s="183">
        <v>309418</v>
      </c>
      <c r="AQ16" s="53">
        <v>185485</v>
      </c>
      <c r="AR16" s="53">
        <v>121868</v>
      </c>
      <c r="AS16" s="53">
        <v>1437</v>
      </c>
      <c r="AT16" s="296">
        <v>2065</v>
      </c>
      <c r="AU16" s="5">
        <v>307852</v>
      </c>
      <c r="AV16" s="53">
        <v>166873</v>
      </c>
      <c r="AW16" s="53">
        <v>134956</v>
      </c>
      <c r="AX16" s="53">
        <v>4342</v>
      </c>
      <c r="AY16" s="296">
        <v>6023</v>
      </c>
      <c r="AZ16" s="5">
        <v>237222</v>
      </c>
      <c r="BA16" s="53">
        <v>119465</v>
      </c>
      <c r="BB16" s="53">
        <v>110497</v>
      </c>
      <c r="BC16" s="53">
        <v>6286</v>
      </c>
      <c r="BD16" s="296">
        <v>7260</v>
      </c>
      <c r="BE16" s="53">
        <v>235081</v>
      </c>
      <c r="BF16" s="53">
        <v>117387</v>
      </c>
      <c r="BG16" s="53">
        <v>110955</v>
      </c>
      <c r="BH16" s="53">
        <v>7115</v>
      </c>
      <c r="BI16" s="53">
        <v>6705</v>
      </c>
      <c r="BJ16" s="53">
        <v>229582</v>
      </c>
      <c r="BK16" s="53">
        <v>110578</v>
      </c>
      <c r="BL16" s="53">
        <v>108625</v>
      </c>
      <c r="BM16" s="53">
        <v>7105</v>
      </c>
      <c r="BN16" s="53">
        <v>6632</v>
      </c>
      <c r="BO16" s="53">
        <v>209997</v>
      </c>
      <c r="BP16" s="53">
        <v>97188</v>
      </c>
      <c r="BQ16" s="53">
        <v>102171</v>
      </c>
      <c r="BR16" s="53">
        <v>7775</v>
      </c>
      <c r="BS16" s="53">
        <v>8225</v>
      </c>
      <c r="BT16" s="53">
        <v>216010</v>
      </c>
      <c r="BU16" s="53">
        <v>103123</v>
      </c>
      <c r="BV16" s="53">
        <v>102548</v>
      </c>
      <c r="BW16" s="53">
        <v>6628</v>
      </c>
      <c r="BX16" s="53">
        <v>7928</v>
      </c>
      <c r="BY16" s="12">
        <v>363789</v>
      </c>
      <c r="BZ16" s="53">
        <v>183574</v>
      </c>
      <c r="CA16" s="53">
        <v>166121</v>
      </c>
      <c r="CB16" s="53">
        <v>18187</v>
      </c>
      <c r="CC16" s="546">
        <f t="shared" si="368"/>
        <v>14094</v>
      </c>
      <c r="CD16" s="327">
        <v>166013</v>
      </c>
      <c r="CE16" s="328">
        <v>231230</v>
      </c>
      <c r="CF16" s="328">
        <v>317100</v>
      </c>
      <c r="CG16" s="328">
        <v>455591</v>
      </c>
      <c r="CH16" s="12">
        <v>749167</v>
      </c>
      <c r="CI16" s="53">
        <v>610090.88</v>
      </c>
      <c r="CJ16" s="53">
        <v>129978.52800000001</v>
      </c>
      <c r="CK16" s="53">
        <v>4931.4870000000001</v>
      </c>
      <c r="CL16" s="296">
        <v>4093.0960000000005</v>
      </c>
      <c r="CM16" s="5">
        <v>989312</v>
      </c>
      <c r="CN16" s="53">
        <v>761699</v>
      </c>
      <c r="CO16" s="53">
        <v>219376</v>
      </c>
      <c r="CP16" s="53">
        <v>5261</v>
      </c>
      <c r="CQ16" s="296">
        <v>8237</v>
      </c>
      <c r="CR16" s="5">
        <v>1280487</v>
      </c>
      <c r="CS16" s="53">
        <v>923143</v>
      </c>
      <c r="CT16" s="53">
        <v>334043</v>
      </c>
      <c r="CU16" s="53">
        <v>11693</v>
      </c>
      <c r="CV16" s="53">
        <v>23301</v>
      </c>
      <c r="CW16" s="329">
        <v>1426337</v>
      </c>
      <c r="CX16" s="53">
        <v>976190</v>
      </c>
      <c r="CY16" s="53">
        <v>420436</v>
      </c>
      <c r="CZ16" s="53">
        <v>29711</v>
      </c>
      <c r="DA16" s="53">
        <v>15601</v>
      </c>
      <c r="DB16" s="183">
        <v>1453901</v>
      </c>
      <c r="DC16" s="53">
        <v>989387</v>
      </c>
      <c r="DD16" s="53">
        <v>435347</v>
      </c>
      <c r="DE16" s="53">
        <v>29167</v>
      </c>
      <c r="DF16" s="53">
        <v>16762</v>
      </c>
      <c r="DG16" s="56">
        <v>1476655</v>
      </c>
      <c r="DH16" s="54">
        <v>998195</v>
      </c>
      <c r="DI16" s="54">
        <v>446486</v>
      </c>
      <c r="DJ16" s="54">
        <v>31974</v>
      </c>
      <c r="DK16" s="54">
        <v>17820</v>
      </c>
      <c r="DL16" s="12">
        <v>1521403</v>
      </c>
      <c r="DM16" s="53">
        <v>1026635</v>
      </c>
      <c r="DN16" s="53">
        <v>459730</v>
      </c>
      <c r="DO16" s="53">
        <v>22143</v>
      </c>
      <c r="DP16" s="53">
        <v>24998</v>
      </c>
      <c r="DQ16" s="12">
        <v>1538962.8560000001</v>
      </c>
      <c r="DR16" s="53">
        <v>1033363.7</v>
      </c>
      <c r="DS16" s="53">
        <v>470995.19999999995</v>
      </c>
      <c r="DT16" s="53">
        <v>24010.662</v>
      </c>
      <c r="DU16" s="581">
        <f t="shared" si="369"/>
        <v>34603.956000000238</v>
      </c>
      <c r="DV16" s="53">
        <v>1559691</v>
      </c>
      <c r="DW16" s="53">
        <v>1039510</v>
      </c>
      <c r="DX16" s="53">
        <v>484211</v>
      </c>
      <c r="DY16" s="53">
        <v>25290</v>
      </c>
      <c r="DZ16" s="53">
        <v>35801</v>
      </c>
      <c r="EA16" s="53">
        <v>1578035</v>
      </c>
      <c r="EB16" s="53">
        <v>1027240</v>
      </c>
      <c r="EC16" s="53">
        <v>495954</v>
      </c>
      <c r="ED16" s="53">
        <v>27956</v>
      </c>
      <c r="EE16" s="53">
        <v>37409</v>
      </c>
      <c r="EF16" s="53">
        <v>1629528</v>
      </c>
      <c r="EG16" s="53">
        <v>1047395</v>
      </c>
      <c r="EH16" s="53">
        <v>521974</v>
      </c>
      <c r="EI16" s="53">
        <v>28023</v>
      </c>
      <c r="EJ16" s="53">
        <v>40302</v>
      </c>
      <c r="EK16" s="53">
        <v>1646288</v>
      </c>
      <c r="EL16" s="53">
        <v>1044851</v>
      </c>
      <c r="EM16" s="53">
        <v>543470</v>
      </c>
      <c r="EN16" s="53">
        <v>27042</v>
      </c>
      <c r="EO16" s="53">
        <v>40488</v>
      </c>
      <c r="EP16" s="12">
        <f>88273+93960</f>
        <v>182233</v>
      </c>
      <c r="EQ16" s="53">
        <f>75610+73355</f>
        <v>148965</v>
      </c>
      <c r="ER16" s="53">
        <f>13665+17214</f>
        <v>30879</v>
      </c>
      <c r="ES16" s="53">
        <f>637+682</f>
        <v>1319</v>
      </c>
      <c r="ET16" s="296">
        <f>218+279+194+271</f>
        <v>962</v>
      </c>
      <c r="EU16" s="5">
        <v>338741</v>
      </c>
      <c r="EV16" s="53">
        <v>259601</v>
      </c>
      <c r="EW16" s="53">
        <v>76732</v>
      </c>
      <c r="EX16" s="53">
        <v>1992</v>
      </c>
      <c r="EY16" s="296">
        <v>2408</v>
      </c>
      <c r="EZ16" s="5">
        <v>467305</v>
      </c>
      <c r="FA16" s="53">
        <v>336047</v>
      </c>
      <c r="FB16" s="53">
        <v>123298</v>
      </c>
      <c r="FC16" s="53">
        <v>4382</v>
      </c>
      <c r="FD16" s="296">
        <v>7960</v>
      </c>
      <c r="FE16" s="5">
        <v>574465</v>
      </c>
      <c r="FF16" s="53">
        <v>382574</v>
      </c>
      <c r="FG16" s="53">
        <v>179062</v>
      </c>
      <c r="FH16" s="53">
        <v>8257</v>
      </c>
      <c r="FI16" s="296">
        <v>12829</v>
      </c>
      <c r="FJ16" s="5">
        <v>584729.69900000002</v>
      </c>
      <c r="FK16" s="53">
        <v>385383.87400000001</v>
      </c>
      <c r="FL16" s="53">
        <v>187125.12</v>
      </c>
      <c r="FM16" s="53">
        <v>8692.7880000000005</v>
      </c>
      <c r="FN16" s="296">
        <v>12220.705000000016</v>
      </c>
      <c r="FO16" s="53">
        <v>592548</v>
      </c>
      <c r="FP16" s="53">
        <v>385297</v>
      </c>
      <c r="FQ16" s="53">
        <v>194519</v>
      </c>
      <c r="FR16" s="53">
        <v>8849</v>
      </c>
      <c r="FS16" s="618">
        <v>12626</v>
      </c>
      <c r="FT16" s="618">
        <v>602484</v>
      </c>
      <c r="FU16" s="618">
        <v>383368</v>
      </c>
      <c r="FV16" s="618">
        <v>199857</v>
      </c>
      <c r="FW16" s="618">
        <v>9702</v>
      </c>
      <c r="FX16" s="618">
        <v>13197</v>
      </c>
      <c r="FY16" s="618">
        <v>617139</v>
      </c>
      <c r="FZ16" s="618">
        <v>392178</v>
      </c>
      <c r="GA16" s="618">
        <v>203692</v>
      </c>
      <c r="GB16" s="618">
        <v>8955</v>
      </c>
      <c r="GC16" s="618">
        <v>15261</v>
      </c>
      <c r="GD16" s="618">
        <v>616690</v>
      </c>
      <c r="GE16" s="618">
        <v>382924</v>
      </c>
      <c r="GF16" s="618">
        <v>212765</v>
      </c>
      <c r="GG16" s="618">
        <v>10313</v>
      </c>
      <c r="GH16" s="618">
        <v>14765</v>
      </c>
      <c r="GI16" s="12">
        <v>79264</v>
      </c>
      <c r="GJ16" s="53">
        <v>60193</v>
      </c>
      <c r="GK16" s="53">
        <v>18406</v>
      </c>
      <c r="GL16" s="53">
        <v>539</v>
      </c>
      <c r="GM16" s="296">
        <v>665</v>
      </c>
      <c r="GN16" s="5">
        <v>100561</v>
      </c>
      <c r="GO16" s="53">
        <v>73526</v>
      </c>
      <c r="GP16" s="53">
        <v>25252</v>
      </c>
      <c r="GQ16" s="53">
        <v>1046</v>
      </c>
      <c r="GR16" s="296">
        <v>1783</v>
      </c>
      <c r="GS16" s="183">
        <v>146824</v>
      </c>
      <c r="GT16" s="53">
        <v>102276</v>
      </c>
      <c r="GU16" s="53">
        <v>41387</v>
      </c>
      <c r="GV16" s="53">
        <v>2091</v>
      </c>
      <c r="GW16" s="53">
        <v>3161</v>
      </c>
      <c r="GX16" s="183"/>
      <c r="GY16" s="53"/>
      <c r="GZ16" s="53"/>
      <c r="HA16" s="53"/>
      <c r="HB16" s="296"/>
      <c r="HC16" s="53">
        <v>160121</v>
      </c>
      <c r="HD16" s="53">
        <v>110750</v>
      </c>
      <c r="HE16" s="53">
        <v>45850</v>
      </c>
      <c r="HF16" s="53">
        <v>2360</v>
      </c>
      <c r="HG16" s="53">
        <v>3503</v>
      </c>
      <c r="HH16" s="53">
        <v>162080</v>
      </c>
      <c r="HI16" s="53">
        <v>108874</v>
      </c>
      <c r="HJ16" s="53">
        <v>48299</v>
      </c>
      <c r="HK16" s="53">
        <v>2225</v>
      </c>
      <c r="HL16" s="53">
        <v>3187</v>
      </c>
      <c r="HM16" s="53">
        <v>179135</v>
      </c>
      <c r="HN16" s="53">
        <v>115861</v>
      </c>
      <c r="HO16" s="53">
        <v>56610</v>
      </c>
      <c r="HP16" s="53">
        <v>3068</v>
      </c>
      <c r="HQ16" s="53">
        <v>4248</v>
      </c>
      <c r="HR16" s="53">
        <v>177695</v>
      </c>
      <c r="HS16" s="53">
        <v>112678</v>
      </c>
      <c r="HT16" s="53">
        <v>58416</v>
      </c>
      <c r="HU16" s="53">
        <v>3348</v>
      </c>
      <c r="HV16" s="53">
        <v>4401</v>
      </c>
      <c r="HW16" s="569">
        <f t="shared" si="370"/>
        <v>306211</v>
      </c>
      <c r="HX16" s="546">
        <f t="shared" si="371"/>
        <v>243405</v>
      </c>
      <c r="HY16" s="546">
        <f t="shared" si="372"/>
        <v>59081</v>
      </c>
      <c r="HZ16" s="546">
        <f t="shared" si="373"/>
        <v>1867</v>
      </c>
      <c r="IA16" s="546">
        <f t="shared" si="374"/>
        <v>3725</v>
      </c>
      <c r="IB16" s="569">
        <f t="shared" si="375"/>
        <v>397652</v>
      </c>
      <c r="IC16" s="546">
        <f t="shared" si="376"/>
        <v>307841</v>
      </c>
      <c r="ID16" s="546">
        <f t="shared" si="377"/>
        <v>81024</v>
      </c>
      <c r="IE16" s="546">
        <f t="shared" si="378"/>
        <v>3433</v>
      </c>
      <c r="IF16" s="546">
        <f t="shared" si="379"/>
        <v>8787</v>
      </c>
      <c r="IG16" s="183">
        <v>446649</v>
      </c>
      <c r="IH16" s="53">
        <v>331989</v>
      </c>
      <c r="II16" s="53">
        <v>102852</v>
      </c>
      <c r="IJ16" s="53">
        <v>5789</v>
      </c>
      <c r="IK16" s="53">
        <v>11808</v>
      </c>
      <c r="IL16" s="559"/>
      <c r="IM16" s="560"/>
      <c r="IN16" s="560"/>
      <c r="IO16" s="560"/>
      <c r="IP16" s="560"/>
      <c r="IQ16" s="560">
        <v>543805</v>
      </c>
      <c r="IR16" s="560">
        <v>394196</v>
      </c>
      <c r="IS16" s="560">
        <v>135608</v>
      </c>
      <c r="IT16" s="560">
        <v>7494</v>
      </c>
      <c r="IU16" s="575">
        <v>13983</v>
      </c>
      <c r="IV16" s="560">
        <v>552023</v>
      </c>
      <c r="IW16" s="560">
        <v>392509</v>
      </c>
      <c r="IX16" s="560">
        <v>139871</v>
      </c>
      <c r="IY16" s="560">
        <v>7765</v>
      </c>
      <c r="IZ16" s="560">
        <v>14015</v>
      </c>
      <c r="JA16" s="559">
        <v>585734</v>
      </c>
      <c r="JB16" s="560">
        <v>408467</v>
      </c>
      <c r="JC16" s="560">
        <v>153250</v>
      </c>
      <c r="JD16" s="560">
        <v>8959</v>
      </c>
      <c r="JE16" s="560">
        <v>17008</v>
      </c>
      <c r="JF16" s="559">
        <v>603958</v>
      </c>
      <c r="JG16" s="560">
        <v>416744</v>
      </c>
      <c r="JH16" s="560">
        <v>162838</v>
      </c>
      <c r="JI16" s="560">
        <v>8721</v>
      </c>
      <c r="JJ16" s="560">
        <v>17846</v>
      </c>
      <c r="JK16" s="12">
        <v>149109</v>
      </c>
      <c r="JL16" s="5">
        <v>120716</v>
      </c>
      <c r="JM16" s="5">
        <v>26796</v>
      </c>
      <c r="JN16" s="5">
        <v>931</v>
      </c>
      <c r="JO16" s="5">
        <v>1597</v>
      </c>
      <c r="JP16" s="12">
        <v>194325</v>
      </c>
      <c r="JQ16" s="53">
        <v>153098</v>
      </c>
      <c r="JR16" s="53">
        <v>37532</v>
      </c>
      <c r="JS16" s="53">
        <v>1471</v>
      </c>
      <c r="JT16" s="53">
        <v>3695</v>
      </c>
      <c r="JU16" s="183">
        <v>237998</v>
      </c>
      <c r="JV16" s="53">
        <v>179305</v>
      </c>
      <c r="JW16" s="53">
        <v>52877</v>
      </c>
      <c r="JX16" s="53">
        <v>2731</v>
      </c>
      <c r="JY16" s="53">
        <v>5816</v>
      </c>
      <c r="JZ16" s="183">
        <v>238082.125</v>
      </c>
      <c r="KA16" s="53">
        <v>177495.41199999998</v>
      </c>
      <c r="KB16" s="53">
        <v>54100.800000000003</v>
      </c>
      <c r="KC16" s="53">
        <v>2742.87</v>
      </c>
      <c r="KD16" s="53">
        <v>6485.913000000015</v>
      </c>
      <c r="KE16" s="53">
        <v>246604</v>
      </c>
      <c r="KF16" s="53">
        <v>180369</v>
      </c>
      <c r="KG16" s="53">
        <v>57707</v>
      </c>
      <c r="KH16" s="53">
        <v>3291</v>
      </c>
      <c r="KI16" s="53">
        <v>6302</v>
      </c>
      <c r="KJ16" s="53">
        <v>253036</v>
      </c>
      <c r="KK16" s="53">
        <v>182629</v>
      </c>
      <c r="KL16" s="53">
        <v>60162</v>
      </c>
      <c r="KM16" s="53">
        <v>3417</v>
      </c>
      <c r="KN16" s="53">
        <v>7543</v>
      </c>
      <c r="KO16" s="53">
        <v>264865</v>
      </c>
      <c r="KP16" s="53">
        <v>188631</v>
      </c>
      <c r="KQ16" s="53">
        <v>65604</v>
      </c>
      <c r="KR16" s="53">
        <v>3961</v>
      </c>
      <c r="KS16" s="53">
        <v>7825</v>
      </c>
      <c r="KT16" s="330">
        <v>31419</v>
      </c>
      <c r="KU16" s="331">
        <v>41305</v>
      </c>
      <c r="KV16" s="316">
        <v>59273</v>
      </c>
      <c r="KW16" s="332">
        <f t="shared" si="327"/>
        <v>32153</v>
      </c>
      <c r="KX16" s="332">
        <f t="shared" si="328"/>
        <v>27120</v>
      </c>
      <c r="KY16" s="332">
        <f t="shared" si="329"/>
        <v>52523</v>
      </c>
      <c r="KZ16" s="318">
        <v>29682</v>
      </c>
      <c r="LA16" s="318">
        <v>22841</v>
      </c>
      <c r="LB16" s="332">
        <f t="shared" si="330"/>
        <v>6750</v>
      </c>
      <c r="LC16" s="318">
        <v>2471</v>
      </c>
      <c r="LD16" s="318">
        <v>4279</v>
      </c>
      <c r="LE16" s="316">
        <v>89982</v>
      </c>
      <c r="LF16" s="332">
        <f t="shared" si="331"/>
        <v>49067</v>
      </c>
      <c r="LG16" s="332">
        <f t="shared" si="332"/>
        <v>40915</v>
      </c>
      <c r="LH16" s="332">
        <f t="shared" si="333"/>
        <v>76754</v>
      </c>
      <c r="LI16" s="318">
        <v>44026</v>
      </c>
      <c r="LJ16" s="318">
        <v>32728</v>
      </c>
      <c r="LK16" s="332">
        <f t="shared" si="334"/>
        <v>12571</v>
      </c>
      <c r="LL16" s="318">
        <v>4600</v>
      </c>
      <c r="LM16" s="318">
        <v>7971</v>
      </c>
      <c r="LN16" s="332">
        <f t="shared" si="335"/>
        <v>657</v>
      </c>
      <c r="LO16" s="318">
        <v>441</v>
      </c>
      <c r="LP16" s="318">
        <v>216</v>
      </c>
      <c r="LQ16" s="316">
        <v>168086</v>
      </c>
      <c r="LR16" s="332">
        <f t="shared" si="336"/>
        <v>90286</v>
      </c>
      <c r="LS16" s="332">
        <f t="shared" si="337"/>
        <v>77800</v>
      </c>
      <c r="LT16" s="53">
        <f>77981+59158</f>
        <v>137139</v>
      </c>
      <c r="LU16" s="318">
        <v>77981</v>
      </c>
      <c r="LV16" s="318">
        <v>59158</v>
      </c>
      <c r="LW16" s="318">
        <v>12305</v>
      </c>
      <c r="LX16" s="318">
        <v>18642</v>
      </c>
      <c r="LY16" s="53">
        <f>17483+10852</f>
        <v>28335</v>
      </c>
      <c r="LZ16" s="318">
        <v>10852</v>
      </c>
      <c r="MA16" s="318">
        <v>17483</v>
      </c>
      <c r="MB16" s="53">
        <f>595+451</f>
        <v>1046</v>
      </c>
      <c r="MC16" s="318">
        <v>595</v>
      </c>
      <c r="MD16" s="318">
        <v>451</v>
      </c>
      <c r="ME16" s="333">
        <f t="shared" si="338"/>
        <v>1566</v>
      </c>
      <c r="MF16" s="333">
        <f t="shared" si="339"/>
        <v>858</v>
      </c>
      <c r="MG16" s="333">
        <f t="shared" si="340"/>
        <v>708</v>
      </c>
      <c r="MH16" s="334">
        <f t="shared" si="341"/>
        <v>93</v>
      </c>
      <c r="MI16" s="334">
        <f t="shared" si="342"/>
        <v>65</v>
      </c>
      <c r="MJ16" s="334">
        <f t="shared" si="343"/>
        <v>28</v>
      </c>
      <c r="MK16" s="318">
        <v>1473</v>
      </c>
      <c r="ML16" s="318">
        <v>793</v>
      </c>
      <c r="MM16" s="318">
        <v>680</v>
      </c>
      <c r="MN16" s="14">
        <f t="shared" si="344"/>
        <v>226947</v>
      </c>
      <c r="MO16" s="332">
        <f t="shared" si="345"/>
        <v>115653</v>
      </c>
      <c r="MP16" s="332">
        <f t="shared" si="346"/>
        <v>111294</v>
      </c>
      <c r="MQ16" s="13">
        <f t="shared" si="347"/>
        <v>183212</v>
      </c>
      <c r="MR16" s="136">
        <f t="shared" si="348"/>
        <v>182226</v>
      </c>
      <c r="MS16" s="318">
        <v>98281</v>
      </c>
      <c r="MT16" s="318">
        <v>83945</v>
      </c>
      <c r="MU16" s="318">
        <v>17372</v>
      </c>
      <c r="MV16" s="318">
        <v>27349</v>
      </c>
      <c r="MW16" s="13">
        <f t="shared" si="349"/>
        <v>40675</v>
      </c>
      <c r="MX16" s="136">
        <f t="shared" si="350"/>
        <v>40587</v>
      </c>
      <c r="MY16" s="318">
        <v>14997</v>
      </c>
      <c r="MZ16" s="318">
        <v>25590</v>
      </c>
      <c r="NA16" s="13">
        <f t="shared" si="351"/>
        <v>1328</v>
      </c>
      <c r="NB16" s="318">
        <v>776</v>
      </c>
      <c r="NC16" s="318">
        <v>552</v>
      </c>
      <c r="ND16" s="11">
        <f t="shared" si="352"/>
        <v>3060</v>
      </c>
      <c r="NE16" s="335">
        <f t="shared" si="353"/>
        <v>1599</v>
      </c>
      <c r="NF16" s="335">
        <f t="shared" si="354"/>
        <v>1207</v>
      </c>
      <c r="NG16" s="336">
        <f t="shared" si="355"/>
        <v>14</v>
      </c>
      <c r="NH16" s="336">
        <f t="shared" si="356"/>
        <v>14</v>
      </c>
      <c r="NI16" s="336">
        <f t="shared" si="357"/>
        <v>0</v>
      </c>
      <c r="NJ16" s="337">
        <f t="shared" si="358"/>
        <v>2792</v>
      </c>
      <c r="NK16" s="337">
        <f t="shared" si="359"/>
        <v>1585</v>
      </c>
      <c r="NL16" s="337">
        <f t="shared" si="360"/>
        <v>1207</v>
      </c>
      <c r="NM16" s="318">
        <v>185</v>
      </c>
      <c r="NN16" s="318">
        <v>162</v>
      </c>
      <c r="NO16" s="318">
        <v>1400</v>
      </c>
      <c r="NP16" s="318">
        <v>1045</v>
      </c>
      <c r="NQ16" s="338">
        <v>297091</v>
      </c>
      <c r="NR16" s="318">
        <v>141744</v>
      </c>
      <c r="NS16" s="318">
        <v>155347</v>
      </c>
      <c r="NT16" s="7">
        <f t="shared" si="361"/>
        <v>234315</v>
      </c>
      <c r="NU16" s="7">
        <v>118781</v>
      </c>
      <c r="NV16" s="7">
        <v>115534</v>
      </c>
      <c r="NW16" s="125">
        <f t="shared" si="362"/>
        <v>232868</v>
      </c>
      <c r="NX16" s="318">
        <v>117944</v>
      </c>
      <c r="NY16" s="318">
        <v>114924</v>
      </c>
      <c r="NZ16" s="7">
        <f t="shared" si="363"/>
        <v>55772</v>
      </c>
      <c r="OA16" s="318">
        <v>19239</v>
      </c>
      <c r="OB16" s="318">
        <v>36533</v>
      </c>
      <c r="OC16" s="7">
        <f t="shared" si="364"/>
        <v>2387</v>
      </c>
      <c r="OD16" s="318">
        <v>1226</v>
      </c>
      <c r="OE16" s="318">
        <v>1161</v>
      </c>
      <c r="OF16" s="125">
        <f t="shared" si="365"/>
        <v>7004</v>
      </c>
      <c r="OG16" s="125">
        <f t="shared" si="366"/>
        <v>3724</v>
      </c>
      <c r="OH16" s="125">
        <f t="shared" si="367"/>
        <v>3280</v>
      </c>
      <c r="OI16" s="326">
        <v>340489</v>
      </c>
      <c r="OJ16" s="318">
        <v>263206</v>
      </c>
      <c r="OK16" s="318">
        <v>68126</v>
      </c>
      <c r="OL16" s="318">
        <v>9157</v>
      </c>
      <c r="OM16" s="7">
        <v>3128</v>
      </c>
      <c r="ON16" s="183">
        <v>351366</v>
      </c>
      <c r="OO16" s="53">
        <v>268011</v>
      </c>
      <c r="OP16" s="53">
        <v>73904</v>
      </c>
      <c r="OQ16" s="53">
        <v>9451</v>
      </c>
      <c r="OR16" s="53">
        <v>3457</v>
      </c>
      <c r="OS16" s="183">
        <v>359188</v>
      </c>
      <c r="OT16" s="53">
        <v>274092</v>
      </c>
      <c r="OU16" s="53">
        <v>75013</v>
      </c>
      <c r="OV16" s="53">
        <v>10083</v>
      </c>
      <c r="OW16" s="53">
        <v>3297</v>
      </c>
      <c r="OX16" s="183">
        <v>370801</v>
      </c>
      <c r="OY16" s="53">
        <v>278925</v>
      </c>
      <c r="OZ16" s="53">
        <v>81405</v>
      </c>
      <c r="PA16" s="53">
        <v>10471</v>
      </c>
      <c r="PB16" s="53">
        <v>4486</v>
      </c>
      <c r="PC16" s="12">
        <v>373312.772</v>
      </c>
      <c r="PD16" s="53">
        <v>278400.33799999999</v>
      </c>
      <c r="PE16" s="53">
        <v>84015.360000000001</v>
      </c>
      <c r="PF16" s="53">
        <v>5063.76</v>
      </c>
      <c r="PG16" s="53">
        <v>10897.074000000008</v>
      </c>
      <c r="PH16" s="53">
        <v>383684</v>
      </c>
      <c r="PI16" s="53">
        <v>283446</v>
      </c>
      <c r="PJ16" s="53">
        <v>89758</v>
      </c>
      <c r="PK16" s="53">
        <v>5134</v>
      </c>
      <c r="PL16" s="2">
        <v>10480</v>
      </c>
      <c r="PM16" s="2">
        <v>389943</v>
      </c>
      <c r="PN16" s="2">
        <v>283635</v>
      </c>
      <c r="PO16" s="2">
        <v>91572</v>
      </c>
      <c r="PP16" s="2">
        <v>5540</v>
      </c>
      <c r="PQ16" s="2">
        <v>10828</v>
      </c>
      <c r="PR16" s="2">
        <v>406599</v>
      </c>
      <c r="PS16" s="2">
        <v>292606</v>
      </c>
      <c r="PT16" s="2">
        <v>96640</v>
      </c>
      <c r="PU16" s="2">
        <v>5891</v>
      </c>
      <c r="PV16" s="2">
        <v>12760</v>
      </c>
      <c r="PW16" s="2">
        <v>426263</v>
      </c>
      <c r="PX16" s="2">
        <v>304066</v>
      </c>
      <c r="PY16" s="2">
        <v>104422</v>
      </c>
      <c r="PZ16" s="2">
        <v>5373</v>
      </c>
      <c r="QA16" s="2">
        <v>13445</v>
      </c>
      <c r="QB16" s="12">
        <v>77838</v>
      </c>
      <c r="QC16" s="5">
        <v>62496</v>
      </c>
      <c r="QD16" s="5">
        <v>13879</v>
      </c>
      <c r="QE16" s="5">
        <v>397</v>
      </c>
      <c r="QF16" s="5">
        <v>1463</v>
      </c>
      <c r="QG16" s="12">
        <v>102766</v>
      </c>
      <c r="QH16" s="53">
        <v>81217</v>
      </c>
      <c r="QI16" s="53">
        <v>18240</v>
      </c>
      <c r="QJ16" s="53">
        <v>916</v>
      </c>
      <c r="QK16" s="53">
        <v>3309</v>
      </c>
      <c r="QL16" s="12">
        <v>132803</v>
      </c>
      <c r="QM16" s="53">
        <v>99620</v>
      </c>
      <c r="QN16" s="53">
        <v>28528</v>
      </c>
      <c r="QO16" s="53">
        <v>1755</v>
      </c>
      <c r="QP16" s="53">
        <v>4655</v>
      </c>
      <c r="QQ16" s="12">
        <v>135230.647</v>
      </c>
      <c r="QR16" s="53">
        <v>100904.92600000001</v>
      </c>
      <c r="QS16" s="53">
        <v>29914.560000000001</v>
      </c>
      <c r="QT16" s="53">
        <v>2320.89</v>
      </c>
      <c r="QU16" s="296">
        <v>4411.1609999999891</v>
      </c>
      <c r="QV16" s="1">
        <v>139935</v>
      </c>
      <c r="QW16" s="2">
        <v>103356</v>
      </c>
      <c r="QX16" s="2">
        <v>32389</v>
      </c>
      <c r="QY16" s="2">
        <v>2063</v>
      </c>
      <c r="QZ16" s="69">
        <v>4190</v>
      </c>
      <c r="RA16" s="2">
        <v>143339</v>
      </c>
      <c r="RB16" s="2">
        <v>103266</v>
      </c>
      <c r="RC16" s="2">
        <v>33865</v>
      </c>
      <c r="RD16" s="2">
        <v>2249</v>
      </c>
      <c r="RE16" s="2">
        <v>4526</v>
      </c>
      <c r="RF16" s="2">
        <v>153563</v>
      </c>
      <c r="RG16" s="2">
        <v>109977</v>
      </c>
      <c r="RH16" s="2">
        <v>36478</v>
      </c>
      <c r="RI16" s="2">
        <v>2474</v>
      </c>
      <c r="RJ16" s="2">
        <v>5217</v>
      </c>
      <c r="RK16" s="2">
        <v>161398</v>
      </c>
      <c r="RL16" s="2">
        <v>115435</v>
      </c>
      <c r="RM16" s="2">
        <v>38818</v>
      </c>
      <c r="RN16" s="2">
        <v>1412</v>
      </c>
      <c r="RO16" s="2">
        <v>5620</v>
      </c>
    </row>
    <row r="17" spans="1:483" ht="14.25" x14ac:dyDescent="0.2">
      <c r="A17" s="221" t="s">
        <v>9</v>
      </c>
      <c r="B17" s="183">
        <f>113024+196913+105575+87756+214067+118285</f>
        <v>835620</v>
      </c>
      <c r="C17" s="53">
        <f>66893+147558+83335+52428+153447+88056</f>
        <v>591717</v>
      </c>
      <c r="D17" s="53">
        <f>42287+45328+19966+32238+55475+27690</f>
        <v>222984</v>
      </c>
      <c r="E17" s="53">
        <f>1211+1695+844+861+1891+886</f>
        <v>7388</v>
      </c>
      <c r="F17" s="296">
        <f>2420+2171+1379+195+143+29+1698+2591+1274+460+580+338</f>
        <v>13278</v>
      </c>
      <c r="G17" s="5">
        <v>539974</v>
      </c>
      <c r="H17" s="53">
        <v>376803</v>
      </c>
      <c r="I17" s="53">
        <v>146773</v>
      </c>
      <c r="J17" s="53">
        <v>5395</v>
      </c>
      <c r="K17" s="296">
        <v>16398</v>
      </c>
      <c r="L17" s="5">
        <v>413495</v>
      </c>
      <c r="M17" s="53">
        <v>262013</v>
      </c>
      <c r="N17" s="53">
        <v>96566</v>
      </c>
      <c r="O17" s="53">
        <v>61168</v>
      </c>
      <c r="P17" s="296">
        <v>54916</v>
      </c>
      <c r="Q17" s="7">
        <v>376511</v>
      </c>
      <c r="R17" s="560">
        <v>216416</v>
      </c>
      <c r="S17" s="560">
        <v>74682</v>
      </c>
      <c r="T17" s="560">
        <v>113495</v>
      </c>
      <c r="U17" s="575">
        <v>85413</v>
      </c>
      <c r="V17" s="560">
        <v>365954</v>
      </c>
      <c r="W17" s="4">
        <v>225730</v>
      </c>
      <c r="X17" s="560">
        <v>65604</v>
      </c>
      <c r="Y17" s="560">
        <v>122956</v>
      </c>
      <c r="Z17" s="560">
        <v>74560</v>
      </c>
      <c r="AA17" s="560">
        <v>368319</v>
      </c>
      <c r="AB17" s="560">
        <v>152455</v>
      </c>
      <c r="AC17" s="560">
        <v>64965</v>
      </c>
      <c r="AD17" s="560">
        <v>128581</v>
      </c>
      <c r="AE17" s="675">
        <v>77813</v>
      </c>
      <c r="AF17" s="560">
        <v>340573</v>
      </c>
      <c r="AG17" s="560">
        <v>132101</v>
      </c>
      <c r="AH17" s="560">
        <v>57012</v>
      </c>
      <c r="AI17" s="560">
        <v>127062</v>
      </c>
      <c r="AJ17" s="560">
        <v>78261</v>
      </c>
      <c r="AK17" s="560">
        <v>319570</v>
      </c>
      <c r="AL17" s="560">
        <v>124504</v>
      </c>
      <c r="AM17" s="560">
        <v>55096</v>
      </c>
      <c r="AN17" s="560">
        <v>118103</v>
      </c>
      <c r="AO17" s="560">
        <v>73096</v>
      </c>
      <c r="AP17" s="183">
        <v>737773</v>
      </c>
      <c r="AQ17" s="53">
        <v>523466</v>
      </c>
      <c r="AR17" s="53">
        <v>197689</v>
      </c>
      <c r="AS17" s="53">
        <v>4386</v>
      </c>
      <c r="AT17" s="296">
        <v>16618</v>
      </c>
      <c r="AU17" s="5">
        <v>741229</v>
      </c>
      <c r="AV17" s="53">
        <v>490921</v>
      </c>
      <c r="AW17" s="53">
        <v>203578</v>
      </c>
      <c r="AX17" s="53">
        <v>35894</v>
      </c>
      <c r="AY17" s="296">
        <v>46730</v>
      </c>
      <c r="AZ17" s="5">
        <v>617246</v>
      </c>
      <c r="BA17" s="53">
        <v>384424</v>
      </c>
      <c r="BB17" s="53">
        <v>174542</v>
      </c>
      <c r="BC17" s="53">
        <v>61883</v>
      </c>
      <c r="BD17" s="296">
        <v>58280</v>
      </c>
      <c r="BE17" s="53">
        <v>603137</v>
      </c>
      <c r="BF17" s="53">
        <v>377744</v>
      </c>
      <c r="BG17" s="53">
        <v>172285</v>
      </c>
      <c r="BH17" s="53">
        <v>64318</v>
      </c>
      <c r="BI17" s="53">
        <v>53066</v>
      </c>
      <c r="BJ17" s="53">
        <v>592252</v>
      </c>
      <c r="BK17" s="53">
        <v>334016</v>
      </c>
      <c r="BL17" s="53">
        <v>167896</v>
      </c>
      <c r="BM17" s="53">
        <v>64555</v>
      </c>
      <c r="BN17" s="53">
        <v>52287</v>
      </c>
      <c r="BO17" s="53">
        <v>568846</v>
      </c>
      <c r="BP17" s="53">
        <v>314515</v>
      </c>
      <c r="BQ17" s="53">
        <v>158558</v>
      </c>
      <c r="BR17" s="53">
        <v>68754</v>
      </c>
      <c r="BS17" s="53">
        <v>54317</v>
      </c>
      <c r="BT17" s="53">
        <v>553627</v>
      </c>
      <c r="BU17" s="53">
        <v>298369</v>
      </c>
      <c r="BV17" s="53">
        <v>160918</v>
      </c>
      <c r="BW17" s="53">
        <v>68688</v>
      </c>
      <c r="BX17" s="53">
        <v>52081</v>
      </c>
      <c r="BY17" s="12">
        <v>981060</v>
      </c>
      <c r="BZ17" s="53">
        <v>597670</v>
      </c>
      <c r="CA17" s="53">
        <v>243999</v>
      </c>
      <c r="CB17" s="53">
        <v>182824</v>
      </c>
      <c r="CC17" s="546">
        <f t="shared" si="368"/>
        <v>139391</v>
      </c>
      <c r="CD17" s="327">
        <v>308716</v>
      </c>
      <c r="CE17" s="328">
        <v>413150</v>
      </c>
      <c r="CF17" s="328">
        <v>744217</v>
      </c>
      <c r="CG17" s="328">
        <v>1017950</v>
      </c>
      <c r="CH17" s="12">
        <v>1866201</v>
      </c>
      <c r="CI17" s="53">
        <v>1553874.392</v>
      </c>
      <c r="CJ17" s="53">
        <v>278541.07699999999</v>
      </c>
      <c r="CK17" s="53">
        <v>12789.643</v>
      </c>
      <c r="CL17" s="296">
        <v>20585.592000000001</v>
      </c>
      <c r="CM17" s="5">
        <v>2975747</v>
      </c>
      <c r="CN17" s="53">
        <v>2443419</v>
      </c>
      <c r="CO17" s="53">
        <v>478292</v>
      </c>
      <c r="CP17" s="53">
        <v>23980</v>
      </c>
      <c r="CQ17" s="296">
        <v>54036</v>
      </c>
      <c r="CR17" s="5">
        <v>4128270</v>
      </c>
      <c r="CS17" s="53">
        <v>3242417</v>
      </c>
      <c r="CT17" s="53">
        <v>725132</v>
      </c>
      <c r="CU17" s="53">
        <v>77844</v>
      </c>
      <c r="CV17" s="53">
        <v>160721</v>
      </c>
      <c r="CW17" s="329">
        <v>4807504</v>
      </c>
      <c r="CX17" s="53">
        <v>3668629</v>
      </c>
      <c r="CY17" s="53">
        <v>890727</v>
      </c>
      <c r="CZ17" s="53">
        <v>248148</v>
      </c>
      <c r="DA17" s="53">
        <v>154852</v>
      </c>
      <c r="DB17" s="183">
        <v>4943537</v>
      </c>
      <c r="DC17" s="53">
        <v>3763496</v>
      </c>
      <c r="DD17" s="53">
        <v>923942</v>
      </c>
      <c r="DE17" s="53">
        <v>256099</v>
      </c>
      <c r="DF17" s="53">
        <v>163622</v>
      </c>
      <c r="DG17" s="56">
        <v>5069176</v>
      </c>
      <c r="DH17" s="54">
        <v>3853007</v>
      </c>
      <c r="DI17" s="54">
        <v>951312</v>
      </c>
      <c r="DJ17" s="54">
        <v>264857</v>
      </c>
      <c r="DK17" s="54">
        <v>170486</v>
      </c>
      <c r="DL17" s="12">
        <v>5245588</v>
      </c>
      <c r="DM17" s="53">
        <v>3965383</v>
      </c>
      <c r="DN17" s="53">
        <v>993020</v>
      </c>
      <c r="DO17" s="53">
        <v>200886</v>
      </c>
      <c r="DP17" s="53">
        <v>229681</v>
      </c>
      <c r="DQ17" s="12">
        <v>5348361.59</v>
      </c>
      <c r="DR17" s="53">
        <v>4035430.1</v>
      </c>
      <c r="DS17" s="53">
        <v>1020242.4870000001</v>
      </c>
      <c r="DT17" s="53">
        <v>209502.084</v>
      </c>
      <c r="DU17" s="581">
        <f t="shared" si="369"/>
        <v>292689.00299999968</v>
      </c>
      <c r="DV17" s="53">
        <v>5440342</v>
      </c>
      <c r="DW17" s="53">
        <v>4092316</v>
      </c>
      <c r="DX17" s="53">
        <v>1048550</v>
      </c>
      <c r="DY17" s="53">
        <v>217566</v>
      </c>
      <c r="DZ17" s="53">
        <v>296809</v>
      </c>
      <c r="EA17" s="53">
        <v>5528531</v>
      </c>
      <c r="EB17" s="53">
        <v>4003154</v>
      </c>
      <c r="EC17" s="53">
        <v>1073862</v>
      </c>
      <c r="ED17" s="53">
        <v>223592</v>
      </c>
      <c r="EE17" s="53">
        <v>308550</v>
      </c>
      <c r="EF17" s="53">
        <v>5853225</v>
      </c>
      <c r="EG17" s="53">
        <v>4160473</v>
      </c>
      <c r="EH17" s="53">
        <v>1170746</v>
      </c>
      <c r="EI17" s="53">
        <v>254204</v>
      </c>
      <c r="EJ17" s="53">
        <v>360029</v>
      </c>
      <c r="EK17" s="53">
        <v>6003988</v>
      </c>
      <c r="EL17" s="53">
        <v>4252791</v>
      </c>
      <c r="EM17" s="53">
        <v>1191979</v>
      </c>
      <c r="EN17" s="53">
        <v>274460</v>
      </c>
      <c r="EO17" s="53">
        <v>385647</v>
      </c>
      <c r="EP17" s="12">
        <f>217943+250818</f>
        <v>468761</v>
      </c>
      <c r="EQ17" s="53">
        <f>211794+184584</f>
        <v>396378</v>
      </c>
      <c r="ER17" s="53">
        <f>29733+34786</f>
        <v>64519</v>
      </c>
      <c r="ES17" s="53">
        <f>1747+1659</f>
        <v>3406</v>
      </c>
      <c r="ET17" s="296">
        <f>1154+654+1244+1134</f>
        <v>4186</v>
      </c>
      <c r="EU17" s="5">
        <v>1003830</v>
      </c>
      <c r="EV17" s="53">
        <v>823140</v>
      </c>
      <c r="EW17" s="53">
        <v>163696</v>
      </c>
      <c r="EX17" s="53">
        <v>9958</v>
      </c>
      <c r="EY17" s="296">
        <v>16994</v>
      </c>
      <c r="EZ17" s="5">
        <v>1438579</v>
      </c>
      <c r="FA17" s="53">
        <v>1118071</v>
      </c>
      <c r="FB17" s="53">
        <v>268296</v>
      </c>
      <c r="FC17" s="53">
        <v>27631</v>
      </c>
      <c r="FD17" s="296">
        <v>52212</v>
      </c>
      <c r="FE17" s="5">
        <v>1886994</v>
      </c>
      <c r="FF17" s="53">
        <v>1395831</v>
      </c>
      <c r="FG17" s="53">
        <v>400065</v>
      </c>
      <c r="FH17" s="53">
        <v>69500</v>
      </c>
      <c r="FI17" s="296">
        <v>91098</v>
      </c>
      <c r="FJ17" s="5">
        <v>1930473.71</v>
      </c>
      <c r="FK17" s="53">
        <v>1426994.8</v>
      </c>
      <c r="FL17" s="53">
        <v>410878.32500000001</v>
      </c>
      <c r="FM17" s="53">
        <v>72972.636000000013</v>
      </c>
      <c r="FN17" s="296">
        <v>92600.584999999905</v>
      </c>
      <c r="FO17" s="53">
        <v>1962616</v>
      </c>
      <c r="FP17" s="53">
        <v>1442913</v>
      </c>
      <c r="FQ17" s="53">
        <v>423127</v>
      </c>
      <c r="FR17" s="53">
        <v>74942</v>
      </c>
      <c r="FS17" s="618">
        <v>95206</v>
      </c>
      <c r="FT17" s="618">
        <v>1989875</v>
      </c>
      <c r="FU17" s="618">
        <v>1410419</v>
      </c>
      <c r="FV17" s="618">
        <v>433049</v>
      </c>
      <c r="FW17" s="618">
        <v>77178</v>
      </c>
      <c r="FX17" s="618">
        <v>98168</v>
      </c>
      <c r="FY17" s="618">
        <v>2076658</v>
      </c>
      <c r="FZ17" s="618">
        <v>1441876</v>
      </c>
      <c r="GA17" s="618">
        <v>476977</v>
      </c>
      <c r="GB17" s="618">
        <v>85852</v>
      </c>
      <c r="GC17" s="618">
        <v>102949</v>
      </c>
      <c r="GD17" s="618">
        <v>2136997</v>
      </c>
      <c r="GE17" s="618">
        <v>1483357</v>
      </c>
      <c r="GF17" s="618">
        <v>479176</v>
      </c>
      <c r="GG17" s="618">
        <v>94586</v>
      </c>
      <c r="GH17" s="618">
        <v>118154</v>
      </c>
      <c r="GI17" s="12">
        <v>290117</v>
      </c>
      <c r="GJ17" s="53">
        <v>243444</v>
      </c>
      <c r="GK17" s="53">
        <v>41763</v>
      </c>
      <c r="GL17" s="53">
        <v>2379</v>
      </c>
      <c r="GM17" s="296">
        <v>4910</v>
      </c>
      <c r="GN17" s="5">
        <v>358075</v>
      </c>
      <c r="GO17" s="53">
        <v>289137</v>
      </c>
      <c r="GP17" s="53">
        <v>55942</v>
      </c>
      <c r="GQ17" s="53">
        <v>6110</v>
      </c>
      <c r="GR17" s="296">
        <v>12996</v>
      </c>
      <c r="GS17" s="183">
        <v>525780</v>
      </c>
      <c r="GT17" s="53">
        <v>406636</v>
      </c>
      <c r="GU17" s="53">
        <v>95397</v>
      </c>
      <c r="GV17" s="53">
        <v>17393</v>
      </c>
      <c r="GW17" s="53">
        <v>23747</v>
      </c>
      <c r="GX17" s="183"/>
      <c r="GY17" s="53"/>
      <c r="GZ17" s="53"/>
      <c r="HA17" s="53"/>
      <c r="HB17" s="296"/>
      <c r="HC17" s="53">
        <v>557123</v>
      </c>
      <c r="HD17" s="53">
        <v>432253</v>
      </c>
      <c r="HE17" s="53">
        <v>98619</v>
      </c>
      <c r="HF17" s="53">
        <v>17585</v>
      </c>
      <c r="HG17" s="53">
        <v>25820</v>
      </c>
      <c r="HH17" s="53">
        <v>565419</v>
      </c>
      <c r="HI17" s="53">
        <v>427843</v>
      </c>
      <c r="HJ17" s="53">
        <v>99701</v>
      </c>
      <c r="HK17" s="53">
        <v>17885</v>
      </c>
      <c r="HL17" s="53">
        <v>26419</v>
      </c>
      <c r="HM17" s="53">
        <v>623813</v>
      </c>
      <c r="HN17" s="53">
        <v>457594</v>
      </c>
      <c r="HO17" s="53">
        <v>121329</v>
      </c>
      <c r="HP17" s="53">
        <v>23852</v>
      </c>
      <c r="HQ17" s="53">
        <v>30182</v>
      </c>
      <c r="HR17" s="53">
        <v>654866</v>
      </c>
      <c r="HS17" s="53">
        <v>479013</v>
      </c>
      <c r="HT17" s="53">
        <v>122560</v>
      </c>
      <c r="HU17" s="53">
        <v>26800</v>
      </c>
      <c r="HV17" s="53">
        <v>37936</v>
      </c>
      <c r="HW17" s="569">
        <f t="shared" si="370"/>
        <v>1029166</v>
      </c>
      <c r="HX17" s="546">
        <f t="shared" si="371"/>
        <v>888325</v>
      </c>
      <c r="HY17" s="546">
        <f t="shared" si="372"/>
        <v>119523</v>
      </c>
      <c r="HZ17" s="546">
        <f t="shared" si="373"/>
        <v>8428</v>
      </c>
      <c r="IA17" s="546">
        <f t="shared" si="374"/>
        <v>21318</v>
      </c>
      <c r="IB17" s="569">
        <f t="shared" si="375"/>
        <v>1544788</v>
      </c>
      <c r="IC17" s="546">
        <f t="shared" si="376"/>
        <v>1288835</v>
      </c>
      <c r="ID17" s="546">
        <f t="shared" si="377"/>
        <v>190717</v>
      </c>
      <c r="IE17" s="546">
        <f t="shared" si="378"/>
        <v>24506</v>
      </c>
      <c r="IF17" s="546">
        <f t="shared" si="379"/>
        <v>65236</v>
      </c>
      <c r="IG17" s="183">
        <v>1891747</v>
      </c>
      <c r="IH17" s="53">
        <v>1518445</v>
      </c>
      <c r="II17" s="53">
        <v>265124</v>
      </c>
      <c r="IJ17" s="53">
        <v>54709</v>
      </c>
      <c r="IK17" s="53">
        <v>108178</v>
      </c>
      <c r="IL17" s="559"/>
      <c r="IM17" s="560"/>
      <c r="IN17" s="560"/>
      <c r="IO17" s="560"/>
      <c r="IP17" s="560"/>
      <c r="IQ17" s="560">
        <v>2284503</v>
      </c>
      <c r="IR17" s="560">
        <v>1827489</v>
      </c>
      <c r="IS17" s="560">
        <v>318382</v>
      </c>
      <c r="IT17" s="560">
        <v>62932</v>
      </c>
      <c r="IU17" s="575">
        <v>137825</v>
      </c>
      <c r="IV17" s="560">
        <v>2356234</v>
      </c>
      <c r="IW17" s="560">
        <v>1833141</v>
      </c>
      <c r="IX17" s="560">
        <v>331296</v>
      </c>
      <c r="IY17" s="560">
        <v>66857</v>
      </c>
      <c r="IZ17" s="560">
        <v>143771</v>
      </c>
      <c r="JA17" s="559">
        <v>2614870</v>
      </c>
      <c r="JB17" s="560">
        <v>1985888</v>
      </c>
      <c r="JC17" s="560">
        <v>391999</v>
      </c>
      <c r="JD17" s="560">
        <v>84631</v>
      </c>
      <c r="JE17" s="560">
        <v>178660</v>
      </c>
      <c r="JF17" s="559">
        <v>2745971</v>
      </c>
      <c r="JG17" s="560">
        <v>2075105</v>
      </c>
      <c r="JH17" s="560">
        <v>408569</v>
      </c>
      <c r="JI17" s="560">
        <v>95039</v>
      </c>
      <c r="JJ17" s="560">
        <v>196732</v>
      </c>
      <c r="JK17" s="12">
        <v>510003</v>
      </c>
      <c r="JL17" s="5">
        <v>445122</v>
      </c>
      <c r="JM17" s="5">
        <v>55500</v>
      </c>
      <c r="JN17" s="5">
        <v>3894</v>
      </c>
      <c r="JO17" s="5">
        <v>9381</v>
      </c>
      <c r="JP17" s="12">
        <v>808070</v>
      </c>
      <c r="JQ17" s="53">
        <v>679696</v>
      </c>
      <c r="JR17" s="53">
        <v>98171</v>
      </c>
      <c r="JS17" s="53">
        <v>11391</v>
      </c>
      <c r="JT17" s="53">
        <v>30203</v>
      </c>
      <c r="JU17" s="183">
        <v>1098824</v>
      </c>
      <c r="JV17" s="53">
        <v>890127</v>
      </c>
      <c r="JW17" s="53">
        <v>147582</v>
      </c>
      <c r="JX17" s="53">
        <v>30574</v>
      </c>
      <c r="JY17" s="53">
        <v>61115</v>
      </c>
      <c r="JZ17" s="183">
        <v>1120307.6939999999</v>
      </c>
      <c r="KA17" s="53">
        <v>903454.5</v>
      </c>
      <c r="KB17" s="53">
        <v>154237.402</v>
      </c>
      <c r="KC17" s="53">
        <v>30209.101999999999</v>
      </c>
      <c r="KD17" s="53">
        <v>62615.791999999899</v>
      </c>
      <c r="KE17" s="53">
        <v>1174085</v>
      </c>
      <c r="KF17" s="53">
        <v>921961</v>
      </c>
      <c r="KG17" s="53">
        <v>160616</v>
      </c>
      <c r="KH17" s="53">
        <v>34615</v>
      </c>
      <c r="KI17" s="53">
        <v>66074</v>
      </c>
      <c r="KJ17" s="53">
        <v>1277412</v>
      </c>
      <c r="KK17" s="53">
        <v>982300</v>
      </c>
      <c r="KL17" s="53">
        <v>180989</v>
      </c>
      <c r="KM17" s="53">
        <v>42570</v>
      </c>
      <c r="KN17" s="53">
        <v>83716</v>
      </c>
      <c r="KO17" s="53">
        <v>1345615</v>
      </c>
      <c r="KP17" s="53">
        <v>1031911</v>
      </c>
      <c r="KQ17" s="53">
        <v>189939</v>
      </c>
      <c r="KR17" s="53">
        <v>46899</v>
      </c>
      <c r="KS17" s="53">
        <v>90634</v>
      </c>
      <c r="KT17" s="330">
        <v>67036</v>
      </c>
      <c r="KU17" s="331">
        <v>101670</v>
      </c>
      <c r="KV17" s="316">
        <v>144892</v>
      </c>
      <c r="KW17" s="332">
        <f t="shared" si="327"/>
        <v>76013</v>
      </c>
      <c r="KX17" s="332">
        <f t="shared" si="328"/>
        <v>68879</v>
      </c>
      <c r="KY17" s="332">
        <f t="shared" si="329"/>
        <v>127462</v>
      </c>
      <c r="KZ17" s="318">
        <v>69701</v>
      </c>
      <c r="LA17" s="318">
        <v>57761</v>
      </c>
      <c r="LB17" s="332">
        <f t="shared" si="330"/>
        <v>17430</v>
      </c>
      <c r="LC17" s="318">
        <v>6312</v>
      </c>
      <c r="LD17" s="318">
        <v>11118</v>
      </c>
      <c r="LE17" s="316">
        <v>224069</v>
      </c>
      <c r="LF17" s="332">
        <f t="shared" si="331"/>
        <v>121138</v>
      </c>
      <c r="LG17" s="332">
        <f t="shared" si="332"/>
        <v>102931</v>
      </c>
      <c r="LH17" s="332">
        <f t="shared" si="333"/>
        <v>200792</v>
      </c>
      <c r="LI17" s="318">
        <v>111980</v>
      </c>
      <c r="LJ17" s="318">
        <v>88812</v>
      </c>
      <c r="LK17" s="332">
        <f t="shared" si="334"/>
        <v>21519</v>
      </c>
      <c r="LL17" s="318">
        <v>8032</v>
      </c>
      <c r="LM17" s="318">
        <v>13487</v>
      </c>
      <c r="LN17" s="332">
        <f t="shared" si="335"/>
        <v>1758</v>
      </c>
      <c r="LO17" s="318">
        <v>1126</v>
      </c>
      <c r="LP17" s="318">
        <v>632</v>
      </c>
      <c r="LQ17" s="316">
        <v>450423</v>
      </c>
      <c r="LR17" s="332">
        <f t="shared" si="336"/>
        <v>244152</v>
      </c>
      <c r="LS17" s="332">
        <f t="shared" si="337"/>
        <v>206271</v>
      </c>
      <c r="LT17" s="53">
        <f>173827+220132</f>
        <v>393959</v>
      </c>
      <c r="LU17" s="318">
        <v>220132</v>
      </c>
      <c r="LV17" s="318">
        <v>173827</v>
      </c>
      <c r="LW17" s="318">
        <v>24020</v>
      </c>
      <c r="LX17" s="318">
        <v>32444</v>
      </c>
      <c r="LY17" s="53">
        <f>18758+28525</f>
        <v>47283</v>
      </c>
      <c r="LZ17" s="318">
        <v>18758</v>
      </c>
      <c r="MA17" s="318">
        <v>28525</v>
      </c>
      <c r="MB17" s="53">
        <f>1260+1532</f>
        <v>2792</v>
      </c>
      <c r="MC17" s="318">
        <v>1532</v>
      </c>
      <c r="MD17" s="318">
        <v>1260</v>
      </c>
      <c r="ME17" s="333">
        <f t="shared" si="338"/>
        <v>6389</v>
      </c>
      <c r="MF17" s="333">
        <f t="shared" si="339"/>
        <v>3730</v>
      </c>
      <c r="MG17" s="333">
        <f t="shared" si="340"/>
        <v>2659</v>
      </c>
      <c r="MH17" s="334">
        <f t="shared" si="341"/>
        <v>342</v>
      </c>
      <c r="MI17" s="334">
        <f t="shared" si="342"/>
        <v>280</v>
      </c>
      <c r="MJ17" s="334">
        <f t="shared" si="343"/>
        <v>62</v>
      </c>
      <c r="MK17" s="318">
        <v>6047</v>
      </c>
      <c r="ML17" s="318">
        <v>3450</v>
      </c>
      <c r="MM17" s="318">
        <v>2597</v>
      </c>
      <c r="MN17" s="14">
        <f t="shared" si="344"/>
        <v>739049</v>
      </c>
      <c r="MO17" s="332">
        <f t="shared" si="345"/>
        <v>383838</v>
      </c>
      <c r="MP17" s="332">
        <f t="shared" si="346"/>
        <v>355211</v>
      </c>
      <c r="MQ17" s="13">
        <f t="shared" si="347"/>
        <v>644881</v>
      </c>
      <c r="MR17" s="136">
        <f t="shared" si="348"/>
        <v>640648</v>
      </c>
      <c r="MS17" s="318">
        <v>342260</v>
      </c>
      <c r="MT17" s="318">
        <v>298388</v>
      </c>
      <c r="MU17" s="318">
        <v>41578</v>
      </c>
      <c r="MV17" s="318">
        <v>56823</v>
      </c>
      <c r="MW17" s="13">
        <f t="shared" si="349"/>
        <v>77760</v>
      </c>
      <c r="MX17" s="136">
        <f t="shared" si="350"/>
        <v>77518</v>
      </c>
      <c r="MY17" s="318">
        <v>30260</v>
      </c>
      <c r="MZ17" s="318">
        <v>47258</v>
      </c>
      <c r="NA17" s="13">
        <f t="shared" si="351"/>
        <v>6049</v>
      </c>
      <c r="NB17" s="318">
        <v>3239</v>
      </c>
      <c r="NC17" s="318">
        <v>2810</v>
      </c>
      <c r="ND17" s="11">
        <f t="shared" si="352"/>
        <v>16408</v>
      </c>
      <c r="NE17" s="335">
        <f t="shared" si="353"/>
        <v>8079</v>
      </c>
      <c r="NF17" s="335">
        <f t="shared" si="354"/>
        <v>6755</v>
      </c>
      <c r="NG17" s="336">
        <f t="shared" si="355"/>
        <v>197</v>
      </c>
      <c r="NH17" s="336">
        <f t="shared" si="356"/>
        <v>107</v>
      </c>
      <c r="NI17" s="336">
        <f t="shared" si="357"/>
        <v>90</v>
      </c>
      <c r="NJ17" s="337">
        <f t="shared" si="358"/>
        <v>14637</v>
      </c>
      <c r="NK17" s="337">
        <f t="shared" si="359"/>
        <v>7972</v>
      </c>
      <c r="NL17" s="337">
        <f t="shared" si="360"/>
        <v>6665</v>
      </c>
      <c r="NM17" s="318">
        <v>1523</v>
      </c>
      <c r="NN17" s="318">
        <v>1995</v>
      </c>
      <c r="NO17" s="318">
        <v>6449</v>
      </c>
      <c r="NP17" s="318">
        <v>4670</v>
      </c>
      <c r="NQ17" s="338">
        <v>1186713</v>
      </c>
      <c r="NR17" s="318">
        <v>584433</v>
      </c>
      <c r="NS17" s="318">
        <v>602280</v>
      </c>
      <c r="NT17" s="7">
        <f t="shared" si="361"/>
        <v>999698</v>
      </c>
      <c r="NU17" s="7">
        <v>505217</v>
      </c>
      <c r="NV17" s="7">
        <v>494481</v>
      </c>
      <c r="NW17" s="125">
        <f t="shared" si="362"/>
        <v>988389</v>
      </c>
      <c r="NX17" s="318">
        <v>499408</v>
      </c>
      <c r="NY17" s="318">
        <v>488981</v>
      </c>
      <c r="NZ17" s="7">
        <f t="shared" si="363"/>
        <v>134775</v>
      </c>
      <c r="OA17" s="318">
        <v>52402</v>
      </c>
      <c r="OB17" s="318">
        <v>82373</v>
      </c>
      <c r="OC17" s="7">
        <f t="shared" si="364"/>
        <v>18396</v>
      </c>
      <c r="OD17" s="318">
        <v>9527</v>
      </c>
      <c r="OE17" s="318">
        <v>8869</v>
      </c>
      <c r="OF17" s="125">
        <f t="shared" si="365"/>
        <v>52240</v>
      </c>
      <c r="OG17" s="125">
        <f t="shared" si="366"/>
        <v>26814</v>
      </c>
      <c r="OH17" s="125">
        <f t="shared" si="367"/>
        <v>25426</v>
      </c>
      <c r="OI17" s="326">
        <v>1465033</v>
      </c>
      <c r="OJ17" s="318">
        <v>1203718</v>
      </c>
      <c r="OK17" s="318">
        <v>177729</v>
      </c>
      <c r="OL17" s="318">
        <v>83586</v>
      </c>
      <c r="OM17" s="7">
        <v>34517</v>
      </c>
      <c r="ON17" s="183">
        <v>1524893</v>
      </c>
      <c r="OO17" s="53">
        <v>1249625</v>
      </c>
      <c r="OP17" s="53">
        <v>187508</v>
      </c>
      <c r="OQ17" s="53">
        <v>87760</v>
      </c>
      <c r="OR17" s="53">
        <v>37533</v>
      </c>
      <c r="OS17" s="183">
        <v>1588555</v>
      </c>
      <c r="OT17" s="53">
        <v>1296265</v>
      </c>
      <c r="OU17" s="53">
        <v>200090</v>
      </c>
      <c r="OV17" s="53">
        <v>92200</v>
      </c>
      <c r="OW17" s="53">
        <v>39279</v>
      </c>
      <c r="OX17" s="183">
        <v>1643464</v>
      </c>
      <c r="OY17" s="53">
        <v>1330298</v>
      </c>
      <c r="OZ17" s="53">
        <v>208536</v>
      </c>
      <c r="PA17" s="53">
        <v>104630</v>
      </c>
      <c r="PB17" s="53">
        <v>45387</v>
      </c>
      <c r="PC17" s="12">
        <v>1683626.2519999999</v>
      </c>
      <c r="PD17" s="53">
        <v>1362131.4</v>
      </c>
      <c r="PE17" s="53">
        <v>216185.21100000001</v>
      </c>
      <c r="PF17" s="53">
        <v>43548.186000000002</v>
      </c>
      <c r="PG17" s="53">
        <v>105309.64099999995</v>
      </c>
      <c r="PH17" s="53">
        <v>1727380</v>
      </c>
      <c r="PI17" s="53">
        <v>1395236</v>
      </c>
      <c r="PJ17" s="53">
        <v>219763</v>
      </c>
      <c r="PK17" s="53">
        <v>45347</v>
      </c>
      <c r="PL17" s="2">
        <v>112005</v>
      </c>
      <c r="PM17" s="2">
        <v>1790815</v>
      </c>
      <c r="PN17" s="2">
        <v>1405298</v>
      </c>
      <c r="PO17" s="2">
        <v>231595</v>
      </c>
      <c r="PP17" s="2">
        <v>48972</v>
      </c>
      <c r="PQ17" s="2">
        <v>117352</v>
      </c>
      <c r="PR17" s="2">
        <v>1991057</v>
      </c>
      <c r="PS17" s="2">
        <v>1528294</v>
      </c>
      <c r="PT17" s="2">
        <v>270670</v>
      </c>
      <c r="PU17" s="2">
        <v>60779</v>
      </c>
      <c r="PV17" s="2">
        <v>148478</v>
      </c>
      <c r="PW17" s="2">
        <v>2091105</v>
      </c>
      <c r="PX17" s="2">
        <v>1596092</v>
      </c>
      <c r="PY17" s="2">
        <v>286009</v>
      </c>
      <c r="PZ17" s="2">
        <v>68239</v>
      </c>
      <c r="QA17" s="2">
        <v>158796</v>
      </c>
      <c r="QB17" s="12">
        <v>229046</v>
      </c>
      <c r="QC17" s="5">
        <v>199759</v>
      </c>
      <c r="QD17" s="5">
        <v>22260</v>
      </c>
      <c r="QE17" s="5">
        <v>2155</v>
      </c>
      <c r="QF17" s="5">
        <v>7027</v>
      </c>
      <c r="QG17" s="12">
        <v>378643</v>
      </c>
      <c r="QH17" s="53">
        <v>320002</v>
      </c>
      <c r="QI17" s="53">
        <v>36604</v>
      </c>
      <c r="QJ17" s="53">
        <v>7005</v>
      </c>
      <c r="QK17" s="53">
        <v>22037</v>
      </c>
      <c r="QL17" s="12">
        <v>544640</v>
      </c>
      <c r="QM17" s="53">
        <v>440171</v>
      </c>
      <c r="QN17" s="53">
        <v>60954</v>
      </c>
      <c r="QO17" s="53">
        <v>14813</v>
      </c>
      <c r="QP17" s="53">
        <v>43515</v>
      </c>
      <c r="QQ17" s="12">
        <v>563318.55800000008</v>
      </c>
      <c r="QR17" s="53">
        <v>458676.9</v>
      </c>
      <c r="QS17" s="53">
        <v>61947.809000000001</v>
      </c>
      <c r="QT17" s="53">
        <v>13339.084000000001</v>
      </c>
      <c r="QU17" s="296">
        <v>42693.849000000053</v>
      </c>
      <c r="QV17" s="1">
        <v>581443</v>
      </c>
      <c r="QW17" s="2">
        <v>471838</v>
      </c>
      <c r="QX17" s="2">
        <v>62875</v>
      </c>
      <c r="QY17" s="2">
        <v>13395</v>
      </c>
      <c r="QZ17" s="69">
        <v>46730</v>
      </c>
      <c r="RA17" s="2">
        <v>616730</v>
      </c>
      <c r="RB17" s="2">
        <v>483337</v>
      </c>
      <c r="RC17" s="2">
        <v>70979</v>
      </c>
      <c r="RD17" s="2">
        <v>14357</v>
      </c>
      <c r="RE17" s="2">
        <v>51278</v>
      </c>
      <c r="RF17" s="2">
        <v>713645</v>
      </c>
      <c r="RG17" s="2">
        <v>545994</v>
      </c>
      <c r="RH17" s="2">
        <v>89681</v>
      </c>
      <c r="RI17" s="2">
        <v>18209</v>
      </c>
      <c r="RJ17" s="2">
        <v>64762</v>
      </c>
      <c r="RK17" s="2">
        <v>745490</v>
      </c>
      <c r="RL17" s="2">
        <v>564181</v>
      </c>
      <c r="RM17" s="2">
        <v>96070</v>
      </c>
      <c r="RN17" s="2">
        <v>21340</v>
      </c>
      <c r="RO17" s="2">
        <v>68162</v>
      </c>
    </row>
    <row r="18" spans="1:483" ht="14.25" x14ac:dyDescent="0.2">
      <c r="A18" s="216" t="s">
        <v>10</v>
      </c>
      <c r="B18" s="183">
        <f>31644+57105+69523+24056+59489+83153</f>
        <v>324970</v>
      </c>
      <c r="C18" s="53">
        <f>23866+48520+61995+17375+49156+73583</f>
        <v>274495</v>
      </c>
      <c r="D18" s="53">
        <f>3148+3813+3164+2470+4804+4186</f>
        <v>21585</v>
      </c>
      <c r="E18" s="53">
        <f>1632+1456+817+1368+1385+877</f>
        <v>7535</v>
      </c>
      <c r="F18" s="296">
        <f>2832+3145+3367+151+161+138+2417+3602+4157+418+510+301</f>
        <v>21199</v>
      </c>
      <c r="G18" s="5">
        <v>195015</v>
      </c>
      <c r="H18" s="53">
        <v>158840</v>
      </c>
      <c r="I18" s="53">
        <v>12123</v>
      </c>
      <c r="J18" s="53">
        <v>10064</v>
      </c>
      <c r="K18" s="296">
        <v>24052</v>
      </c>
      <c r="L18" s="5">
        <v>134976</v>
      </c>
      <c r="M18" s="53">
        <v>95731</v>
      </c>
      <c r="N18" s="53">
        <v>7148</v>
      </c>
      <c r="O18" s="53">
        <v>24427</v>
      </c>
      <c r="P18" s="296">
        <v>32097</v>
      </c>
      <c r="Q18" s="7">
        <v>115336</v>
      </c>
      <c r="R18" s="560">
        <v>76958</v>
      </c>
      <c r="S18" s="560">
        <v>5803</v>
      </c>
      <c r="T18" s="560">
        <v>40287</v>
      </c>
      <c r="U18" s="575">
        <v>32575</v>
      </c>
      <c r="V18" s="560">
        <v>115002</v>
      </c>
      <c r="W18" s="4">
        <v>77702</v>
      </c>
      <c r="X18" s="560">
        <v>4436</v>
      </c>
      <c r="Y18" s="560">
        <v>44818</v>
      </c>
      <c r="Z18" s="560">
        <v>32864</v>
      </c>
      <c r="AA18" s="560">
        <v>113538</v>
      </c>
      <c r="AB18" s="560">
        <v>50142</v>
      </c>
      <c r="AC18" s="560">
        <v>3909</v>
      </c>
      <c r="AD18" s="560">
        <v>45863</v>
      </c>
      <c r="AE18" s="675">
        <v>31844</v>
      </c>
      <c r="AF18" s="560">
        <v>108956</v>
      </c>
      <c r="AG18" s="560">
        <v>43264</v>
      </c>
      <c r="AH18" s="560">
        <v>3888</v>
      </c>
      <c r="AI18" s="560">
        <v>48604</v>
      </c>
      <c r="AJ18" s="560">
        <v>33009</v>
      </c>
      <c r="AK18" s="560">
        <v>103252</v>
      </c>
      <c r="AL18" s="560">
        <v>40840</v>
      </c>
      <c r="AM18" s="560">
        <v>4950</v>
      </c>
      <c r="AN18" s="560">
        <v>43234</v>
      </c>
      <c r="AO18" s="560">
        <v>31204</v>
      </c>
      <c r="AP18" s="183">
        <v>311946</v>
      </c>
      <c r="AQ18" s="53">
        <v>254224</v>
      </c>
      <c r="AR18" s="53">
        <v>24829</v>
      </c>
      <c r="AS18" s="53">
        <v>6710</v>
      </c>
      <c r="AT18" s="296">
        <v>32893</v>
      </c>
      <c r="AU18" s="5">
        <v>292257</v>
      </c>
      <c r="AV18" s="53">
        <v>221384</v>
      </c>
      <c r="AW18" s="53">
        <v>23296</v>
      </c>
      <c r="AX18" s="53">
        <v>14893</v>
      </c>
      <c r="AY18" s="296">
        <v>47577</v>
      </c>
      <c r="AZ18" s="5">
        <v>226362</v>
      </c>
      <c r="BA18" s="53">
        <v>164051</v>
      </c>
      <c r="BB18" s="53">
        <v>18120</v>
      </c>
      <c r="BC18" s="53">
        <v>23411</v>
      </c>
      <c r="BD18" s="296">
        <v>44191</v>
      </c>
      <c r="BE18" s="53">
        <v>221897</v>
      </c>
      <c r="BF18" s="53">
        <v>159560</v>
      </c>
      <c r="BG18" s="53">
        <v>17485</v>
      </c>
      <c r="BH18" s="53">
        <v>24748</v>
      </c>
      <c r="BI18" s="53">
        <v>44852</v>
      </c>
      <c r="BJ18" s="53">
        <v>220675</v>
      </c>
      <c r="BK18" s="53">
        <v>143556</v>
      </c>
      <c r="BL18" s="53">
        <v>16299</v>
      </c>
      <c r="BM18" s="53">
        <v>27278</v>
      </c>
      <c r="BN18" s="53">
        <v>45384</v>
      </c>
      <c r="BO18" s="53">
        <v>215702</v>
      </c>
      <c r="BP18" s="53">
        <v>137275</v>
      </c>
      <c r="BQ18" s="53">
        <v>17070</v>
      </c>
      <c r="BR18" s="53">
        <v>29113</v>
      </c>
      <c r="BS18" s="53">
        <v>41791</v>
      </c>
      <c r="BT18" s="53">
        <v>209774</v>
      </c>
      <c r="BU18" s="53">
        <v>128823</v>
      </c>
      <c r="BV18" s="53">
        <v>15460</v>
      </c>
      <c r="BW18" s="53">
        <v>30797</v>
      </c>
      <c r="BX18" s="53">
        <v>46381</v>
      </c>
      <c r="BY18" s="12">
        <v>339480</v>
      </c>
      <c r="BZ18" s="53">
        <v>239073</v>
      </c>
      <c r="CA18" s="53">
        <v>23898</v>
      </c>
      <c r="CB18" s="53">
        <v>66029</v>
      </c>
      <c r="CC18" s="546">
        <f t="shared" si="368"/>
        <v>76509</v>
      </c>
      <c r="CD18" s="327">
        <v>293238</v>
      </c>
      <c r="CE18" s="328">
        <v>409850</v>
      </c>
      <c r="CF18" s="328">
        <v>526532</v>
      </c>
      <c r="CG18" s="328">
        <v>733832</v>
      </c>
      <c r="CH18" s="12">
        <v>1167477</v>
      </c>
      <c r="CI18" s="53">
        <v>1046836.224</v>
      </c>
      <c r="CJ18" s="53">
        <v>55085.888000000006</v>
      </c>
      <c r="CK18" s="53">
        <v>12115.334000000001</v>
      </c>
      <c r="CL18" s="296">
        <v>53253.33</v>
      </c>
      <c r="CM18" s="5">
        <v>1488463</v>
      </c>
      <c r="CN18" s="53">
        <v>1289454</v>
      </c>
      <c r="CO18" s="53">
        <v>86782</v>
      </c>
      <c r="CP18" s="53">
        <v>21238</v>
      </c>
      <c r="CQ18" s="296">
        <v>112227</v>
      </c>
      <c r="CR18" s="5">
        <v>1775940</v>
      </c>
      <c r="CS18" s="53">
        <v>1453941</v>
      </c>
      <c r="CT18" s="53">
        <v>111131</v>
      </c>
      <c r="CU18" s="53">
        <v>40743</v>
      </c>
      <c r="CV18" s="53">
        <v>210868</v>
      </c>
      <c r="CW18" s="329">
        <v>1945487</v>
      </c>
      <c r="CX18" s="53">
        <v>1569818</v>
      </c>
      <c r="CY18" s="53">
        <v>123967</v>
      </c>
      <c r="CZ18" s="53">
        <v>251702</v>
      </c>
      <c r="DA18" s="53">
        <v>66902</v>
      </c>
      <c r="DB18" s="183">
        <v>1983162</v>
      </c>
      <c r="DC18" s="53">
        <v>1598787</v>
      </c>
      <c r="DD18" s="53">
        <v>128641</v>
      </c>
      <c r="DE18" s="53">
        <v>255734</v>
      </c>
      <c r="DF18" s="53">
        <v>71397</v>
      </c>
      <c r="DG18" s="56">
        <v>2008235</v>
      </c>
      <c r="DH18" s="54">
        <v>1619286</v>
      </c>
      <c r="DI18" s="54">
        <v>129403</v>
      </c>
      <c r="DJ18" s="54">
        <v>259546</v>
      </c>
      <c r="DK18" s="54">
        <v>76300</v>
      </c>
      <c r="DL18" s="12">
        <v>2070195</v>
      </c>
      <c r="DM18" s="53">
        <v>1655444</v>
      </c>
      <c r="DN18" s="53">
        <v>134253</v>
      </c>
      <c r="DO18" s="53">
        <v>85230</v>
      </c>
      <c r="DP18" s="53">
        <v>173061</v>
      </c>
      <c r="DQ18" s="12">
        <v>2102820.2999999998</v>
      </c>
      <c r="DR18" s="53">
        <v>1673507.4999999998</v>
      </c>
      <c r="DS18" s="53">
        <v>136650.576</v>
      </c>
      <c r="DT18" s="53">
        <v>91025.168999999994</v>
      </c>
      <c r="DU18" s="581">
        <f t="shared" si="369"/>
        <v>292662.22400000005</v>
      </c>
      <c r="DV18" s="53">
        <v>2130429</v>
      </c>
      <c r="DW18" s="53">
        <v>1687120</v>
      </c>
      <c r="DX18" s="53">
        <v>141307</v>
      </c>
      <c r="DY18" s="53">
        <v>93854</v>
      </c>
      <c r="DZ18" s="53">
        <v>302002</v>
      </c>
      <c r="EA18" s="53">
        <v>2153434</v>
      </c>
      <c r="EB18" s="53">
        <v>1640232</v>
      </c>
      <c r="EC18" s="53">
        <v>143443</v>
      </c>
      <c r="ED18" s="53">
        <v>96332</v>
      </c>
      <c r="EE18" s="53">
        <v>308203</v>
      </c>
      <c r="EF18" s="53">
        <v>2233205</v>
      </c>
      <c r="EG18" s="53">
        <v>1671631</v>
      </c>
      <c r="EH18" s="53">
        <v>154979</v>
      </c>
      <c r="EI18" s="53">
        <v>110287</v>
      </c>
      <c r="EJ18" s="53">
        <v>334156</v>
      </c>
      <c r="EK18" s="53">
        <v>2258610</v>
      </c>
      <c r="EL18" s="53">
        <v>1687542</v>
      </c>
      <c r="EM18" s="53">
        <v>153379</v>
      </c>
      <c r="EN18" s="53">
        <v>116553</v>
      </c>
      <c r="EO18" s="53">
        <v>344454</v>
      </c>
      <c r="EP18" s="12">
        <f>143397+142028</f>
        <v>285425</v>
      </c>
      <c r="EQ18" s="53">
        <f>126184+127060</f>
        <v>253244</v>
      </c>
      <c r="ER18" s="53">
        <f>6996+7195</f>
        <v>14191</v>
      </c>
      <c r="ES18" s="53">
        <f>1477+1928</f>
        <v>3405</v>
      </c>
      <c r="ET18" s="296">
        <f>6419+883+6198+902</f>
        <v>14402</v>
      </c>
      <c r="EU18" s="5">
        <v>525591</v>
      </c>
      <c r="EV18" s="53">
        <v>449129</v>
      </c>
      <c r="EW18" s="53">
        <v>34418</v>
      </c>
      <c r="EX18" s="53">
        <v>8563</v>
      </c>
      <c r="EY18" s="296">
        <v>42044</v>
      </c>
      <c r="EZ18" s="5">
        <v>635562</v>
      </c>
      <c r="FA18" s="53">
        <v>511300</v>
      </c>
      <c r="FB18" s="53">
        <v>45872</v>
      </c>
      <c r="FC18" s="53">
        <v>15279</v>
      </c>
      <c r="FD18" s="296">
        <v>78390</v>
      </c>
      <c r="FE18" s="5">
        <v>752142</v>
      </c>
      <c r="FF18" s="53">
        <v>593548</v>
      </c>
      <c r="FG18" s="53">
        <v>53854</v>
      </c>
      <c r="FH18" s="53">
        <v>28902</v>
      </c>
      <c r="FI18" s="296">
        <v>104740</v>
      </c>
      <c r="FJ18" s="5">
        <v>761997.6</v>
      </c>
      <c r="FK18" s="53">
        <v>594812.38</v>
      </c>
      <c r="FL18" s="53">
        <v>55975.411999999997</v>
      </c>
      <c r="FM18" s="53">
        <v>32385.466000000004</v>
      </c>
      <c r="FN18" s="296">
        <v>111209.80799999998</v>
      </c>
      <c r="FO18" s="53">
        <v>769312</v>
      </c>
      <c r="FP18" s="53">
        <v>597542</v>
      </c>
      <c r="FQ18" s="53">
        <v>57565</v>
      </c>
      <c r="FR18" s="53">
        <v>33574</v>
      </c>
      <c r="FS18" s="618">
        <v>114205</v>
      </c>
      <c r="FT18" s="618">
        <v>770914</v>
      </c>
      <c r="FU18" s="618">
        <v>575321</v>
      </c>
      <c r="FV18" s="618">
        <v>58697</v>
      </c>
      <c r="FW18" s="618">
        <v>33630</v>
      </c>
      <c r="FX18" s="618">
        <v>115449</v>
      </c>
      <c r="FY18" s="618">
        <v>794826</v>
      </c>
      <c r="FZ18" s="618">
        <v>587670</v>
      </c>
      <c r="GA18" s="618">
        <v>62045</v>
      </c>
      <c r="GB18" s="618">
        <v>35487</v>
      </c>
      <c r="GC18" s="618">
        <v>121485</v>
      </c>
      <c r="GD18" s="618">
        <v>807416</v>
      </c>
      <c r="GE18" s="618">
        <v>596024</v>
      </c>
      <c r="GF18" s="618">
        <v>62175</v>
      </c>
      <c r="GG18" s="618">
        <v>42076</v>
      </c>
      <c r="GH18" s="618">
        <v>123037</v>
      </c>
      <c r="GI18" s="12">
        <v>100366</v>
      </c>
      <c r="GJ18" s="53">
        <v>84380</v>
      </c>
      <c r="GK18" s="53">
        <v>6846</v>
      </c>
      <c r="GL18" s="53">
        <v>2047</v>
      </c>
      <c r="GM18" s="296">
        <v>9140</v>
      </c>
      <c r="GN18" s="5">
        <v>119106</v>
      </c>
      <c r="GO18" s="53">
        <v>94774</v>
      </c>
      <c r="GP18" s="53">
        <v>8365</v>
      </c>
      <c r="GQ18" s="53">
        <v>2835</v>
      </c>
      <c r="GR18" s="296">
        <v>15967</v>
      </c>
      <c r="GS18" s="183">
        <v>163481</v>
      </c>
      <c r="GT18" s="53">
        <v>128123</v>
      </c>
      <c r="GU18" s="53">
        <v>10931</v>
      </c>
      <c r="GV18" s="53">
        <v>6694</v>
      </c>
      <c r="GW18" s="53">
        <v>24427</v>
      </c>
      <c r="GX18" s="183"/>
      <c r="GY18" s="53"/>
      <c r="GZ18" s="53"/>
      <c r="HA18" s="53"/>
      <c r="HB18" s="296"/>
      <c r="HC18" s="53">
        <v>172844</v>
      </c>
      <c r="HD18" s="53">
        <v>133995</v>
      </c>
      <c r="HE18" s="53">
        <v>11824</v>
      </c>
      <c r="HF18" s="53">
        <v>7780</v>
      </c>
      <c r="HG18" s="53">
        <v>27025</v>
      </c>
      <c r="HH18" s="53">
        <v>177505</v>
      </c>
      <c r="HI18" s="53">
        <v>131646</v>
      </c>
      <c r="HJ18" s="53">
        <v>12637</v>
      </c>
      <c r="HK18" s="53">
        <v>8030</v>
      </c>
      <c r="HL18" s="53">
        <v>27959</v>
      </c>
      <c r="HM18" s="53">
        <v>188756</v>
      </c>
      <c r="HN18" s="53">
        <v>140804</v>
      </c>
      <c r="HO18" s="53">
        <v>11354</v>
      </c>
      <c r="HP18" s="53">
        <v>9178</v>
      </c>
      <c r="HQ18" s="53">
        <v>30673</v>
      </c>
      <c r="HR18" s="53">
        <v>203590</v>
      </c>
      <c r="HS18" s="53">
        <v>148788</v>
      </c>
      <c r="HT18" s="53">
        <v>15196</v>
      </c>
      <c r="HU18" s="53">
        <v>10422</v>
      </c>
      <c r="HV18" s="53">
        <v>32474</v>
      </c>
      <c r="HW18" s="569">
        <f t="shared" si="370"/>
        <v>455335</v>
      </c>
      <c r="HX18" s="546">
        <f t="shared" si="371"/>
        <v>402693</v>
      </c>
      <c r="HY18" s="546">
        <f t="shared" si="372"/>
        <v>21696</v>
      </c>
      <c r="HZ18" s="546">
        <f t="shared" si="373"/>
        <v>6043</v>
      </c>
      <c r="IA18" s="546">
        <f t="shared" si="374"/>
        <v>30946</v>
      </c>
      <c r="IB18" s="569">
        <f t="shared" si="375"/>
        <v>565877</v>
      </c>
      <c r="IC18" s="546">
        <f t="shared" si="376"/>
        <v>476383</v>
      </c>
      <c r="ID18" s="546">
        <f t="shared" si="377"/>
        <v>27752</v>
      </c>
      <c r="IE18" s="546">
        <f t="shared" si="378"/>
        <v>10497</v>
      </c>
      <c r="IF18" s="546">
        <f t="shared" si="379"/>
        <v>61742</v>
      </c>
      <c r="IG18" s="183">
        <v>622246</v>
      </c>
      <c r="IH18" s="53">
        <v>510271</v>
      </c>
      <c r="II18" s="53">
        <v>32892</v>
      </c>
      <c r="IJ18" s="53">
        <v>19351</v>
      </c>
      <c r="IK18" s="53">
        <v>79083</v>
      </c>
      <c r="IL18" s="559"/>
      <c r="IM18" s="560"/>
      <c r="IN18" s="560"/>
      <c r="IO18" s="560"/>
      <c r="IP18" s="560"/>
      <c r="IQ18" s="560">
        <v>753478</v>
      </c>
      <c r="IR18" s="560">
        <v>614383</v>
      </c>
      <c r="IS18" s="560">
        <v>40697</v>
      </c>
      <c r="IT18" s="560">
        <v>23358</v>
      </c>
      <c r="IU18" s="575">
        <v>98398</v>
      </c>
      <c r="IV18" s="560">
        <v>769417</v>
      </c>
      <c r="IW18" s="560">
        <v>610602</v>
      </c>
      <c r="IX18" s="560">
        <v>41790</v>
      </c>
      <c r="IY18" s="560">
        <v>24387</v>
      </c>
      <c r="IZ18" s="560">
        <v>100616</v>
      </c>
      <c r="JA18" s="559">
        <v>818760</v>
      </c>
      <c r="JB18" s="560">
        <v>639970</v>
      </c>
      <c r="JC18" s="560">
        <v>43495</v>
      </c>
      <c r="JD18" s="560">
        <v>30979</v>
      </c>
      <c r="JE18" s="560">
        <v>113383</v>
      </c>
      <c r="JF18" s="559">
        <v>852255</v>
      </c>
      <c r="JG18" s="560">
        <v>660059</v>
      </c>
      <c r="JH18" s="560">
        <v>48638</v>
      </c>
      <c r="JI18" s="560">
        <v>32371</v>
      </c>
      <c r="JJ18" s="560">
        <v>120429</v>
      </c>
      <c r="JK18" s="12">
        <v>236112</v>
      </c>
      <c r="JL18" s="5">
        <v>212188</v>
      </c>
      <c r="JM18" s="5">
        <v>10156</v>
      </c>
      <c r="JN18" s="5">
        <v>2833</v>
      </c>
      <c r="JO18" s="5">
        <v>13768</v>
      </c>
      <c r="JP18" s="12">
        <v>297082</v>
      </c>
      <c r="JQ18" s="53">
        <v>254670</v>
      </c>
      <c r="JR18" s="53">
        <v>13434</v>
      </c>
      <c r="JS18" s="53">
        <v>4964</v>
      </c>
      <c r="JT18" s="53">
        <v>28978</v>
      </c>
      <c r="JU18" s="183">
        <v>366448</v>
      </c>
      <c r="JV18" s="53">
        <v>304321</v>
      </c>
      <c r="JW18" s="53">
        <v>18757</v>
      </c>
      <c r="JX18" s="53">
        <v>10421</v>
      </c>
      <c r="JY18" s="53">
        <v>43370</v>
      </c>
      <c r="JZ18" s="183">
        <v>378556.5</v>
      </c>
      <c r="KA18" s="53">
        <v>315575.7</v>
      </c>
      <c r="KB18" s="53">
        <v>19246.559999999998</v>
      </c>
      <c r="KC18" s="53">
        <v>11161.981</v>
      </c>
      <c r="KD18" s="53">
        <v>43734.239999999991</v>
      </c>
      <c r="KE18" s="53">
        <v>396617</v>
      </c>
      <c r="KF18" s="53">
        <v>320401</v>
      </c>
      <c r="KG18" s="53">
        <v>19728</v>
      </c>
      <c r="KH18" s="53">
        <v>11966</v>
      </c>
      <c r="KI18" s="53">
        <v>48221</v>
      </c>
      <c r="KJ18" s="53">
        <v>421765</v>
      </c>
      <c r="KK18" s="53">
        <v>335766</v>
      </c>
      <c r="KL18" s="53">
        <v>19699</v>
      </c>
      <c r="KM18" s="53">
        <v>14825</v>
      </c>
      <c r="KN18" s="53">
        <v>56328</v>
      </c>
      <c r="KO18" s="53">
        <v>432922</v>
      </c>
      <c r="KP18" s="53">
        <v>341174</v>
      </c>
      <c r="KQ18" s="53">
        <v>22865</v>
      </c>
      <c r="KR18" s="53">
        <v>16092</v>
      </c>
      <c r="KS18" s="53">
        <v>57609</v>
      </c>
      <c r="KT18" s="330">
        <v>57233</v>
      </c>
      <c r="KU18" s="331">
        <v>77070</v>
      </c>
      <c r="KV18" s="316">
        <v>102117</v>
      </c>
      <c r="KW18" s="332">
        <f t="shared" si="327"/>
        <v>59099</v>
      </c>
      <c r="KX18" s="332">
        <f t="shared" si="328"/>
        <v>43018</v>
      </c>
      <c r="KY18" s="332">
        <f t="shared" si="329"/>
        <v>97833</v>
      </c>
      <c r="KZ18" s="318">
        <v>57153</v>
      </c>
      <c r="LA18" s="318">
        <v>40680</v>
      </c>
      <c r="LB18" s="332">
        <f t="shared" si="330"/>
        <v>4284</v>
      </c>
      <c r="LC18" s="318">
        <v>1946</v>
      </c>
      <c r="LD18" s="318">
        <v>2338</v>
      </c>
      <c r="LE18" s="316">
        <v>141604</v>
      </c>
      <c r="LF18" s="332">
        <f t="shared" si="331"/>
        <v>83877</v>
      </c>
      <c r="LG18" s="332">
        <f t="shared" si="332"/>
        <v>57727</v>
      </c>
      <c r="LH18" s="332">
        <f t="shared" si="333"/>
        <v>135960</v>
      </c>
      <c r="LI18" s="318">
        <v>81160</v>
      </c>
      <c r="LJ18" s="318">
        <v>54800</v>
      </c>
      <c r="LK18" s="332">
        <f t="shared" si="334"/>
        <v>3954</v>
      </c>
      <c r="LL18" s="318">
        <v>1602</v>
      </c>
      <c r="LM18" s="318">
        <v>2352</v>
      </c>
      <c r="LN18" s="332">
        <f t="shared" si="335"/>
        <v>1690</v>
      </c>
      <c r="LO18" s="318">
        <v>1115</v>
      </c>
      <c r="LP18" s="318">
        <v>575</v>
      </c>
      <c r="LQ18" s="316">
        <v>266762</v>
      </c>
      <c r="LR18" s="332">
        <f t="shared" si="336"/>
        <v>157577</v>
      </c>
      <c r="LS18" s="332">
        <f t="shared" si="337"/>
        <v>109185</v>
      </c>
      <c r="LT18" s="53">
        <f>99112+145673</f>
        <v>244785</v>
      </c>
      <c r="LU18" s="318">
        <v>145673</v>
      </c>
      <c r="LV18" s="318">
        <v>99112</v>
      </c>
      <c r="LW18" s="318">
        <v>11904</v>
      </c>
      <c r="LX18" s="318">
        <v>10073</v>
      </c>
      <c r="LY18" s="53">
        <f>4539+4783</f>
        <v>9322</v>
      </c>
      <c r="LZ18" s="318">
        <v>4539</v>
      </c>
      <c r="MA18" s="318">
        <v>4783</v>
      </c>
      <c r="MB18" s="53">
        <f>1525+862</f>
        <v>2387</v>
      </c>
      <c r="MC18" s="318">
        <v>1525</v>
      </c>
      <c r="MD18" s="318">
        <v>862</v>
      </c>
      <c r="ME18" s="333">
        <f t="shared" si="338"/>
        <v>10268</v>
      </c>
      <c r="MF18" s="333">
        <f t="shared" si="339"/>
        <v>5840</v>
      </c>
      <c r="MG18" s="333">
        <f t="shared" si="340"/>
        <v>4428</v>
      </c>
      <c r="MH18" s="334">
        <f t="shared" si="341"/>
        <v>218</v>
      </c>
      <c r="MI18" s="334">
        <f t="shared" si="342"/>
        <v>163</v>
      </c>
      <c r="MJ18" s="334">
        <f t="shared" si="343"/>
        <v>55</v>
      </c>
      <c r="MK18" s="318">
        <v>10050</v>
      </c>
      <c r="ML18" s="318">
        <v>5677</v>
      </c>
      <c r="MM18" s="318">
        <v>4373</v>
      </c>
      <c r="MN18" s="14">
        <f t="shared" si="344"/>
        <v>354969</v>
      </c>
      <c r="MO18" s="332">
        <f t="shared" si="345"/>
        <v>195606</v>
      </c>
      <c r="MP18" s="332">
        <f t="shared" si="346"/>
        <v>159363</v>
      </c>
      <c r="MQ18" s="13">
        <f t="shared" si="347"/>
        <v>318313</v>
      </c>
      <c r="MR18" s="136">
        <f t="shared" si="348"/>
        <v>315845</v>
      </c>
      <c r="MS18" s="318">
        <v>175489</v>
      </c>
      <c r="MT18" s="318">
        <v>140356</v>
      </c>
      <c r="MU18" s="318">
        <v>20117</v>
      </c>
      <c r="MV18" s="318">
        <v>19007</v>
      </c>
      <c r="MW18" s="13">
        <f t="shared" si="349"/>
        <v>14850</v>
      </c>
      <c r="MX18" s="136">
        <f t="shared" si="350"/>
        <v>14786</v>
      </c>
      <c r="MY18" s="318">
        <v>6907</v>
      </c>
      <c r="MZ18" s="318">
        <v>7879</v>
      </c>
      <c r="NA18" s="13">
        <f t="shared" si="351"/>
        <v>3996</v>
      </c>
      <c r="NB18" s="318">
        <v>2279</v>
      </c>
      <c r="NC18" s="318">
        <v>1717</v>
      </c>
      <c r="ND18" s="11">
        <f t="shared" si="352"/>
        <v>21806</v>
      </c>
      <c r="NE18" s="335">
        <f t="shared" si="353"/>
        <v>10931</v>
      </c>
      <c r="NF18" s="335">
        <f t="shared" si="354"/>
        <v>9411</v>
      </c>
      <c r="NG18" s="336">
        <f t="shared" si="355"/>
        <v>51</v>
      </c>
      <c r="NH18" s="336">
        <f t="shared" si="356"/>
        <v>20</v>
      </c>
      <c r="NI18" s="336">
        <f t="shared" si="357"/>
        <v>31</v>
      </c>
      <c r="NJ18" s="337">
        <f t="shared" si="358"/>
        <v>20291</v>
      </c>
      <c r="NK18" s="337">
        <f t="shared" si="359"/>
        <v>10911</v>
      </c>
      <c r="NL18" s="337">
        <f t="shared" si="360"/>
        <v>9380</v>
      </c>
      <c r="NM18" s="318">
        <v>7148</v>
      </c>
      <c r="NN18" s="318">
        <v>6903</v>
      </c>
      <c r="NO18" s="318">
        <v>3763</v>
      </c>
      <c r="NP18" s="318">
        <v>2477</v>
      </c>
      <c r="NQ18" s="338">
        <v>446771</v>
      </c>
      <c r="NR18" s="318">
        <v>229359</v>
      </c>
      <c r="NS18" s="318">
        <v>217412</v>
      </c>
      <c r="NT18" s="7">
        <f t="shared" si="361"/>
        <v>381609</v>
      </c>
      <c r="NU18" s="7">
        <v>198056</v>
      </c>
      <c r="NV18" s="7">
        <v>183553</v>
      </c>
      <c r="NW18" s="125">
        <f t="shared" si="362"/>
        <v>377314</v>
      </c>
      <c r="NX18" s="318">
        <v>195794</v>
      </c>
      <c r="NY18" s="318">
        <v>181520</v>
      </c>
      <c r="NZ18" s="7">
        <f t="shared" si="363"/>
        <v>19387</v>
      </c>
      <c r="OA18" s="318">
        <v>8633</v>
      </c>
      <c r="OB18" s="318">
        <v>10754</v>
      </c>
      <c r="OC18" s="7">
        <f t="shared" si="364"/>
        <v>7662</v>
      </c>
      <c r="OD18" s="318">
        <v>3982</v>
      </c>
      <c r="OE18" s="318">
        <v>3680</v>
      </c>
      <c r="OF18" s="125">
        <f t="shared" si="365"/>
        <v>45775</v>
      </c>
      <c r="OG18" s="125">
        <f t="shared" si="366"/>
        <v>22670</v>
      </c>
      <c r="OH18" s="125">
        <f t="shared" si="367"/>
        <v>23105</v>
      </c>
      <c r="OI18" s="326">
        <v>513450</v>
      </c>
      <c r="OJ18" s="318">
        <v>434169</v>
      </c>
      <c r="OK18" s="318">
        <v>23489</v>
      </c>
      <c r="OL18" s="318">
        <v>55792</v>
      </c>
      <c r="OM18" s="7">
        <v>11393</v>
      </c>
      <c r="ON18" s="183">
        <v>523441</v>
      </c>
      <c r="OO18" s="53">
        <v>441316</v>
      </c>
      <c r="OP18" s="53">
        <v>24459</v>
      </c>
      <c r="OQ18" s="53">
        <v>57666</v>
      </c>
      <c r="OR18" s="53">
        <v>12183</v>
      </c>
      <c r="OS18" s="183">
        <v>529847</v>
      </c>
      <c r="OT18" s="53">
        <v>445828</v>
      </c>
      <c r="OU18" s="53">
        <v>24551</v>
      </c>
      <c r="OV18" s="53">
        <v>59468</v>
      </c>
      <c r="OW18" s="53">
        <v>13291</v>
      </c>
      <c r="OX18" s="183">
        <v>544533</v>
      </c>
      <c r="OY18" s="53">
        <v>452262</v>
      </c>
      <c r="OZ18" s="53">
        <v>26678</v>
      </c>
      <c r="PA18" s="53">
        <v>65593</v>
      </c>
      <c r="PB18" s="53">
        <v>14512</v>
      </c>
      <c r="PC18" s="12">
        <v>564171.30000000005</v>
      </c>
      <c r="PD18" s="53">
        <v>468582.1</v>
      </c>
      <c r="PE18" s="53">
        <v>27747.123999999996</v>
      </c>
      <c r="PF18" s="53">
        <v>15563.888999999999</v>
      </c>
      <c r="PG18" s="53">
        <v>67842.076000000074</v>
      </c>
      <c r="PH18" s="53">
        <v>580634</v>
      </c>
      <c r="PI18" s="53">
        <v>480388</v>
      </c>
      <c r="PJ18" s="53">
        <v>28873</v>
      </c>
      <c r="PK18" s="53">
        <v>15578</v>
      </c>
      <c r="PL18" s="2">
        <v>71373</v>
      </c>
      <c r="PM18" s="2">
        <v>591912</v>
      </c>
      <c r="PN18" s="2">
        <v>478956</v>
      </c>
      <c r="PO18" s="2">
        <v>29153</v>
      </c>
      <c r="PP18" s="2">
        <v>16357</v>
      </c>
      <c r="PQ18" s="2">
        <v>72657</v>
      </c>
      <c r="PR18" s="2">
        <v>630004</v>
      </c>
      <c r="PS18" s="2">
        <v>499166</v>
      </c>
      <c r="PT18" s="2">
        <v>32141</v>
      </c>
      <c r="PU18" s="2">
        <v>21801</v>
      </c>
      <c r="PV18" s="2">
        <v>82710</v>
      </c>
      <c r="PW18" s="2">
        <v>648665</v>
      </c>
      <c r="PX18" s="2">
        <v>511271</v>
      </c>
      <c r="PY18" s="2">
        <v>33442</v>
      </c>
      <c r="PZ18" s="2">
        <v>21949</v>
      </c>
      <c r="QA18" s="2">
        <v>87955</v>
      </c>
      <c r="QB18" s="12">
        <v>118857</v>
      </c>
      <c r="QC18" s="5">
        <v>106125</v>
      </c>
      <c r="QD18" s="5">
        <v>4694</v>
      </c>
      <c r="QE18" s="5">
        <v>1163</v>
      </c>
      <c r="QF18" s="5">
        <v>8038</v>
      </c>
      <c r="QG18" s="12">
        <v>149689</v>
      </c>
      <c r="QH18" s="53">
        <v>126939</v>
      </c>
      <c r="QI18" s="53">
        <v>5953</v>
      </c>
      <c r="QJ18" s="53">
        <v>2698</v>
      </c>
      <c r="QK18" s="53">
        <v>16797</v>
      </c>
      <c r="QL18" s="12">
        <v>178085</v>
      </c>
      <c r="QM18" s="53">
        <v>147941</v>
      </c>
      <c r="QN18" s="53">
        <v>7921</v>
      </c>
      <c r="QO18" s="53">
        <v>4091</v>
      </c>
      <c r="QP18" s="53">
        <v>22223</v>
      </c>
      <c r="QQ18" s="12">
        <v>185614.8</v>
      </c>
      <c r="QR18" s="53">
        <v>153006.39999999999</v>
      </c>
      <c r="QS18" s="53">
        <v>8500.5640000000003</v>
      </c>
      <c r="QT18" s="53">
        <v>4401.9079999999994</v>
      </c>
      <c r="QU18" s="296">
        <v>24107.835999999996</v>
      </c>
      <c r="QV18" s="1">
        <v>192138</v>
      </c>
      <c r="QW18" s="2">
        <v>158381</v>
      </c>
      <c r="QX18" s="2">
        <v>8903</v>
      </c>
      <c r="QY18" s="2">
        <v>4136</v>
      </c>
      <c r="QZ18" s="69">
        <v>24854</v>
      </c>
      <c r="RA18" s="2">
        <v>195295</v>
      </c>
      <c r="RB18" s="2">
        <v>158555</v>
      </c>
      <c r="RC18" s="2">
        <v>9425</v>
      </c>
      <c r="RD18" s="2">
        <v>4391</v>
      </c>
      <c r="RE18" s="2">
        <v>24436</v>
      </c>
      <c r="RF18" s="2">
        <v>208239</v>
      </c>
      <c r="RG18" s="2">
        <v>163400</v>
      </c>
      <c r="RH18" s="2">
        <v>12442</v>
      </c>
      <c r="RI18" s="2">
        <v>6976</v>
      </c>
      <c r="RJ18" s="2">
        <v>26382</v>
      </c>
      <c r="RK18" s="2">
        <v>215743</v>
      </c>
      <c r="RL18" s="2">
        <v>170097</v>
      </c>
      <c r="RM18" s="2">
        <v>10577</v>
      </c>
      <c r="RN18" s="2">
        <v>5857</v>
      </c>
      <c r="RO18" s="2">
        <v>30346</v>
      </c>
    </row>
    <row r="19" spans="1:483" ht="14.25" x14ac:dyDescent="0.2">
      <c r="A19" s="216" t="s">
        <v>11</v>
      </c>
      <c r="B19" s="183">
        <f>66499+100967+49731+56733+110848+60424</f>
        <v>445202</v>
      </c>
      <c r="C19" s="53">
        <f>29153+64468+35166+23999+65037+40248</f>
        <v>258071</v>
      </c>
      <c r="D19" s="53">
        <f>36267+35124+13874+31643+43834+19145</f>
        <v>179887</v>
      </c>
      <c r="E19" s="53">
        <f>857+1000+475+667+1228+594</f>
        <v>4821</v>
      </c>
      <c r="F19" s="296">
        <f>187+207+141+35+147+54+164+266+203+227+472+214</f>
        <v>2317</v>
      </c>
      <c r="G19" s="5">
        <v>295167</v>
      </c>
      <c r="H19" s="53">
        <v>169253</v>
      </c>
      <c r="I19" s="53">
        <v>123006</v>
      </c>
      <c r="J19" s="53">
        <v>1787</v>
      </c>
      <c r="K19" s="296">
        <v>2908</v>
      </c>
      <c r="L19" s="5">
        <v>215776</v>
      </c>
      <c r="M19" s="53">
        <v>120006</v>
      </c>
      <c r="N19" s="53">
        <v>84690</v>
      </c>
      <c r="O19" s="53">
        <v>11605</v>
      </c>
      <c r="P19" s="296">
        <v>11080</v>
      </c>
      <c r="Q19" s="7">
        <v>175549</v>
      </c>
      <c r="R19" s="560">
        <v>101892</v>
      </c>
      <c r="S19" s="560">
        <v>58397</v>
      </c>
      <c r="T19" s="560">
        <v>28786</v>
      </c>
      <c r="U19" s="575">
        <v>15260</v>
      </c>
      <c r="V19" s="560">
        <v>169548</v>
      </c>
      <c r="W19" s="4">
        <v>96676</v>
      </c>
      <c r="X19" s="560">
        <v>53370</v>
      </c>
      <c r="Y19" s="560">
        <v>29422</v>
      </c>
      <c r="Z19" s="560">
        <v>19472</v>
      </c>
      <c r="AA19" s="560">
        <v>167089</v>
      </c>
      <c r="AB19" s="560">
        <v>80637</v>
      </c>
      <c r="AC19" s="560">
        <v>50340</v>
      </c>
      <c r="AD19" s="560">
        <v>30120</v>
      </c>
      <c r="AE19" s="675">
        <v>19716</v>
      </c>
      <c r="AF19" s="560">
        <v>147012</v>
      </c>
      <c r="AG19" s="560">
        <v>67026</v>
      </c>
      <c r="AH19" s="560">
        <v>44767</v>
      </c>
      <c r="AI19" s="560">
        <v>29750</v>
      </c>
      <c r="AJ19" s="560">
        <v>16262</v>
      </c>
      <c r="AK19" s="560">
        <v>148917</v>
      </c>
      <c r="AL19" s="560">
        <v>68386</v>
      </c>
      <c r="AM19" s="560">
        <v>44736</v>
      </c>
      <c r="AN19" s="560">
        <v>30049</v>
      </c>
      <c r="AO19" s="560">
        <v>16055</v>
      </c>
      <c r="AP19" s="183">
        <v>392093</v>
      </c>
      <c r="AQ19" s="53">
        <v>248219</v>
      </c>
      <c r="AR19" s="53">
        <v>140640</v>
      </c>
      <c r="AS19" s="53">
        <v>2291</v>
      </c>
      <c r="AT19" s="296">
        <v>3234</v>
      </c>
      <c r="AU19" s="5">
        <v>398503</v>
      </c>
      <c r="AV19" s="53">
        <v>233156</v>
      </c>
      <c r="AW19" s="53">
        <v>154354</v>
      </c>
      <c r="AX19" s="53">
        <v>8213</v>
      </c>
      <c r="AY19" s="296">
        <v>10993</v>
      </c>
      <c r="AZ19" s="5">
        <v>319871</v>
      </c>
      <c r="BA19" s="53">
        <v>182101</v>
      </c>
      <c r="BB19" s="53">
        <v>123025</v>
      </c>
      <c r="BC19" s="53">
        <v>18934</v>
      </c>
      <c r="BD19" s="296">
        <v>14745</v>
      </c>
      <c r="BE19" s="53">
        <v>319300</v>
      </c>
      <c r="BF19" s="53">
        <v>180245</v>
      </c>
      <c r="BG19" s="53">
        <v>123139</v>
      </c>
      <c r="BH19" s="53">
        <v>19209</v>
      </c>
      <c r="BI19" s="53">
        <v>15884</v>
      </c>
      <c r="BJ19" s="53">
        <v>310115</v>
      </c>
      <c r="BK19" s="53">
        <v>166947</v>
      </c>
      <c r="BL19" s="53">
        <v>117703</v>
      </c>
      <c r="BM19" s="53">
        <v>17818</v>
      </c>
      <c r="BN19" s="53">
        <v>14309</v>
      </c>
      <c r="BO19" s="53">
        <v>306843</v>
      </c>
      <c r="BP19" s="53">
        <v>161344</v>
      </c>
      <c r="BQ19" s="53">
        <v>116852</v>
      </c>
      <c r="BR19" s="53">
        <v>20895</v>
      </c>
      <c r="BS19" s="53">
        <v>16022</v>
      </c>
      <c r="BT19" s="53">
        <v>304737</v>
      </c>
      <c r="BU19" s="53">
        <v>156851</v>
      </c>
      <c r="BV19" s="53">
        <v>116118</v>
      </c>
      <c r="BW19" s="53">
        <v>24802</v>
      </c>
      <c r="BX19" s="53">
        <v>14254</v>
      </c>
      <c r="BY19" s="12">
        <v>495376</v>
      </c>
      <c r="BZ19" s="53">
        <v>279971</v>
      </c>
      <c r="CA19" s="53">
        <v>179204</v>
      </c>
      <c r="CB19" s="53">
        <v>49837</v>
      </c>
      <c r="CC19" s="546">
        <f t="shared" si="368"/>
        <v>36201</v>
      </c>
      <c r="CD19" s="327">
        <v>152716</v>
      </c>
      <c r="CE19" s="328">
        <v>187035</v>
      </c>
      <c r="CF19" s="328">
        <v>344939</v>
      </c>
      <c r="CG19" s="328">
        <v>485281</v>
      </c>
      <c r="CH19" s="12">
        <v>930728</v>
      </c>
      <c r="CI19" s="53">
        <v>742876.25</v>
      </c>
      <c r="CJ19" s="53">
        <v>174100.68</v>
      </c>
      <c r="CK19" s="53">
        <v>6907.9840000000004</v>
      </c>
      <c r="CL19" s="296">
        <v>6067.7359999999999</v>
      </c>
      <c r="CM19" s="5">
        <v>1480330</v>
      </c>
      <c r="CN19" s="53">
        <v>1163826</v>
      </c>
      <c r="CO19" s="53">
        <v>300723</v>
      </c>
      <c r="CP19" s="53">
        <v>10407</v>
      </c>
      <c r="CQ19" s="296">
        <v>15781</v>
      </c>
      <c r="CR19" s="5">
        <v>1981731</v>
      </c>
      <c r="CS19" s="53">
        <v>1491508</v>
      </c>
      <c r="CT19" s="53">
        <v>442322</v>
      </c>
      <c r="CU19" s="53">
        <v>25659</v>
      </c>
      <c r="CV19" s="53">
        <v>47901</v>
      </c>
      <c r="CW19" s="329">
        <v>2320330</v>
      </c>
      <c r="CX19" s="53">
        <v>1709215</v>
      </c>
      <c r="CY19" s="53">
        <v>542788</v>
      </c>
      <c r="CZ19" s="53">
        <v>68327</v>
      </c>
      <c r="DA19" s="53">
        <v>48103</v>
      </c>
      <c r="DB19" s="183">
        <v>2389182</v>
      </c>
      <c r="DC19" s="53">
        <v>1758696</v>
      </c>
      <c r="DD19" s="53">
        <v>559978</v>
      </c>
      <c r="DE19" s="53">
        <v>70508</v>
      </c>
      <c r="DF19" s="53">
        <v>51048</v>
      </c>
      <c r="DG19" s="56">
        <v>2465386</v>
      </c>
      <c r="DH19" s="54">
        <v>1810907</v>
      </c>
      <c r="DI19" s="54">
        <v>580237</v>
      </c>
      <c r="DJ19" s="54">
        <v>74242</v>
      </c>
      <c r="DK19" s="54">
        <v>55289</v>
      </c>
      <c r="DL19" s="12">
        <v>2539633</v>
      </c>
      <c r="DM19" s="53">
        <v>1860152</v>
      </c>
      <c r="DN19" s="53">
        <v>599111</v>
      </c>
      <c r="DO19" s="53">
        <v>67342</v>
      </c>
      <c r="DP19" s="53">
        <v>58069</v>
      </c>
      <c r="DQ19" s="12">
        <v>2581493.0910000005</v>
      </c>
      <c r="DR19" s="53">
        <v>1888176.66</v>
      </c>
      <c r="DS19" s="53">
        <v>609452.31199999992</v>
      </c>
      <c r="DT19" s="53">
        <v>70712.62</v>
      </c>
      <c r="DU19" s="581">
        <f t="shared" si="369"/>
        <v>83864.119000000646</v>
      </c>
      <c r="DV19" s="53">
        <v>2626960</v>
      </c>
      <c r="DW19" s="53">
        <v>1917149</v>
      </c>
      <c r="DX19" s="53">
        <v>621857</v>
      </c>
      <c r="DY19" s="53">
        <v>76555</v>
      </c>
      <c r="DZ19" s="53">
        <v>87236</v>
      </c>
      <c r="EA19" s="53">
        <v>2679548</v>
      </c>
      <c r="EB19" s="53">
        <v>1897367</v>
      </c>
      <c r="EC19" s="53">
        <v>638226</v>
      </c>
      <c r="ED19" s="53">
        <v>80893</v>
      </c>
      <c r="EE19" s="53">
        <v>89788</v>
      </c>
      <c r="EF19" s="53">
        <v>2865977</v>
      </c>
      <c r="EG19" s="53">
        <v>2019273</v>
      </c>
      <c r="EH19" s="53">
        <v>688285</v>
      </c>
      <c r="EI19" s="53">
        <v>86133</v>
      </c>
      <c r="EJ19" s="53">
        <v>99144</v>
      </c>
      <c r="EK19" s="53">
        <v>2934822</v>
      </c>
      <c r="EL19" s="53">
        <v>2067236</v>
      </c>
      <c r="EM19" s="53">
        <v>699395</v>
      </c>
      <c r="EN19" s="53">
        <v>85572</v>
      </c>
      <c r="EO19" s="53">
        <v>109290</v>
      </c>
      <c r="EP19" s="12">
        <f>110869+118434</f>
        <v>229303</v>
      </c>
      <c r="EQ19" s="53">
        <f>97977+91751</f>
        <v>189728</v>
      </c>
      <c r="ER19" s="53">
        <f>17227+18715</f>
        <v>35942</v>
      </c>
      <c r="ES19" s="53">
        <f>918+994</f>
        <v>1912</v>
      </c>
      <c r="ET19" s="296">
        <f>238+561+162+598</f>
        <v>1559</v>
      </c>
      <c r="EU19" s="5">
        <v>480139</v>
      </c>
      <c r="EV19" s="53">
        <v>382313</v>
      </c>
      <c r="EW19" s="53">
        <v>92917</v>
      </c>
      <c r="EX19" s="53">
        <v>4077</v>
      </c>
      <c r="EY19" s="296">
        <v>4909</v>
      </c>
      <c r="EZ19" s="5">
        <v>673622</v>
      </c>
      <c r="FA19" s="53">
        <v>507556</v>
      </c>
      <c r="FB19" s="53">
        <v>149594</v>
      </c>
      <c r="FC19" s="53">
        <v>9172</v>
      </c>
      <c r="FD19" s="296">
        <v>16472</v>
      </c>
      <c r="FE19" s="5">
        <v>879445</v>
      </c>
      <c r="FF19" s="53">
        <v>642332</v>
      </c>
      <c r="FG19" s="53">
        <v>210626</v>
      </c>
      <c r="FH19" s="53">
        <v>22134</v>
      </c>
      <c r="FI19" s="296">
        <v>26487</v>
      </c>
      <c r="FJ19" s="5">
        <v>895368.87900000007</v>
      </c>
      <c r="FK19" s="53">
        <v>653265.71799999999</v>
      </c>
      <c r="FL19" s="53">
        <v>215518.758</v>
      </c>
      <c r="FM19" s="53">
        <v>23168.639999999999</v>
      </c>
      <c r="FN19" s="296">
        <v>26584.403000000078</v>
      </c>
      <c r="FO19" s="53">
        <v>917196</v>
      </c>
      <c r="FP19" s="53">
        <v>664961</v>
      </c>
      <c r="FQ19" s="53">
        <v>223124</v>
      </c>
      <c r="FR19" s="53">
        <v>24702</v>
      </c>
      <c r="FS19" s="618">
        <v>28770</v>
      </c>
      <c r="FT19" s="618">
        <v>943051</v>
      </c>
      <c r="FU19" s="618">
        <v>659979</v>
      </c>
      <c r="FV19" s="618">
        <v>234981</v>
      </c>
      <c r="FW19" s="618">
        <v>27338</v>
      </c>
      <c r="FX19" s="618">
        <v>29844</v>
      </c>
      <c r="FY19" s="618">
        <v>998637</v>
      </c>
      <c r="FZ19" s="618">
        <v>688956</v>
      </c>
      <c r="GA19" s="618">
        <v>256869</v>
      </c>
      <c r="GB19" s="618">
        <v>30390</v>
      </c>
      <c r="GC19" s="618">
        <v>31474</v>
      </c>
      <c r="GD19" s="618">
        <v>1030647</v>
      </c>
      <c r="GE19" s="618">
        <v>715015</v>
      </c>
      <c r="GF19" s="618">
        <v>256834</v>
      </c>
      <c r="GG19" s="618">
        <v>31646</v>
      </c>
      <c r="GH19" s="618">
        <v>36838</v>
      </c>
      <c r="GI19" s="12">
        <v>137174</v>
      </c>
      <c r="GJ19" s="53">
        <v>109754</v>
      </c>
      <c r="GK19" s="53">
        <v>25822</v>
      </c>
      <c r="GL19" s="53">
        <v>1190</v>
      </c>
      <c r="GM19" s="296">
        <v>1598</v>
      </c>
      <c r="GN19" s="5">
        <v>173428</v>
      </c>
      <c r="GO19" s="53">
        <v>133597</v>
      </c>
      <c r="GP19" s="53">
        <v>35320</v>
      </c>
      <c r="GQ19" s="53">
        <v>2341</v>
      </c>
      <c r="GR19" s="296">
        <v>4511</v>
      </c>
      <c r="GS19" s="183">
        <v>258202</v>
      </c>
      <c r="GT19" s="53">
        <v>193157</v>
      </c>
      <c r="GU19" s="53">
        <v>57576</v>
      </c>
      <c r="GV19" s="53">
        <v>5501</v>
      </c>
      <c r="GW19" s="53">
        <v>7469</v>
      </c>
      <c r="GX19" s="183"/>
      <c r="GY19" s="53"/>
      <c r="GZ19" s="53"/>
      <c r="HA19" s="53"/>
      <c r="HB19" s="296"/>
      <c r="HC19" s="53">
        <v>268426</v>
      </c>
      <c r="HD19" s="53">
        <v>201030</v>
      </c>
      <c r="HE19" s="53">
        <v>59274</v>
      </c>
      <c r="HF19" s="53">
        <v>6386</v>
      </c>
      <c r="HG19" s="53">
        <v>8064</v>
      </c>
      <c r="HH19" s="53">
        <v>277889</v>
      </c>
      <c r="HI19" s="53">
        <v>201499</v>
      </c>
      <c r="HJ19" s="53">
        <v>63236</v>
      </c>
      <c r="HK19" s="53">
        <v>7067</v>
      </c>
      <c r="HL19" s="53">
        <v>8453</v>
      </c>
      <c r="HM19" s="53">
        <v>312720</v>
      </c>
      <c r="HN19" s="53">
        <v>221505</v>
      </c>
      <c r="HO19" s="53">
        <v>75177</v>
      </c>
      <c r="HP19" s="53">
        <v>9437</v>
      </c>
      <c r="HQ19" s="53">
        <v>9595</v>
      </c>
      <c r="HR19" s="53">
        <v>317549</v>
      </c>
      <c r="HS19" s="53">
        <v>228998</v>
      </c>
      <c r="HT19" s="53">
        <v>72284</v>
      </c>
      <c r="HU19" s="53">
        <v>9089</v>
      </c>
      <c r="HV19" s="53">
        <v>10793</v>
      </c>
      <c r="HW19" s="569">
        <f t="shared" si="370"/>
        <v>498007</v>
      </c>
      <c r="HX19" s="546">
        <f t="shared" si="371"/>
        <v>422174</v>
      </c>
      <c r="HY19" s="546">
        <f t="shared" si="372"/>
        <v>68774</v>
      </c>
      <c r="HZ19" s="546">
        <f t="shared" si="373"/>
        <v>4053</v>
      </c>
      <c r="IA19" s="546">
        <f t="shared" si="374"/>
        <v>7059</v>
      </c>
      <c r="IB19" s="569">
        <f t="shared" si="375"/>
        <v>703483</v>
      </c>
      <c r="IC19" s="546">
        <f t="shared" si="376"/>
        <v>580602</v>
      </c>
      <c r="ID19" s="546">
        <f t="shared" si="377"/>
        <v>102539</v>
      </c>
      <c r="IE19" s="546">
        <f t="shared" si="378"/>
        <v>8752</v>
      </c>
      <c r="IF19" s="546">
        <f t="shared" si="379"/>
        <v>20342</v>
      </c>
      <c r="IG19" s="183">
        <v>854107</v>
      </c>
      <c r="IH19" s="53">
        <v>687946</v>
      </c>
      <c r="II19" s="53">
        <v>135912</v>
      </c>
      <c r="IJ19" s="53">
        <v>16687</v>
      </c>
      <c r="IK19" s="53">
        <v>30249</v>
      </c>
      <c r="IL19" s="559"/>
      <c r="IM19" s="560"/>
      <c r="IN19" s="560"/>
      <c r="IO19" s="560"/>
      <c r="IP19" s="560"/>
      <c r="IQ19" s="560">
        <v>1034162</v>
      </c>
      <c r="IR19" s="560">
        <v>826918</v>
      </c>
      <c r="IS19" s="560">
        <v>169332</v>
      </c>
      <c r="IT19" s="560">
        <v>24180</v>
      </c>
      <c r="IU19" s="575">
        <v>37755</v>
      </c>
      <c r="IV19" s="560">
        <v>1067807</v>
      </c>
      <c r="IW19" s="560">
        <v>832424</v>
      </c>
      <c r="IX19" s="560">
        <v>178818</v>
      </c>
      <c r="IY19" s="560">
        <v>25563</v>
      </c>
      <c r="IZ19" s="560">
        <v>37877</v>
      </c>
      <c r="JA19" s="559">
        <v>1202961</v>
      </c>
      <c r="JB19" s="560">
        <v>933792</v>
      </c>
      <c r="JC19" s="560">
        <v>200906</v>
      </c>
      <c r="JD19" s="560">
        <v>30168</v>
      </c>
      <c r="JE19" s="560">
        <v>47364</v>
      </c>
      <c r="JF19" s="559">
        <v>1240055</v>
      </c>
      <c r="JG19" s="560">
        <v>963378</v>
      </c>
      <c r="JH19" s="560">
        <v>207273</v>
      </c>
      <c r="JI19" s="560">
        <v>29070</v>
      </c>
      <c r="JJ19" s="560">
        <v>49404</v>
      </c>
      <c r="JK19" s="12">
        <v>243161</v>
      </c>
      <c r="JL19" s="5">
        <v>210311</v>
      </c>
      <c r="JM19" s="5">
        <v>29704</v>
      </c>
      <c r="JN19" s="5">
        <v>1882</v>
      </c>
      <c r="JO19" s="5">
        <v>3146</v>
      </c>
      <c r="JP19" s="12">
        <v>351526</v>
      </c>
      <c r="JQ19" s="53">
        <v>296500</v>
      </c>
      <c r="JR19" s="53">
        <v>45894</v>
      </c>
      <c r="JS19" s="53">
        <v>4057</v>
      </c>
      <c r="JT19" s="53">
        <v>9132</v>
      </c>
      <c r="JU19" s="183">
        <v>473862</v>
      </c>
      <c r="JV19" s="53">
        <v>389863</v>
      </c>
      <c r="JW19" s="53">
        <v>68018</v>
      </c>
      <c r="JX19" s="53">
        <v>9032</v>
      </c>
      <c r="JY19" s="53">
        <v>15981</v>
      </c>
      <c r="JZ19" s="183">
        <v>483068.43300000002</v>
      </c>
      <c r="KA19" s="53">
        <v>397168.19400000002</v>
      </c>
      <c r="KB19" s="53">
        <v>70260.694000000003</v>
      </c>
      <c r="KC19" s="53">
        <v>9653.6</v>
      </c>
      <c r="KD19" s="53">
        <v>15639.544999999998</v>
      </c>
      <c r="KE19" s="53">
        <v>506277</v>
      </c>
      <c r="KF19" s="53">
        <v>405517</v>
      </c>
      <c r="KG19" s="53">
        <v>73397</v>
      </c>
      <c r="KH19" s="53">
        <v>13090</v>
      </c>
      <c r="KI19" s="53">
        <v>17577</v>
      </c>
      <c r="KJ19" s="53">
        <v>575843</v>
      </c>
      <c r="KK19" s="53">
        <v>465608</v>
      </c>
      <c r="KL19" s="53">
        <v>78216</v>
      </c>
      <c r="KM19" s="53">
        <v>13459</v>
      </c>
      <c r="KN19" s="53">
        <v>22951</v>
      </c>
      <c r="KO19" s="53">
        <v>591086</v>
      </c>
      <c r="KP19" s="53">
        <v>471416</v>
      </c>
      <c r="KQ19" s="53">
        <v>84749</v>
      </c>
      <c r="KR19" s="53">
        <v>12799</v>
      </c>
      <c r="KS19" s="53">
        <v>26447</v>
      </c>
      <c r="KT19" s="330">
        <v>39399</v>
      </c>
      <c r="KU19" s="331">
        <v>54220</v>
      </c>
      <c r="KV19" s="316">
        <v>78244</v>
      </c>
      <c r="KW19" s="332">
        <f t="shared" si="327"/>
        <v>39628</v>
      </c>
      <c r="KX19" s="332">
        <f t="shared" si="328"/>
        <v>38616</v>
      </c>
      <c r="KY19" s="332">
        <f t="shared" si="329"/>
        <v>68113</v>
      </c>
      <c r="KZ19" s="318">
        <v>36314</v>
      </c>
      <c r="LA19" s="318">
        <v>31799</v>
      </c>
      <c r="LB19" s="332">
        <f t="shared" si="330"/>
        <v>10131</v>
      </c>
      <c r="LC19" s="318">
        <v>3314</v>
      </c>
      <c r="LD19" s="318">
        <v>6817</v>
      </c>
      <c r="LE19" s="316">
        <v>115527</v>
      </c>
      <c r="LF19" s="332">
        <f t="shared" si="331"/>
        <v>61393</v>
      </c>
      <c r="LG19" s="332">
        <f t="shared" si="332"/>
        <v>54134</v>
      </c>
      <c r="LH19" s="332">
        <f t="shared" si="333"/>
        <v>101840</v>
      </c>
      <c r="LI19" s="318">
        <v>56625</v>
      </c>
      <c r="LJ19" s="318">
        <v>45215</v>
      </c>
      <c r="LK19" s="332">
        <f t="shared" si="334"/>
        <v>12907</v>
      </c>
      <c r="LL19" s="318">
        <v>4280</v>
      </c>
      <c r="LM19" s="318">
        <v>8627</v>
      </c>
      <c r="LN19" s="332">
        <f t="shared" si="335"/>
        <v>780</v>
      </c>
      <c r="LO19" s="318">
        <v>488</v>
      </c>
      <c r="LP19" s="318">
        <v>292</v>
      </c>
      <c r="LQ19" s="316">
        <v>232629</v>
      </c>
      <c r="LR19" s="332">
        <f t="shared" si="336"/>
        <v>127330</v>
      </c>
      <c r="LS19" s="332">
        <f t="shared" si="337"/>
        <v>105299</v>
      </c>
      <c r="LT19" s="53">
        <f>114387+86260</f>
        <v>200647</v>
      </c>
      <c r="LU19" s="318">
        <v>114387</v>
      </c>
      <c r="LV19" s="318">
        <v>86260</v>
      </c>
      <c r="LW19" s="318">
        <v>12943</v>
      </c>
      <c r="LX19" s="318">
        <v>19039</v>
      </c>
      <c r="LY19" s="53">
        <f>11086+17562</f>
        <v>28648</v>
      </c>
      <c r="LZ19" s="318">
        <v>11086</v>
      </c>
      <c r="MA19" s="318">
        <v>17562</v>
      </c>
      <c r="MB19" s="53">
        <f>679+548</f>
        <v>1227</v>
      </c>
      <c r="MC19" s="318">
        <v>679</v>
      </c>
      <c r="MD19" s="318">
        <v>548</v>
      </c>
      <c r="ME19" s="333">
        <f t="shared" si="338"/>
        <v>2107</v>
      </c>
      <c r="MF19" s="333">
        <f t="shared" si="339"/>
        <v>1178</v>
      </c>
      <c r="MG19" s="333">
        <f t="shared" si="340"/>
        <v>929</v>
      </c>
      <c r="MH19" s="334">
        <f t="shared" si="341"/>
        <v>201</v>
      </c>
      <c r="MI19" s="334">
        <f t="shared" si="342"/>
        <v>147</v>
      </c>
      <c r="MJ19" s="334">
        <f t="shared" si="343"/>
        <v>54</v>
      </c>
      <c r="MK19" s="318">
        <v>1906</v>
      </c>
      <c r="ML19" s="318">
        <v>1031</v>
      </c>
      <c r="MM19" s="318">
        <v>875</v>
      </c>
      <c r="MN19" s="14">
        <f t="shared" si="344"/>
        <v>360833</v>
      </c>
      <c r="MO19" s="332">
        <f t="shared" si="345"/>
        <v>189936</v>
      </c>
      <c r="MP19" s="332">
        <f t="shared" si="346"/>
        <v>170897</v>
      </c>
      <c r="MQ19" s="13">
        <f t="shared" si="347"/>
        <v>312420</v>
      </c>
      <c r="MR19" s="136">
        <f t="shared" si="348"/>
        <v>310420</v>
      </c>
      <c r="MS19" s="318">
        <v>170618</v>
      </c>
      <c r="MT19" s="318">
        <v>139802</v>
      </c>
      <c r="MU19" s="318">
        <v>19318</v>
      </c>
      <c r="MV19" s="318">
        <v>31095</v>
      </c>
      <c r="MW19" s="13">
        <f t="shared" si="349"/>
        <v>42952</v>
      </c>
      <c r="MX19" s="136">
        <f t="shared" si="350"/>
        <v>42783</v>
      </c>
      <c r="MY19" s="318">
        <v>15315</v>
      </c>
      <c r="MZ19" s="318">
        <v>27468</v>
      </c>
      <c r="NA19" s="13">
        <f t="shared" si="351"/>
        <v>2863</v>
      </c>
      <c r="NB19" s="318">
        <v>1422</v>
      </c>
      <c r="NC19" s="318">
        <v>1441</v>
      </c>
      <c r="ND19" s="11">
        <f t="shared" si="352"/>
        <v>5461</v>
      </c>
      <c r="NE19" s="335">
        <f t="shared" si="353"/>
        <v>2581</v>
      </c>
      <c r="NF19" s="335">
        <f t="shared" si="354"/>
        <v>2186</v>
      </c>
      <c r="NG19" s="336">
        <f t="shared" si="355"/>
        <v>58</v>
      </c>
      <c r="NH19" s="336">
        <f t="shared" si="356"/>
        <v>36</v>
      </c>
      <c r="NI19" s="336">
        <f t="shared" si="357"/>
        <v>22</v>
      </c>
      <c r="NJ19" s="337">
        <f t="shared" si="358"/>
        <v>4709</v>
      </c>
      <c r="NK19" s="337">
        <f t="shared" si="359"/>
        <v>2545</v>
      </c>
      <c r="NL19" s="337">
        <f t="shared" si="360"/>
        <v>2164</v>
      </c>
      <c r="NM19" s="318">
        <v>374</v>
      </c>
      <c r="NN19" s="318">
        <v>221</v>
      </c>
      <c r="NO19" s="318">
        <v>2171</v>
      </c>
      <c r="NP19" s="318">
        <v>1943</v>
      </c>
      <c r="NQ19" s="338">
        <v>530055</v>
      </c>
      <c r="NR19" s="318">
        <v>263846</v>
      </c>
      <c r="NS19" s="318">
        <v>266209</v>
      </c>
      <c r="NT19" s="7">
        <f t="shared" si="361"/>
        <v>447005</v>
      </c>
      <c r="NU19" s="7">
        <v>231443</v>
      </c>
      <c r="NV19" s="7">
        <v>215562</v>
      </c>
      <c r="NW19" s="125">
        <f t="shared" si="362"/>
        <v>443003</v>
      </c>
      <c r="NX19" s="318">
        <v>229256</v>
      </c>
      <c r="NY19" s="318">
        <v>213747</v>
      </c>
      <c r="NZ19" s="7">
        <f t="shared" si="363"/>
        <v>67219</v>
      </c>
      <c r="OA19" s="318">
        <v>23922</v>
      </c>
      <c r="OB19" s="318">
        <v>43297</v>
      </c>
      <c r="OC19" s="7">
        <f t="shared" si="364"/>
        <v>6411</v>
      </c>
      <c r="OD19" s="318">
        <v>3389</v>
      </c>
      <c r="OE19" s="318">
        <v>3022</v>
      </c>
      <c r="OF19" s="125">
        <f t="shared" si="365"/>
        <v>15831</v>
      </c>
      <c r="OG19" s="125">
        <f t="shared" si="366"/>
        <v>8481</v>
      </c>
      <c r="OH19" s="125">
        <f t="shared" si="367"/>
        <v>7350</v>
      </c>
      <c r="OI19" s="326">
        <v>651175</v>
      </c>
      <c r="OJ19" s="318">
        <v>541223</v>
      </c>
      <c r="OK19" s="318">
        <v>86848</v>
      </c>
      <c r="OL19" s="318">
        <v>23104</v>
      </c>
      <c r="OM19" s="7">
        <v>9803</v>
      </c>
      <c r="ON19" s="183">
        <v>675376</v>
      </c>
      <c r="OO19" s="53">
        <v>560188</v>
      </c>
      <c r="OP19" s="53">
        <v>90836</v>
      </c>
      <c r="OQ19" s="53">
        <v>24352</v>
      </c>
      <c r="OR19" s="53">
        <v>10375</v>
      </c>
      <c r="OS19" s="183">
        <v>709053</v>
      </c>
      <c r="OT19" s="53">
        <v>583698</v>
      </c>
      <c r="OU19" s="53">
        <v>98961</v>
      </c>
      <c r="OV19" s="53">
        <v>26394</v>
      </c>
      <c r="OW19" s="53">
        <v>11719</v>
      </c>
      <c r="OX19" s="183">
        <v>734469</v>
      </c>
      <c r="OY19" s="53">
        <v>602233</v>
      </c>
      <c r="OZ19" s="53">
        <v>103918</v>
      </c>
      <c r="PA19" s="53">
        <v>28318</v>
      </c>
      <c r="PB19" s="53">
        <v>13644</v>
      </c>
      <c r="PC19" s="12">
        <v>747679.16700000002</v>
      </c>
      <c r="PD19" s="53">
        <v>612029.67599999998</v>
      </c>
      <c r="PE19" s="53">
        <v>106575.20999999999</v>
      </c>
      <c r="PF19" s="53">
        <v>14963.080000000002</v>
      </c>
      <c r="PG19" s="53">
        <v>29074.281000000046</v>
      </c>
      <c r="PH19" s="53">
        <v>765736</v>
      </c>
      <c r="PI19" s="53">
        <v>625888</v>
      </c>
      <c r="PJ19" s="53">
        <v>110058</v>
      </c>
      <c r="PK19" s="53">
        <v>17794</v>
      </c>
      <c r="PL19" s="2">
        <v>29691</v>
      </c>
      <c r="PM19" s="2">
        <v>789918</v>
      </c>
      <c r="PN19" s="2">
        <v>630925</v>
      </c>
      <c r="PO19" s="2">
        <v>115582</v>
      </c>
      <c r="PP19" s="2">
        <v>18496</v>
      </c>
      <c r="PQ19" s="2">
        <v>29424</v>
      </c>
      <c r="PR19" s="2">
        <v>890241</v>
      </c>
      <c r="PS19" s="2">
        <v>712287</v>
      </c>
      <c r="PT19" s="2">
        <v>125729</v>
      </c>
      <c r="PU19" s="2">
        <v>20731</v>
      </c>
      <c r="PV19" s="2">
        <v>37769</v>
      </c>
      <c r="PW19" s="2">
        <v>922506</v>
      </c>
      <c r="PX19" s="2">
        <v>734380</v>
      </c>
      <c r="PY19" s="2">
        <v>134989</v>
      </c>
      <c r="PZ19" s="2">
        <v>19981</v>
      </c>
      <c r="QA19" s="2">
        <v>38611</v>
      </c>
      <c r="QB19" s="12">
        <v>117672</v>
      </c>
      <c r="QC19" s="5">
        <v>102109</v>
      </c>
      <c r="QD19" s="5">
        <v>13248</v>
      </c>
      <c r="QE19" s="5">
        <v>981</v>
      </c>
      <c r="QF19" s="5">
        <v>2315</v>
      </c>
      <c r="QG19" s="12">
        <v>178529</v>
      </c>
      <c r="QH19" s="53">
        <v>150505</v>
      </c>
      <c r="QI19" s="53">
        <v>21325</v>
      </c>
      <c r="QJ19" s="53">
        <v>2354</v>
      </c>
      <c r="QK19" s="53">
        <v>6699</v>
      </c>
      <c r="QL19" s="12">
        <v>260607</v>
      </c>
      <c r="QM19" s="53">
        <v>212370</v>
      </c>
      <c r="QN19" s="53">
        <v>35900</v>
      </c>
      <c r="QO19" s="53">
        <v>4612</v>
      </c>
      <c r="QP19" s="53">
        <v>12337</v>
      </c>
      <c r="QQ19" s="12">
        <v>264610.734</v>
      </c>
      <c r="QR19" s="53">
        <v>214861.48200000002</v>
      </c>
      <c r="QS19" s="53">
        <v>36314.515999999996</v>
      </c>
      <c r="QT19" s="53">
        <v>5309.4800000000005</v>
      </c>
      <c r="QU19" s="296">
        <v>13434.735999999983</v>
      </c>
      <c r="QV19" s="1">
        <v>272877</v>
      </c>
      <c r="QW19" s="2">
        <v>222561</v>
      </c>
      <c r="QX19" s="2">
        <v>38067</v>
      </c>
      <c r="QY19" s="2">
        <v>5416</v>
      </c>
      <c r="QZ19" s="69">
        <v>12159</v>
      </c>
      <c r="RA19" s="2">
        <v>283641</v>
      </c>
      <c r="RB19" s="2">
        <v>225408</v>
      </c>
      <c r="RC19" s="2">
        <v>42185</v>
      </c>
      <c r="RD19" s="2">
        <v>5406</v>
      </c>
      <c r="RE19" s="2">
        <v>11847</v>
      </c>
      <c r="RF19" s="2">
        <v>314398</v>
      </c>
      <c r="RG19" s="2">
        <v>246679</v>
      </c>
      <c r="RH19" s="2">
        <v>47513</v>
      </c>
      <c r="RI19" s="2">
        <v>7272</v>
      </c>
      <c r="RJ19" s="2">
        <v>14818</v>
      </c>
      <c r="RK19" s="2">
        <v>331420</v>
      </c>
      <c r="RL19" s="2">
        <v>262964</v>
      </c>
      <c r="RM19" s="2">
        <v>50240</v>
      </c>
      <c r="RN19" s="2">
        <v>7182</v>
      </c>
      <c r="RO19" s="2">
        <v>12164</v>
      </c>
    </row>
    <row r="20" spans="1:483" ht="14.25" x14ac:dyDescent="0.2">
      <c r="A20" s="216" t="s">
        <v>12</v>
      </c>
      <c r="B20" s="183">
        <f>92688+130233+138554+70113+142024+171471</f>
        <v>745083</v>
      </c>
      <c r="C20" s="53">
        <f>70990+107825+122996+52266+113696+148385</f>
        <v>616158</v>
      </c>
      <c r="D20" s="53">
        <f>20407+21149+14213+16451+26560+21150</f>
        <v>119930</v>
      </c>
      <c r="E20" s="53">
        <f>966+932+1081+772+1250+1293</f>
        <v>6294</v>
      </c>
      <c r="F20" s="296">
        <f>189+177+141+116+137+99+167+203+233+375+260+337</f>
        <v>2434</v>
      </c>
      <c r="G20" s="5">
        <v>500929</v>
      </c>
      <c r="H20" s="53">
        <v>425527</v>
      </c>
      <c r="I20" s="53">
        <v>71529</v>
      </c>
      <c r="J20" s="53">
        <v>2086</v>
      </c>
      <c r="K20" s="296">
        <v>3873</v>
      </c>
      <c r="L20" s="5">
        <v>359789</v>
      </c>
      <c r="M20" s="53">
        <v>296675</v>
      </c>
      <c r="N20" s="53">
        <v>46394</v>
      </c>
      <c r="O20" s="53">
        <v>15842</v>
      </c>
      <c r="P20" s="296">
        <v>16720</v>
      </c>
      <c r="Q20" s="7">
        <v>272076</v>
      </c>
      <c r="R20" s="560">
        <v>219652</v>
      </c>
      <c r="S20" s="560">
        <v>31654</v>
      </c>
      <c r="T20" s="560">
        <v>34444</v>
      </c>
      <c r="U20" s="575">
        <v>20770</v>
      </c>
      <c r="V20" s="560">
        <v>260560</v>
      </c>
      <c r="W20" s="4">
        <v>204186</v>
      </c>
      <c r="X20" s="560">
        <v>32160</v>
      </c>
      <c r="Y20" s="560">
        <v>34075</v>
      </c>
      <c r="Z20" s="560">
        <v>24143</v>
      </c>
      <c r="AA20" s="560">
        <v>253953</v>
      </c>
      <c r="AB20" s="560">
        <v>176738</v>
      </c>
      <c r="AC20" s="560">
        <v>30230</v>
      </c>
      <c r="AD20" s="560">
        <v>37921</v>
      </c>
      <c r="AE20" s="675">
        <v>26859</v>
      </c>
      <c r="AF20" s="560">
        <v>237285</v>
      </c>
      <c r="AG20" s="560">
        <v>155682</v>
      </c>
      <c r="AH20" s="560">
        <v>27088</v>
      </c>
      <c r="AI20" s="560">
        <v>44074</v>
      </c>
      <c r="AJ20" s="560">
        <v>26621</v>
      </c>
      <c r="AK20" s="560">
        <v>216289</v>
      </c>
      <c r="AL20" s="560">
        <v>142973</v>
      </c>
      <c r="AM20" s="560">
        <v>29093</v>
      </c>
      <c r="AN20" s="560">
        <v>37605</v>
      </c>
      <c r="AO20" s="560">
        <v>19784</v>
      </c>
      <c r="AP20" s="183">
        <v>532985</v>
      </c>
      <c r="AQ20" s="53">
        <v>425380</v>
      </c>
      <c r="AR20" s="53">
        <v>103745</v>
      </c>
      <c r="AS20" s="53">
        <v>2449</v>
      </c>
      <c r="AT20" s="296">
        <v>3860</v>
      </c>
      <c r="AU20" s="5">
        <v>541895</v>
      </c>
      <c r="AV20" s="53">
        <v>419278</v>
      </c>
      <c r="AW20" s="53">
        <v>107540</v>
      </c>
      <c r="AX20" s="53">
        <v>10764</v>
      </c>
      <c r="AY20" s="296">
        <v>15077</v>
      </c>
      <c r="AZ20" s="5">
        <v>434549</v>
      </c>
      <c r="BA20" s="53">
        <v>326638</v>
      </c>
      <c r="BB20" s="53">
        <v>89588</v>
      </c>
      <c r="BC20" s="53">
        <v>22633</v>
      </c>
      <c r="BD20" s="296">
        <v>18323</v>
      </c>
      <c r="BE20" s="53">
        <v>410812</v>
      </c>
      <c r="BF20" s="53">
        <v>308294</v>
      </c>
      <c r="BG20" s="53">
        <v>83264</v>
      </c>
      <c r="BH20" s="53">
        <v>23937</v>
      </c>
      <c r="BI20" s="53">
        <v>19180</v>
      </c>
      <c r="BJ20" s="53">
        <v>396682</v>
      </c>
      <c r="BK20" s="53">
        <v>279749</v>
      </c>
      <c r="BL20" s="53">
        <v>84191</v>
      </c>
      <c r="BM20" s="53">
        <v>23531</v>
      </c>
      <c r="BN20" s="53">
        <v>19015</v>
      </c>
      <c r="BO20" s="53">
        <v>386520</v>
      </c>
      <c r="BP20" s="53">
        <v>272101</v>
      </c>
      <c r="BQ20" s="53">
        <v>82843</v>
      </c>
      <c r="BR20" s="53">
        <v>22927</v>
      </c>
      <c r="BS20" s="53">
        <v>15648</v>
      </c>
      <c r="BT20" s="53">
        <v>374024</v>
      </c>
      <c r="BU20" s="53">
        <v>262597</v>
      </c>
      <c r="BV20" s="53">
        <v>76440</v>
      </c>
      <c r="BW20" s="53">
        <v>23844</v>
      </c>
      <c r="BX20" s="53">
        <v>16653</v>
      </c>
      <c r="BY20" s="12">
        <v>693245</v>
      </c>
      <c r="BZ20" s="53">
        <v>532862</v>
      </c>
      <c r="CA20" s="53">
        <v>120495</v>
      </c>
      <c r="CB20" s="53">
        <v>57173</v>
      </c>
      <c r="CC20" s="546">
        <f t="shared" si="368"/>
        <v>39888</v>
      </c>
      <c r="CD20" s="327">
        <v>268253</v>
      </c>
      <c r="CE20" s="328">
        <v>426225</v>
      </c>
      <c r="CF20" s="328">
        <v>580953</v>
      </c>
      <c r="CG20" s="328">
        <v>888432</v>
      </c>
      <c r="CH20" s="12">
        <v>1511917</v>
      </c>
      <c r="CI20" s="53">
        <v>1335174.5789999999</v>
      </c>
      <c r="CJ20" s="53">
        <v>159721.872</v>
      </c>
      <c r="CK20" s="53">
        <v>7601.2840000000006</v>
      </c>
      <c r="CL20" s="296">
        <v>8400.3040000000001</v>
      </c>
      <c r="CM20" s="5">
        <v>2105152</v>
      </c>
      <c r="CN20" s="53">
        <v>1827392</v>
      </c>
      <c r="CO20" s="53">
        <v>255975</v>
      </c>
      <c r="CP20" s="53">
        <v>11386</v>
      </c>
      <c r="CQ20" s="296">
        <v>21785</v>
      </c>
      <c r="CR20" s="5">
        <v>2843244</v>
      </c>
      <c r="CS20" s="53">
        <v>2395794</v>
      </c>
      <c r="CT20" s="53">
        <v>373778</v>
      </c>
      <c r="CU20" s="53">
        <v>33040</v>
      </c>
      <c r="CV20" s="53">
        <v>73672</v>
      </c>
      <c r="CW20" s="329">
        <v>3283956</v>
      </c>
      <c r="CX20" s="53">
        <v>2723213</v>
      </c>
      <c r="CY20" s="53">
        <v>462743</v>
      </c>
      <c r="CZ20" s="53">
        <v>98000</v>
      </c>
      <c r="DA20" s="53">
        <v>54632</v>
      </c>
      <c r="DB20" s="183">
        <v>3375905</v>
      </c>
      <c r="DC20" s="53">
        <v>2800521</v>
      </c>
      <c r="DD20" s="53">
        <v>473798</v>
      </c>
      <c r="DE20" s="53">
        <v>101586</v>
      </c>
      <c r="DF20" s="53">
        <v>58755</v>
      </c>
      <c r="DG20" s="54">
        <v>3439085</v>
      </c>
      <c r="DH20" s="54">
        <v>2848904</v>
      </c>
      <c r="DI20" s="54">
        <v>483659</v>
      </c>
      <c r="DJ20" s="54">
        <v>106522</v>
      </c>
      <c r="DK20" s="54">
        <v>64957</v>
      </c>
      <c r="DL20" s="12">
        <v>3501749</v>
      </c>
      <c r="DM20" s="53">
        <v>2889237</v>
      </c>
      <c r="DN20" s="53">
        <v>499530</v>
      </c>
      <c r="DO20" s="53">
        <v>79259</v>
      </c>
      <c r="DP20" s="53">
        <v>79577</v>
      </c>
      <c r="DQ20" s="12">
        <v>3555537.26</v>
      </c>
      <c r="DR20" s="53">
        <v>2927278.44</v>
      </c>
      <c r="DS20" s="53">
        <v>510367.35799999995</v>
      </c>
      <c r="DT20" s="53">
        <v>87203.707999999999</v>
      </c>
      <c r="DU20" s="581">
        <f t="shared" si="369"/>
        <v>117891.46199999988</v>
      </c>
      <c r="DV20" s="53">
        <v>3623171</v>
      </c>
      <c r="DW20" s="53">
        <v>2969641</v>
      </c>
      <c r="DX20" s="53">
        <v>525764</v>
      </c>
      <c r="DY20" s="53">
        <v>91624</v>
      </c>
      <c r="DZ20" s="53">
        <v>126220</v>
      </c>
      <c r="EA20" s="53">
        <v>3683278</v>
      </c>
      <c r="EB20" s="53">
        <v>2953839</v>
      </c>
      <c r="EC20" s="53">
        <v>536626</v>
      </c>
      <c r="ED20" s="53">
        <v>92073</v>
      </c>
      <c r="EE20" s="53">
        <v>130878</v>
      </c>
      <c r="EF20" s="53">
        <v>3849682</v>
      </c>
      <c r="EG20" s="53">
        <v>3055838</v>
      </c>
      <c r="EH20" s="53">
        <v>578873</v>
      </c>
      <c r="EI20" s="53">
        <v>98215</v>
      </c>
      <c r="EJ20" s="53">
        <v>143509</v>
      </c>
      <c r="EK20" s="53">
        <v>3936885</v>
      </c>
      <c r="EL20" s="53">
        <v>3116440</v>
      </c>
      <c r="EM20" s="53">
        <v>591132</v>
      </c>
      <c r="EN20" s="53">
        <v>106955</v>
      </c>
      <c r="EO20" s="53">
        <v>144876</v>
      </c>
      <c r="EP20" s="12">
        <f>153080+166949</f>
        <v>320029</v>
      </c>
      <c r="EQ20" s="53">
        <f>145279+134138</f>
        <v>279417</v>
      </c>
      <c r="ER20" s="53">
        <f>17087+19544</f>
        <v>36631</v>
      </c>
      <c r="ES20" s="53">
        <f>1015+908</f>
        <v>1923</v>
      </c>
      <c r="ET20" s="296">
        <f>267+517+311+704</f>
        <v>1799</v>
      </c>
      <c r="EU20" s="5">
        <v>661296</v>
      </c>
      <c r="EV20" s="53">
        <v>563230</v>
      </c>
      <c r="EW20" s="53">
        <v>91719</v>
      </c>
      <c r="EX20" s="53">
        <v>4214</v>
      </c>
      <c r="EY20" s="296">
        <v>6347</v>
      </c>
      <c r="EZ20" s="5">
        <v>927857</v>
      </c>
      <c r="FA20" s="53">
        <v>764539</v>
      </c>
      <c r="FB20" s="53">
        <v>140258</v>
      </c>
      <c r="FC20" s="53">
        <v>11715</v>
      </c>
      <c r="FD20" s="296">
        <v>23060</v>
      </c>
      <c r="FE20" s="5">
        <v>1148161</v>
      </c>
      <c r="FF20" s="53">
        <v>926065</v>
      </c>
      <c r="FG20" s="53">
        <v>189678</v>
      </c>
      <c r="FH20" s="53">
        <v>24169</v>
      </c>
      <c r="FI20" s="296">
        <v>32418</v>
      </c>
      <c r="FJ20" s="5">
        <v>1152572.4850000001</v>
      </c>
      <c r="FK20" s="53">
        <v>927317.52</v>
      </c>
      <c r="FL20" s="53">
        <v>191782.04800000001</v>
      </c>
      <c r="FM20" s="53">
        <v>26276.613999999998</v>
      </c>
      <c r="FN20" s="296">
        <v>33472.917000000074</v>
      </c>
      <c r="FO20" s="53">
        <v>1173959</v>
      </c>
      <c r="FP20" s="53">
        <v>938141</v>
      </c>
      <c r="FQ20" s="53">
        <v>199470</v>
      </c>
      <c r="FR20" s="53">
        <v>27321</v>
      </c>
      <c r="FS20" s="618">
        <v>35763</v>
      </c>
      <c r="FT20" s="618">
        <v>1199268</v>
      </c>
      <c r="FU20" s="618">
        <v>935909</v>
      </c>
      <c r="FV20" s="618">
        <v>204699</v>
      </c>
      <c r="FW20" s="618">
        <v>28718</v>
      </c>
      <c r="FX20" s="618">
        <v>38201</v>
      </c>
      <c r="FY20" s="618">
        <v>1216465</v>
      </c>
      <c r="FZ20" s="618">
        <v>941611</v>
      </c>
      <c r="GA20" s="618">
        <v>215583</v>
      </c>
      <c r="GB20" s="618">
        <v>28887</v>
      </c>
      <c r="GC20" s="618">
        <v>38546</v>
      </c>
      <c r="GD20" s="618">
        <v>1288093</v>
      </c>
      <c r="GE20" s="618">
        <v>999714</v>
      </c>
      <c r="GF20" s="618">
        <v>221364</v>
      </c>
      <c r="GG20" s="618">
        <v>32779</v>
      </c>
      <c r="GH20" s="618">
        <v>41937</v>
      </c>
      <c r="GI20" s="12">
        <v>130284</v>
      </c>
      <c r="GJ20" s="53">
        <v>111464</v>
      </c>
      <c r="GK20" s="53">
        <v>16941</v>
      </c>
      <c r="GL20" s="53">
        <v>972</v>
      </c>
      <c r="GM20" s="296">
        <v>1879</v>
      </c>
      <c r="GN20" s="5">
        <v>177708</v>
      </c>
      <c r="GO20" s="53">
        <v>148430</v>
      </c>
      <c r="GP20" s="53">
        <v>24335</v>
      </c>
      <c r="GQ20" s="53">
        <v>2236</v>
      </c>
      <c r="GR20" s="296">
        <v>4943</v>
      </c>
      <c r="GS20" s="183">
        <v>258166</v>
      </c>
      <c r="GT20" s="53">
        <v>212314</v>
      </c>
      <c r="GU20" s="53">
        <v>37324</v>
      </c>
      <c r="GV20" s="53">
        <v>5619</v>
      </c>
      <c r="GW20" s="53">
        <v>8528</v>
      </c>
      <c r="GX20" s="183"/>
      <c r="GY20" s="53"/>
      <c r="GZ20" s="53"/>
      <c r="HA20" s="53"/>
      <c r="HB20" s="296"/>
      <c r="HC20" s="53">
        <v>268586</v>
      </c>
      <c r="HD20" s="53">
        <v>219965</v>
      </c>
      <c r="HE20" s="53">
        <v>40075</v>
      </c>
      <c r="HF20" s="53">
        <v>5743</v>
      </c>
      <c r="HG20" s="53">
        <v>8412</v>
      </c>
      <c r="HH20" s="53">
        <v>277840</v>
      </c>
      <c r="HI20" s="53">
        <v>222262</v>
      </c>
      <c r="HJ20" s="53">
        <v>42298</v>
      </c>
      <c r="HK20" s="53">
        <v>6011</v>
      </c>
      <c r="HL20" s="53">
        <v>9144</v>
      </c>
      <c r="HM20" s="53">
        <v>300500</v>
      </c>
      <c r="HN20" s="53">
        <v>241293</v>
      </c>
      <c r="HO20" s="53">
        <v>46301</v>
      </c>
      <c r="HP20" s="53">
        <v>6282</v>
      </c>
      <c r="HQ20" s="53">
        <v>8189</v>
      </c>
      <c r="HR20" s="53">
        <v>328595</v>
      </c>
      <c r="HS20" s="53">
        <v>256564</v>
      </c>
      <c r="HT20" s="53">
        <v>53649</v>
      </c>
      <c r="HU20" s="53">
        <v>9103</v>
      </c>
      <c r="HV20" s="53">
        <v>11592</v>
      </c>
      <c r="HW20" s="569">
        <f t="shared" si="370"/>
        <v>631275</v>
      </c>
      <c r="HX20" s="546">
        <f t="shared" si="371"/>
        <v>559624</v>
      </c>
      <c r="HY20" s="546">
        <f t="shared" si="372"/>
        <v>60723</v>
      </c>
      <c r="HZ20" s="546">
        <f t="shared" si="373"/>
        <v>4466</v>
      </c>
      <c r="IA20" s="546">
        <f t="shared" si="374"/>
        <v>10928</v>
      </c>
      <c r="IB20" s="569">
        <f t="shared" si="375"/>
        <v>910396</v>
      </c>
      <c r="IC20" s="546">
        <f t="shared" si="376"/>
        <v>785779</v>
      </c>
      <c r="ID20" s="546">
        <f t="shared" si="377"/>
        <v>92601</v>
      </c>
      <c r="IE20" s="546">
        <f t="shared" si="378"/>
        <v>10629</v>
      </c>
      <c r="IF20" s="546">
        <f t="shared" si="379"/>
        <v>32016</v>
      </c>
      <c r="IG20" s="183">
        <v>1047711</v>
      </c>
      <c r="IH20" s="53">
        <v>890924</v>
      </c>
      <c r="II20" s="53">
        <v>114347</v>
      </c>
      <c r="IJ20" s="53">
        <v>19451</v>
      </c>
      <c r="IK20" s="53">
        <v>42440</v>
      </c>
      <c r="IL20" s="559"/>
      <c r="IM20" s="560"/>
      <c r="IN20" s="560"/>
      <c r="IO20" s="560"/>
      <c r="IP20" s="560"/>
      <c r="IQ20" s="560">
        <v>1285726</v>
      </c>
      <c r="IR20" s="560">
        <v>1080436</v>
      </c>
      <c r="IS20" s="560">
        <v>149426</v>
      </c>
      <c r="IT20" s="560">
        <v>24930</v>
      </c>
      <c r="IU20" s="575">
        <v>55425</v>
      </c>
      <c r="IV20" s="560">
        <v>1328731</v>
      </c>
      <c r="IW20" s="560">
        <v>1092735</v>
      </c>
      <c r="IX20" s="560">
        <v>157465</v>
      </c>
      <c r="IY20" s="560">
        <v>25889</v>
      </c>
      <c r="IZ20" s="560">
        <v>60015</v>
      </c>
      <c r="JA20" s="559">
        <v>1451580</v>
      </c>
      <c r="JB20" s="560">
        <v>1187189</v>
      </c>
      <c r="JC20" s="560">
        <v>172900</v>
      </c>
      <c r="JD20" s="560">
        <v>28052</v>
      </c>
      <c r="JE20" s="560">
        <v>69622</v>
      </c>
      <c r="JF20" s="559">
        <v>1511450</v>
      </c>
      <c r="JG20" s="560">
        <v>1219188</v>
      </c>
      <c r="JH20" s="560">
        <v>189063</v>
      </c>
      <c r="JI20" s="560">
        <v>34162</v>
      </c>
      <c r="JJ20" s="560">
        <v>74882</v>
      </c>
      <c r="JK20" s="12">
        <v>330742</v>
      </c>
      <c r="JL20" s="5">
        <v>296558</v>
      </c>
      <c r="JM20" s="5">
        <v>29667</v>
      </c>
      <c r="JN20" s="5">
        <v>2085</v>
      </c>
      <c r="JO20" s="5">
        <v>4517</v>
      </c>
      <c r="JP20" s="12">
        <v>478463</v>
      </c>
      <c r="JQ20" s="53">
        <v>416710</v>
      </c>
      <c r="JR20" s="53">
        <v>46840</v>
      </c>
      <c r="JS20" s="53">
        <v>5223</v>
      </c>
      <c r="JT20" s="53">
        <v>14913</v>
      </c>
      <c r="JU20" s="183">
        <v>623580</v>
      </c>
      <c r="JV20" s="53">
        <v>534005</v>
      </c>
      <c r="JW20" s="53">
        <v>66155</v>
      </c>
      <c r="JX20" s="53">
        <v>10899</v>
      </c>
      <c r="JY20" s="53">
        <v>23420</v>
      </c>
      <c r="JZ20" s="183">
        <v>637955.25</v>
      </c>
      <c r="KA20" s="53">
        <v>543241.98</v>
      </c>
      <c r="KB20" s="53">
        <v>68763.957999999999</v>
      </c>
      <c r="KC20" s="53">
        <v>11550.16</v>
      </c>
      <c r="KD20" s="53">
        <v>25949.31200000002</v>
      </c>
      <c r="KE20" s="53">
        <v>674064</v>
      </c>
      <c r="KF20" s="53">
        <v>561308</v>
      </c>
      <c r="KG20" s="53">
        <v>74613</v>
      </c>
      <c r="KH20" s="53">
        <v>13591</v>
      </c>
      <c r="KI20" s="53">
        <v>28433</v>
      </c>
      <c r="KJ20" s="53">
        <v>719980</v>
      </c>
      <c r="KK20" s="53">
        <v>594128</v>
      </c>
      <c r="KL20" s="53">
        <v>79518</v>
      </c>
      <c r="KM20" s="53">
        <v>14785</v>
      </c>
      <c r="KN20" s="53">
        <v>35052</v>
      </c>
      <c r="KO20" s="53">
        <v>756055</v>
      </c>
      <c r="KP20" s="53">
        <v>619416</v>
      </c>
      <c r="KQ20" s="53">
        <v>87073</v>
      </c>
      <c r="KR20" s="53">
        <v>16022</v>
      </c>
      <c r="KS20" s="53">
        <v>35873</v>
      </c>
      <c r="KT20" s="330">
        <v>45916</v>
      </c>
      <c r="KU20" s="331">
        <v>71660</v>
      </c>
      <c r="KV20" s="316">
        <v>105044</v>
      </c>
      <c r="KW20" s="332">
        <f t="shared" si="327"/>
        <v>60890</v>
      </c>
      <c r="KX20" s="332">
        <f t="shared" si="328"/>
        <v>44154</v>
      </c>
      <c r="KY20" s="332">
        <f t="shared" si="329"/>
        <v>96965</v>
      </c>
      <c r="KZ20" s="318">
        <v>57488</v>
      </c>
      <c r="LA20" s="318">
        <v>39477</v>
      </c>
      <c r="LB20" s="332">
        <f t="shared" si="330"/>
        <v>8079</v>
      </c>
      <c r="LC20" s="318">
        <v>3402</v>
      </c>
      <c r="LD20" s="318">
        <v>4677</v>
      </c>
      <c r="LE20" s="316">
        <v>168529</v>
      </c>
      <c r="LF20" s="332">
        <f t="shared" si="331"/>
        <v>97820</v>
      </c>
      <c r="LG20" s="332">
        <f t="shared" si="332"/>
        <v>70709</v>
      </c>
      <c r="LH20" s="332">
        <f t="shared" si="333"/>
        <v>154618</v>
      </c>
      <c r="LI20" s="318">
        <v>92150</v>
      </c>
      <c r="LJ20" s="318">
        <v>62468</v>
      </c>
      <c r="LK20" s="332">
        <f t="shared" si="334"/>
        <v>12494</v>
      </c>
      <c r="LL20" s="318">
        <v>4773</v>
      </c>
      <c r="LM20" s="318">
        <v>7721</v>
      </c>
      <c r="LN20" s="332">
        <f t="shared" si="335"/>
        <v>1417</v>
      </c>
      <c r="LO20" s="318">
        <v>897</v>
      </c>
      <c r="LP20" s="318">
        <v>520</v>
      </c>
      <c r="LQ20" s="316">
        <v>339173</v>
      </c>
      <c r="LR20" s="332">
        <f t="shared" si="336"/>
        <v>193258</v>
      </c>
      <c r="LS20" s="332">
        <f t="shared" si="337"/>
        <v>145915</v>
      </c>
      <c r="LT20" s="53">
        <f>177814+127140</f>
        <v>304954</v>
      </c>
      <c r="LU20" s="318">
        <v>177814</v>
      </c>
      <c r="LV20" s="318">
        <v>127140</v>
      </c>
      <c r="LW20" s="318">
        <v>15444</v>
      </c>
      <c r="LX20" s="318">
        <v>18775</v>
      </c>
      <c r="LY20" s="53">
        <f>11977+16419</f>
        <v>28396</v>
      </c>
      <c r="LZ20" s="318">
        <v>11977</v>
      </c>
      <c r="MA20" s="318">
        <v>16419</v>
      </c>
      <c r="MB20" s="53">
        <f>1016+773</f>
        <v>1789</v>
      </c>
      <c r="MC20" s="318">
        <v>1016</v>
      </c>
      <c r="MD20" s="318">
        <v>773</v>
      </c>
      <c r="ME20" s="333">
        <f t="shared" si="338"/>
        <v>4034</v>
      </c>
      <c r="MF20" s="333">
        <f t="shared" si="339"/>
        <v>2451</v>
      </c>
      <c r="MG20" s="333">
        <f t="shared" si="340"/>
        <v>1583</v>
      </c>
      <c r="MH20" s="334">
        <f t="shared" si="341"/>
        <v>316</v>
      </c>
      <c r="MI20" s="334">
        <f t="shared" si="342"/>
        <v>234</v>
      </c>
      <c r="MJ20" s="334">
        <f t="shared" si="343"/>
        <v>82</v>
      </c>
      <c r="MK20" s="318">
        <v>3718</v>
      </c>
      <c r="ML20" s="318">
        <v>2217</v>
      </c>
      <c r="MM20" s="318">
        <v>1501</v>
      </c>
      <c r="MN20" s="14">
        <f t="shared" si="344"/>
        <v>500991</v>
      </c>
      <c r="MO20" s="332">
        <f t="shared" si="345"/>
        <v>269093</v>
      </c>
      <c r="MP20" s="332">
        <f t="shared" si="346"/>
        <v>231898</v>
      </c>
      <c r="MQ20" s="13">
        <f t="shared" si="347"/>
        <v>448160</v>
      </c>
      <c r="MR20" s="136">
        <f t="shared" si="348"/>
        <v>445647</v>
      </c>
      <c r="MS20" s="318">
        <v>245339</v>
      </c>
      <c r="MT20" s="318">
        <v>200308</v>
      </c>
      <c r="MU20" s="318">
        <v>23754</v>
      </c>
      <c r="MV20" s="318">
        <v>31590</v>
      </c>
      <c r="MW20" s="13">
        <f t="shared" si="349"/>
        <v>43782</v>
      </c>
      <c r="MX20" s="136">
        <f t="shared" si="350"/>
        <v>43576</v>
      </c>
      <c r="MY20" s="318">
        <v>16863</v>
      </c>
      <c r="MZ20" s="318">
        <v>26713</v>
      </c>
      <c r="NA20" s="13">
        <f t="shared" si="351"/>
        <v>3494</v>
      </c>
      <c r="NB20" s="318">
        <v>2028</v>
      </c>
      <c r="NC20" s="318">
        <v>1466</v>
      </c>
      <c r="ND20" s="11">
        <f t="shared" si="352"/>
        <v>9049</v>
      </c>
      <c r="NE20" s="335">
        <f t="shared" si="353"/>
        <v>4863</v>
      </c>
      <c r="NF20" s="335">
        <f t="shared" si="354"/>
        <v>3411</v>
      </c>
      <c r="NG20" s="336">
        <f t="shared" si="355"/>
        <v>116</v>
      </c>
      <c r="NH20" s="336">
        <f t="shared" si="356"/>
        <v>46</v>
      </c>
      <c r="NI20" s="336">
        <f t="shared" si="357"/>
        <v>70</v>
      </c>
      <c r="NJ20" s="337">
        <f t="shared" si="358"/>
        <v>8158</v>
      </c>
      <c r="NK20" s="337">
        <f t="shared" si="359"/>
        <v>4817</v>
      </c>
      <c r="NL20" s="337">
        <f t="shared" si="360"/>
        <v>3341</v>
      </c>
      <c r="NM20" s="318">
        <v>443</v>
      </c>
      <c r="NN20" s="318">
        <v>394</v>
      </c>
      <c r="NO20" s="318">
        <v>4374</v>
      </c>
      <c r="NP20" s="318">
        <v>2947</v>
      </c>
      <c r="NQ20" s="338">
        <v>732688</v>
      </c>
      <c r="NR20" s="318">
        <v>371605</v>
      </c>
      <c r="NS20" s="318">
        <v>361083</v>
      </c>
      <c r="NT20" s="7">
        <f t="shared" si="361"/>
        <v>637349</v>
      </c>
      <c r="NU20" s="7">
        <v>330921</v>
      </c>
      <c r="NV20" s="7">
        <v>306428</v>
      </c>
      <c r="NW20" s="125">
        <f t="shared" si="362"/>
        <v>632166</v>
      </c>
      <c r="NX20" s="318">
        <v>328124</v>
      </c>
      <c r="NY20" s="318">
        <v>304042</v>
      </c>
      <c r="NZ20" s="7">
        <f t="shared" si="363"/>
        <v>68266</v>
      </c>
      <c r="OA20" s="318">
        <v>26265</v>
      </c>
      <c r="OB20" s="318">
        <v>42001</v>
      </c>
      <c r="OC20" s="7">
        <f t="shared" si="364"/>
        <v>8393</v>
      </c>
      <c r="OD20" s="318">
        <v>4446</v>
      </c>
      <c r="OE20" s="318">
        <v>3947</v>
      </c>
      <c r="OF20" s="125">
        <f t="shared" si="365"/>
        <v>27073</v>
      </c>
      <c r="OG20" s="125">
        <f t="shared" si="366"/>
        <v>14419</v>
      </c>
      <c r="OH20" s="125">
        <f t="shared" si="367"/>
        <v>12654</v>
      </c>
      <c r="OI20" s="326">
        <v>879597</v>
      </c>
      <c r="OJ20" s="318">
        <v>757878</v>
      </c>
      <c r="OK20" s="318">
        <v>85976</v>
      </c>
      <c r="OL20" s="318">
        <v>35743</v>
      </c>
      <c r="OM20" s="7">
        <v>11985</v>
      </c>
      <c r="ON20" s="183">
        <v>914639</v>
      </c>
      <c r="OO20" s="53">
        <v>785993</v>
      </c>
      <c r="OP20" s="53">
        <v>90613</v>
      </c>
      <c r="OQ20" s="53">
        <v>38033</v>
      </c>
      <c r="OR20" s="53">
        <v>12358</v>
      </c>
      <c r="OS20" s="183">
        <v>942859</v>
      </c>
      <c r="OT20" s="53">
        <v>807119</v>
      </c>
      <c r="OU20" s="53">
        <v>94559</v>
      </c>
      <c r="OV20" s="53">
        <v>41181</v>
      </c>
      <c r="OW20" s="53">
        <v>13987</v>
      </c>
      <c r="OX20" s="183">
        <v>964514</v>
      </c>
      <c r="OY20" s="53">
        <v>822042</v>
      </c>
      <c r="OZ20" s="53">
        <v>99718</v>
      </c>
      <c r="PA20" s="53">
        <v>42754</v>
      </c>
      <c r="PB20" s="53">
        <v>16905</v>
      </c>
      <c r="PC20" s="12">
        <v>986704.11999999988</v>
      </c>
      <c r="PD20" s="53">
        <v>837353.88</v>
      </c>
      <c r="PE20" s="53">
        <v>105353.954</v>
      </c>
      <c r="PF20" s="53">
        <v>18047.125</v>
      </c>
      <c r="PG20" s="53">
        <v>43996.285999999876</v>
      </c>
      <c r="PH20" s="53">
        <v>1017140</v>
      </c>
      <c r="PI20" s="53">
        <v>860471</v>
      </c>
      <c r="PJ20" s="53">
        <v>109351</v>
      </c>
      <c r="PK20" s="53">
        <v>19187</v>
      </c>
      <c r="PL20" s="2">
        <v>47013</v>
      </c>
      <c r="PM20" s="2">
        <v>1050891</v>
      </c>
      <c r="PN20" s="2">
        <v>870473</v>
      </c>
      <c r="PO20" s="2">
        <v>115167</v>
      </c>
      <c r="PP20" s="2">
        <v>19878</v>
      </c>
      <c r="PQ20" s="2">
        <v>50871</v>
      </c>
      <c r="PR20" s="2">
        <v>1151080</v>
      </c>
      <c r="PS20" s="2">
        <v>945896</v>
      </c>
      <c r="PT20" s="2">
        <v>126599</v>
      </c>
      <c r="PU20" s="2">
        <v>21770</v>
      </c>
      <c r="PV20" s="2">
        <v>61433</v>
      </c>
      <c r="PW20" s="2">
        <v>1182855</v>
      </c>
      <c r="PX20" s="2">
        <v>962624</v>
      </c>
      <c r="PY20" s="2">
        <v>135414</v>
      </c>
      <c r="PZ20" s="2">
        <v>25059</v>
      </c>
      <c r="QA20" s="2">
        <v>63290</v>
      </c>
      <c r="QB20" s="12">
        <v>170249</v>
      </c>
      <c r="QC20" s="5">
        <v>151602</v>
      </c>
      <c r="QD20" s="5">
        <v>14115</v>
      </c>
      <c r="QE20" s="5">
        <v>1409</v>
      </c>
      <c r="QF20" s="5">
        <v>4532</v>
      </c>
      <c r="QG20" s="12">
        <v>254225</v>
      </c>
      <c r="QH20" s="53">
        <v>220639</v>
      </c>
      <c r="QI20" s="53">
        <v>21426</v>
      </c>
      <c r="QJ20" s="53">
        <v>3170</v>
      </c>
      <c r="QK20" s="53">
        <v>12160</v>
      </c>
      <c r="QL20" s="12">
        <v>340934</v>
      </c>
      <c r="QM20" s="53">
        <v>288037</v>
      </c>
      <c r="QN20" s="53">
        <v>33563</v>
      </c>
      <c r="QO20" s="53">
        <v>6006</v>
      </c>
      <c r="QP20" s="53">
        <v>19334</v>
      </c>
      <c r="QQ20" s="12">
        <v>348748.86999999994</v>
      </c>
      <c r="QR20" s="53">
        <v>294111.90000000002</v>
      </c>
      <c r="QS20" s="53">
        <v>36589.995999999999</v>
      </c>
      <c r="QT20" s="53">
        <v>6496.9650000000001</v>
      </c>
      <c r="QU20" s="296">
        <v>18046.973999999915</v>
      </c>
      <c r="QV20" s="1">
        <v>363971</v>
      </c>
      <c r="QW20" s="2">
        <v>305177</v>
      </c>
      <c r="QX20" s="2">
        <v>37766</v>
      </c>
      <c r="QY20" s="2">
        <v>6479</v>
      </c>
      <c r="QZ20" s="69">
        <v>20874</v>
      </c>
      <c r="RA20" s="2">
        <v>376827</v>
      </c>
      <c r="RB20" s="2">
        <v>309165</v>
      </c>
      <c r="RC20" s="2">
        <v>40554</v>
      </c>
      <c r="RD20" s="2">
        <v>6287</v>
      </c>
      <c r="RE20" s="2">
        <v>22438</v>
      </c>
      <c r="RF20" s="2">
        <v>431100</v>
      </c>
      <c r="RG20" s="2">
        <v>351768</v>
      </c>
      <c r="RH20" s="2">
        <v>47081</v>
      </c>
      <c r="RI20" s="2">
        <v>6985</v>
      </c>
      <c r="RJ20" s="2">
        <v>26381</v>
      </c>
      <c r="RK20" s="2">
        <v>426800</v>
      </c>
      <c r="RL20" s="2">
        <v>343208</v>
      </c>
      <c r="RM20" s="2">
        <v>48341</v>
      </c>
      <c r="RN20" s="2">
        <v>9037</v>
      </c>
      <c r="RO20" s="2">
        <v>27417</v>
      </c>
    </row>
    <row r="21" spans="1:483" ht="14.25" x14ac:dyDescent="0.2">
      <c r="A21" s="216" t="s">
        <v>13</v>
      </c>
      <c r="B21" s="183">
        <f>258240+333787+197000+260893+359522+231183</f>
        <v>1640625</v>
      </c>
      <c r="C21" s="53">
        <f>66613+169198+133332+51747+168413+153066</f>
        <v>742369</v>
      </c>
      <c r="D21" s="53">
        <f>35986+44830+22001+27977+50255+29115</f>
        <v>210164</v>
      </c>
      <c r="E21" s="53">
        <f>153668+117252+40310+177763+136688+46718</f>
        <v>672399</v>
      </c>
      <c r="F21" s="296">
        <f>564+839+749+1069+1209+425+432+873+774+2533+2902+1319</f>
        <v>13688</v>
      </c>
      <c r="G21" s="5">
        <v>1387528</v>
      </c>
      <c r="H21" s="53">
        <v>875053</v>
      </c>
      <c r="I21" s="53">
        <v>133858</v>
      </c>
      <c r="J21" s="53">
        <v>806630</v>
      </c>
      <c r="K21" s="296">
        <v>378617</v>
      </c>
      <c r="L21" s="5">
        <v>1465420</v>
      </c>
      <c r="M21" s="53">
        <v>877801</v>
      </c>
      <c r="N21" s="53">
        <v>89530</v>
      </c>
      <c r="O21" s="53">
        <v>1074838</v>
      </c>
      <c r="P21" s="296">
        <v>498089</v>
      </c>
      <c r="Q21" s="7">
        <v>1536433</v>
      </c>
      <c r="R21" s="560">
        <v>1064847</v>
      </c>
      <c r="S21" s="560">
        <v>69658</v>
      </c>
      <c r="T21" s="560">
        <v>1230505</v>
      </c>
      <c r="U21" s="575">
        <v>401928</v>
      </c>
      <c r="V21" s="560">
        <v>1522152</v>
      </c>
      <c r="W21" s="4">
        <v>1100586</v>
      </c>
      <c r="X21" s="560">
        <v>64759</v>
      </c>
      <c r="Y21" s="560">
        <v>1229426</v>
      </c>
      <c r="Z21" s="560">
        <v>356807</v>
      </c>
      <c r="AA21" s="560">
        <v>1517494</v>
      </c>
      <c r="AB21" s="560">
        <v>165467</v>
      </c>
      <c r="AC21" s="560">
        <v>61561</v>
      </c>
      <c r="AD21" s="560">
        <v>1233551</v>
      </c>
      <c r="AE21" s="675">
        <v>333153</v>
      </c>
      <c r="AF21" s="560">
        <v>1559568</v>
      </c>
      <c r="AG21" s="560">
        <v>158337</v>
      </c>
      <c r="AH21" s="560">
        <v>63765</v>
      </c>
      <c r="AI21" s="560">
        <v>1277240</v>
      </c>
      <c r="AJ21" s="560">
        <v>317787</v>
      </c>
      <c r="AK21" s="560">
        <v>1529632</v>
      </c>
      <c r="AL21" s="560">
        <v>153191</v>
      </c>
      <c r="AM21" s="560">
        <v>58612</v>
      </c>
      <c r="AN21" s="560">
        <v>1248530</v>
      </c>
      <c r="AO21" s="560">
        <v>324921</v>
      </c>
      <c r="AP21" s="183">
        <v>1485031</v>
      </c>
      <c r="AQ21" s="53">
        <v>1056520</v>
      </c>
      <c r="AR21" s="53">
        <v>244692</v>
      </c>
      <c r="AS21" s="53">
        <v>373154</v>
      </c>
      <c r="AT21" s="296">
        <v>183819</v>
      </c>
      <c r="AU21" s="5">
        <v>1649141</v>
      </c>
      <c r="AV21" s="53">
        <v>1071404</v>
      </c>
      <c r="AW21" s="53">
        <v>244573</v>
      </c>
      <c r="AX21" s="53">
        <v>656630</v>
      </c>
      <c r="AY21" s="296">
        <v>333164</v>
      </c>
      <c r="AZ21" s="5">
        <v>1513114</v>
      </c>
      <c r="BA21" s="53">
        <v>1055443</v>
      </c>
      <c r="BB21" s="53">
        <v>189834</v>
      </c>
      <c r="BC21" s="53">
        <v>797971</v>
      </c>
      <c r="BD21" s="296">
        <v>267837</v>
      </c>
      <c r="BE21" s="53">
        <v>1517129</v>
      </c>
      <c r="BF21" s="53">
        <v>1082641</v>
      </c>
      <c r="BG21" s="53">
        <v>185429</v>
      </c>
      <c r="BH21" s="53">
        <v>829258</v>
      </c>
      <c r="BI21" s="53">
        <v>249059</v>
      </c>
      <c r="BJ21" s="53">
        <v>1512343</v>
      </c>
      <c r="BK21" s="53">
        <v>430163</v>
      </c>
      <c r="BL21" s="53">
        <v>187310</v>
      </c>
      <c r="BM21" s="53">
        <v>843158</v>
      </c>
      <c r="BN21" s="53">
        <v>235320</v>
      </c>
      <c r="BO21" s="53">
        <v>1511574</v>
      </c>
      <c r="BP21" s="53">
        <v>405970</v>
      </c>
      <c r="BQ21" s="53">
        <v>177476</v>
      </c>
      <c r="BR21" s="53">
        <v>869192</v>
      </c>
      <c r="BS21" s="53">
        <v>207514</v>
      </c>
      <c r="BT21" s="53">
        <v>1506376</v>
      </c>
      <c r="BU21" s="53">
        <v>411448</v>
      </c>
      <c r="BV21" s="53">
        <v>170378</v>
      </c>
      <c r="BW21" s="53">
        <v>866132</v>
      </c>
      <c r="BX21" s="53">
        <v>223457</v>
      </c>
      <c r="BY21" s="12">
        <v>3059939</v>
      </c>
      <c r="BZ21" s="53">
        <v>2155074</v>
      </c>
      <c r="CA21" s="53">
        <v>252622</v>
      </c>
      <c r="CB21" s="53">
        <v>2051874</v>
      </c>
      <c r="CC21" s="546">
        <f t="shared" si="368"/>
        <v>652243</v>
      </c>
      <c r="CD21" s="327">
        <v>834876</v>
      </c>
      <c r="CE21" s="328">
        <v>1260685</v>
      </c>
      <c r="CF21" s="328">
        <v>1989554</v>
      </c>
      <c r="CG21" s="328">
        <v>2756519</v>
      </c>
      <c r="CH21" s="12">
        <v>4974371</v>
      </c>
      <c r="CI21" s="53">
        <v>3992800.6640000003</v>
      </c>
      <c r="CJ21" s="53">
        <v>442046.88</v>
      </c>
      <c r="CK21" s="53">
        <v>465968.03</v>
      </c>
      <c r="CL21" s="296">
        <v>71238.684000000008</v>
      </c>
      <c r="CM21" s="5">
        <v>7438046</v>
      </c>
      <c r="CN21" s="53">
        <v>6177033</v>
      </c>
      <c r="CO21" s="53">
        <v>738700</v>
      </c>
      <c r="CP21" s="53">
        <v>947947</v>
      </c>
      <c r="CQ21" s="296">
        <v>522313</v>
      </c>
      <c r="CR21" s="5">
        <v>9676332</v>
      </c>
      <c r="CS21" s="53">
        <v>7574175</v>
      </c>
      <c r="CT21" s="53">
        <v>1047116</v>
      </c>
      <c r="CU21" s="53">
        <v>1680568</v>
      </c>
      <c r="CV21" s="53">
        <v>1055041</v>
      </c>
      <c r="CW21" s="329">
        <v>11383858</v>
      </c>
      <c r="CX21" s="53">
        <v>8587580</v>
      </c>
      <c r="CY21" s="53">
        <v>1299847</v>
      </c>
      <c r="CZ21" s="53">
        <v>1496431</v>
      </c>
      <c r="DA21" s="53">
        <v>2474597</v>
      </c>
      <c r="DB21" s="183">
        <v>11720149</v>
      </c>
      <c r="DC21" s="53">
        <v>8901330</v>
      </c>
      <c r="DD21" s="53">
        <v>1344301</v>
      </c>
      <c r="DE21" s="53">
        <v>1474518</v>
      </c>
      <c r="DF21" s="53">
        <v>2607520</v>
      </c>
      <c r="DG21" s="54">
        <v>11990037</v>
      </c>
      <c r="DH21" s="54">
        <v>9189345</v>
      </c>
      <c r="DI21" s="54">
        <v>1397466</v>
      </c>
      <c r="DJ21" s="54">
        <v>1403226</v>
      </c>
      <c r="DK21" s="54">
        <v>2689661</v>
      </c>
      <c r="DL21" s="12">
        <v>12399247</v>
      </c>
      <c r="DM21" s="53">
        <v>9561767</v>
      </c>
      <c r="DN21" s="53">
        <v>1486828</v>
      </c>
      <c r="DO21" s="53">
        <v>2864863</v>
      </c>
      <c r="DP21" s="53">
        <v>1177623</v>
      </c>
      <c r="DQ21" s="12">
        <v>12712942.085999999</v>
      </c>
      <c r="DR21" s="53">
        <v>9805588.8839999996</v>
      </c>
      <c r="DS21" s="53">
        <v>1539023.9139999999</v>
      </c>
      <c r="DT21" s="53">
        <v>3009414.87</v>
      </c>
      <c r="DU21" s="581">
        <f t="shared" si="369"/>
        <v>1368329.2879999997</v>
      </c>
      <c r="DV21" s="53">
        <v>13041436</v>
      </c>
      <c r="DW21" s="53">
        <v>10092463</v>
      </c>
      <c r="DX21" s="53">
        <v>1583662</v>
      </c>
      <c r="DY21" s="53">
        <v>3157719</v>
      </c>
      <c r="DZ21" s="53">
        <v>1365311</v>
      </c>
      <c r="EA21" s="53">
        <v>13356793</v>
      </c>
      <c r="EB21" s="53">
        <v>7649725</v>
      </c>
      <c r="EC21" s="53">
        <v>1633819</v>
      </c>
      <c r="ED21" s="53">
        <v>3281801</v>
      </c>
      <c r="EE21" s="53">
        <v>1406115</v>
      </c>
      <c r="EF21" s="53">
        <v>14401719</v>
      </c>
      <c r="EG21" s="53">
        <v>7911575</v>
      </c>
      <c r="EH21" s="53">
        <v>1809766</v>
      </c>
      <c r="EI21" s="53">
        <v>3734366</v>
      </c>
      <c r="EJ21" s="53">
        <v>1578332</v>
      </c>
      <c r="EK21" s="53">
        <v>14739272</v>
      </c>
      <c r="EL21" s="53">
        <v>7973248</v>
      </c>
      <c r="EM21" s="53">
        <v>1868624</v>
      </c>
      <c r="EN21" s="53">
        <v>3909892</v>
      </c>
      <c r="EO21" s="53">
        <v>1692568</v>
      </c>
      <c r="EP21" s="12">
        <f>680030+667850</f>
        <v>1347880</v>
      </c>
      <c r="EQ21" s="53">
        <f>542781+538765</f>
        <v>1081546</v>
      </c>
      <c r="ER21" s="53">
        <f>59637+63682</f>
        <v>123319</v>
      </c>
      <c r="ES21" s="53">
        <f>52541+72777</f>
        <v>125318</v>
      </c>
      <c r="ET21" s="296">
        <f>2795+5372+2168+6199</f>
        <v>16534</v>
      </c>
      <c r="EU21" s="5">
        <v>2702979</v>
      </c>
      <c r="EV21" s="53">
        <v>2230874</v>
      </c>
      <c r="EW21" s="53">
        <v>289619</v>
      </c>
      <c r="EX21" s="53">
        <v>355244</v>
      </c>
      <c r="EY21" s="296">
        <v>182486</v>
      </c>
      <c r="EZ21" s="5">
        <v>3527296</v>
      </c>
      <c r="FA21" s="53">
        <v>2746490</v>
      </c>
      <c r="FB21" s="53">
        <v>421669</v>
      </c>
      <c r="FC21" s="53">
        <v>625832</v>
      </c>
      <c r="FD21" s="296">
        <v>359137</v>
      </c>
      <c r="FE21" s="5">
        <v>4490922</v>
      </c>
      <c r="FF21" s="53">
        <v>3439349</v>
      </c>
      <c r="FG21" s="53">
        <v>627035</v>
      </c>
      <c r="FH21" s="53">
        <v>1067602</v>
      </c>
      <c r="FI21" s="296">
        <v>424538</v>
      </c>
      <c r="FJ21" s="5">
        <v>4589908.3710000003</v>
      </c>
      <c r="FK21" s="53">
        <v>3507982.3479999998</v>
      </c>
      <c r="FL21" s="53">
        <v>650367.49800000002</v>
      </c>
      <c r="FM21" s="53">
        <v>1119664.4550000001</v>
      </c>
      <c r="FN21" s="296">
        <v>431558.52500000049</v>
      </c>
      <c r="FO21" s="53">
        <v>4714810</v>
      </c>
      <c r="FP21" s="53">
        <v>3617981</v>
      </c>
      <c r="FQ21" s="53">
        <v>664833</v>
      </c>
      <c r="FR21" s="53">
        <v>1181713</v>
      </c>
      <c r="FS21" s="618">
        <v>431996</v>
      </c>
      <c r="FT21" s="618">
        <v>4798516</v>
      </c>
      <c r="FU21" s="618">
        <v>2695294</v>
      </c>
      <c r="FV21" s="618">
        <v>681303</v>
      </c>
      <c r="FW21" s="618">
        <v>1215578</v>
      </c>
      <c r="FX21" s="618">
        <v>431840</v>
      </c>
      <c r="FY21" s="618">
        <v>5020691</v>
      </c>
      <c r="FZ21" s="618">
        <v>2731007</v>
      </c>
      <c r="GA21" s="618">
        <v>743529</v>
      </c>
      <c r="GB21" s="618">
        <v>1335289</v>
      </c>
      <c r="GC21" s="618">
        <v>435968</v>
      </c>
      <c r="GD21" s="618">
        <v>5128874</v>
      </c>
      <c r="GE21" s="618">
        <v>2751835</v>
      </c>
      <c r="GF21" s="618">
        <v>759222</v>
      </c>
      <c r="GG21" s="618">
        <v>1387185</v>
      </c>
      <c r="GH21" s="618">
        <v>481057</v>
      </c>
      <c r="GI21" s="12">
        <v>531540</v>
      </c>
      <c r="GJ21" s="53">
        <v>428473</v>
      </c>
      <c r="GK21" s="53">
        <v>58313</v>
      </c>
      <c r="GL21" s="53">
        <v>77473</v>
      </c>
      <c r="GM21" s="296">
        <v>44754</v>
      </c>
      <c r="GN21" s="5">
        <v>668494</v>
      </c>
      <c r="GO21" s="53">
        <v>513198</v>
      </c>
      <c r="GP21" s="53">
        <v>78521</v>
      </c>
      <c r="GQ21" s="53">
        <v>117122</v>
      </c>
      <c r="GR21" s="296">
        <v>76775</v>
      </c>
      <c r="GS21" s="183">
        <v>970431</v>
      </c>
      <c r="GT21" s="53">
        <v>744720</v>
      </c>
      <c r="GU21" s="53">
        <v>129636</v>
      </c>
      <c r="GV21" s="53">
        <v>222646</v>
      </c>
      <c r="GW21" s="53">
        <v>96075</v>
      </c>
      <c r="GX21" s="183"/>
      <c r="GY21" s="53"/>
      <c r="GZ21" s="53"/>
      <c r="HA21" s="53"/>
      <c r="HB21" s="296"/>
      <c r="HC21" s="53">
        <v>1046805</v>
      </c>
      <c r="HD21" s="53">
        <v>802411</v>
      </c>
      <c r="HE21" s="53">
        <v>137346</v>
      </c>
      <c r="HF21" s="53">
        <v>255661</v>
      </c>
      <c r="HG21" s="53">
        <v>107048</v>
      </c>
      <c r="HH21" s="53">
        <v>1076946</v>
      </c>
      <c r="HI21" s="53">
        <v>609870</v>
      </c>
      <c r="HJ21" s="53">
        <v>141892</v>
      </c>
      <c r="HK21" s="53">
        <v>263028</v>
      </c>
      <c r="HL21" s="53">
        <v>109838</v>
      </c>
      <c r="HM21" s="53">
        <v>1204220</v>
      </c>
      <c r="HN21" s="53">
        <v>666795</v>
      </c>
      <c r="HO21" s="53">
        <v>166153</v>
      </c>
      <c r="HP21" s="53">
        <v>305084</v>
      </c>
      <c r="HQ21" s="53">
        <v>119288</v>
      </c>
      <c r="HR21" s="53">
        <v>1259574</v>
      </c>
      <c r="HS21" s="53">
        <v>675580</v>
      </c>
      <c r="HT21" s="53">
        <v>182659</v>
      </c>
      <c r="HU21" s="53">
        <v>333215</v>
      </c>
      <c r="HV21" s="53">
        <v>127567</v>
      </c>
      <c r="HW21" s="569">
        <f t="shared" si="370"/>
        <v>2626445</v>
      </c>
      <c r="HX21" s="546">
        <f t="shared" si="371"/>
        <v>2263928</v>
      </c>
      <c r="HY21" s="546">
        <f t="shared" si="372"/>
        <v>192182</v>
      </c>
      <c r="HZ21" s="546">
        <f t="shared" si="373"/>
        <v>232787</v>
      </c>
      <c r="IA21" s="546">
        <f t="shared" si="374"/>
        <v>170335</v>
      </c>
      <c r="IB21" s="569">
        <f t="shared" si="375"/>
        <v>3640787</v>
      </c>
      <c r="IC21" s="546">
        <f t="shared" si="376"/>
        <v>2969351</v>
      </c>
      <c r="ID21" s="546">
        <f t="shared" si="377"/>
        <v>290499</v>
      </c>
      <c r="IE21" s="546">
        <f t="shared" si="378"/>
        <v>421857</v>
      </c>
      <c r="IF21" s="546">
        <f t="shared" si="379"/>
        <v>380937</v>
      </c>
      <c r="IG21" s="183">
        <v>4332522</v>
      </c>
      <c r="IH21" s="53">
        <v>3437067</v>
      </c>
      <c r="II21" s="53">
        <v>397154</v>
      </c>
      <c r="IJ21" s="53">
        <v>696027</v>
      </c>
      <c r="IK21" s="53">
        <v>498301</v>
      </c>
      <c r="IL21" s="559"/>
      <c r="IM21" s="560"/>
      <c r="IN21" s="560"/>
      <c r="IO21" s="560"/>
      <c r="IP21" s="560"/>
      <c r="IQ21" s="560">
        <v>5292426</v>
      </c>
      <c r="IR21" s="560">
        <v>4165187</v>
      </c>
      <c r="IS21" s="560">
        <v>509277</v>
      </c>
      <c r="IT21" s="560">
        <v>878549</v>
      </c>
      <c r="IU21" s="575">
        <v>617962</v>
      </c>
      <c r="IV21" s="560">
        <v>5490069</v>
      </c>
      <c r="IW21" s="560">
        <v>3522913</v>
      </c>
      <c r="IX21" s="560">
        <v>539016</v>
      </c>
      <c r="IY21" s="560">
        <v>918789</v>
      </c>
      <c r="IZ21" s="560">
        <v>662995</v>
      </c>
      <c r="JA21" s="559">
        <v>6159594</v>
      </c>
      <c r="JB21" s="560">
        <v>3819961</v>
      </c>
      <c r="JC21" s="560">
        <v>625102</v>
      </c>
      <c r="JD21" s="560">
        <v>1082075</v>
      </c>
      <c r="JE21" s="560">
        <v>795613</v>
      </c>
      <c r="JF21" s="559">
        <v>6395261</v>
      </c>
      <c r="JG21" s="560">
        <v>3884670</v>
      </c>
      <c r="JH21" s="560">
        <v>667786</v>
      </c>
      <c r="JI21" s="560">
        <v>1188657</v>
      </c>
      <c r="JJ21" s="560">
        <v>846059</v>
      </c>
      <c r="JK21" s="12">
        <v>1428031</v>
      </c>
      <c r="JL21" s="5">
        <v>1256246</v>
      </c>
      <c r="JM21" s="5">
        <v>92024</v>
      </c>
      <c r="JN21" s="5">
        <v>106558</v>
      </c>
      <c r="JO21" s="5">
        <v>79761</v>
      </c>
      <c r="JP21" s="12">
        <v>1996250</v>
      </c>
      <c r="JQ21" s="53">
        <v>1658073</v>
      </c>
      <c r="JR21" s="53">
        <v>147745</v>
      </c>
      <c r="JS21" s="53">
        <v>206895</v>
      </c>
      <c r="JT21" s="53">
        <v>190432</v>
      </c>
      <c r="JU21" s="183">
        <v>2661834</v>
      </c>
      <c r="JV21" s="53">
        <v>2142452</v>
      </c>
      <c r="JW21" s="53">
        <v>225054</v>
      </c>
      <c r="JX21" s="53">
        <v>398359</v>
      </c>
      <c r="JY21" s="53">
        <v>294328</v>
      </c>
      <c r="JZ21" s="183">
        <v>2744481.2939999998</v>
      </c>
      <c r="KA21" s="53">
        <v>2202965.0239999997</v>
      </c>
      <c r="KB21" s="53">
        <v>236497.272</v>
      </c>
      <c r="KC21" s="53">
        <v>425573.82</v>
      </c>
      <c r="KD21" s="53">
        <v>305018.99800000002</v>
      </c>
      <c r="KE21" s="53">
        <v>2932559</v>
      </c>
      <c r="KF21" s="53">
        <v>1943628</v>
      </c>
      <c r="KG21" s="53">
        <v>265078</v>
      </c>
      <c r="KH21" s="53">
        <v>466522</v>
      </c>
      <c r="KI21" s="53">
        <v>333962</v>
      </c>
      <c r="KJ21" s="53">
        <v>3266266</v>
      </c>
      <c r="KK21" s="53">
        <v>2081062</v>
      </c>
      <c r="KL21" s="53">
        <v>299190</v>
      </c>
      <c r="KM21" s="53">
        <v>567254</v>
      </c>
      <c r="KN21" s="53">
        <v>396270</v>
      </c>
      <c r="KO21" s="53">
        <v>3362678</v>
      </c>
      <c r="KP21" s="53">
        <v>2113931</v>
      </c>
      <c r="KQ21" s="53">
        <v>319731</v>
      </c>
      <c r="KR21" s="53">
        <v>609619</v>
      </c>
      <c r="KS21" s="53">
        <v>416630</v>
      </c>
      <c r="KT21" s="330">
        <v>150419</v>
      </c>
      <c r="KU21" s="331">
        <v>254365</v>
      </c>
      <c r="KV21" s="316">
        <v>403447</v>
      </c>
      <c r="KW21" s="332">
        <f t="shared" si="327"/>
        <v>238174</v>
      </c>
      <c r="KX21" s="332">
        <f t="shared" si="328"/>
        <v>165273</v>
      </c>
      <c r="KY21" s="332">
        <f t="shared" si="329"/>
        <v>380189</v>
      </c>
      <c r="KZ21" s="318">
        <v>229145</v>
      </c>
      <c r="LA21" s="318">
        <v>151044</v>
      </c>
      <c r="LB21" s="332">
        <f t="shared" si="330"/>
        <v>23258</v>
      </c>
      <c r="LC21" s="318">
        <v>9029</v>
      </c>
      <c r="LD21" s="318">
        <v>14229</v>
      </c>
      <c r="LE21" s="316">
        <v>663143</v>
      </c>
      <c r="LF21" s="332">
        <f t="shared" si="331"/>
        <v>397121</v>
      </c>
      <c r="LG21" s="332">
        <f t="shared" si="332"/>
        <v>266022</v>
      </c>
      <c r="LH21" s="332">
        <f t="shared" si="333"/>
        <v>597992</v>
      </c>
      <c r="LI21" s="318">
        <v>363619</v>
      </c>
      <c r="LJ21" s="318">
        <v>234373</v>
      </c>
      <c r="LK21" s="332">
        <f t="shared" si="334"/>
        <v>30345</v>
      </c>
      <c r="LL21" s="318">
        <v>11596</v>
      </c>
      <c r="LM21" s="318">
        <v>18749</v>
      </c>
      <c r="LN21" s="332">
        <f t="shared" si="335"/>
        <v>34806</v>
      </c>
      <c r="LO21" s="318">
        <v>21906</v>
      </c>
      <c r="LP21" s="318">
        <v>12900</v>
      </c>
      <c r="LQ21" s="316">
        <v>1340981</v>
      </c>
      <c r="LR21" s="332">
        <f t="shared" si="336"/>
        <v>792622</v>
      </c>
      <c r="LS21" s="332">
        <f t="shared" si="337"/>
        <v>548359</v>
      </c>
      <c r="LT21" s="53">
        <f>462265+696595</f>
        <v>1158860</v>
      </c>
      <c r="LU21" s="318">
        <v>696595</v>
      </c>
      <c r="LV21" s="318">
        <v>462265</v>
      </c>
      <c r="LW21" s="318">
        <v>96027</v>
      </c>
      <c r="LX21" s="318">
        <v>86094</v>
      </c>
      <c r="LY21" s="53">
        <f>33242+42901</f>
        <v>76143</v>
      </c>
      <c r="LZ21" s="318">
        <v>33242</v>
      </c>
      <c r="MA21" s="318">
        <v>42901</v>
      </c>
      <c r="MB21" s="53">
        <f>43231+30396</f>
        <v>73627</v>
      </c>
      <c r="MC21" s="318">
        <v>43231</v>
      </c>
      <c r="MD21" s="318">
        <v>30396</v>
      </c>
      <c r="ME21" s="333">
        <f t="shared" si="338"/>
        <v>32351</v>
      </c>
      <c r="MF21" s="333">
        <f t="shared" si="339"/>
        <v>19554</v>
      </c>
      <c r="MG21" s="333">
        <f t="shared" si="340"/>
        <v>12797</v>
      </c>
      <c r="MH21" s="334">
        <f t="shared" si="341"/>
        <v>1533</v>
      </c>
      <c r="MI21" s="334">
        <f t="shared" si="342"/>
        <v>1026</v>
      </c>
      <c r="MJ21" s="334">
        <f t="shared" si="343"/>
        <v>507</v>
      </c>
      <c r="MK21" s="318">
        <v>30818</v>
      </c>
      <c r="ML21" s="318">
        <v>18528</v>
      </c>
      <c r="MM21" s="318">
        <v>12290</v>
      </c>
      <c r="MN21" s="14">
        <f t="shared" si="344"/>
        <v>2094905</v>
      </c>
      <c r="MO21" s="332">
        <f t="shared" si="345"/>
        <v>1159039</v>
      </c>
      <c r="MP21" s="332">
        <f t="shared" si="346"/>
        <v>935866</v>
      </c>
      <c r="MQ21" s="13">
        <f t="shared" si="347"/>
        <v>1835455</v>
      </c>
      <c r="MR21" s="136">
        <f t="shared" si="348"/>
        <v>1725910</v>
      </c>
      <c r="MS21" s="318">
        <v>971282</v>
      </c>
      <c r="MT21" s="318">
        <v>754628</v>
      </c>
      <c r="MU21" s="318">
        <v>187757</v>
      </c>
      <c r="MV21" s="318">
        <v>181238</v>
      </c>
      <c r="MW21" s="13">
        <f t="shared" si="349"/>
        <v>133869</v>
      </c>
      <c r="MX21" s="136">
        <f t="shared" si="350"/>
        <v>132669</v>
      </c>
      <c r="MY21" s="318">
        <v>59265</v>
      </c>
      <c r="MZ21" s="318">
        <v>73404</v>
      </c>
      <c r="NA21" s="13">
        <f t="shared" si="351"/>
        <v>155314</v>
      </c>
      <c r="NB21" s="318">
        <v>82236</v>
      </c>
      <c r="NC21" s="318">
        <v>73078</v>
      </c>
      <c r="ND21" s="11">
        <f t="shared" si="352"/>
        <v>125581</v>
      </c>
      <c r="NE21" s="335">
        <f t="shared" si="353"/>
        <v>46256</v>
      </c>
      <c r="NF21" s="335">
        <f t="shared" si="354"/>
        <v>34756</v>
      </c>
      <c r="NG21" s="336">
        <f t="shared" si="355"/>
        <v>847</v>
      </c>
      <c r="NH21" s="336">
        <f t="shared" si="356"/>
        <v>531</v>
      </c>
      <c r="NI21" s="336">
        <f t="shared" si="357"/>
        <v>316</v>
      </c>
      <c r="NJ21" s="337">
        <f t="shared" si="358"/>
        <v>80165</v>
      </c>
      <c r="NK21" s="337">
        <f t="shared" si="359"/>
        <v>45725</v>
      </c>
      <c r="NL21" s="337">
        <f t="shared" si="360"/>
        <v>34440</v>
      </c>
      <c r="NM21" s="318">
        <v>3415</v>
      </c>
      <c r="NN21" s="318">
        <v>2423</v>
      </c>
      <c r="NO21" s="318">
        <v>42310</v>
      </c>
      <c r="NP21" s="318">
        <v>32017</v>
      </c>
      <c r="NQ21" s="338">
        <v>2972293</v>
      </c>
      <c r="NR21" s="318">
        <v>1556073</v>
      </c>
      <c r="NS21" s="318">
        <v>1416220</v>
      </c>
      <c r="NT21" s="7">
        <f t="shared" si="361"/>
        <v>2456153</v>
      </c>
      <c r="NU21" s="7">
        <v>1305191</v>
      </c>
      <c r="NV21" s="7">
        <v>1150962</v>
      </c>
      <c r="NW21" s="125">
        <f t="shared" si="362"/>
        <v>2240491</v>
      </c>
      <c r="NX21" s="318">
        <v>1199471</v>
      </c>
      <c r="NY21" s="318">
        <v>1041020</v>
      </c>
      <c r="NZ21" s="7">
        <f t="shared" si="363"/>
        <v>211978</v>
      </c>
      <c r="OA21" s="318">
        <v>91937</v>
      </c>
      <c r="OB21" s="318">
        <v>120041</v>
      </c>
      <c r="OC21" s="7">
        <f t="shared" si="364"/>
        <v>304735</v>
      </c>
      <c r="OD21" s="318">
        <v>148308</v>
      </c>
      <c r="OE21" s="318">
        <v>156427</v>
      </c>
      <c r="OF21" s="125">
        <f t="shared" si="365"/>
        <v>304162</v>
      </c>
      <c r="OG21" s="125">
        <f t="shared" si="366"/>
        <v>158945</v>
      </c>
      <c r="OH21" s="125">
        <f t="shared" si="367"/>
        <v>145217</v>
      </c>
      <c r="OI21" s="326">
        <v>3584154</v>
      </c>
      <c r="OJ21" s="318">
        <v>2854356</v>
      </c>
      <c r="OK21" s="318">
        <v>276028</v>
      </c>
      <c r="OL21" s="318">
        <v>453770</v>
      </c>
      <c r="OM21" s="7">
        <v>461676</v>
      </c>
      <c r="ON21" s="183">
        <v>3719713</v>
      </c>
      <c r="OO21" s="53">
        <v>2959333</v>
      </c>
      <c r="OP21" s="53">
        <v>294208</v>
      </c>
      <c r="OQ21" s="53">
        <v>466172</v>
      </c>
      <c r="OR21" s="53">
        <v>490379</v>
      </c>
      <c r="OS21" s="183">
        <v>3840464</v>
      </c>
      <c r="OT21" s="53">
        <v>3071167</v>
      </c>
      <c r="OU21" s="53">
        <v>302697</v>
      </c>
      <c r="OV21" s="53">
        <v>466600</v>
      </c>
      <c r="OW21" s="53">
        <v>512279</v>
      </c>
      <c r="OX21" s="183">
        <v>3982036</v>
      </c>
      <c r="OY21" s="53">
        <v>3162601</v>
      </c>
      <c r="OZ21" s="53">
        <v>332852</v>
      </c>
      <c r="PA21" s="53">
        <v>486583</v>
      </c>
      <c r="PB21" s="53">
        <v>553022</v>
      </c>
      <c r="PC21" s="12">
        <v>4100949.0599999996</v>
      </c>
      <c r="PD21" s="53">
        <v>3256556.9919999996</v>
      </c>
      <c r="PE21" s="53">
        <v>351162.61599999998</v>
      </c>
      <c r="PF21" s="53">
        <v>587697.18000000005</v>
      </c>
      <c r="PG21" s="53">
        <v>493229.45199999999</v>
      </c>
      <c r="PH21" s="53">
        <v>4245621</v>
      </c>
      <c r="PI21" s="53">
        <v>3362776</v>
      </c>
      <c r="PJ21" s="53">
        <v>371931</v>
      </c>
      <c r="PK21" s="53">
        <v>622888</v>
      </c>
      <c r="PL21" s="2">
        <v>510914</v>
      </c>
      <c r="PM21" s="2">
        <v>4413123</v>
      </c>
      <c r="PN21" s="2">
        <v>2913043</v>
      </c>
      <c r="PO21" s="2">
        <v>397124</v>
      </c>
      <c r="PP21" s="2">
        <v>655761</v>
      </c>
      <c r="PQ21" s="2">
        <v>553157</v>
      </c>
      <c r="PR21" s="2">
        <v>4955374</v>
      </c>
      <c r="PS21" s="2">
        <v>3153166</v>
      </c>
      <c r="PT21" s="2">
        <v>458949</v>
      </c>
      <c r="PU21" s="2">
        <v>776991</v>
      </c>
      <c r="PV21" s="2">
        <v>676325</v>
      </c>
      <c r="PW21" s="2">
        <v>5135687</v>
      </c>
      <c r="PX21" s="2">
        <v>3209090</v>
      </c>
      <c r="PY21" s="2">
        <v>485127</v>
      </c>
      <c r="PZ21" s="2">
        <v>855442</v>
      </c>
      <c r="QA21" s="2">
        <v>718492</v>
      </c>
      <c r="QB21" s="12">
        <v>666874</v>
      </c>
      <c r="QC21" s="5">
        <v>579209</v>
      </c>
      <c r="QD21" s="5">
        <v>41845</v>
      </c>
      <c r="QE21" s="5">
        <v>48756</v>
      </c>
      <c r="QF21" s="5">
        <v>45820</v>
      </c>
      <c r="QG21" s="12">
        <v>976043</v>
      </c>
      <c r="QH21" s="53">
        <v>798080</v>
      </c>
      <c r="QI21" s="53">
        <v>64233</v>
      </c>
      <c r="QJ21" s="53">
        <v>97840</v>
      </c>
      <c r="QK21" s="53">
        <v>113730</v>
      </c>
      <c r="QL21" s="12">
        <v>1320202</v>
      </c>
      <c r="QM21" s="53">
        <v>1020149</v>
      </c>
      <c r="QN21" s="53">
        <v>107798</v>
      </c>
      <c r="QO21" s="53">
        <v>154663</v>
      </c>
      <c r="QP21" s="53">
        <v>192255</v>
      </c>
      <c r="QQ21" s="12">
        <v>1356467.7659999998</v>
      </c>
      <c r="QR21" s="53">
        <v>1053591.9680000001</v>
      </c>
      <c r="QS21" s="53">
        <v>114665.344</v>
      </c>
      <c r="QT21" s="53">
        <v>162123.36000000002</v>
      </c>
      <c r="QU21" s="296">
        <v>188210.45399999974</v>
      </c>
      <c r="QV21" s="1">
        <v>1416179</v>
      </c>
      <c r="QW21" s="2">
        <v>1094405</v>
      </c>
      <c r="QX21" s="2">
        <v>120967</v>
      </c>
      <c r="QY21" s="2">
        <v>175302</v>
      </c>
      <c r="QZ21" s="69">
        <v>200807</v>
      </c>
      <c r="RA21" s="2">
        <v>1480564</v>
      </c>
      <c r="RB21" s="2">
        <v>969415</v>
      </c>
      <c r="RC21" s="2">
        <v>132046</v>
      </c>
      <c r="RD21" s="2">
        <v>189239</v>
      </c>
      <c r="RE21" s="2">
        <v>219195</v>
      </c>
      <c r="RF21" s="2">
        <v>1689108</v>
      </c>
      <c r="RG21" s="2">
        <v>1072104</v>
      </c>
      <c r="RH21" s="2">
        <v>159759</v>
      </c>
      <c r="RI21" s="2">
        <v>209737</v>
      </c>
      <c r="RJ21" s="2">
        <v>280055</v>
      </c>
      <c r="RK21" s="2">
        <v>1773009</v>
      </c>
      <c r="RL21" s="2">
        <v>1095159</v>
      </c>
      <c r="RM21" s="2">
        <v>165396</v>
      </c>
      <c r="RN21" s="2">
        <v>245823</v>
      </c>
      <c r="RO21" s="2">
        <v>301862</v>
      </c>
    </row>
    <row r="22" spans="1:483" ht="14.25" x14ac:dyDescent="0.2">
      <c r="A22" s="216" t="s">
        <v>14</v>
      </c>
      <c r="B22" s="183">
        <f>86181+181000+76611+63160+180761+90255</f>
        <v>677968</v>
      </c>
      <c r="C22" s="53">
        <f>52226+134035+60161+37542+127915+68228</f>
        <v>480107</v>
      </c>
      <c r="D22" s="53">
        <f>32477+44236+15522+23143+48576+20121</f>
        <v>184075</v>
      </c>
      <c r="E22" s="53">
        <f>982+1894+685+1100+2104+1036</f>
        <v>7801</v>
      </c>
      <c r="F22" s="296">
        <f>120+212+114+349+516+121+93+284+92+1164+1748+695</f>
        <v>5508</v>
      </c>
      <c r="G22" s="5">
        <v>443668</v>
      </c>
      <c r="H22" s="53">
        <v>308766</v>
      </c>
      <c r="I22" s="53">
        <v>118013</v>
      </c>
      <c r="J22" s="53">
        <v>14194</v>
      </c>
      <c r="K22" s="296">
        <v>16889</v>
      </c>
      <c r="L22" s="5">
        <v>338184</v>
      </c>
      <c r="M22" s="53">
        <v>216029</v>
      </c>
      <c r="N22" s="53">
        <v>81723</v>
      </c>
      <c r="O22" s="53">
        <v>39380</v>
      </c>
      <c r="P22" s="296">
        <v>40432</v>
      </c>
      <c r="Q22" s="7">
        <v>292857</v>
      </c>
      <c r="R22" s="560">
        <v>183111</v>
      </c>
      <c r="S22" s="560">
        <v>62745</v>
      </c>
      <c r="T22" s="560">
        <v>68005</v>
      </c>
      <c r="U22" s="575">
        <v>47001</v>
      </c>
      <c r="V22" s="560">
        <v>278157</v>
      </c>
      <c r="W22" s="4">
        <v>171814</v>
      </c>
      <c r="X22" s="560">
        <v>56892</v>
      </c>
      <c r="Y22" s="560">
        <v>71502</v>
      </c>
      <c r="Z22" s="560">
        <v>49451</v>
      </c>
      <c r="AA22" s="560">
        <v>268572</v>
      </c>
      <c r="AB22" s="560">
        <v>124934</v>
      </c>
      <c r="AC22" s="560">
        <v>53924</v>
      </c>
      <c r="AD22" s="560">
        <v>69393</v>
      </c>
      <c r="AE22" s="675">
        <v>47932</v>
      </c>
      <c r="AF22" s="560">
        <v>256445</v>
      </c>
      <c r="AG22" s="560">
        <v>108278</v>
      </c>
      <c r="AH22" s="560">
        <v>50794</v>
      </c>
      <c r="AI22" s="560">
        <v>74021</v>
      </c>
      <c r="AJ22" s="560">
        <v>51398</v>
      </c>
      <c r="AK22" s="560">
        <v>247576</v>
      </c>
      <c r="AL22" s="560">
        <v>103874</v>
      </c>
      <c r="AM22" s="560">
        <v>42490</v>
      </c>
      <c r="AN22" s="560">
        <v>74183</v>
      </c>
      <c r="AO22" s="560">
        <v>61835</v>
      </c>
      <c r="AP22" s="183">
        <v>543535</v>
      </c>
      <c r="AQ22" s="53">
        <v>378211</v>
      </c>
      <c r="AR22" s="53">
        <v>150880</v>
      </c>
      <c r="AS22" s="53">
        <v>10673</v>
      </c>
      <c r="AT22" s="296">
        <v>14444</v>
      </c>
      <c r="AU22" s="5">
        <v>526426</v>
      </c>
      <c r="AV22" s="53">
        <v>335037</v>
      </c>
      <c r="AW22" s="53">
        <v>155196</v>
      </c>
      <c r="AX22" s="53">
        <v>25567</v>
      </c>
      <c r="AY22" s="296">
        <v>36193</v>
      </c>
      <c r="AZ22" s="5">
        <v>433915</v>
      </c>
      <c r="BA22" s="53">
        <v>263808</v>
      </c>
      <c r="BB22" s="53">
        <v>132047</v>
      </c>
      <c r="BC22" s="53">
        <v>41133</v>
      </c>
      <c r="BD22" s="296">
        <v>38060</v>
      </c>
      <c r="BE22" s="53">
        <v>406591</v>
      </c>
      <c r="BF22" s="53">
        <v>247849</v>
      </c>
      <c r="BG22" s="53">
        <v>121345</v>
      </c>
      <c r="BH22" s="53">
        <v>42570</v>
      </c>
      <c r="BI22" s="53">
        <v>37397</v>
      </c>
      <c r="BJ22" s="53">
        <v>393756</v>
      </c>
      <c r="BK22" s="53">
        <v>213394</v>
      </c>
      <c r="BL22" s="53">
        <v>119081</v>
      </c>
      <c r="BM22" s="53">
        <v>41871</v>
      </c>
      <c r="BN22" s="53">
        <v>35319</v>
      </c>
      <c r="BO22" s="53">
        <v>373316</v>
      </c>
      <c r="BP22" s="53">
        <v>191734</v>
      </c>
      <c r="BQ22" s="53">
        <v>112815</v>
      </c>
      <c r="BR22" s="53">
        <v>47182</v>
      </c>
      <c r="BS22" s="53">
        <v>40677</v>
      </c>
      <c r="BT22" s="53">
        <v>366738</v>
      </c>
      <c r="BU22" s="53">
        <v>188720</v>
      </c>
      <c r="BV22" s="53">
        <v>105330</v>
      </c>
      <c r="BW22" s="53">
        <v>46278</v>
      </c>
      <c r="BX22" s="53">
        <v>45269</v>
      </c>
      <c r="BY22" s="12">
        <v>696056</v>
      </c>
      <c r="BZ22" s="53">
        <v>429971</v>
      </c>
      <c r="CA22" s="53">
        <v>183751</v>
      </c>
      <c r="CB22" s="53">
        <v>110002</v>
      </c>
      <c r="CC22" s="546">
        <f t="shared" si="368"/>
        <v>82334</v>
      </c>
      <c r="CD22" s="327">
        <v>293071</v>
      </c>
      <c r="CE22" s="328">
        <v>507780</v>
      </c>
      <c r="CF22" s="328">
        <v>790439</v>
      </c>
      <c r="CG22" s="328">
        <v>1168723</v>
      </c>
      <c r="CH22" s="12">
        <v>1955875</v>
      </c>
      <c r="CI22" s="53">
        <v>1670933.9680000001</v>
      </c>
      <c r="CJ22" s="53">
        <v>223334.26</v>
      </c>
      <c r="CK22" s="53">
        <v>27269.712000000003</v>
      </c>
      <c r="CL22" s="296">
        <v>32534.133000000002</v>
      </c>
      <c r="CM22" s="5">
        <v>2987611</v>
      </c>
      <c r="CN22" s="53">
        <v>2476927</v>
      </c>
      <c r="CO22" s="53">
        <v>408102</v>
      </c>
      <c r="CP22" s="53">
        <v>59549</v>
      </c>
      <c r="CQ22" s="296">
        <v>102582</v>
      </c>
      <c r="CR22" s="5">
        <v>3801964</v>
      </c>
      <c r="CS22" s="53">
        <v>2953546</v>
      </c>
      <c r="CT22" s="53">
        <v>596593</v>
      </c>
      <c r="CU22" s="53">
        <v>110241</v>
      </c>
      <c r="CV22" s="53">
        <v>251825</v>
      </c>
      <c r="CW22" s="329">
        <v>4310766</v>
      </c>
      <c r="CX22" s="53">
        <v>3244158</v>
      </c>
      <c r="CY22" s="53">
        <v>718664</v>
      </c>
      <c r="CZ22" s="53">
        <v>347944</v>
      </c>
      <c r="DA22" s="53">
        <v>178388</v>
      </c>
      <c r="DB22" s="183">
        <v>4377474</v>
      </c>
      <c r="DC22" s="53">
        <v>3285634</v>
      </c>
      <c r="DD22" s="53">
        <v>733988</v>
      </c>
      <c r="DE22" s="53">
        <v>357852</v>
      </c>
      <c r="DF22" s="53">
        <v>186685</v>
      </c>
      <c r="DG22" s="56">
        <v>4432496</v>
      </c>
      <c r="DH22" s="54">
        <v>3318362</v>
      </c>
      <c r="DI22" s="54">
        <v>749229</v>
      </c>
      <c r="DJ22" s="54">
        <v>364905</v>
      </c>
      <c r="DK22" s="54">
        <v>197207</v>
      </c>
      <c r="DL22" s="12">
        <v>4554995</v>
      </c>
      <c r="DM22" s="53">
        <v>3381735</v>
      </c>
      <c r="DN22" s="53">
        <v>772713</v>
      </c>
      <c r="DO22" s="53">
        <v>221893</v>
      </c>
      <c r="DP22" s="53">
        <v>337995</v>
      </c>
      <c r="DQ22" s="12">
        <v>4658220.99</v>
      </c>
      <c r="DR22" s="53">
        <v>3439767.4560000002</v>
      </c>
      <c r="DS22" s="53">
        <v>793647.17599999998</v>
      </c>
      <c r="DT22" s="53">
        <v>237354.15599999999</v>
      </c>
      <c r="DU22" s="581">
        <f t="shared" si="369"/>
        <v>424806.35800000001</v>
      </c>
      <c r="DV22" s="53">
        <v>4748305</v>
      </c>
      <c r="DW22" s="53">
        <v>3495864</v>
      </c>
      <c r="DX22" s="53">
        <v>813898</v>
      </c>
      <c r="DY22" s="53">
        <v>249910</v>
      </c>
      <c r="DZ22" s="53">
        <v>438543</v>
      </c>
      <c r="EA22" s="53">
        <v>4837135</v>
      </c>
      <c r="EB22" s="53">
        <v>3370881</v>
      </c>
      <c r="EC22" s="53">
        <v>830882</v>
      </c>
      <c r="ED22" s="53">
        <v>269338</v>
      </c>
      <c r="EE22" s="53">
        <v>455628</v>
      </c>
      <c r="EF22" s="53">
        <v>5055557</v>
      </c>
      <c r="EG22" s="53">
        <v>3453731</v>
      </c>
      <c r="EH22" s="53">
        <v>882391</v>
      </c>
      <c r="EI22" s="53">
        <v>297466</v>
      </c>
      <c r="EJ22" s="53">
        <v>412202</v>
      </c>
      <c r="EK22" s="53">
        <v>5106859</v>
      </c>
      <c r="EL22" s="53">
        <v>3465110</v>
      </c>
      <c r="EM22" s="53">
        <v>902707</v>
      </c>
      <c r="EN22" s="53">
        <v>306119</v>
      </c>
      <c r="EO22" s="53">
        <v>428560</v>
      </c>
      <c r="EP22" s="12">
        <f>212528+255596</f>
        <v>468124</v>
      </c>
      <c r="EQ22" s="53">
        <f>217675+176502</f>
        <v>394177</v>
      </c>
      <c r="ER22" s="53">
        <f>28173+29658</f>
        <v>57831</v>
      </c>
      <c r="ES22" s="53">
        <f>3818+3775</f>
        <v>7593</v>
      </c>
      <c r="ET22" s="296">
        <f>420+3302+516+3569</f>
        <v>7807</v>
      </c>
      <c r="EU22" s="5">
        <v>955518</v>
      </c>
      <c r="EV22" s="53">
        <v>778941</v>
      </c>
      <c r="EW22" s="53">
        <v>145230</v>
      </c>
      <c r="EX22" s="53">
        <v>22593</v>
      </c>
      <c r="EY22" s="296">
        <v>31347</v>
      </c>
      <c r="EZ22" s="5">
        <v>1214513</v>
      </c>
      <c r="FA22" s="53">
        <v>919333</v>
      </c>
      <c r="FB22" s="53">
        <v>222477</v>
      </c>
      <c r="FC22" s="53">
        <v>38343</v>
      </c>
      <c r="FD22" s="296">
        <v>72703</v>
      </c>
      <c r="FE22" s="5">
        <v>1425433</v>
      </c>
      <c r="FF22" s="53">
        <v>1024270</v>
      </c>
      <c r="FG22" s="53">
        <v>295872</v>
      </c>
      <c r="FH22" s="53">
        <v>73480</v>
      </c>
      <c r="FI22" s="296">
        <v>105291</v>
      </c>
      <c r="FJ22" s="5">
        <v>1445654.79</v>
      </c>
      <c r="FK22" s="53">
        <v>1034254.4040000001</v>
      </c>
      <c r="FL22" s="53">
        <v>302993.38</v>
      </c>
      <c r="FM22" s="53">
        <v>77730.015999999989</v>
      </c>
      <c r="FN22" s="296">
        <v>108407.00599999994</v>
      </c>
      <c r="FO22" s="53">
        <v>1467967</v>
      </c>
      <c r="FP22" s="53">
        <v>1046516</v>
      </c>
      <c r="FQ22" s="53">
        <v>309248</v>
      </c>
      <c r="FR22" s="53">
        <v>80431</v>
      </c>
      <c r="FS22" s="618">
        <v>112203</v>
      </c>
      <c r="FT22" s="618">
        <v>1496624</v>
      </c>
      <c r="FU22" s="618">
        <v>1004578</v>
      </c>
      <c r="FV22" s="618">
        <v>320104</v>
      </c>
      <c r="FW22" s="618">
        <v>88153</v>
      </c>
      <c r="FX22" s="618">
        <v>114345</v>
      </c>
      <c r="FY22" s="618">
        <v>1554356</v>
      </c>
      <c r="FZ22" s="618">
        <v>1025236</v>
      </c>
      <c r="GA22" s="618">
        <v>335886</v>
      </c>
      <c r="GB22" s="618">
        <v>99069</v>
      </c>
      <c r="GC22" s="618">
        <v>130620</v>
      </c>
      <c r="GD22" s="618">
        <v>1555338</v>
      </c>
      <c r="GE22" s="618">
        <v>1019223</v>
      </c>
      <c r="GF22" s="618">
        <v>340210</v>
      </c>
      <c r="GG22" s="618">
        <v>100934</v>
      </c>
      <c r="GH22" s="618">
        <v>129879</v>
      </c>
      <c r="GI22" s="12">
        <v>219511</v>
      </c>
      <c r="GJ22" s="53">
        <v>182542</v>
      </c>
      <c r="GK22" s="53">
        <v>27880</v>
      </c>
      <c r="GL22" s="53">
        <v>5205</v>
      </c>
      <c r="GM22" s="296">
        <v>9089</v>
      </c>
      <c r="GN22" s="5">
        <v>262813</v>
      </c>
      <c r="GO22" s="53">
        <v>202932</v>
      </c>
      <c r="GP22" s="53">
        <v>41086</v>
      </c>
      <c r="GQ22" s="53">
        <v>8593</v>
      </c>
      <c r="GR22" s="296">
        <v>18795</v>
      </c>
      <c r="GS22" s="183">
        <v>353195</v>
      </c>
      <c r="GT22" s="53">
        <v>258769</v>
      </c>
      <c r="GU22" s="53">
        <v>65658</v>
      </c>
      <c r="GV22" s="53">
        <v>17098</v>
      </c>
      <c r="GW22" s="53">
        <v>28768</v>
      </c>
      <c r="GX22" s="183"/>
      <c r="GY22" s="53"/>
      <c r="GZ22" s="53"/>
      <c r="HA22" s="53"/>
      <c r="HB22" s="296"/>
      <c r="HC22" s="53">
        <v>377135</v>
      </c>
      <c r="HD22" s="53">
        <v>273919</v>
      </c>
      <c r="HE22" s="53">
        <v>71792</v>
      </c>
      <c r="HF22" s="53">
        <v>18384</v>
      </c>
      <c r="HG22" s="53">
        <v>31424</v>
      </c>
      <c r="HH22" s="53">
        <v>393267</v>
      </c>
      <c r="HI22" s="53">
        <v>271201</v>
      </c>
      <c r="HJ22" s="53">
        <v>76211</v>
      </c>
      <c r="HK22" s="53">
        <v>20557</v>
      </c>
      <c r="HL22" s="53">
        <v>33274</v>
      </c>
      <c r="HM22" s="53">
        <v>426955</v>
      </c>
      <c r="HN22" s="53">
        <v>284277</v>
      </c>
      <c r="HO22" s="53">
        <v>85569</v>
      </c>
      <c r="HP22" s="53">
        <v>28108</v>
      </c>
      <c r="HQ22" s="53">
        <v>40386</v>
      </c>
      <c r="HR22" s="53">
        <v>438669</v>
      </c>
      <c r="HS22" s="53">
        <v>292359</v>
      </c>
      <c r="HT22" s="53">
        <v>87068</v>
      </c>
      <c r="HU22" s="53">
        <v>27896</v>
      </c>
      <c r="HV22" s="53">
        <v>40886</v>
      </c>
      <c r="HW22" s="569">
        <f t="shared" si="370"/>
        <v>1192405</v>
      </c>
      <c r="HX22" s="546">
        <f t="shared" si="371"/>
        <v>1036123</v>
      </c>
      <c r="HY22" s="546">
        <f t="shared" si="372"/>
        <v>103352</v>
      </c>
      <c r="HZ22" s="546">
        <f t="shared" si="373"/>
        <v>24105</v>
      </c>
      <c r="IA22" s="546">
        <f t="shared" si="374"/>
        <v>52930</v>
      </c>
      <c r="IB22" s="569">
        <f t="shared" si="375"/>
        <v>1637801</v>
      </c>
      <c r="IC22" s="546">
        <f t="shared" si="376"/>
        <v>1334281</v>
      </c>
      <c r="ID22" s="546">
        <f t="shared" si="377"/>
        <v>167084</v>
      </c>
      <c r="IE22" s="546">
        <f t="shared" si="378"/>
        <v>44792</v>
      </c>
      <c r="IF22" s="546">
        <f t="shared" si="379"/>
        <v>136436</v>
      </c>
      <c r="IG22" s="183">
        <v>1794206</v>
      </c>
      <c r="IH22" s="53">
        <v>1388200</v>
      </c>
      <c r="II22" s="53">
        <v>208082</v>
      </c>
      <c r="IJ22" s="53">
        <v>77925</v>
      </c>
      <c r="IK22" s="53">
        <v>197924</v>
      </c>
      <c r="IL22" s="559"/>
      <c r="IM22" s="560"/>
      <c r="IN22" s="560"/>
      <c r="IO22" s="560"/>
      <c r="IP22" s="560"/>
      <c r="IQ22" s="560">
        <v>2275156</v>
      </c>
      <c r="IR22" s="560">
        <v>1736539</v>
      </c>
      <c r="IS22" s="560">
        <v>272913</v>
      </c>
      <c r="IT22" s="560">
        <v>99653</v>
      </c>
      <c r="IU22" s="575">
        <v>265704</v>
      </c>
      <c r="IV22" s="560">
        <v>2345676</v>
      </c>
      <c r="IW22" s="560">
        <v>1708571</v>
      </c>
      <c r="IX22" s="560">
        <v>284645</v>
      </c>
      <c r="IY22" s="560">
        <v>106440</v>
      </c>
      <c r="IZ22" s="560">
        <v>279338</v>
      </c>
      <c r="JA22" s="559">
        <v>2528999</v>
      </c>
      <c r="JB22" s="560">
        <v>1796687</v>
      </c>
      <c r="JC22" s="560">
        <v>324245</v>
      </c>
      <c r="JD22" s="560">
        <v>124465</v>
      </c>
      <c r="JE22" s="560">
        <v>262527</v>
      </c>
      <c r="JF22" s="559">
        <v>2617354</v>
      </c>
      <c r="JG22" s="560">
        <v>1855949</v>
      </c>
      <c r="JH22" s="560">
        <v>331786</v>
      </c>
      <c r="JI22" s="560">
        <v>128611</v>
      </c>
      <c r="JJ22" s="560">
        <v>277975</v>
      </c>
      <c r="JK22" s="12">
        <v>612679</v>
      </c>
      <c r="JL22" s="5">
        <v>535216</v>
      </c>
      <c r="JM22" s="5">
        <v>50841</v>
      </c>
      <c r="JN22" s="5">
        <v>11445</v>
      </c>
      <c r="JO22" s="5">
        <v>26622</v>
      </c>
      <c r="JP22" s="12">
        <v>835011</v>
      </c>
      <c r="JQ22" s="53">
        <v>681568</v>
      </c>
      <c r="JR22" s="53">
        <v>83384</v>
      </c>
      <c r="JS22" s="53">
        <v>21696</v>
      </c>
      <c r="JT22" s="53">
        <v>70059</v>
      </c>
      <c r="JU22" s="183">
        <v>1051740</v>
      </c>
      <c r="JV22" s="53">
        <v>815907</v>
      </c>
      <c r="JW22" s="53">
        <v>115091</v>
      </c>
      <c r="JX22" s="53">
        <v>47801</v>
      </c>
      <c r="JY22" s="53">
        <v>120742</v>
      </c>
      <c r="JZ22" s="183">
        <v>1081563.9539999999</v>
      </c>
      <c r="KA22" s="53">
        <v>832826.58</v>
      </c>
      <c r="KB22" s="53">
        <v>120219.95400000001</v>
      </c>
      <c r="KC22" s="53">
        <v>48581.26</v>
      </c>
      <c r="KD22" s="53">
        <v>128517.41999999994</v>
      </c>
      <c r="KE22" s="53">
        <v>1137430</v>
      </c>
      <c r="KF22" s="53">
        <v>832455</v>
      </c>
      <c r="KG22" s="53">
        <v>128938</v>
      </c>
      <c r="KH22" s="53">
        <v>54020</v>
      </c>
      <c r="KI22" s="53">
        <v>138609</v>
      </c>
      <c r="KJ22" s="53">
        <v>1209217</v>
      </c>
      <c r="KK22" s="53">
        <v>864477</v>
      </c>
      <c r="KL22" s="53">
        <v>143228</v>
      </c>
      <c r="KM22" s="53">
        <v>57442</v>
      </c>
      <c r="KN22" s="53">
        <v>159895</v>
      </c>
      <c r="KO22" s="53">
        <v>1241751</v>
      </c>
      <c r="KP22" s="53">
        <v>890176</v>
      </c>
      <c r="KQ22" s="53">
        <v>144944</v>
      </c>
      <c r="KR22" s="53">
        <v>60013</v>
      </c>
      <c r="KS22" s="53">
        <v>164378</v>
      </c>
      <c r="KT22" s="330">
        <v>60616</v>
      </c>
      <c r="KU22" s="331">
        <v>113070</v>
      </c>
      <c r="KV22" s="316">
        <v>174904</v>
      </c>
      <c r="KW22" s="332">
        <f t="shared" si="327"/>
        <v>104867</v>
      </c>
      <c r="KX22" s="332">
        <f t="shared" si="328"/>
        <v>70037</v>
      </c>
      <c r="KY22" s="332">
        <f t="shared" si="329"/>
        <v>162225</v>
      </c>
      <c r="KZ22" s="318">
        <v>99896</v>
      </c>
      <c r="LA22" s="318">
        <v>62329</v>
      </c>
      <c r="LB22" s="332">
        <f t="shared" si="330"/>
        <v>12679</v>
      </c>
      <c r="LC22" s="318">
        <v>4971</v>
      </c>
      <c r="LD22" s="318">
        <v>7708</v>
      </c>
      <c r="LE22" s="316">
        <v>303287</v>
      </c>
      <c r="LF22" s="332">
        <f t="shared" si="331"/>
        <v>184167</v>
      </c>
      <c r="LG22" s="332">
        <f t="shared" si="332"/>
        <v>119120</v>
      </c>
      <c r="LH22" s="332">
        <f t="shared" si="333"/>
        <v>281197</v>
      </c>
      <c r="LI22" s="318">
        <v>174390</v>
      </c>
      <c r="LJ22" s="318">
        <v>106807</v>
      </c>
      <c r="LK22" s="332">
        <f t="shared" si="334"/>
        <v>17062</v>
      </c>
      <c r="LL22" s="318">
        <v>6428</v>
      </c>
      <c r="LM22" s="318">
        <v>10634</v>
      </c>
      <c r="LN22" s="332">
        <f t="shared" si="335"/>
        <v>5028</v>
      </c>
      <c r="LO22" s="318">
        <v>3349</v>
      </c>
      <c r="LP22" s="318">
        <v>1679</v>
      </c>
      <c r="LQ22" s="316">
        <v>598069</v>
      </c>
      <c r="LR22" s="332">
        <f t="shared" si="336"/>
        <v>346388</v>
      </c>
      <c r="LS22" s="332">
        <f t="shared" si="337"/>
        <v>251681</v>
      </c>
      <c r="LT22" s="53">
        <f>315374+217567</f>
        <v>532941</v>
      </c>
      <c r="LU22" s="318">
        <v>315374</v>
      </c>
      <c r="LV22" s="318">
        <v>217567</v>
      </c>
      <c r="LW22" s="318">
        <v>31014</v>
      </c>
      <c r="LX22" s="318">
        <v>34114</v>
      </c>
      <c r="LY22" s="53">
        <f>17425+23700</f>
        <v>41125</v>
      </c>
      <c r="LZ22" s="318">
        <v>17425</v>
      </c>
      <c r="MA22" s="318">
        <v>23700</v>
      </c>
      <c r="MB22" s="53">
        <f>4965+3624</f>
        <v>8589</v>
      </c>
      <c r="MC22" s="318">
        <v>4965</v>
      </c>
      <c r="MD22" s="318">
        <v>3624</v>
      </c>
      <c r="ME22" s="333">
        <f t="shared" si="338"/>
        <v>15414</v>
      </c>
      <c r="MF22" s="333">
        <f t="shared" si="339"/>
        <v>8624</v>
      </c>
      <c r="MG22" s="333">
        <f t="shared" si="340"/>
        <v>6790</v>
      </c>
      <c r="MH22" s="334">
        <f t="shared" si="341"/>
        <v>1138</v>
      </c>
      <c r="MI22" s="334">
        <f t="shared" si="342"/>
        <v>836</v>
      </c>
      <c r="MJ22" s="334">
        <f t="shared" si="343"/>
        <v>302</v>
      </c>
      <c r="MK22" s="318">
        <v>14276</v>
      </c>
      <c r="ML22" s="318">
        <v>7788</v>
      </c>
      <c r="MM22" s="318">
        <v>6488</v>
      </c>
      <c r="MN22" s="14">
        <f t="shared" si="344"/>
        <v>972894</v>
      </c>
      <c r="MO22" s="332">
        <f t="shared" si="345"/>
        <v>528170</v>
      </c>
      <c r="MP22" s="332">
        <f t="shared" si="346"/>
        <v>444724</v>
      </c>
      <c r="MQ22" s="13">
        <f t="shared" si="347"/>
        <v>853581</v>
      </c>
      <c r="MR22" s="136">
        <f t="shared" si="348"/>
        <v>839728</v>
      </c>
      <c r="MS22" s="318">
        <v>465213</v>
      </c>
      <c r="MT22" s="318">
        <v>374515</v>
      </c>
      <c r="MU22" s="318">
        <v>62957</v>
      </c>
      <c r="MV22" s="318">
        <v>70209</v>
      </c>
      <c r="MW22" s="13">
        <f t="shared" si="349"/>
        <v>75472</v>
      </c>
      <c r="MX22" s="136">
        <f t="shared" si="350"/>
        <v>75001</v>
      </c>
      <c r="MY22" s="318">
        <v>31355</v>
      </c>
      <c r="MZ22" s="318">
        <v>43646</v>
      </c>
      <c r="NA22" s="13">
        <f t="shared" si="351"/>
        <v>18900</v>
      </c>
      <c r="NB22" s="318">
        <v>10513</v>
      </c>
      <c r="NC22" s="318">
        <v>8387</v>
      </c>
      <c r="ND22" s="11">
        <f t="shared" si="352"/>
        <v>43841</v>
      </c>
      <c r="NE22" s="335">
        <f t="shared" si="353"/>
        <v>21089</v>
      </c>
      <c r="NF22" s="335">
        <f t="shared" si="354"/>
        <v>18176</v>
      </c>
      <c r="NG22" s="336">
        <f t="shared" si="355"/>
        <v>373</v>
      </c>
      <c r="NH22" s="336">
        <f t="shared" si="356"/>
        <v>221</v>
      </c>
      <c r="NI22" s="336">
        <f t="shared" si="357"/>
        <v>152</v>
      </c>
      <c r="NJ22" s="337">
        <f t="shared" si="358"/>
        <v>38892</v>
      </c>
      <c r="NK22" s="337">
        <f t="shared" si="359"/>
        <v>20868</v>
      </c>
      <c r="NL22" s="337">
        <f t="shared" si="360"/>
        <v>18024</v>
      </c>
      <c r="NM22" s="318">
        <v>865</v>
      </c>
      <c r="NN22" s="318">
        <v>571</v>
      </c>
      <c r="NO22" s="318">
        <v>20003</v>
      </c>
      <c r="NP22" s="318">
        <v>17453</v>
      </c>
      <c r="NQ22" s="338">
        <v>1374988</v>
      </c>
      <c r="NR22" s="318">
        <v>703626</v>
      </c>
      <c r="NS22" s="318">
        <v>671362</v>
      </c>
      <c r="NT22" s="7">
        <f t="shared" si="361"/>
        <v>1131349</v>
      </c>
      <c r="NU22" s="7">
        <v>590978</v>
      </c>
      <c r="NV22" s="7">
        <v>540371</v>
      </c>
      <c r="NW22" s="125">
        <f t="shared" si="362"/>
        <v>1107601</v>
      </c>
      <c r="NX22" s="318">
        <v>579122</v>
      </c>
      <c r="NY22" s="318">
        <v>528479</v>
      </c>
      <c r="NZ22" s="7">
        <f t="shared" si="363"/>
        <v>125998</v>
      </c>
      <c r="OA22" s="318">
        <v>52071</v>
      </c>
      <c r="OB22" s="318">
        <v>73927</v>
      </c>
      <c r="OC22" s="7">
        <f t="shared" si="364"/>
        <v>36199</v>
      </c>
      <c r="OD22" s="318">
        <v>18074</v>
      </c>
      <c r="OE22" s="318">
        <v>18125</v>
      </c>
      <c r="OF22" s="125">
        <f t="shared" si="365"/>
        <v>117641</v>
      </c>
      <c r="OG22" s="125">
        <f t="shared" si="366"/>
        <v>60577</v>
      </c>
      <c r="OH22" s="125">
        <f t="shared" si="367"/>
        <v>57064</v>
      </c>
      <c r="OI22" s="326">
        <v>1661709</v>
      </c>
      <c r="OJ22" s="318">
        <v>1324987</v>
      </c>
      <c r="OK22" s="318">
        <v>161035</v>
      </c>
      <c r="OL22" s="318">
        <v>175687</v>
      </c>
      <c r="OM22" s="7">
        <v>56597</v>
      </c>
      <c r="ON22" s="183">
        <v>1697369</v>
      </c>
      <c r="OO22" s="53">
        <v>1350523</v>
      </c>
      <c r="OP22" s="53">
        <v>164765</v>
      </c>
      <c r="OQ22" s="53">
        <v>182081</v>
      </c>
      <c r="OR22" s="53">
        <v>63130</v>
      </c>
      <c r="OS22" s="183">
        <v>1737186</v>
      </c>
      <c r="OT22" s="53">
        <v>1379390</v>
      </c>
      <c r="OU22" s="53">
        <v>169047</v>
      </c>
      <c r="OV22" s="53">
        <v>188749</v>
      </c>
      <c r="OW22" s="53">
        <v>65653</v>
      </c>
      <c r="OX22" s="183">
        <v>1791467</v>
      </c>
      <c r="OY22" s="53">
        <v>1398402</v>
      </c>
      <c r="OZ22" s="53">
        <v>182026</v>
      </c>
      <c r="PA22" s="53">
        <v>211039</v>
      </c>
      <c r="PB22" s="53">
        <v>73697</v>
      </c>
      <c r="PC22" s="12">
        <v>1847225.5649999999</v>
      </c>
      <c r="PD22" s="53">
        <v>1429362.828</v>
      </c>
      <c r="PE22" s="53">
        <v>190592.61000000002</v>
      </c>
      <c r="PF22" s="53">
        <v>76688.989000000001</v>
      </c>
      <c r="PG22" s="53">
        <v>227270.12699999995</v>
      </c>
      <c r="PH22" s="53">
        <v>1898021</v>
      </c>
      <c r="PI22" s="53">
        <v>1462620</v>
      </c>
      <c r="PJ22" s="53">
        <v>201121</v>
      </c>
      <c r="PK22" s="53">
        <v>81269</v>
      </c>
      <c r="PL22" s="2">
        <v>234280</v>
      </c>
      <c r="PM22" s="2">
        <v>1952409</v>
      </c>
      <c r="PN22" s="2">
        <v>1437370</v>
      </c>
      <c r="PO22" s="2">
        <v>208434</v>
      </c>
      <c r="PP22" s="2">
        <v>85883</v>
      </c>
      <c r="PQ22" s="2">
        <v>246064</v>
      </c>
      <c r="PR22" s="2">
        <v>2102044</v>
      </c>
      <c r="PS22" s="2">
        <v>1512410</v>
      </c>
      <c r="PT22" s="2">
        <v>238676</v>
      </c>
      <c r="PU22" s="2">
        <v>96357</v>
      </c>
      <c r="PV22" s="2">
        <v>234105</v>
      </c>
      <c r="PW22" s="2">
        <v>2178685</v>
      </c>
      <c r="PX22" s="2">
        <v>1563590</v>
      </c>
      <c r="PY22" s="2">
        <v>244718</v>
      </c>
      <c r="PZ22" s="2">
        <v>100715</v>
      </c>
      <c r="QA22" s="2">
        <v>247491</v>
      </c>
      <c r="QB22" s="12">
        <v>360215</v>
      </c>
      <c r="QC22" s="5">
        <v>318365</v>
      </c>
      <c r="QD22" s="5">
        <v>24631</v>
      </c>
      <c r="QE22" s="5">
        <v>7455</v>
      </c>
      <c r="QF22" s="5">
        <v>17219</v>
      </c>
      <c r="QG22" s="12">
        <v>539977</v>
      </c>
      <c r="QH22" s="53">
        <v>449781</v>
      </c>
      <c r="QI22" s="53">
        <v>42614</v>
      </c>
      <c r="QJ22" s="53">
        <v>14503</v>
      </c>
      <c r="QK22" s="53">
        <v>47582</v>
      </c>
      <c r="QL22" s="12">
        <v>739727</v>
      </c>
      <c r="QM22" s="53">
        <v>582495</v>
      </c>
      <c r="QN22" s="53">
        <v>66935</v>
      </c>
      <c r="QO22" s="53">
        <v>25896</v>
      </c>
      <c r="QP22" s="53">
        <v>90297</v>
      </c>
      <c r="QQ22" s="12">
        <v>765661.61100000003</v>
      </c>
      <c r="QR22" s="53">
        <v>596536.24800000002</v>
      </c>
      <c r="QS22" s="53">
        <v>70372.656000000003</v>
      </c>
      <c r="QT22" s="53">
        <v>28107.728999999999</v>
      </c>
      <c r="QU22" s="296">
        <v>98752.707000000009</v>
      </c>
      <c r="QV22" s="1">
        <v>791123</v>
      </c>
      <c r="QW22" s="2">
        <v>613516</v>
      </c>
      <c r="QX22" s="2">
        <v>74706</v>
      </c>
      <c r="QY22" s="2">
        <v>29339</v>
      </c>
      <c r="QZ22" s="69">
        <v>102901</v>
      </c>
      <c r="RA22" s="2">
        <v>814979</v>
      </c>
      <c r="RB22" s="2">
        <v>604915</v>
      </c>
      <c r="RC22" s="2">
        <v>79496</v>
      </c>
      <c r="RD22" s="2">
        <v>31863</v>
      </c>
      <c r="RE22" s="2">
        <v>107455</v>
      </c>
      <c r="RF22" s="2">
        <v>892827</v>
      </c>
      <c r="RG22" s="2">
        <v>647933</v>
      </c>
      <c r="RH22" s="2">
        <v>95448</v>
      </c>
      <c r="RI22" s="2">
        <v>38915</v>
      </c>
      <c r="RJ22" s="2">
        <v>119818</v>
      </c>
      <c r="RK22" s="2">
        <v>936934</v>
      </c>
      <c r="RL22" s="2">
        <v>673414</v>
      </c>
      <c r="RM22" s="2">
        <v>99774</v>
      </c>
      <c r="RN22" s="2">
        <v>40702</v>
      </c>
      <c r="RO22" s="2">
        <v>134080</v>
      </c>
    </row>
    <row r="23" spans="1:483" ht="14.25" x14ac:dyDescent="0.2">
      <c r="A23" s="220" t="s">
        <v>15</v>
      </c>
      <c r="B23" s="343">
        <f>28873+59039+68703+23199+60091+81129</f>
        <v>321034</v>
      </c>
      <c r="C23" s="344">
        <f>26925+56503+67080+21594+57208+78565</f>
        <v>307875</v>
      </c>
      <c r="D23" s="344">
        <f>1543+1768+1107+1215+2131+1852</f>
        <v>9616</v>
      </c>
      <c r="E23" s="344">
        <f>339+675+433+210+519+524</f>
        <v>2700</v>
      </c>
      <c r="F23" s="345">
        <f>22+88+70+27+5+13+45+78+66+105+139+107</f>
        <v>765</v>
      </c>
      <c r="G23" s="242">
        <v>196319</v>
      </c>
      <c r="H23" s="344">
        <v>191094</v>
      </c>
      <c r="I23" s="344">
        <v>4485</v>
      </c>
      <c r="J23" s="344">
        <v>547</v>
      </c>
      <c r="K23" s="345">
        <v>740</v>
      </c>
      <c r="L23" s="242">
        <v>123622</v>
      </c>
      <c r="M23" s="344">
        <v>119115</v>
      </c>
      <c r="N23" s="344">
        <v>2533</v>
      </c>
      <c r="O23" s="344">
        <v>734</v>
      </c>
      <c r="P23" s="345">
        <v>1974</v>
      </c>
      <c r="Q23" s="251">
        <v>84648</v>
      </c>
      <c r="R23" s="562">
        <v>81131</v>
      </c>
      <c r="S23" s="562">
        <v>1318</v>
      </c>
      <c r="T23" s="562">
        <v>1262</v>
      </c>
      <c r="U23" s="576">
        <v>2199</v>
      </c>
      <c r="V23" s="562">
        <v>75592</v>
      </c>
      <c r="W23" s="169">
        <v>72379</v>
      </c>
      <c r="X23" s="562">
        <v>1037</v>
      </c>
      <c r="Y23" s="562">
        <v>1190</v>
      </c>
      <c r="Z23" s="562">
        <v>2176</v>
      </c>
      <c r="AA23" s="562">
        <v>72402</v>
      </c>
      <c r="AB23" s="562">
        <v>68483</v>
      </c>
      <c r="AC23" s="562">
        <v>1018</v>
      </c>
      <c r="AD23" s="562">
        <v>1345</v>
      </c>
      <c r="AE23" s="457">
        <v>2003</v>
      </c>
      <c r="AF23" s="562">
        <v>58050</v>
      </c>
      <c r="AG23" s="562">
        <v>54846</v>
      </c>
      <c r="AH23" s="562">
        <v>1124</v>
      </c>
      <c r="AI23" s="562">
        <v>602</v>
      </c>
      <c r="AJ23" s="562">
        <v>1196</v>
      </c>
      <c r="AK23" s="562">
        <v>57435</v>
      </c>
      <c r="AL23" s="562">
        <v>54232</v>
      </c>
      <c r="AM23" s="562">
        <v>1543</v>
      </c>
      <c r="AN23" s="562">
        <v>994</v>
      </c>
      <c r="AO23" s="562">
        <v>545</v>
      </c>
      <c r="AP23" s="343">
        <v>202208</v>
      </c>
      <c r="AQ23" s="344">
        <v>194287</v>
      </c>
      <c r="AR23" s="344">
        <v>7250</v>
      </c>
      <c r="AS23" s="344">
        <v>719</v>
      </c>
      <c r="AT23" s="345">
        <v>671</v>
      </c>
      <c r="AU23" s="242">
        <v>182192</v>
      </c>
      <c r="AV23" s="344">
        <v>174394</v>
      </c>
      <c r="AW23" s="344">
        <v>5638</v>
      </c>
      <c r="AX23" s="344">
        <v>914</v>
      </c>
      <c r="AY23" s="345">
        <v>2160</v>
      </c>
      <c r="AZ23" s="242">
        <v>140116</v>
      </c>
      <c r="BA23" s="344">
        <v>133082</v>
      </c>
      <c r="BB23" s="344">
        <v>4408</v>
      </c>
      <c r="BC23" s="344">
        <v>1507</v>
      </c>
      <c r="BD23" s="345">
        <v>2626</v>
      </c>
      <c r="BE23" s="344">
        <v>131821</v>
      </c>
      <c r="BF23" s="344">
        <v>124390</v>
      </c>
      <c r="BG23" s="344">
        <v>4480</v>
      </c>
      <c r="BH23" s="344">
        <v>1428</v>
      </c>
      <c r="BI23" s="344">
        <v>2913</v>
      </c>
      <c r="BJ23" s="344">
        <v>129476</v>
      </c>
      <c r="BK23" s="344">
        <v>121798</v>
      </c>
      <c r="BL23" s="344">
        <v>3989</v>
      </c>
      <c r="BM23" s="344">
        <v>1488</v>
      </c>
      <c r="BN23" s="53">
        <v>2619</v>
      </c>
      <c r="BO23" s="53">
        <v>124065</v>
      </c>
      <c r="BP23" s="53">
        <v>117872</v>
      </c>
      <c r="BQ23" s="53">
        <v>3806</v>
      </c>
      <c r="BR23" s="53">
        <v>963</v>
      </c>
      <c r="BS23" s="53">
        <v>864</v>
      </c>
      <c r="BT23" s="53">
        <v>123866</v>
      </c>
      <c r="BU23" s="53">
        <v>114892</v>
      </c>
      <c r="BV23" s="53">
        <v>3872</v>
      </c>
      <c r="BW23" s="53">
        <v>2476</v>
      </c>
      <c r="BX23" s="53">
        <v>2566</v>
      </c>
      <c r="BY23" s="241">
        <v>214978</v>
      </c>
      <c r="BZ23" s="344">
        <v>204212</v>
      </c>
      <c r="CA23" s="344">
        <v>5569</v>
      </c>
      <c r="CB23" s="344">
        <v>2678</v>
      </c>
      <c r="CC23" s="547">
        <f t="shared" si="368"/>
        <v>5197</v>
      </c>
      <c r="CD23" s="543">
        <v>162954</v>
      </c>
      <c r="CE23" s="346">
        <v>254055</v>
      </c>
      <c r="CF23" s="346">
        <v>305540</v>
      </c>
      <c r="CG23" s="346">
        <v>403410</v>
      </c>
      <c r="CH23" s="241">
        <v>642188</v>
      </c>
      <c r="CI23" s="344">
        <v>617080.36500000011</v>
      </c>
      <c r="CJ23" s="344">
        <v>18319.59</v>
      </c>
      <c r="CK23" s="344">
        <v>3242.835</v>
      </c>
      <c r="CL23" s="345">
        <v>3210.915</v>
      </c>
      <c r="CM23" s="242">
        <v>773239</v>
      </c>
      <c r="CN23" s="344">
        <v>746629</v>
      </c>
      <c r="CO23" s="344">
        <v>21519</v>
      </c>
      <c r="CP23" s="344">
        <v>2996</v>
      </c>
      <c r="CQ23" s="345">
        <v>5091</v>
      </c>
      <c r="CR23" s="242">
        <v>927767</v>
      </c>
      <c r="CS23" s="344">
        <v>886385</v>
      </c>
      <c r="CT23" s="344">
        <v>26773</v>
      </c>
      <c r="CU23" s="344">
        <v>4747</v>
      </c>
      <c r="CV23" s="344">
        <v>14609</v>
      </c>
      <c r="CW23" s="347">
        <v>1018506</v>
      </c>
      <c r="CX23" s="344">
        <v>969567</v>
      </c>
      <c r="CY23" s="344">
        <v>31793</v>
      </c>
      <c r="CZ23" s="344">
        <v>17146</v>
      </c>
      <c r="DA23" s="344">
        <v>6472</v>
      </c>
      <c r="DB23" s="343">
        <v>1027797</v>
      </c>
      <c r="DC23" s="344">
        <v>978908</v>
      </c>
      <c r="DD23" s="344">
        <v>31779</v>
      </c>
      <c r="DE23" s="344">
        <v>17110</v>
      </c>
      <c r="DF23" s="344">
        <v>6610</v>
      </c>
      <c r="DG23" s="245">
        <v>1032067</v>
      </c>
      <c r="DH23" s="246">
        <v>981698</v>
      </c>
      <c r="DI23" s="246">
        <v>30712</v>
      </c>
      <c r="DJ23" s="246">
        <v>19657</v>
      </c>
      <c r="DK23" s="246">
        <v>8124</v>
      </c>
      <c r="DL23" s="241">
        <v>1065387</v>
      </c>
      <c r="DM23" s="344">
        <v>1012016</v>
      </c>
      <c r="DN23" s="344">
        <v>32367</v>
      </c>
      <c r="DO23" s="344">
        <v>8181</v>
      </c>
      <c r="DP23" s="344">
        <v>10029</v>
      </c>
      <c r="DQ23" s="241">
        <v>1080072.534</v>
      </c>
      <c r="DR23" s="344">
        <v>1024752.4349999999</v>
      </c>
      <c r="DS23" s="344">
        <v>31559.65</v>
      </c>
      <c r="DT23" s="344">
        <v>9029.3119999999999</v>
      </c>
      <c r="DU23" s="582">
        <f t="shared" si="369"/>
        <v>23760.449000000044</v>
      </c>
      <c r="DV23" s="344">
        <v>1089980</v>
      </c>
      <c r="DW23" s="344">
        <v>1034844</v>
      </c>
      <c r="DX23" s="344">
        <v>31660</v>
      </c>
      <c r="DY23" s="344">
        <v>8925</v>
      </c>
      <c r="DZ23" s="344">
        <v>23074</v>
      </c>
      <c r="EA23" s="344">
        <v>1096625</v>
      </c>
      <c r="EB23" s="344">
        <v>1032155</v>
      </c>
      <c r="EC23" s="344">
        <v>32566</v>
      </c>
      <c r="ED23" s="344">
        <v>9529</v>
      </c>
      <c r="EE23" s="53">
        <v>24116</v>
      </c>
      <c r="EF23" s="53">
        <v>1118232</v>
      </c>
      <c r="EG23" s="53">
        <v>1043193</v>
      </c>
      <c r="EH23" s="53">
        <v>40706</v>
      </c>
      <c r="EI23" s="53">
        <v>13933</v>
      </c>
      <c r="EJ23" s="53">
        <v>19173</v>
      </c>
      <c r="EK23" s="53">
        <v>1110456</v>
      </c>
      <c r="EL23" s="53">
        <v>1038888</v>
      </c>
      <c r="EM23" s="53">
        <v>40059</v>
      </c>
      <c r="EN23" s="53">
        <v>10482</v>
      </c>
      <c r="EO23" s="53">
        <v>22660</v>
      </c>
      <c r="EP23" s="241">
        <f>55360+59022</f>
        <v>114382</v>
      </c>
      <c r="EQ23" s="344">
        <f>56243+52926</f>
        <v>109169</v>
      </c>
      <c r="ER23" s="344">
        <f>1892+2071</f>
        <v>3963</v>
      </c>
      <c r="ES23" s="344">
        <f>382+305</f>
        <v>687</v>
      </c>
      <c r="ET23" s="345">
        <f>64+124+54+219</f>
        <v>461</v>
      </c>
      <c r="EU23" s="242">
        <v>199598</v>
      </c>
      <c r="EV23" s="344">
        <v>191753</v>
      </c>
      <c r="EW23" s="344">
        <v>6804</v>
      </c>
      <c r="EX23" s="344">
        <v>986</v>
      </c>
      <c r="EY23" s="345">
        <v>1041</v>
      </c>
      <c r="EZ23" s="242">
        <v>258473</v>
      </c>
      <c r="FA23" s="344">
        <v>245563</v>
      </c>
      <c r="FB23" s="344">
        <v>9050</v>
      </c>
      <c r="FC23" s="344">
        <v>1381</v>
      </c>
      <c r="FD23" s="345">
        <v>3860</v>
      </c>
      <c r="FE23" s="242">
        <v>313726</v>
      </c>
      <c r="FF23" s="344">
        <v>295218</v>
      </c>
      <c r="FG23" s="344">
        <v>11695</v>
      </c>
      <c r="FH23" s="344">
        <v>3161</v>
      </c>
      <c r="FI23" s="345">
        <v>6813</v>
      </c>
      <c r="FJ23" s="242">
        <v>314697.39299999998</v>
      </c>
      <c r="FK23" s="344">
        <v>296476.995</v>
      </c>
      <c r="FL23" s="344">
        <v>11175.829</v>
      </c>
      <c r="FM23" s="344">
        <v>3368.4480000000003</v>
      </c>
      <c r="FN23" s="345">
        <v>7044.5689999999868</v>
      </c>
      <c r="FO23" s="344">
        <v>319146</v>
      </c>
      <c r="FP23" s="344">
        <v>299347</v>
      </c>
      <c r="FQ23" s="344">
        <v>12205</v>
      </c>
      <c r="FR23" s="344">
        <v>3227</v>
      </c>
      <c r="FS23" s="619">
        <v>7337</v>
      </c>
      <c r="FT23" s="668">
        <v>324874</v>
      </c>
      <c r="FU23" s="668">
        <v>302438</v>
      </c>
      <c r="FV23" s="668">
        <v>11866</v>
      </c>
      <c r="FW23" s="668">
        <v>3218</v>
      </c>
      <c r="FX23" s="668">
        <v>7881</v>
      </c>
      <c r="FY23" s="668">
        <v>334528</v>
      </c>
      <c r="FZ23" s="668">
        <v>307510</v>
      </c>
      <c r="GA23" s="668">
        <v>16520</v>
      </c>
      <c r="GB23" s="668">
        <v>5301</v>
      </c>
      <c r="GC23" s="668">
        <v>4958</v>
      </c>
      <c r="GD23" s="668">
        <v>329471</v>
      </c>
      <c r="GE23" s="668">
        <v>306486</v>
      </c>
      <c r="GF23" s="668">
        <v>13641</v>
      </c>
      <c r="GG23" s="668">
        <v>3945</v>
      </c>
      <c r="GH23" s="668">
        <v>5795</v>
      </c>
      <c r="GI23" s="241">
        <v>44509</v>
      </c>
      <c r="GJ23" s="344">
        <v>42964</v>
      </c>
      <c r="GK23" s="344">
        <v>1242</v>
      </c>
      <c r="GL23" s="344">
        <v>231</v>
      </c>
      <c r="GM23" s="345">
        <v>303</v>
      </c>
      <c r="GN23" s="242">
        <v>53448</v>
      </c>
      <c r="GO23" s="344">
        <v>51023</v>
      </c>
      <c r="GP23" s="344">
        <v>1541</v>
      </c>
      <c r="GQ23" s="344">
        <v>245</v>
      </c>
      <c r="GR23" s="345">
        <v>884</v>
      </c>
      <c r="GS23" s="343">
        <v>75683</v>
      </c>
      <c r="GT23" s="344">
        <v>71583</v>
      </c>
      <c r="GU23" s="344">
        <v>2443</v>
      </c>
      <c r="GV23" s="344">
        <v>742</v>
      </c>
      <c r="GW23" s="344">
        <v>1657</v>
      </c>
      <c r="GX23" s="343"/>
      <c r="GY23" s="344"/>
      <c r="GZ23" s="344"/>
      <c r="HA23" s="344"/>
      <c r="HB23" s="345"/>
      <c r="HC23" s="343">
        <v>80373</v>
      </c>
      <c r="HD23" s="344">
        <v>76544</v>
      </c>
      <c r="HE23" s="344">
        <v>2067</v>
      </c>
      <c r="HF23" s="344">
        <v>756</v>
      </c>
      <c r="HG23" s="345">
        <v>1762</v>
      </c>
      <c r="HH23" s="53">
        <v>84486</v>
      </c>
      <c r="HI23" s="53">
        <v>80123</v>
      </c>
      <c r="HJ23" s="53">
        <v>1848</v>
      </c>
      <c r="HK23" s="53">
        <v>724</v>
      </c>
      <c r="HL23" s="53">
        <v>1913</v>
      </c>
      <c r="HM23" s="53">
        <v>90019</v>
      </c>
      <c r="HN23" s="53">
        <v>84264</v>
      </c>
      <c r="HO23" s="53">
        <v>3576</v>
      </c>
      <c r="HP23" s="53">
        <v>749</v>
      </c>
      <c r="HQ23" s="53">
        <v>1220</v>
      </c>
      <c r="HR23" s="53">
        <v>95794</v>
      </c>
      <c r="HS23" s="53">
        <v>90972</v>
      </c>
      <c r="HT23" s="53">
        <v>2807</v>
      </c>
      <c r="HU23" s="53">
        <v>797</v>
      </c>
      <c r="HV23" s="53">
        <v>1265</v>
      </c>
      <c r="HW23" s="569">
        <f t="shared" si="370"/>
        <v>189027</v>
      </c>
      <c r="HX23" s="546">
        <f t="shared" si="371"/>
        <v>181049</v>
      </c>
      <c r="HY23" s="546">
        <f t="shared" si="372"/>
        <v>4866</v>
      </c>
      <c r="HZ23" s="546">
        <f t="shared" si="373"/>
        <v>981</v>
      </c>
      <c r="IA23" s="546">
        <f t="shared" si="374"/>
        <v>3112</v>
      </c>
      <c r="IB23" s="569">
        <f t="shared" si="375"/>
        <v>236408</v>
      </c>
      <c r="IC23" s="546">
        <f t="shared" si="376"/>
        <v>224029</v>
      </c>
      <c r="ID23" s="546">
        <f t="shared" si="377"/>
        <v>5565</v>
      </c>
      <c r="IE23" s="546">
        <f t="shared" si="378"/>
        <v>1502</v>
      </c>
      <c r="IF23" s="546">
        <f t="shared" si="379"/>
        <v>6814</v>
      </c>
      <c r="IG23" s="343">
        <v>252882</v>
      </c>
      <c r="IH23" s="344">
        <v>239225</v>
      </c>
      <c r="II23" s="344">
        <v>6568</v>
      </c>
      <c r="IJ23" s="344">
        <v>2485</v>
      </c>
      <c r="IK23" s="344">
        <v>7089</v>
      </c>
      <c r="IL23" s="561"/>
      <c r="IM23" s="562"/>
      <c r="IN23" s="562"/>
      <c r="IO23" s="562"/>
      <c r="IP23" s="562"/>
      <c r="IQ23" s="562">
        <v>317964</v>
      </c>
      <c r="IR23" s="562">
        <v>300597</v>
      </c>
      <c r="IS23" s="562">
        <v>7585</v>
      </c>
      <c r="IT23" s="562">
        <v>3415</v>
      </c>
      <c r="IU23" s="576">
        <v>9782</v>
      </c>
      <c r="IV23" s="562">
        <v>329158</v>
      </c>
      <c r="IW23" s="562">
        <v>308319</v>
      </c>
      <c r="IX23" s="562">
        <v>7630</v>
      </c>
      <c r="IY23" s="562">
        <v>3531</v>
      </c>
      <c r="IZ23" s="562">
        <v>10414</v>
      </c>
      <c r="JA23" s="561">
        <v>344433</v>
      </c>
      <c r="JB23" s="562">
        <v>317883</v>
      </c>
      <c r="JC23" s="562">
        <v>9228</v>
      </c>
      <c r="JD23" s="562">
        <v>4909</v>
      </c>
      <c r="JE23" s="562">
        <v>11347</v>
      </c>
      <c r="JF23" s="561">
        <v>364551</v>
      </c>
      <c r="JG23" s="562">
        <v>338642</v>
      </c>
      <c r="JH23" s="562">
        <v>11521</v>
      </c>
      <c r="JI23" s="562">
        <v>3179</v>
      </c>
      <c r="JJ23" s="562">
        <v>11664</v>
      </c>
      <c r="JK23" s="241">
        <v>88136</v>
      </c>
      <c r="JL23" s="242">
        <v>84796</v>
      </c>
      <c r="JM23" s="242">
        <v>2352</v>
      </c>
      <c r="JN23" s="242">
        <v>389</v>
      </c>
      <c r="JO23" s="242">
        <v>988</v>
      </c>
      <c r="JP23" s="241">
        <v>109651</v>
      </c>
      <c r="JQ23" s="344">
        <v>104428</v>
      </c>
      <c r="JR23" s="344">
        <v>2585</v>
      </c>
      <c r="JS23" s="344">
        <v>780</v>
      </c>
      <c r="JT23" s="344">
        <v>2638</v>
      </c>
      <c r="JU23" s="343">
        <v>136100</v>
      </c>
      <c r="JV23" s="344">
        <v>129653</v>
      </c>
      <c r="JW23" s="344">
        <v>3178</v>
      </c>
      <c r="JX23" s="344">
        <v>1137</v>
      </c>
      <c r="JY23" s="344">
        <v>3269</v>
      </c>
      <c r="JZ23" s="343">
        <v>143750.66099999999</v>
      </c>
      <c r="KA23" s="344">
        <v>136551.64499999999</v>
      </c>
      <c r="KB23" s="344">
        <v>3527.2550000000001</v>
      </c>
      <c r="KC23" s="344">
        <v>1321.6480000000001</v>
      </c>
      <c r="KD23" s="344">
        <v>3671.7610000000032</v>
      </c>
      <c r="KE23" s="344">
        <v>150542</v>
      </c>
      <c r="KF23" s="344">
        <v>141638</v>
      </c>
      <c r="KG23" s="344">
        <v>3654</v>
      </c>
      <c r="KH23" s="344">
        <v>1583</v>
      </c>
      <c r="KI23" s="344">
        <v>3857</v>
      </c>
      <c r="KJ23" s="344">
        <v>152256</v>
      </c>
      <c r="KK23" s="344">
        <v>142491</v>
      </c>
      <c r="KL23" s="344">
        <v>3248</v>
      </c>
      <c r="KM23" s="344">
        <v>2109</v>
      </c>
      <c r="KN23" s="344">
        <v>4238</v>
      </c>
      <c r="KO23" s="344">
        <v>162243</v>
      </c>
      <c r="KP23" s="344">
        <v>150650</v>
      </c>
      <c r="KQ23" s="344">
        <v>5303</v>
      </c>
      <c r="KR23" s="344">
        <v>1205</v>
      </c>
      <c r="KS23" s="344">
        <v>5286</v>
      </c>
      <c r="KT23" s="516">
        <v>31163</v>
      </c>
      <c r="KU23" s="348">
        <v>44710</v>
      </c>
      <c r="KV23" s="349">
        <v>52323</v>
      </c>
      <c r="KW23" s="350">
        <f t="shared" si="327"/>
        <v>29445</v>
      </c>
      <c r="KX23" s="350">
        <f t="shared" si="328"/>
        <v>22878</v>
      </c>
      <c r="KY23" s="350">
        <f t="shared" si="329"/>
        <v>50264</v>
      </c>
      <c r="KZ23" s="351">
        <v>28570</v>
      </c>
      <c r="LA23" s="351">
        <v>21694</v>
      </c>
      <c r="LB23" s="350">
        <f t="shared" si="330"/>
        <v>2059</v>
      </c>
      <c r="LC23" s="351">
        <v>875</v>
      </c>
      <c r="LD23" s="351">
        <v>1184</v>
      </c>
      <c r="LE23" s="349">
        <v>65575</v>
      </c>
      <c r="LF23" s="350">
        <f t="shared" si="331"/>
        <v>36364</v>
      </c>
      <c r="LG23" s="350">
        <f t="shared" si="332"/>
        <v>29211</v>
      </c>
      <c r="LH23" s="350">
        <f t="shared" si="333"/>
        <v>63407</v>
      </c>
      <c r="LI23" s="351">
        <v>35395</v>
      </c>
      <c r="LJ23" s="351">
        <v>28012</v>
      </c>
      <c r="LK23" s="350">
        <f t="shared" si="334"/>
        <v>1765</v>
      </c>
      <c r="LL23" s="351">
        <v>713</v>
      </c>
      <c r="LM23" s="351">
        <v>1052</v>
      </c>
      <c r="LN23" s="350">
        <f t="shared" si="335"/>
        <v>403</v>
      </c>
      <c r="LO23" s="351">
        <v>256</v>
      </c>
      <c r="LP23" s="351">
        <v>147</v>
      </c>
      <c r="LQ23" s="349">
        <v>119488</v>
      </c>
      <c r="LR23" s="350">
        <f t="shared" si="336"/>
        <v>66078</v>
      </c>
      <c r="LS23" s="350">
        <f t="shared" si="337"/>
        <v>53410</v>
      </c>
      <c r="LT23" s="344">
        <f>62794+50630</f>
        <v>113424</v>
      </c>
      <c r="LU23" s="351">
        <v>62794</v>
      </c>
      <c r="LV23" s="351">
        <v>50630</v>
      </c>
      <c r="LW23" s="351">
        <v>3284</v>
      </c>
      <c r="LX23" s="351">
        <v>2780</v>
      </c>
      <c r="LY23" s="344">
        <f>1443+1799</f>
        <v>3242</v>
      </c>
      <c r="LZ23" s="351">
        <v>1443</v>
      </c>
      <c r="MA23" s="351">
        <v>1799</v>
      </c>
      <c r="MB23" s="344">
        <f>543+275</f>
        <v>818</v>
      </c>
      <c r="MC23" s="351">
        <v>543</v>
      </c>
      <c r="MD23" s="351">
        <v>275</v>
      </c>
      <c r="ME23" s="352">
        <f t="shared" si="338"/>
        <v>2004</v>
      </c>
      <c r="MF23" s="352">
        <f t="shared" si="339"/>
        <v>1298</v>
      </c>
      <c r="MG23" s="352">
        <f t="shared" si="340"/>
        <v>706</v>
      </c>
      <c r="MH23" s="353">
        <f t="shared" si="341"/>
        <v>94</v>
      </c>
      <c r="MI23" s="353">
        <f t="shared" si="342"/>
        <v>72</v>
      </c>
      <c r="MJ23" s="353">
        <f t="shared" si="343"/>
        <v>22</v>
      </c>
      <c r="MK23" s="351">
        <v>1910</v>
      </c>
      <c r="ML23" s="351">
        <v>1226</v>
      </c>
      <c r="MM23" s="351">
        <v>684</v>
      </c>
      <c r="MN23" s="247">
        <f t="shared" si="344"/>
        <v>144518</v>
      </c>
      <c r="MO23" s="350">
        <f t="shared" si="345"/>
        <v>75430</v>
      </c>
      <c r="MP23" s="350">
        <f t="shared" si="346"/>
        <v>69088</v>
      </c>
      <c r="MQ23" s="248">
        <f t="shared" si="347"/>
        <v>138085</v>
      </c>
      <c r="MR23" s="249">
        <f t="shared" si="348"/>
        <v>137468</v>
      </c>
      <c r="MS23" s="351">
        <v>71807</v>
      </c>
      <c r="MT23" s="351">
        <v>65661</v>
      </c>
      <c r="MU23" s="351">
        <v>3623</v>
      </c>
      <c r="MV23" s="351">
        <v>3427</v>
      </c>
      <c r="MW23" s="248">
        <f t="shared" si="349"/>
        <v>3624</v>
      </c>
      <c r="MX23" s="249">
        <f t="shared" si="350"/>
        <v>3600</v>
      </c>
      <c r="MY23" s="351">
        <v>1711</v>
      </c>
      <c r="MZ23" s="351">
        <v>1889</v>
      </c>
      <c r="NA23" s="248">
        <f t="shared" si="351"/>
        <v>750</v>
      </c>
      <c r="NB23" s="351">
        <v>380</v>
      </c>
      <c r="NC23" s="351">
        <v>370</v>
      </c>
      <c r="ND23" s="250">
        <f t="shared" si="352"/>
        <v>2809</v>
      </c>
      <c r="NE23" s="354">
        <f t="shared" si="353"/>
        <v>1532</v>
      </c>
      <c r="NF23" s="354">
        <f t="shared" si="354"/>
        <v>1168</v>
      </c>
      <c r="NG23" s="355">
        <f t="shared" si="355"/>
        <v>14</v>
      </c>
      <c r="NH23" s="355">
        <f t="shared" si="356"/>
        <v>0</v>
      </c>
      <c r="NI23" s="355">
        <f t="shared" si="357"/>
        <v>14</v>
      </c>
      <c r="NJ23" s="356">
        <f t="shared" si="358"/>
        <v>2686</v>
      </c>
      <c r="NK23" s="356">
        <f t="shared" si="359"/>
        <v>1532</v>
      </c>
      <c r="NL23" s="356">
        <f t="shared" si="360"/>
        <v>1154</v>
      </c>
      <c r="NM23" s="351">
        <v>69</v>
      </c>
      <c r="NN23" s="351">
        <v>51</v>
      </c>
      <c r="NO23" s="351">
        <v>1463</v>
      </c>
      <c r="NP23" s="351">
        <v>1103</v>
      </c>
      <c r="NQ23" s="357">
        <v>182960</v>
      </c>
      <c r="NR23" s="351">
        <v>92209</v>
      </c>
      <c r="NS23" s="351">
        <v>90751</v>
      </c>
      <c r="NT23" s="251">
        <f t="shared" si="361"/>
        <v>173006</v>
      </c>
      <c r="NU23" s="251">
        <v>87147</v>
      </c>
      <c r="NV23" s="251">
        <v>85859</v>
      </c>
      <c r="NW23" s="252">
        <f t="shared" si="362"/>
        <v>172046</v>
      </c>
      <c r="NX23" s="351">
        <v>86651</v>
      </c>
      <c r="NY23" s="351">
        <v>85395</v>
      </c>
      <c r="NZ23" s="251">
        <f t="shared" si="363"/>
        <v>4024</v>
      </c>
      <c r="OA23" s="351">
        <v>1869</v>
      </c>
      <c r="OB23" s="351">
        <v>2155</v>
      </c>
      <c r="OC23" s="251">
        <f t="shared" si="364"/>
        <v>1257</v>
      </c>
      <c r="OD23" s="351">
        <v>705</v>
      </c>
      <c r="OE23" s="351">
        <v>552</v>
      </c>
      <c r="OF23" s="252">
        <f t="shared" si="365"/>
        <v>5930</v>
      </c>
      <c r="OG23" s="252">
        <f t="shared" si="366"/>
        <v>3193</v>
      </c>
      <c r="OH23" s="252">
        <f t="shared" si="367"/>
        <v>2737</v>
      </c>
      <c r="OI23" s="358">
        <v>211965</v>
      </c>
      <c r="OJ23" s="351">
        <v>199853</v>
      </c>
      <c r="OK23" s="351">
        <v>5190</v>
      </c>
      <c r="OL23" s="351">
        <v>6922</v>
      </c>
      <c r="OM23" s="251">
        <v>1809</v>
      </c>
      <c r="ON23" s="343">
        <v>214524</v>
      </c>
      <c r="OO23" s="344">
        <v>202876</v>
      </c>
      <c r="OP23" s="344">
        <v>5283</v>
      </c>
      <c r="OQ23" s="344">
        <v>6365</v>
      </c>
      <c r="OR23" s="344">
        <v>1709</v>
      </c>
      <c r="OS23" s="343">
        <v>217052</v>
      </c>
      <c r="OT23" s="344">
        <v>205157</v>
      </c>
      <c r="OU23" s="344">
        <v>4855</v>
      </c>
      <c r="OV23" s="344">
        <v>7040</v>
      </c>
      <c r="OW23" s="344">
        <v>1874</v>
      </c>
      <c r="OX23" s="343">
        <v>222752</v>
      </c>
      <c r="OY23" s="344">
        <v>210554</v>
      </c>
      <c r="OZ23" s="344">
        <v>5062</v>
      </c>
      <c r="PA23" s="344">
        <v>7136</v>
      </c>
      <c r="PB23" s="344">
        <v>2157</v>
      </c>
      <c r="PC23" s="241">
        <v>231814.12900000002</v>
      </c>
      <c r="PD23" s="344">
        <v>217744.51500000001</v>
      </c>
      <c r="PE23" s="344">
        <v>5420.8339999999998</v>
      </c>
      <c r="PF23" s="344">
        <v>2479.5520000000001</v>
      </c>
      <c r="PG23" s="344">
        <v>8648.7800000000025</v>
      </c>
      <c r="PH23" s="344">
        <v>237591</v>
      </c>
      <c r="PI23" s="344">
        <v>224053</v>
      </c>
      <c r="PJ23" s="344">
        <v>5518</v>
      </c>
      <c r="PK23" s="344">
        <v>2659</v>
      </c>
      <c r="PL23" s="2">
        <v>8020</v>
      </c>
      <c r="PM23" s="2">
        <v>244672</v>
      </c>
      <c r="PN23" s="2">
        <v>228196</v>
      </c>
      <c r="PO23" s="2">
        <v>5782</v>
      </c>
      <c r="PP23" s="2">
        <v>2807</v>
      </c>
      <c r="PQ23" s="2">
        <v>8501</v>
      </c>
      <c r="PR23" s="2">
        <v>254414</v>
      </c>
      <c r="PS23" s="2">
        <v>233619</v>
      </c>
      <c r="PT23" s="2">
        <v>5652</v>
      </c>
      <c r="PU23" s="2">
        <v>4160</v>
      </c>
      <c r="PV23" s="2">
        <v>10127</v>
      </c>
      <c r="PW23" s="2">
        <v>268757</v>
      </c>
      <c r="PX23" s="2">
        <v>247670</v>
      </c>
      <c r="PY23" s="2">
        <v>8714</v>
      </c>
      <c r="PZ23" s="2">
        <v>2382</v>
      </c>
      <c r="QA23" s="2">
        <v>10399</v>
      </c>
      <c r="QB23" s="241">
        <v>56382</v>
      </c>
      <c r="QC23" s="242">
        <v>53289</v>
      </c>
      <c r="QD23" s="242">
        <v>1272</v>
      </c>
      <c r="QE23" s="242">
        <v>361</v>
      </c>
      <c r="QF23" s="242">
        <v>1821</v>
      </c>
      <c r="QG23" s="241">
        <v>73309</v>
      </c>
      <c r="QH23" s="344">
        <v>68578</v>
      </c>
      <c r="QI23" s="344">
        <v>1439</v>
      </c>
      <c r="QJ23" s="344">
        <v>477</v>
      </c>
      <c r="QK23" s="344">
        <v>3292</v>
      </c>
      <c r="QL23" s="241">
        <v>86652</v>
      </c>
      <c r="QM23" s="344">
        <v>80901</v>
      </c>
      <c r="QN23" s="344">
        <v>1884</v>
      </c>
      <c r="QO23" s="344">
        <v>1020</v>
      </c>
      <c r="QP23" s="344">
        <v>3867</v>
      </c>
      <c r="QQ23" s="241">
        <v>88063.468000000008</v>
      </c>
      <c r="QR23" s="344">
        <v>81192.87000000001</v>
      </c>
      <c r="QS23" s="344">
        <v>1893.579</v>
      </c>
      <c r="QT23" s="344">
        <v>1157.904</v>
      </c>
      <c r="QU23" s="345">
        <v>4977.0189999999984</v>
      </c>
      <c r="QV23" s="3">
        <v>90206</v>
      </c>
      <c r="QW23" s="3">
        <v>83950</v>
      </c>
      <c r="QX23" s="3">
        <v>1924</v>
      </c>
      <c r="QY23" s="3">
        <v>999</v>
      </c>
      <c r="QZ23" s="213">
        <v>4332</v>
      </c>
      <c r="RA23" s="2">
        <v>94130</v>
      </c>
      <c r="RB23" s="2">
        <v>86558</v>
      </c>
      <c r="RC23" s="2">
        <v>2128</v>
      </c>
      <c r="RD23" s="2">
        <v>1224</v>
      </c>
      <c r="RE23" s="2">
        <v>4644</v>
      </c>
      <c r="RF23" s="2">
        <v>102158</v>
      </c>
      <c r="RG23" s="2">
        <v>91128</v>
      </c>
      <c r="RH23" s="2">
        <v>2404</v>
      </c>
      <c r="RI23" s="2">
        <v>2051</v>
      </c>
      <c r="RJ23" s="2">
        <v>5889</v>
      </c>
      <c r="RK23" s="2">
        <v>106514</v>
      </c>
      <c r="RL23" s="2">
        <v>97020</v>
      </c>
      <c r="RM23" s="2">
        <v>3411</v>
      </c>
      <c r="RN23" s="2">
        <v>1177</v>
      </c>
      <c r="RO23" s="2">
        <v>5113</v>
      </c>
    </row>
    <row r="24" spans="1:483" x14ac:dyDescent="0.2">
      <c r="A24" s="224" t="s">
        <v>182</v>
      </c>
      <c r="B24" s="258" t="s">
        <v>185</v>
      </c>
      <c r="C24" s="259" t="s">
        <v>185</v>
      </c>
      <c r="D24" s="259" t="s">
        <v>185</v>
      </c>
      <c r="E24" s="259" t="s">
        <v>185</v>
      </c>
      <c r="F24" s="260" t="s">
        <v>185</v>
      </c>
      <c r="G24" s="265">
        <f>SUM(G26:G38)</f>
        <v>3070922</v>
      </c>
      <c r="H24" s="265">
        <f t="shared" ref="H24:BD24" si="380">SUM(H26:H38)</f>
        <v>1677005</v>
      </c>
      <c r="I24" s="265">
        <f t="shared" si="380"/>
        <v>112575</v>
      </c>
      <c r="J24" s="265">
        <f t="shared" si="380"/>
        <v>1579686</v>
      </c>
      <c r="K24" s="266">
        <f t="shared" si="380"/>
        <v>1281342</v>
      </c>
      <c r="L24" s="265">
        <f>SUM(L26:L38)</f>
        <v>3490247</v>
      </c>
      <c r="M24" s="265">
        <f t="shared" si="380"/>
        <v>1509548</v>
      </c>
      <c r="N24" s="265">
        <f t="shared" si="380"/>
        <v>78279</v>
      </c>
      <c r="O24" s="265">
        <f t="shared" si="380"/>
        <v>2267507</v>
      </c>
      <c r="P24" s="266">
        <f t="shared" si="380"/>
        <v>1867744</v>
      </c>
      <c r="Q24" s="362">
        <f>SUM(Q26:Q38)</f>
        <v>3598315</v>
      </c>
      <c r="R24" s="362">
        <f t="shared" ref="R24:W24" si="381">SUM(R26:R38)</f>
        <v>2012096</v>
      </c>
      <c r="S24" s="362">
        <f t="shared" si="381"/>
        <v>73524</v>
      </c>
      <c r="T24" s="362">
        <f t="shared" si="381"/>
        <v>2610800</v>
      </c>
      <c r="U24" s="563">
        <f t="shared" si="381"/>
        <v>1512695</v>
      </c>
      <c r="V24" s="362">
        <f>SUM(V26:V38)</f>
        <v>3600341</v>
      </c>
      <c r="W24" s="362">
        <f t="shared" si="381"/>
        <v>2026050</v>
      </c>
      <c r="X24" s="362">
        <f t="shared" ref="X24" si="382">SUM(X26:X38)</f>
        <v>72950</v>
      </c>
      <c r="Y24" s="362">
        <f t="shared" ref="Y24" si="383">SUM(Y26:Y38)</f>
        <v>2628979</v>
      </c>
      <c r="Z24" s="563">
        <f t="shared" ref="Z24:AE24" si="384">SUM(Z26:Z38)</f>
        <v>1501207</v>
      </c>
      <c r="AA24" s="563">
        <f t="shared" si="384"/>
        <v>3597820</v>
      </c>
      <c r="AB24" s="563">
        <f t="shared" si="384"/>
        <v>415154</v>
      </c>
      <c r="AC24" s="563">
        <f t="shared" si="384"/>
        <v>71834</v>
      </c>
      <c r="AD24" s="563">
        <f t="shared" si="384"/>
        <v>2628070</v>
      </c>
      <c r="AE24" s="563">
        <f t="shared" si="384"/>
        <v>1506648</v>
      </c>
      <c r="AF24" s="362">
        <f>SUM(AF26:AF38)</f>
        <v>3667233</v>
      </c>
      <c r="AG24" s="362">
        <f t="shared" ref="AG24:AJ24" si="385">SUM(AG26:AG38)</f>
        <v>398088</v>
      </c>
      <c r="AH24" s="362">
        <f t="shared" si="385"/>
        <v>66151</v>
      </c>
      <c r="AI24" s="362">
        <f t="shared" si="385"/>
        <v>2699352</v>
      </c>
      <c r="AJ24" s="362">
        <f t="shared" si="385"/>
        <v>1586402</v>
      </c>
      <c r="AK24" s="362">
        <f>SUM(AK26:AK38)</f>
        <v>3607288</v>
      </c>
      <c r="AL24" s="362">
        <f t="shared" ref="AL24:AO24" si="386">SUM(AL26:AL38)</f>
        <v>384617</v>
      </c>
      <c r="AM24" s="362">
        <f t="shared" si="386"/>
        <v>69054</v>
      </c>
      <c r="AN24" s="362">
        <f t="shared" si="386"/>
        <v>2654474</v>
      </c>
      <c r="AO24" s="362">
        <f t="shared" si="386"/>
        <v>1666527</v>
      </c>
      <c r="AP24" s="265">
        <f>SUM(AP26:AP38)</f>
        <v>4029170</v>
      </c>
      <c r="AQ24" s="265">
        <f t="shared" si="380"/>
        <v>2946804</v>
      </c>
      <c r="AR24" s="265">
        <f t="shared" si="380"/>
        <v>268300</v>
      </c>
      <c r="AS24" s="265">
        <f t="shared" si="380"/>
        <v>973015</v>
      </c>
      <c r="AT24" s="266">
        <f t="shared" si="380"/>
        <v>814066</v>
      </c>
      <c r="AU24" s="265">
        <f>SUM(AU26:AU38)</f>
        <v>4306724</v>
      </c>
      <c r="AV24" s="265">
        <f t="shared" si="380"/>
        <v>2665485</v>
      </c>
      <c r="AW24" s="265">
        <f t="shared" si="380"/>
        <v>260573</v>
      </c>
      <c r="AX24" s="265">
        <f t="shared" si="380"/>
        <v>1510816</v>
      </c>
      <c r="AY24" s="266">
        <f t="shared" si="380"/>
        <v>1345359</v>
      </c>
      <c r="AZ24" s="265">
        <f>SUM(AZ26:AZ38)</f>
        <v>3692468</v>
      </c>
      <c r="BA24" s="265">
        <f t="shared" si="380"/>
        <v>2396910</v>
      </c>
      <c r="BB24" s="265">
        <f t="shared" si="380"/>
        <v>189627</v>
      </c>
      <c r="BC24" s="265">
        <f t="shared" si="380"/>
        <v>1741129</v>
      </c>
      <c r="BD24" s="266">
        <f t="shared" si="380"/>
        <v>1105931</v>
      </c>
      <c r="BE24" s="266">
        <f t="shared" ref="BE24:CC24" si="387">SUM(BE26:BE38)</f>
        <v>3668913</v>
      </c>
      <c r="BF24" s="266">
        <f t="shared" si="387"/>
        <v>2378228</v>
      </c>
      <c r="BG24" s="266">
        <f t="shared" si="387"/>
        <v>183674</v>
      </c>
      <c r="BH24" s="266">
        <f t="shared" si="387"/>
        <v>1784574</v>
      </c>
      <c r="BI24" s="266">
        <f t="shared" si="387"/>
        <v>1106819</v>
      </c>
      <c r="BJ24" s="266">
        <f t="shared" si="387"/>
        <v>3638039</v>
      </c>
      <c r="BK24" s="266">
        <f t="shared" si="387"/>
        <v>1241086</v>
      </c>
      <c r="BL24" s="266">
        <f t="shared" si="387"/>
        <v>187885</v>
      </c>
      <c r="BM24" s="266">
        <f t="shared" si="387"/>
        <v>1793873</v>
      </c>
      <c r="BN24" s="266">
        <f t="shared" si="387"/>
        <v>1111356</v>
      </c>
      <c r="BO24" s="266">
        <f t="shared" si="387"/>
        <v>3608797</v>
      </c>
      <c r="BP24" s="266">
        <f t="shared" si="387"/>
        <v>1165100</v>
      </c>
      <c r="BQ24" s="266">
        <f t="shared" si="387"/>
        <v>183285</v>
      </c>
      <c r="BR24" s="266">
        <f t="shared" si="387"/>
        <v>1848628</v>
      </c>
      <c r="BS24" s="266">
        <f t="shared" si="387"/>
        <v>1132390</v>
      </c>
      <c r="BT24" s="265">
        <f t="shared" si="387"/>
        <v>3608294</v>
      </c>
      <c r="BU24" s="265">
        <f t="shared" si="387"/>
        <v>1161455</v>
      </c>
      <c r="BV24" s="265">
        <f t="shared" si="387"/>
        <v>183180</v>
      </c>
      <c r="BW24" s="265">
        <f t="shared" si="387"/>
        <v>1835439</v>
      </c>
      <c r="BX24" s="265">
        <f t="shared" si="387"/>
        <v>1208015</v>
      </c>
      <c r="BY24" s="541">
        <f t="shared" si="387"/>
        <v>7305869</v>
      </c>
      <c r="BZ24" s="265">
        <f t="shared" si="387"/>
        <v>4418263</v>
      </c>
      <c r="CA24" s="265">
        <f t="shared" si="387"/>
        <v>256515</v>
      </c>
      <c r="CB24" s="265">
        <f t="shared" si="387"/>
        <v>4405657</v>
      </c>
      <c r="CC24" s="265">
        <f t="shared" si="387"/>
        <v>2631091</v>
      </c>
      <c r="CD24" s="258" t="s">
        <v>185</v>
      </c>
      <c r="CE24" s="259" t="s">
        <v>185</v>
      </c>
      <c r="CF24" s="259" t="s">
        <v>185</v>
      </c>
      <c r="CG24" s="259" t="s">
        <v>185</v>
      </c>
      <c r="CH24" s="258" t="s">
        <v>185</v>
      </c>
      <c r="CI24" s="259" t="s">
        <v>185</v>
      </c>
      <c r="CJ24" s="259" t="s">
        <v>185</v>
      </c>
      <c r="CK24" s="259" t="s">
        <v>185</v>
      </c>
      <c r="CL24" s="260" t="s">
        <v>185</v>
      </c>
      <c r="CM24" s="265">
        <f>SUM(CM26:CM38)</f>
        <v>26015125</v>
      </c>
      <c r="CN24" s="265">
        <f t="shared" ref="CN24:CQ24" si="388">SUM(CN26:CN38)</f>
        <v>21618084</v>
      </c>
      <c r="CO24" s="265">
        <f t="shared" si="388"/>
        <v>1218498</v>
      </c>
      <c r="CP24" s="265">
        <f t="shared" si="388"/>
        <v>2339863</v>
      </c>
      <c r="CQ24" s="266">
        <f t="shared" si="388"/>
        <v>3178543</v>
      </c>
      <c r="CR24" s="265">
        <f>SUM(CR26:CR38)</f>
        <v>32127941</v>
      </c>
      <c r="CS24" s="265">
        <f t="shared" ref="CS24:JV24" si="389">SUM(CS26:CS38)</f>
        <v>24790915</v>
      </c>
      <c r="CT24" s="265">
        <f t="shared" si="389"/>
        <v>1451830</v>
      </c>
      <c r="CU24" s="265">
        <f t="shared" si="389"/>
        <v>3685446</v>
      </c>
      <c r="CV24" s="265">
        <f t="shared" si="389"/>
        <v>5757766</v>
      </c>
      <c r="CW24" s="265">
        <f>SUM(CW26:CW38)</f>
        <v>36983068</v>
      </c>
      <c r="CX24" s="265">
        <f t="shared" si="389"/>
        <v>27739773</v>
      </c>
      <c r="CY24" s="265">
        <f t="shared" si="389"/>
        <v>1678286</v>
      </c>
      <c r="CZ24" s="265">
        <f t="shared" si="389"/>
        <v>7565009</v>
      </c>
      <c r="DA24" s="266">
        <f t="shared" si="389"/>
        <v>5663946</v>
      </c>
      <c r="DB24" s="265">
        <f>SUM(DB26:DB38)</f>
        <v>37657117</v>
      </c>
      <c r="DC24" s="265">
        <f t="shared" si="389"/>
        <v>28374576</v>
      </c>
      <c r="DD24" s="265">
        <f t="shared" si="389"/>
        <v>1708981</v>
      </c>
      <c r="DE24" s="265">
        <f t="shared" si="389"/>
        <v>7573560</v>
      </c>
      <c r="DF24" s="266">
        <f t="shared" si="389"/>
        <v>5886982</v>
      </c>
      <c r="DG24" s="265">
        <f>SUM(DG26:DG38)</f>
        <v>38235571</v>
      </c>
      <c r="DH24" s="265">
        <f t="shared" si="389"/>
        <v>28934045</v>
      </c>
      <c r="DI24" s="265">
        <f t="shared" si="389"/>
        <v>1759952</v>
      </c>
      <c r="DJ24" s="265">
        <f t="shared" si="389"/>
        <v>7541574</v>
      </c>
      <c r="DK24" s="265">
        <f t="shared" si="389"/>
        <v>6024676</v>
      </c>
      <c r="DL24" s="265">
        <f t="shared" ref="DL24:EO24" si="390">SUM(DL26:DL38)</f>
        <v>38857247</v>
      </c>
      <c r="DM24" s="265">
        <f t="shared" si="390"/>
        <v>29347597</v>
      </c>
      <c r="DN24" s="265">
        <f t="shared" si="390"/>
        <v>1807161</v>
      </c>
      <c r="DO24" s="265">
        <f t="shared" si="390"/>
        <v>6253362</v>
      </c>
      <c r="DP24" s="265">
        <f t="shared" si="390"/>
        <v>6678300</v>
      </c>
      <c r="DQ24" s="265">
        <f t="shared" si="390"/>
        <v>39525024.861000001</v>
      </c>
      <c r="DR24" s="265">
        <f t="shared" si="390"/>
        <v>29815207.877000004</v>
      </c>
      <c r="DS24" s="265">
        <f t="shared" si="390"/>
        <v>1836201.4809999999</v>
      </c>
      <c r="DT24" s="265">
        <f t="shared" si="390"/>
        <v>6522260.2780000009</v>
      </c>
      <c r="DU24" s="266">
        <f t="shared" si="390"/>
        <v>7873615.5029999996</v>
      </c>
      <c r="DV24" s="266">
        <f t="shared" si="390"/>
        <v>40226083</v>
      </c>
      <c r="DW24" s="265">
        <f t="shared" si="390"/>
        <v>30245923</v>
      </c>
      <c r="DX24" s="265">
        <f t="shared" si="390"/>
        <v>1878366</v>
      </c>
      <c r="DY24" s="265">
        <f t="shared" si="390"/>
        <v>6792740</v>
      </c>
      <c r="DZ24" s="265">
        <f t="shared" si="390"/>
        <v>8099540</v>
      </c>
      <c r="EA24" s="265">
        <f t="shared" si="390"/>
        <v>40924889</v>
      </c>
      <c r="EB24" s="265">
        <f t="shared" si="390"/>
        <v>26127616</v>
      </c>
      <c r="EC24" s="265">
        <f t="shared" si="390"/>
        <v>1913184</v>
      </c>
      <c r="ED24" s="265">
        <f t="shared" si="390"/>
        <v>7060332</v>
      </c>
      <c r="EE24" s="265">
        <f t="shared" si="390"/>
        <v>8337597</v>
      </c>
      <c r="EF24" s="265">
        <f t="shared" si="390"/>
        <v>43415974</v>
      </c>
      <c r="EG24" s="265">
        <f t="shared" si="390"/>
        <v>26856356</v>
      </c>
      <c r="EH24" s="265">
        <f t="shared" si="390"/>
        <v>2049424</v>
      </c>
      <c r="EI24" s="265">
        <f t="shared" si="390"/>
        <v>7954172</v>
      </c>
      <c r="EJ24" s="265">
        <f t="shared" si="390"/>
        <v>9399604</v>
      </c>
      <c r="EK24" s="265">
        <f t="shared" si="390"/>
        <v>44160879</v>
      </c>
      <c r="EL24" s="265">
        <f t="shared" si="390"/>
        <v>27114191</v>
      </c>
      <c r="EM24" s="265">
        <f t="shared" si="390"/>
        <v>2059403</v>
      </c>
      <c r="EN24" s="265">
        <f t="shared" si="390"/>
        <v>8240615</v>
      </c>
      <c r="EO24" s="265">
        <f t="shared" si="390"/>
        <v>9845503</v>
      </c>
      <c r="EP24" s="258" t="s">
        <v>185</v>
      </c>
      <c r="EQ24" s="259" t="s">
        <v>185</v>
      </c>
      <c r="ER24" s="259" t="s">
        <v>185</v>
      </c>
      <c r="ES24" s="259" t="s">
        <v>185</v>
      </c>
      <c r="ET24" s="260" t="s">
        <v>185</v>
      </c>
      <c r="EU24" s="265">
        <f>SUM(EU26:EU38)</f>
        <v>10272291</v>
      </c>
      <c r="EV24" s="265">
        <f t="shared" si="389"/>
        <v>8502412</v>
      </c>
      <c r="EW24" s="265">
        <f t="shared" si="389"/>
        <v>589085</v>
      </c>
      <c r="EX24" s="265">
        <f t="shared" si="389"/>
        <v>966767</v>
      </c>
      <c r="EY24" s="266">
        <f t="shared" si="389"/>
        <v>1180794</v>
      </c>
      <c r="EZ24" s="265">
        <f>SUM(EZ26:EZ38)</f>
        <v>12564353</v>
      </c>
      <c r="FA24" s="265">
        <f t="shared" si="389"/>
        <v>9718193</v>
      </c>
      <c r="FB24" s="265">
        <f t="shared" si="389"/>
        <v>700020</v>
      </c>
      <c r="FC24" s="265">
        <f t="shared" si="389"/>
        <v>1506758</v>
      </c>
      <c r="FD24" s="266">
        <f t="shared" si="389"/>
        <v>2097599</v>
      </c>
      <c r="FE24" s="265">
        <f t="shared" si="389"/>
        <v>14692377</v>
      </c>
      <c r="FF24" s="265">
        <f t="shared" si="389"/>
        <v>11204549</v>
      </c>
      <c r="FG24" s="265">
        <f t="shared" si="389"/>
        <v>847631</v>
      </c>
      <c r="FH24" s="265">
        <f t="shared" si="389"/>
        <v>2480189</v>
      </c>
      <c r="FI24" s="266">
        <f t="shared" si="389"/>
        <v>2640197</v>
      </c>
      <c r="FJ24" s="265">
        <f t="shared" si="389"/>
        <v>14898089.930999998</v>
      </c>
      <c r="FK24" s="265">
        <f t="shared" si="389"/>
        <v>11357261.867999999</v>
      </c>
      <c r="FL24" s="265">
        <f t="shared" si="389"/>
        <v>861683.95299999998</v>
      </c>
      <c r="FM24" s="265">
        <f t="shared" si="389"/>
        <v>2587519.29</v>
      </c>
      <c r="FN24" s="266">
        <f t="shared" si="389"/>
        <v>2679144.1099999994</v>
      </c>
      <c r="FO24" s="266">
        <f t="shared" si="389"/>
        <v>15120564</v>
      </c>
      <c r="FP24" s="266">
        <f t="shared" si="389"/>
        <v>11493723</v>
      </c>
      <c r="FQ24" s="266">
        <f t="shared" si="389"/>
        <v>880002</v>
      </c>
      <c r="FR24" s="266">
        <f t="shared" si="389"/>
        <v>2707878</v>
      </c>
      <c r="FS24" s="266">
        <f t="shared" si="389"/>
        <v>2745605</v>
      </c>
      <c r="FT24" s="266">
        <f t="shared" si="389"/>
        <v>15335730</v>
      </c>
      <c r="FU24" s="266">
        <f t="shared" si="389"/>
        <v>9811541</v>
      </c>
      <c r="FV24" s="266">
        <f t="shared" si="389"/>
        <v>899373</v>
      </c>
      <c r="FW24" s="266">
        <f t="shared" si="389"/>
        <v>2811790</v>
      </c>
      <c r="FX24" s="266">
        <f t="shared" si="389"/>
        <v>2822383</v>
      </c>
      <c r="FY24" s="266">
        <f t="shared" si="389"/>
        <v>15819103</v>
      </c>
      <c r="FZ24" s="266">
        <f t="shared" si="389"/>
        <v>9814078</v>
      </c>
      <c r="GA24" s="266">
        <f t="shared" si="389"/>
        <v>934381</v>
      </c>
      <c r="GB24" s="266">
        <f t="shared" si="389"/>
        <v>3098650</v>
      </c>
      <c r="GC24" s="266">
        <f t="shared" si="389"/>
        <v>3081429</v>
      </c>
      <c r="GD24" s="265">
        <f t="shared" si="389"/>
        <v>15983347</v>
      </c>
      <c r="GE24" s="265">
        <f t="shared" si="389"/>
        <v>9851673</v>
      </c>
      <c r="GF24" s="265">
        <f t="shared" si="389"/>
        <v>939212</v>
      </c>
      <c r="GG24" s="265">
        <f t="shared" si="389"/>
        <v>3198286</v>
      </c>
      <c r="GH24" s="265">
        <f t="shared" si="389"/>
        <v>3206462</v>
      </c>
      <c r="GI24" s="360">
        <f>SUM(GI26:GI38)</f>
        <v>2505787</v>
      </c>
      <c r="GJ24" s="265">
        <f t="shared" si="389"/>
        <v>2008539</v>
      </c>
      <c r="GK24" s="265">
        <f t="shared" si="389"/>
        <v>142935</v>
      </c>
      <c r="GL24" s="265">
        <f t="shared" si="389"/>
        <v>248269</v>
      </c>
      <c r="GM24" s="266">
        <f t="shared" si="389"/>
        <v>354313</v>
      </c>
      <c r="GN24" s="265">
        <f>SUM(GN26:GN38)</f>
        <v>2839898</v>
      </c>
      <c r="GO24" s="265">
        <f t="shared" si="389"/>
        <v>2135794</v>
      </c>
      <c r="GP24" s="265">
        <f t="shared" si="389"/>
        <v>153622</v>
      </c>
      <c r="GQ24" s="265">
        <f t="shared" si="389"/>
        <v>316516</v>
      </c>
      <c r="GR24" s="266">
        <f t="shared" si="389"/>
        <v>540569</v>
      </c>
      <c r="GS24" s="265">
        <f>SUM(GS26:GS38)</f>
        <v>3677385</v>
      </c>
      <c r="GT24" s="265">
        <f t="shared" si="389"/>
        <v>2760254</v>
      </c>
      <c r="GU24" s="265">
        <f t="shared" si="389"/>
        <v>201722</v>
      </c>
      <c r="GV24" s="265">
        <f t="shared" si="389"/>
        <v>559242</v>
      </c>
      <c r="GW24" s="265">
        <f t="shared" si="389"/>
        <v>715409</v>
      </c>
      <c r="GX24" s="265">
        <f>SUM(GX26:GX38)</f>
        <v>0</v>
      </c>
      <c r="GY24" s="265">
        <f t="shared" si="389"/>
        <v>0</v>
      </c>
      <c r="GZ24" s="265">
        <f t="shared" si="389"/>
        <v>0</v>
      </c>
      <c r="HA24" s="265">
        <f t="shared" si="389"/>
        <v>0</v>
      </c>
      <c r="HB24" s="266">
        <f t="shared" si="389"/>
        <v>0</v>
      </c>
      <c r="HC24" s="266">
        <f t="shared" si="389"/>
        <v>3856754</v>
      </c>
      <c r="HD24" s="266">
        <f t="shared" si="389"/>
        <v>2901904</v>
      </c>
      <c r="HE24" s="266">
        <f t="shared" si="389"/>
        <v>208272</v>
      </c>
      <c r="HF24" s="266">
        <f t="shared" si="389"/>
        <v>615578</v>
      </c>
      <c r="HG24" s="266">
        <f t="shared" si="389"/>
        <v>746409</v>
      </c>
      <c r="HH24" s="266">
        <f t="shared" si="389"/>
        <v>3978896</v>
      </c>
      <c r="HI24" s="266">
        <f t="shared" si="389"/>
        <v>2563794</v>
      </c>
      <c r="HJ24" s="266">
        <f t="shared" si="389"/>
        <v>211690</v>
      </c>
      <c r="HK24" s="266">
        <f t="shared" si="389"/>
        <v>646304</v>
      </c>
      <c r="HL24" s="266">
        <f t="shared" si="389"/>
        <v>777685</v>
      </c>
      <c r="HM24" s="266">
        <f t="shared" si="389"/>
        <v>4167733</v>
      </c>
      <c r="HN24" s="266">
        <f t="shared" si="389"/>
        <v>2602286</v>
      </c>
      <c r="HO24" s="266">
        <f t="shared" si="389"/>
        <v>231917</v>
      </c>
      <c r="HP24" s="266">
        <f t="shared" si="389"/>
        <v>720299</v>
      </c>
      <c r="HQ24" s="266">
        <f t="shared" si="389"/>
        <v>863263</v>
      </c>
      <c r="HR24" s="265">
        <f t="shared" si="389"/>
        <v>4293511</v>
      </c>
      <c r="HS24" s="265">
        <f t="shared" si="389"/>
        <v>2657573</v>
      </c>
      <c r="HT24" s="265">
        <f t="shared" si="389"/>
        <v>237462</v>
      </c>
      <c r="HU24" s="265">
        <f t="shared" si="389"/>
        <v>774196</v>
      </c>
      <c r="HV24" s="265">
        <f t="shared" si="389"/>
        <v>906122</v>
      </c>
      <c r="HW24" s="541">
        <f t="shared" si="389"/>
        <v>10011231</v>
      </c>
      <c r="HX24" s="518">
        <f t="shared" si="389"/>
        <v>8355717</v>
      </c>
      <c r="HY24" s="518">
        <f t="shared" si="389"/>
        <v>379178</v>
      </c>
      <c r="HZ24" s="518">
        <f t="shared" si="389"/>
        <v>610810</v>
      </c>
      <c r="IA24" s="518">
        <f t="shared" si="389"/>
        <v>1276336</v>
      </c>
      <c r="IB24" s="541">
        <f t="shared" si="389"/>
        <v>13313395</v>
      </c>
      <c r="IC24" s="518">
        <f t="shared" si="389"/>
        <v>10426562</v>
      </c>
      <c r="ID24" s="518">
        <f t="shared" si="389"/>
        <v>465153</v>
      </c>
      <c r="IE24" s="518">
        <f t="shared" si="389"/>
        <v>934240</v>
      </c>
      <c r="IF24" s="518">
        <f t="shared" si="389"/>
        <v>2383206</v>
      </c>
      <c r="IG24" s="265">
        <f>SUM(IG26:IG38)</f>
        <v>14956858</v>
      </c>
      <c r="IH24" s="265">
        <f t="shared" si="389"/>
        <v>11307865</v>
      </c>
      <c r="II24" s="265">
        <f t="shared" si="389"/>
        <v>558755</v>
      </c>
      <c r="IJ24" s="265">
        <f t="shared" si="389"/>
        <v>1503479</v>
      </c>
      <c r="IK24" s="266">
        <f t="shared" si="389"/>
        <v>3090238</v>
      </c>
      <c r="IL24" s="362">
        <f>SUM(IL26:IL38)</f>
        <v>0</v>
      </c>
      <c r="IM24" s="362">
        <f t="shared" si="389"/>
        <v>0</v>
      </c>
      <c r="IN24" s="362">
        <f t="shared" si="389"/>
        <v>0</v>
      </c>
      <c r="IO24" s="362">
        <f t="shared" si="389"/>
        <v>0</v>
      </c>
      <c r="IP24" s="563">
        <f t="shared" si="389"/>
        <v>0</v>
      </c>
      <c r="IQ24" s="563">
        <f t="shared" si="389"/>
        <v>18070084</v>
      </c>
      <c r="IR24" s="563">
        <f t="shared" si="389"/>
        <v>13651228</v>
      </c>
      <c r="IS24" s="563">
        <f t="shared" si="389"/>
        <v>668866</v>
      </c>
      <c r="IT24" s="563">
        <f t="shared" si="389"/>
        <v>1846140</v>
      </c>
      <c r="IU24" s="563">
        <f t="shared" si="389"/>
        <v>3749448</v>
      </c>
      <c r="IV24" s="563">
        <f t="shared" si="389"/>
        <v>18592647</v>
      </c>
      <c r="IW24" s="563">
        <f t="shared" si="389"/>
        <v>12690033</v>
      </c>
      <c r="IX24" s="563">
        <f t="shared" si="389"/>
        <v>683761</v>
      </c>
      <c r="IY24" s="563">
        <f t="shared" si="389"/>
        <v>1939339</v>
      </c>
      <c r="IZ24" s="362">
        <f t="shared" si="389"/>
        <v>3899757</v>
      </c>
      <c r="JA24" s="837">
        <f t="shared" si="389"/>
        <v>20280793</v>
      </c>
      <c r="JB24" s="563">
        <f t="shared" si="389"/>
        <v>13472327</v>
      </c>
      <c r="JC24" s="563">
        <f t="shared" si="389"/>
        <v>779175</v>
      </c>
      <c r="JD24" s="563">
        <f t="shared" si="389"/>
        <v>2236168</v>
      </c>
      <c r="JE24" s="362">
        <f t="shared" si="389"/>
        <v>4512671</v>
      </c>
      <c r="JF24" s="840">
        <f t="shared" si="389"/>
        <v>20989042</v>
      </c>
      <c r="JG24" s="362">
        <f t="shared" si="389"/>
        <v>13852936</v>
      </c>
      <c r="JH24" s="362">
        <f t="shared" si="389"/>
        <v>788298</v>
      </c>
      <c r="JI24" s="362">
        <f t="shared" si="389"/>
        <v>2381210</v>
      </c>
      <c r="JJ24" s="362">
        <f t="shared" si="389"/>
        <v>4761492</v>
      </c>
      <c r="JK24" s="265">
        <f>SUM(JK26:JK38)</f>
        <v>4966348</v>
      </c>
      <c r="JL24" s="265">
        <f t="shared" si="389"/>
        <v>4164544</v>
      </c>
      <c r="JM24" s="265">
        <f t="shared" si="389"/>
        <v>160603</v>
      </c>
      <c r="JN24" s="265">
        <f t="shared" si="389"/>
        <v>241211</v>
      </c>
      <c r="JO24" s="266">
        <f t="shared" si="389"/>
        <v>641201</v>
      </c>
      <c r="JP24" s="265">
        <f>SUM(JP26:JP38)</f>
        <v>6801505</v>
      </c>
      <c r="JQ24" s="265">
        <f t="shared" si="389"/>
        <v>5322432</v>
      </c>
      <c r="JR24" s="265">
        <f t="shared" si="389"/>
        <v>207160</v>
      </c>
      <c r="JS24" s="265">
        <f t="shared" si="389"/>
        <v>410810</v>
      </c>
      <c r="JT24" s="265">
        <f t="shared" si="389"/>
        <v>1251283</v>
      </c>
      <c r="JU24" s="265">
        <f>SUM(JU26:JU38)</f>
        <v>8713663</v>
      </c>
      <c r="JV24" s="265">
        <f t="shared" si="389"/>
        <v>6535219</v>
      </c>
      <c r="JW24" s="265">
        <f t="shared" ref="JW24:JY24" si="391">SUM(JW26:JW38)</f>
        <v>286269</v>
      </c>
      <c r="JX24" s="265">
        <f t="shared" si="391"/>
        <v>787210</v>
      </c>
      <c r="JY24" s="265">
        <f t="shared" si="391"/>
        <v>1892175</v>
      </c>
      <c r="JZ24" s="265">
        <f>SUM(JZ26:JZ38)</f>
        <v>8878691.3919999991</v>
      </c>
      <c r="KA24" s="265">
        <f t="shared" ref="KA24:KS24" si="392">SUM(KA26:KA38)</f>
        <v>6651047.9590000017</v>
      </c>
      <c r="KB24" s="265">
        <f t="shared" si="392"/>
        <v>292043.65999999992</v>
      </c>
      <c r="KC24" s="265">
        <f t="shared" si="392"/>
        <v>822454.25300000014</v>
      </c>
      <c r="KD24" s="265">
        <f t="shared" si="392"/>
        <v>1935599.7730000003</v>
      </c>
      <c r="KE24" s="265">
        <f t="shared" si="392"/>
        <v>9290473</v>
      </c>
      <c r="KF24" s="265">
        <f t="shared" si="392"/>
        <v>6321749</v>
      </c>
      <c r="KG24" s="265">
        <f t="shared" si="392"/>
        <v>306044</v>
      </c>
      <c r="KH24" s="265">
        <f t="shared" si="392"/>
        <v>907671</v>
      </c>
      <c r="KI24" s="265">
        <f t="shared" si="392"/>
        <v>2045881</v>
      </c>
      <c r="KJ24" s="265">
        <f t="shared" si="392"/>
        <v>10174747</v>
      </c>
      <c r="KK24" s="265">
        <f t="shared" si="392"/>
        <v>6734116</v>
      </c>
      <c r="KL24" s="265">
        <f t="shared" si="392"/>
        <v>342776</v>
      </c>
      <c r="KM24" s="265">
        <f t="shared" si="392"/>
        <v>1073189</v>
      </c>
      <c r="KN24" s="265">
        <f t="shared" si="392"/>
        <v>2382475</v>
      </c>
      <c r="KO24" s="265">
        <f t="shared" si="392"/>
        <v>10495464</v>
      </c>
      <c r="KP24" s="265">
        <f t="shared" si="392"/>
        <v>6906112</v>
      </c>
      <c r="KQ24" s="265">
        <f t="shared" si="392"/>
        <v>350490</v>
      </c>
      <c r="KR24" s="265">
        <f t="shared" si="392"/>
        <v>1128262</v>
      </c>
      <c r="KS24" s="265">
        <f t="shared" si="392"/>
        <v>2491474</v>
      </c>
      <c r="KT24" s="258" t="s">
        <v>185</v>
      </c>
      <c r="KU24" s="259" t="s">
        <v>185</v>
      </c>
      <c r="KV24" s="284">
        <f t="shared" ref="KV24:NG24" si="393">SUM(KV26:KV38)</f>
        <v>1468260</v>
      </c>
      <c r="KW24" s="257">
        <f t="shared" si="393"/>
        <v>893287</v>
      </c>
      <c r="KX24" s="257">
        <f t="shared" si="393"/>
        <v>574973</v>
      </c>
      <c r="KY24" s="257">
        <f t="shared" si="393"/>
        <v>1409215</v>
      </c>
      <c r="KZ24" s="257">
        <f t="shared" si="393"/>
        <v>858738</v>
      </c>
      <c r="LA24" s="257">
        <f t="shared" si="393"/>
        <v>550477</v>
      </c>
      <c r="LB24" s="257">
        <f t="shared" si="393"/>
        <v>59045</v>
      </c>
      <c r="LC24" s="257">
        <f t="shared" si="393"/>
        <v>34549</v>
      </c>
      <c r="LD24" s="257">
        <f t="shared" si="393"/>
        <v>24496</v>
      </c>
      <c r="LE24" s="359">
        <f t="shared" si="393"/>
        <v>2451817</v>
      </c>
      <c r="LF24" s="257">
        <f t="shared" si="393"/>
        <v>1485523</v>
      </c>
      <c r="LG24" s="257">
        <f t="shared" si="393"/>
        <v>966294</v>
      </c>
      <c r="LH24" s="257">
        <f t="shared" si="393"/>
        <v>2301528</v>
      </c>
      <c r="LI24" s="257">
        <f t="shared" si="393"/>
        <v>1396650</v>
      </c>
      <c r="LJ24" s="257">
        <f t="shared" si="393"/>
        <v>904878</v>
      </c>
      <c r="LK24" s="257">
        <f t="shared" si="393"/>
        <v>45928</v>
      </c>
      <c r="LL24" s="257">
        <f t="shared" si="393"/>
        <v>22731</v>
      </c>
      <c r="LM24" s="257">
        <f t="shared" si="393"/>
        <v>23197</v>
      </c>
      <c r="LN24" s="257">
        <f t="shared" si="393"/>
        <v>104361</v>
      </c>
      <c r="LO24" s="257">
        <f t="shared" si="393"/>
        <v>66142</v>
      </c>
      <c r="LP24" s="257">
        <f t="shared" si="393"/>
        <v>38219</v>
      </c>
      <c r="LQ24" s="284">
        <f t="shared" si="393"/>
        <v>4844282</v>
      </c>
      <c r="LR24" s="257">
        <f t="shared" si="393"/>
        <v>2875900</v>
      </c>
      <c r="LS24" s="257">
        <f t="shared" si="393"/>
        <v>1968382</v>
      </c>
      <c r="LT24" s="265">
        <f t="shared" si="393"/>
        <v>4176071</v>
      </c>
      <c r="LU24" s="257">
        <f t="shared" si="393"/>
        <v>2495442</v>
      </c>
      <c r="LV24" s="257">
        <f t="shared" si="393"/>
        <v>1680629</v>
      </c>
      <c r="LW24" s="257">
        <f t="shared" si="393"/>
        <v>380458</v>
      </c>
      <c r="LX24" s="257">
        <f t="shared" si="393"/>
        <v>287753</v>
      </c>
      <c r="LY24" s="265">
        <f t="shared" si="393"/>
        <v>128075</v>
      </c>
      <c r="LZ24" s="257">
        <f t="shared" si="393"/>
        <v>68057</v>
      </c>
      <c r="MA24" s="257">
        <f t="shared" si="393"/>
        <v>60018</v>
      </c>
      <c r="MB24" s="265">
        <f t="shared" si="393"/>
        <v>184813</v>
      </c>
      <c r="MC24" s="257">
        <f t="shared" si="393"/>
        <v>114596</v>
      </c>
      <c r="MD24" s="257">
        <f t="shared" si="393"/>
        <v>70217</v>
      </c>
      <c r="ME24" s="257">
        <f t="shared" si="393"/>
        <v>355323</v>
      </c>
      <c r="MF24" s="257">
        <f t="shared" si="393"/>
        <v>197805</v>
      </c>
      <c r="MG24" s="257">
        <f t="shared" si="393"/>
        <v>157518</v>
      </c>
      <c r="MH24" s="257">
        <f t="shared" si="393"/>
        <v>7834</v>
      </c>
      <c r="MI24" s="257">
        <f t="shared" si="393"/>
        <v>4981</v>
      </c>
      <c r="MJ24" s="257">
        <f t="shared" si="393"/>
        <v>2853</v>
      </c>
      <c r="MK24" s="257">
        <f t="shared" si="393"/>
        <v>347489</v>
      </c>
      <c r="ML24" s="257">
        <f t="shared" si="393"/>
        <v>192824</v>
      </c>
      <c r="MM24" s="257">
        <f t="shared" si="393"/>
        <v>154665</v>
      </c>
      <c r="MN24" s="360">
        <f t="shared" si="393"/>
        <v>7505444</v>
      </c>
      <c r="MO24" s="257">
        <f t="shared" si="393"/>
        <v>4191087</v>
      </c>
      <c r="MP24" s="257">
        <f t="shared" si="393"/>
        <v>3314357</v>
      </c>
      <c r="MQ24" s="265">
        <f t="shared" si="393"/>
        <v>6347178</v>
      </c>
      <c r="MR24" s="265">
        <f t="shared" si="393"/>
        <v>6122945</v>
      </c>
      <c r="MS24" s="257">
        <f t="shared" si="393"/>
        <v>3453771</v>
      </c>
      <c r="MT24" s="257">
        <f t="shared" si="393"/>
        <v>2669174</v>
      </c>
      <c r="MU24" s="257">
        <f t="shared" si="393"/>
        <v>737316</v>
      </c>
      <c r="MV24" s="257">
        <f t="shared" si="393"/>
        <v>645183</v>
      </c>
      <c r="MW24" s="265">
        <f t="shared" si="393"/>
        <v>236243</v>
      </c>
      <c r="MX24" s="265">
        <f t="shared" si="393"/>
        <v>230401</v>
      </c>
      <c r="MY24" s="257">
        <f t="shared" si="393"/>
        <v>116790</v>
      </c>
      <c r="MZ24" s="257">
        <f t="shared" si="393"/>
        <v>113611</v>
      </c>
      <c r="NA24" s="265">
        <f t="shared" si="393"/>
        <v>363541</v>
      </c>
      <c r="NB24" s="257">
        <f t="shared" si="393"/>
        <v>206482</v>
      </c>
      <c r="NC24" s="257">
        <f t="shared" si="393"/>
        <v>157059</v>
      </c>
      <c r="ND24" s="266">
        <f t="shared" si="393"/>
        <v>922023</v>
      </c>
      <c r="NE24" s="361">
        <f t="shared" si="393"/>
        <v>414044</v>
      </c>
      <c r="NF24" s="361">
        <f t="shared" si="393"/>
        <v>374513</v>
      </c>
      <c r="NG24" s="361">
        <f t="shared" si="393"/>
        <v>5067</v>
      </c>
      <c r="NH24" s="361">
        <f t="shared" ref="NH24:PB24" si="394">SUM(NH26:NH38)</f>
        <v>2825</v>
      </c>
      <c r="NI24" s="361">
        <f t="shared" si="394"/>
        <v>2242</v>
      </c>
      <c r="NJ24" s="361">
        <f t="shared" si="394"/>
        <v>783490</v>
      </c>
      <c r="NK24" s="361">
        <f t="shared" si="394"/>
        <v>411219</v>
      </c>
      <c r="NL24" s="361">
        <f t="shared" si="394"/>
        <v>372271</v>
      </c>
      <c r="NM24" s="257">
        <f t="shared" si="394"/>
        <v>18245</v>
      </c>
      <c r="NN24" s="257">
        <f t="shared" si="394"/>
        <v>17588</v>
      </c>
      <c r="NO24" s="257">
        <f t="shared" si="394"/>
        <v>392974</v>
      </c>
      <c r="NP24" s="257">
        <f t="shared" si="394"/>
        <v>354683</v>
      </c>
      <c r="NQ24" s="309">
        <f t="shared" si="394"/>
        <v>10473497</v>
      </c>
      <c r="NR24" s="257">
        <f t="shared" si="394"/>
        <v>5495354</v>
      </c>
      <c r="NS24" s="257">
        <f t="shared" si="394"/>
        <v>4978143</v>
      </c>
      <c r="NT24" s="362">
        <f t="shared" si="394"/>
        <v>8290768</v>
      </c>
      <c r="NU24" s="362">
        <f t="shared" si="394"/>
        <v>4412891</v>
      </c>
      <c r="NV24" s="362">
        <f t="shared" si="394"/>
        <v>3877877</v>
      </c>
      <c r="NW24" s="362">
        <f t="shared" si="394"/>
        <v>7933349</v>
      </c>
      <c r="NX24" s="257">
        <f t="shared" si="394"/>
        <v>4232780</v>
      </c>
      <c r="NY24" s="257">
        <f t="shared" si="394"/>
        <v>3700569</v>
      </c>
      <c r="NZ24" s="362">
        <f t="shared" si="394"/>
        <v>311531</v>
      </c>
      <c r="OA24" s="257">
        <f t="shared" si="394"/>
        <v>149301</v>
      </c>
      <c r="OB24" s="257">
        <f t="shared" si="394"/>
        <v>162230</v>
      </c>
      <c r="OC24" s="362">
        <f t="shared" si="394"/>
        <v>630210</v>
      </c>
      <c r="OD24" s="257">
        <f t="shared" si="394"/>
        <v>314815</v>
      </c>
      <c r="OE24" s="257">
        <f t="shared" si="394"/>
        <v>315395</v>
      </c>
      <c r="OF24" s="362">
        <f t="shared" si="394"/>
        <v>1871198</v>
      </c>
      <c r="OG24" s="257">
        <f t="shared" si="394"/>
        <v>933162</v>
      </c>
      <c r="OH24" s="257">
        <f t="shared" si="394"/>
        <v>938036</v>
      </c>
      <c r="OI24" s="310">
        <f t="shared" si="394"/>
        <v>12639355</v>
      </c>
      <c r="OJ24" s="257">
        <f t="shared" si="394"/>
        <v>9676154</v>
      </c>
      <c r="OK24" s="257">
        <f t="shared" si="394"/>
        <v>820749</v>
      </c>
      <c r="OL24" s="257">
        <f t="shared" si="394"/>
        <v>2562471</v>
      </c>
      <c r="OM24" s="362">
        <f t="shared" si="394"/>
        <v>969886</v>
      </c>
      <c r="ON24" s="360">
        <f t="shared" si="394"/>
        <v>12966029</v>
      </c>
      <c r="OO24" s="265">
        <f t="shared" si="394"/>
        <v>9932724</v>
      </c>
      <c r="OP24" s="265">
        <f t="shared" si="394"/>
        <v>412158</v>
      </c>
      <c r="OQ24" s="265">
        <f t="shared" si="394"/>
        <v>2621147</v>
      </c>
      <c r="OR24" s="265">
        <f t="shared" si="394"/>
        <v>1030655</v>
      </c>
      <c r="OS24" s="360">
        <f t="shared" si="394"/>
        <v>13295956</v>
      </c>
      <c r="OT24" s="265">
        <f t="shared" si="394"/>
        <v>10181940</v>
      </c>
      <c r="OU24" s="265">
        <f t="shared" si="394"/>
        <v>427268</v>
      </c>
      <c r="OV24" s="265">
        <f t="shared" si="394"/>
        <v>2686748</v>
      </c>
      <c r="OW24" s="265">
        <f t="shared" si="394"/>
        <v>1070600</v>
      </c>
      <c r="OX24" s="360">
        <f t="shared" si="394"/>
        <v>13583340</v>
      </c>
      <c r="OY24" s="265">
        <f t="shared" si="394"/>
        <v>10317072</v>
      </c>
      <c r="OZ24" s="265">
        <f t="shared" si="394"/>
        <v>439816</v>
      </c>
      <c r="PA24" s="265">
        <f>SUM(PA26:PA38)</f>
        <v>2826452</v>
      </c>
      <c r="PB24" s="265">
        <f t="shared" si="394"/>
        <v>1124598</v>
      </c>
      <c r="PC24" s="265">
        <f>SUM(PC26:PC38)</f>
        <v>13851814.833000001</v>
      </c>
      <c r="PD24" s="265">
        <f>SUM(PD26:PD38)</f>
        <v>10519374.331000002</v>
      </c>
      <c r="PE24" s="265">
        <f>SUM(PE26:PE38)</f>
        <v>448051.55099999998</v>
      </c>
      <c r="PF24" s="265">
        <f>SUM(PF26:PF38)</f>
        <v>1170105.5430000001</v>
      </c>
      <c r="PG24" s="265">
        <f>SUM(PG26:PG38)</f>
        <v>2884388.9509999999</v>
      </c>
      <c r="PH24" s="265">
        <f t="shared" ref="PH24:PK24" si="395">SUM(PH26:PH38)</f>
        <v>14213330</v>
      </c>
      <c r="PI24" s="265">
        <f t="shared" si="395"/>
        <v>10749324</v>
      </c>
      <c r="PJ24" s="265">
        <f t="shared" si="395"/>
        <v>460594</v>
      </c>
      <c r="PK24" s="265">
        <f t="shared" si="395"/>
        <v>1230562</v>
      </c>
      <c r="PL24" s="265">
        <f t="shared" ref="PL24:QA24" si="396">SUM(PL26:PL38)</f>
        <v>3003039</v>
      </c>
      <c r="PM24" s="265">
        <f t="shared" si="396"/>
        <v>14613751</v>
      </c>
      <c r="PN24" s="265">
        <f t="shared" si="396"/>
        <v>10126239</v>
      </c>
      <c r="PO24" s="265">
        <f t="shared" si="396"/>
        <v>472071</v>
      </c>
      <c r="PP24" s="265">
        <f t="shared" si="396"/>
        <v>1293035</v>
      </c>
      <c r="PQ24" s="265">
        <f t="shared" si="396"/>
        <v>3122072</v>
      </c>
      <c r="PR24" s="265">
        <f t="shared" si="396"/>
        <v>16113060</v>
      </c>
      <c r="PS24" s="265">
        <f t="shared" si="396"/>
        <v>10870041</v>
      </c>
      <c r="PT24" s="265">
        <f t="shared" si="396"/>
        <v>547258</v>
      </c>
      <c r="PU24" s="265">
        <f t="shared" si="396"/>
        <v>1515869</v>
      </c>
      <c r="PV24" s="265">
        <f t="shared" si="396"/>
        <v>3652312</v>
      </c>
      <c r="PW24" s="265">
        <f t="shared" si="396"/>
        <v>16695531</v>
      </c>
      <c r="PX24" s="265">
        <f t="shared" si="396"/>
        <v>11195363</v>
      </c>
      <c r="PY24" s="265">
        <f t="shared" si="396"/>
        <v>550836</v>
      </c>
      <c r="PZ24" s="265">
        <f t="shared" si="396"/>
        <v>1607014</v>
      </c>
      <c r="QA24" s="265">
        <f t="shared" si="396"/>
        <v>3858562</v>
      </c>
      <c r="QB24" s="360">
        <f t="shared" ref="QB24:RO24" si="397">SUM(QB26:QB38)</f>
        <v>2539096</v>
      </c>
      <c r="QC24" s="265">
        <f t="shared" si="397"/>
        <v>2182634</v>
      </c>
      <c r="QD24" s="265">
        <f t="shared" si="397"/>
        <v>75640</v>
      </c>
      <c r="QE24" s="265">
        <f t="shared" si="397"/>
        <v>121330</v>
      </c>
      <c r="QF24" s="266">
        <f t="shared" si="397"/>
        <v>280822</v>
      </c>
      <c r="QG24" s="265">
        <f t="shared" si="397"/>
        <v>3671992</v>
      </c>
      <c r="QH24" s="265">
        <f t="shared" si="397"/>
        <v>2968336</v>
      </c>
      <c r="QI24" s="265">
        <f t="shared" si="397"/>
        <v>104371</v>
      </c>
      <c r="QJ24" s="265">
        <f t="shared" si="397"/>
        <v>206914</v>
      </c>
      <c r="QK24" s="265">
        <f t="shared" si="397"/>
        <v>591354</v>
      </c>
      <c r="QL24" s="360">
        <f t="shared" si="397"/>
        <v>4869677</v>
      </c>
      <c r="QM24" s="265">
        <f t="shared" si="397"/>
        <v>3781853</v>
      </c>
      <c r="QN24" s="265">
        <f t="shared" si="397"/>
        <v>153547</v>
      </c>
      <c r="QO24" s="265">
        <f t="shared" si="397"/>
        <v>337388</v>
      </c>
      <c r="QP24" s="265">
        <f t="shared" si="397"/>
        <v>934277</v>
      </c>
      <c r="QQ24" s="360">
        <f t="shared" si="397"/>
        <v>4973123.4409999996</v>
      </c>
      <c r="QR24" s="265">
        <f t="shared" si="397"/>
        <v>3868326.372</v>
      </c>
      <c r="QS24" s="265">
        <f t="shared" si="397"/>
        <v>156007.89099999997</v>
      </c>
      <c r="QT24" s="265">
        <f t="shared" si="397"/>
        <v>347651.29000000004</v>
      </c>
      <c r="QU24" s="266">
        <f t="shared" si="397"/>
        <v>948789.17800000007</v>
      </c>
      <c r="QV24" s="265">
        <f t="shared" si="397"/>
        <v>5140543</v>
      </c>
      <c r="QW24" s="265">
        <f t="shared" si="397"/>
        <v>3956999</v>
      </c>
      <c r="QX24" s="265">
        <f t="shared" si="397"/>
        <v>160746</v>
      </c>
      <c r="QY24" s="265">
        <f t="shared" si="397"/>
        <v>370289</v>
      </c>
      <c r="QZ24" s="517">
        <f t="shared" si="397"/>
        <v>1022740</v>
      </c>
      <c r="RA24" s="517">
        <f t="shared" si="397"/>
        <v>5323278</v>
      </c>
      <c r="RB24" s="517">
        <f t="shared" si="397"/>
        <v>3804490</v>
      </c>
      <c r="RC24" s="517">
        <f t="shared" si="397"/>
        <v>166027</v>
      </c>
      <c r="RD24" s="517">
        <f t="shared" si="397"/>
        <v>385364</v>
      </c>
      <c r="RE24" s="517">
        <f t="shared" si="397"/>
        <v>1076191</v>
      </c>
      <c r="RF24" s="517">
        <f t="shared" si="397"/>
        <v>5938313</v>
      </c>
      <c r="RG24" s="517">
        <f t="shared" si="397"/>
        <v>4135925</v>
      </c>
      <c r="RH24" s="517">
        <f t="shared" si="397"/>
        <v>204482</v>
      </c>
      <c r="RI24" s="517">
        <f t="shared" si="397"/>
        <v>442680</v>
      </c>
      <c r="RJ24" s="517">
        <f t="shared" si="397"/>
        <v>1278686</v>
      </c>
      <c r="RK24" s="517">
        <f t="shared" si="397"/>
        <v>6200067</v>
      </c>
      <c r="RL24" s="517">
        <f t="shared" si="397"/>
        <v>4289251</v>
      </c>
      <c r="RM24" s="517">
        <f t="shared" si="397"/>
        <v>200346</v>
      </c>
      <c r="RN24" s="517">
        <f t="shared" si="397"/>
        <v>478752</v>
      </c>
      <c r="RO24" s="517">
        <f t="shared" si="397"/>
        <v>1377556</v>
      </c>
    </row>
    <row r="25" spans="1:483" ht="14.25" x14ac:dyDescent="0.2">
      <c r="A25" s="224" t="s">
        <v>181</v>
      </c>
      <c r="B25" s="258" t="s">
        <v>185</v>
      </c>
      <c r="C25" s="259" t="s">
        <v>185</v>
      </c>
      <c r="D25" s="259" t="s">
        <v>185</v>
      </c>
      <c r="E25" s="259" t="s">
        <v>185</v>
      </c>
      <c r="F25" s="260" t="s">
        <v>185</v>
      </c>
      <c r="G25" s="228"/>
      <c r="H25" s="228"/>
      <c r="I25" s="228"/>
      <c r="J25" s="228"/>
      <c r="K25" s="312"/>
      <c r="L25" s="228"/>
      <c r="M25" s="228"/>
      <c r="N25" s="228"/>
      <c r="O25" s="228"/>
      <c r="P25" s="312"/>
      <c r="Q25" s="325"/>
      <c r="R25" s="325"/>
      <c r="S25" s="325"/>
      <c r="T25" s="325"/>
      <c r="U25" s="574"/>
      <c r="V25" s="325"/>
      <c r="W25" s="325"/>
      <c r="X25" s="325"/>
      <c r="Y25" s="325"/>
      <c r="Z25" s="325"/>
      <c r="AA25" s="325">
        <v>0</v>
      </c>
      <c r="AB25" s="325">
        <v>0</v>
      </c>
      <c r="AC25" s="325"/>
      <c r="AD25" s="325"/>
      <c r="AE25" s="560">
        <v>0</v>
      </c>
      <c r="AF25" s="560">
        <v>0</v>
      </c>
      <c r="AG25" s="560">
        <v>0</v>
      </c>
      <c r="AH25" s="560">
        <v>0</v>
      </c>
      <c r="AI25" s="560">
        <v>0</v>
      </c>
      <c r="AJ25" s="560">
        <v>0</v>
      </c>
      <c r="AK25" s="560">
        <v>0</v>
      </c>
      <c r="AL25" s="560">
        <v>0</v>
      </c>
      <c r="AM25" s="560">
        <v>0</v>
      </c>
      <c r="AN25" s="560">
        <v>0</v>
      </c>
      <c r="AO25" s="560">
        <v>0</v>
      </c>
      <c r="AP25" s="226"/>
      <c r="AQ25" s="228"/>
      <c r="AR25" s="228"/>
      <c r="AS25" s="228"/>
      <c r="AT25" s="312"/>
      <c r="AU25" s="228"/>
      <c r="AV25" s="228"/>
      <c r="AW25" s="228"/>
      <c r="AX25" s="228"/>
      <c r="AY25" s="312"/>
      <c r="AZ25" s="228"/>
      <c r="BA25" s="228"/>
      <c r="BB25" s="228"/>
      <c r="BC25" s="228"/>
      <c r="BD25" s="312"/>
      <c r="BE25" s="228"/>
      <c r="BF25" s="228"/>
      <c r="BG25" s="228"/>
      <c r="BH25" s="228"/>
      <c r="BI25" s="228"/>
      <c r="BJ25" s="228">
        <v>0</v>
      </c>
      <c r="BK25" s="228">
        <v>0</v>
      </c>
      <c r="BL25" s="228"/>
      <c r="BM25" s="228"/>
      <c r="BN25" s="228">
        <v>0</v>
      </c>
      <c r="BO25" s="228">
        <v>0</v>
      </c>
      <c r="BP25" s="228">
        <v>0</v>
      </c>
      <c r="BQ25" s="228">
        <v>0</v>
      </c>
      <c r="BR25" s="228">
        <v>0</v>
      </c>
      <c r="BS25" s="228">
        <v>0</v>
      </c>
      <c r="BT25" s="228"/>
      <c r="BU25" s="228"/>
      <c r="BV25" s="228"/>
      <c r="BW25" s="228"/>
      <c r="BX25" s="228"/>
      <c r="BY25" s="226"/>
      <c r="BZ25" s="228"/>
      <c r="CA25" s="228"/>
      <c r="CB25" s="228"/>
      <c r="CC25" s="265"/>
      <c r="CD25" s="258" t="s">
        <v>185</v>
      </c>
      <c r="CE25" s="259" t="s">
        <v>185</v>
      </c>
      <c r="CF25" s="259" t="s">
        <v>185</v>
      </c>
      <c r="CG25" s="259" t="s">
        <v>185</v>
      </c>
      <c r="CH25" s="258" t="s">
        <v>185</v>
      </c>
      <c r="CI25" s="259" t="s">
        <v>185</v>
      </c>
      <c r="CJ25" s="259" t="s">
        <v>185</v>
      </c>
      <c r="CK25" s="259" t="s">
        <v>185</v>
      </c>
      <c r="CL25" s="260" t="s">
        <v>185</v>
      </c>
      <c r="CM25" s="228"/>
      <c r="CN25" s="228"/>
      <c r="CO25" s="228"/>
      <c r="CP25" s="228"/>
      <c r="CQ25" s="312"/>
      <c r="CR25" s="228"/>
      <c r="CS25" s="228"/>
      <c r="CT25" s="228"/>
      <c r="CU25" s="228"/>
      <c r="CV25" s="228"/>
      <c r="CW25" s="313"/>
      <c r="CX25" s="228"/>
      <c r="CY25" s="228"/>
      <c r="CZ25" s="228"/>
      <c r="DA25" s="228"/>
      <c r="DB25" s="226"/>
      <c r="DC25" s="228"/>
      <c r="DD25" s="228"/>
      <c r="DE25" s="228"/>
      <c r="DF25" s="228"/>
      <c r="DG25" s="226"/>
      <c r="DH25" s="228"/>
      <c r="DI25" s="228"/>
      <c r="DJ25" s="228"/>
      <c r="DK25" s="228"/>
      <c r="DL25" s="226"/>
      <c r="DM25" s="228"/>
      <c r="DN25" s="228"/>
      <c r="DO25" s="228"/>
      <c r="DP25" s="228"/>
      <c r="DQ25" s="226"/>
      <c r="DR25" s="228"/>
      <c r="DS25" s="228"/>
      <c r="DT25" s="228"/>
      <c r="DU25" s="266"/>
      <c r="DV25" s="228"/>
      <c r="DW25" s="228"/>
      <c r="DX25" s="228"/>
      <c r="DY25" s="228"/>
      <c r="DZ25" s="265"/>
      <c r="EA25" s="265"/>
      <c r="EB25" s="265">
        <v>0</v>
      </c>
      <c r="EC25" s="265"/>
      <c r="ED25" s="265"/>
      <c r="EE25" s="265">
        <v>0</v>
      </c>
      <c r="EF25" s="265">
        <v>0</v>
      </c>
      <c r="EG25" s="265">
        <v>0</v>
      </c>
      <c r="EH25" s="265">
        <v>0</v>
      </c>
      <c r="EI25" s="265">
        <v>0</v>
      </c>
      <c r="EJ25" s="265">
        <v>0</v>
      </c>
      <c r="EK25" s="265"/>
      <c r="EL25" s="265"/>
      <c r="EM25" s="265"/>
      <c r="EN25" s="265"/>
      <c r="EO25" s="265"/>
      <c r="EP25" s="258" t="s">
        <v>185</v>
      </c>
      <c r="EQ25" s="259" t="s">
        <v>185</v>
      </c>
      <c r="ER25" s="259" t="s">
        <v>185</v>
      </c>
      <c r="ES25" s="259" t="s">
        <v>185</v>
      </c>
      <c r="ET25" s="260" t="s">
        <v>185</v>
      </c>
      <c r="EU25" s="228"/>
      <c r="EV25" s="228"/>
      <c r="EW25" s="228"/>
      <c r="EX25" s="228"/>
      <c r="EY25" s="312"/>
      <c r="EZ25" s="228"/>
      <c r="FA25" s="228"/>
      <c r="FB25" s="228"/>
      <c r="FC25" s="228"/>
      <c r="FD25" s="312"/>
      <c r="FE25" s="228"/>
      <c r="FF25" s="228"/>
      <c r="FG25" s="228"/>
      <c r="FH25" s="228"/>
      <c r="FI25" s="312"/>
      <c r="FJ25" s="228"/>
      <c r="FK25" s="228"/>
      <c r="FL25" s="228"/>
      <c r="FM25" s="228"/>
      <c r="FN25" s="312"/>
      <c r="FO25" s="228"/>
      <c r="FP25" s="228"/>
      <c r="FQ25" s="228"/>
      <c r="FR25" s="228"/>
      <c r="FS25" s="618"/>
      <c r="FT25" s="618">
        <v>0</v>
      </c>
      <c r="FU25" s="618"/>
      <c r="FV25" s="618"/>
      <c r="FW25" s="618"/>
      <c r="FX25" s="618">
        <v>0</v>
      </c>
      <c r="FY25" s="618">
        <v>0</v>
      </c>
      <c r="FZ25" s="618"/>
      <c r="GA25" s="618"/>
      <c r="GB25" s="618"/>
      <c r="GC25" s="618">
        <v>0</v>
      </c>
      <c r="GD25" s="618"/>
      <c r="GE25" s="618"/>
      <c r="GF25" s="618"/>
      <c r="GG25" s="618"/>
      <c r="GH25" s="618"/>
      <c r="GI25" s="226"/>
      <c r="GJ25" s="228"/>
      <c r="GK25" s="228"/>
      <c r="GL25" s="228"/>
      <c r="GM25" s="312"/>
      <c r="GN25" s="228"/>
      <c r="GO25" s="228"/>
      <c r="GP25" s="228"/>
      <c r="GQ25" s="228"/>
      <c r="GR25" s="312"/>
      <c r="GS25" s="226"/>
      <c r="GT25" s="228"/>
      <c r="GU25" s="228"/>
      <c r="GV25" s="228"/>
      <c r="GW25" s="228"/>
      <c r="GX25" s="226"/>
      <c r="GY25" s="228"/>
      <c r="GZ25" s="228"/>
      <c r="HA25" s="228"/>
      <c r="HB25" s="312"/>
      <c r="HC25" s="228"/>
      <c r="HD25" s="228"/>
      <c r="HE25" s="228"/>
      <c r="HF25" s="228"/>
      <c r="HG25" s="228"/>
      <c r="HH25" s="228"/>
      <c r="HI25" s="228">
        <v>0</v>
      </c>
      <c r="HJ25" s="228"/>
      <c r="HK25" s="228"/>
      <c r="HL25" s="228">
        <v>0</v>
      </c>
      <c r="HM25" s="228">
        <v>0</v>
      </c>
      <c r="HN25" s="228"/>
      <c r="HO25" s="228"/>
      <c r="HP25" s="228"/>
      <c r="HQ25" s="228">
        <v>0</v>
      </c>
      <c r="HR25" s="228"/>
      <c r="HS25" s="228"/>
      <c r="HT25" s="228"/>
      <c r="HU25" s="228"/>
      <c r="HV25" s="228"/>
      <c r="HW25" s="360"/>
      <c r="HX25" s="265"/>
      <c r="HY25" s="265"/>
      <c r="HZ25" s="265"/>
      <c r="IA25" s="265"/>
      <c r="IB25" s="360"/>
      <c r="IC25" s="265"/>
      <c r="ID25" s="265"/>
      <c r="IE25" s="265"/>
      <c r="IF25" s="265"/>
      <c r="IG25" s="226"/>
      <c r="IH25" s="228"/>
      <c r="II25" s="228"/>
      <c r="IJ25" s="228"/>
      <c r="IK25" s="228"/>
      <c r="IL25" s="564"/>
      <c r="IM25" s="325"/>
      <c r="IN25" s="325"/>
      <c r="IO25" s="325"/>
      <c r="IP25" s="325"/>
      <c r="IQ25" s="325"/>
      <c r="IR25" s="325"/>
      <c r="IS25" s="325"/>
      <c r="IT25" s="325"/>
      <c r="IU25" s="574"/>
      <c r="IV25" s="325"/>
      <c r="IW25" s="325">
        <v>0</v>
      </c>
      <c r="IX25" s="325"/>
      <c r="IY25" s="325"/>
      <c r="IZ25" s="325">
        <v>0</v>
      </c>
      <c r="JA25" s="564">
        <v>0</v>
      </c>
      <c r="JB25" s="325"/>
      <c r="JC25" s="325"/>
      <c r="JD25" s="325"/>
      <c r="JE25" s="325">
        <v>0</v>
      </c>
      <c r="JF25" s="564"/>
      <c r="JG25" s="325"/>
      <c r="JH25" s="325"/>
      <c r="JI25" s="325"/>
      <c r="JJ25" s="325"/>
      <c r="JK25" s="226"/>
      <c r="JL25" s="228"/>
      <c r="JM25" s="228"/>
      <c r="JN25" s="228"/>
      <c r="JO25" s="228"/>
      <c r="JP25" s="226"/>
      <c r="JQ25" s="228"/>
      <c r="JR25" s="228"/>
      <c r="JS25" s="228"/>
      <c r="JT25" s="228"/>
      <c r="JU25" s="226"/>
      <c r="JV25" s="228"/>
      <c r="JW25" s="228"/>
      <c r="JX25" s="228"/>
      <c r="JY25" s="228"/>
      <c r="JZ25" s="226"/>
      <c r="KA25" s="228"/>
      <c r="KB25" s="228"/>
      <c r="KC25" s="228"/>
      <c r="KD25" s="228"/>
      <c r="KE25" s="228"/>
      <c r="KF25" s="228">
        <v>0</v>
      </c>
      <c r="KG25" s="228"/>
      <c r="KH25" s="228"/>
      <c r="KI25" s="228">
        <v>0</v>
      </c>
      <c r="KJ25" s="228">
        <v>0</v>
      </c>
      <c r="KK25" s="228"/>
      <c r="KL25" s="228"/>
      <c r="KM25" s="228"/>
      <c r="KN25" s="228">
        <v>0</v>
      </c>
      <c r="KO25" s="228"/>
      <c r="KP25" s="228"/>
      <c r="KQ25" s="228"/>
      <c r="KR25" s="228"/>
      <c r="KS25" s="228"/>
      <c r="KT25" s="258" t="s">
        <v>185</v>
      </c>
      <c r="KU25" s="259" t="s">
        <v>185</v>
      </c>
      <c r="KV25" s="316"/>
      <c r="KW25" s="318"/>
      <c r="KX25" s="318"/>
      <c r="KY25" s="318"/>
      <c r="KZ25" s="318"/>
      <c r="LA25" s="318"/>
      <c r="LB25" s="318"/>
      <c r="LC25" s="318"/>
      <c r="LD25" s="318"/>
      <c r="LE25" s="316"/>
      <c r="LF25" s="318"/>
      <c r="LG25" s="318"/>
      <c r="LH25" s="318"/>
      <c r="LI25" s="318"/>
      <c r="LJ25" s="318"/>
      <c r="LK25" s="318"/>
      <c r="LL25" s="318"/>
      <c r="LM25" s="318"/>
      <c r="LN25" s="318"/>
      <c r="LO25" s="318"/>
      <c r="LP25" s="318"/>
      <c r="LQ25" s="316"/>
      <c r="LR25" s="318"/>
      <c r="LS25" s="318"/>
      <c r="LT25" s="228"/>
      <c r="LU25" s="318"/>
      <c r="LV25" s="318"/>
      <c r="LW25" s="318"/>
      <c r="LX25" s="318"/>
      <c r="LY25" s="228"/>
      <c r="LZ25" s="318"/>
      <c r="MA25" s="318"/>
      <c r="MB25" s="228"/>
      <c r="MC25" s="318"/>
      <c r="MD25" s="318"/>
      <c r="ME25" s="318"/>
      <c r="MF25" s="318"/>
      <c r="MG25" s="318"/>
      <c r="MH25" s="334"/>
      <c r="MI25" s="334"/>
      <c r="MJ25" s="334"/>
      <c r="MK25" s="318"/>
      <c r="ML25" s="318"/>
      <c r="MM25" s="318"/>
      <c r="MN25" s="226"/>
      <c r="MO25" s="318"/>
      <c r="MP25" s="318"/>
      <c r="MQ25" s="228"/>
      <c r="MR25" s="228"/>
      <c r="MS25" s="318"/>
      <c r="MT25" s="318"/>
      <c r="MU25" s="318"/>
      <c r="MV25" s="318"/>
      <c r="MW25" s="228"/>
      <c r="MX25" s="228"/>
      <c r="MY25" s="318"/>
      <c r="MZ25" s="318"/>
      <c r="NA25" s="228"/>
      <c r="NB25" s="318"/>
      <c r="NC25" s="318"/>
      <c r="ND25" s="312"/>
      <c r="NE25" s="363"/>
      <c r="NF25" s="363"/>
      <c r="NG25" s="336"/>
      <c r="NH25" s="336"/>
      <c r="NI25" s="336"/>
      <c r="NJ25" s="363"/>
      <c r="NK25" s="363"/>
      <c r="NL25" s="363"/>
      <c r="NM25" s="318"/>
      <c r="NN25" s="318"/>
      <c r="NO25" s="318"/>
      <c r="NP25" s="318"/>
      <c r="NQ25" s="338"/>
      <c r="NR25" s="318"/>
      <c r="NS25" s="318"/>
      <c r="NT25" s="325"/>
      <c r="NU25" s="325"/>
      <c r="NV25" s="325"/>
      <c r="NW25" s="364"/>
      <c r="NX25" s="318"/>
      <c r="NY25" s="318"/>
      <c r="NZ25" s="325"/>
      <c r="OA25" s="318"/>
      <c r="OB25" s="318"/>
      <c r="OC25" s="325"/>
      <c r="OD25" s="318"/>
      <c r="OE25" s="318"/>
      <c r="OF25" s="325"/>
      <c r="OG25" s="54"/>
      <c r="OH25" s="54"/>
      <c r="OI25" s="326"/>
      <c r="OJ25" s="318"/>
      <c r="OK25" s="318"/>
      <c r="OL25" s="318"/>
      <c r="OM25" s="325"/>
      <c r="ON25" s="226"/>
      <c r="OO25" s="228"/>
      <c r="OP25" s="228"/>
      <c r="OQ25" s="228"/>
      <c r="OR25" s="228"/>
      <c r="OS25" s="226"/>
      <c r="OT25" s="228"/>
      <c r="OU25" s="228"/>
      <c r="OV25" s="228"/>
      <c r="OW25" s="228"/>
      <c r="OX25" s="226"/>
      <c r="OY25" s="228"/>
      <c r="OZ25" s="228"/>
      <c r="PA25" s="228"/>
      <c r="PB25" s="228"/>
      <c r="PC25" s="226"/>
      <c r="PD25" s="228"/>
      <c r="PE25" s="228"/>
      <c r="PF25" s="228"/>
      <c r="PG25" s="228"/>
      <c r="PH25" s="228"/>
      <c r="PI25" s="228"/>
      <c r="PJ25" s="228"/>
      <c r="PK25" s="228"/>
      <c r="PL25" s="2"/>
      <c r="PM25" s="2">
        <v>0</v>
      </c>
      <c r="PN25" s="2">
        <v>0</v>
      </c>
      <c r="PO25" s="2"/>
      <c r="PP25" s="2"/>
      <c r="PQ25" s="2">
        <v>0</v>
      </c>
      <c r="PR25" s="2">
        <v>0</v>
      </c>
      <c r="PS25" s="2"/>
      <c r="PT25" s="2"/>
      <c r="PU25" s="2"/>
      <c r="PV25" s="2">
        <v>0</v>
      </c>
      <c r="PW25" s="2"/>
      <c r="PX25" s="2"/>
      <c r="PY25" s="2"/>
      <c r="PZ25" s="2"/>
      <c r="QA25" s="2"/>
      <c r="QB25" s="226"/>
      <c r="QC25" s="228"/>
      <c r="QD25" s="228"/>
      <c r="QE25" s="228"/>
      <c r="QF25" s="228"/>
      <c r="QG25" s="226"/>
      <c r="QH25" s="228"/>
      <c r="QI25" s="228"/>
      <c r="QJ25" s="228"/>
      <c r="QK25" s="228"/>
      <c r="QL25" s="226"/>
      <c r="QM25" s="228"/>
      <c r="QN25" s="228"/>
      <c r="QO25" s="228"/>
      <c r="QP25" s="228"/>
      <c r="QQ25" s="226"/>
      <c r="QR25" s="228"/>
      <c r="QS25" s="228"/>
      <c r="QT25" s="228"/>
      <c r="QU25" s="312"/>
      <c r="QV25" s="1"/>
      <c r="QZ25" s="69"/>
      <c r="RB25" s="2">
        <v>0</v>
      </c>
      <c r="RE25" s="2">
        <v>0</v>
      </c>
      <c r="RF25" s="2">
        <v>0</v>
      </c>
      <c r="RJ25" s="2">
        <v>0</v>
      </c>
    </row>
    <row r="26" spans="1:483" ht="14.25" x14ac:dyDescent="0.2">
      <c r="A26" s="217" t="s">
        <v>17</v>
      </c>
      <c r="B26" s="258" t="s">
        <v>185</v>
      </c>
      <c r="C26" s="259" t="s">
        <v>185</v>
      </c>
      <c r="D26" s="259" t="s">
        <v>185</v>
      </c>
      <c r="E26" s="259" t="s">
        <v>185</v>
      </c>
      <c r="F26" s="260" t="s">
        <v>185</v>
      </c>
      <c r="G26" s="5">
        <v>16621</v>
      </c>
      <c r="H26" s="5">
        <v>5239</v>
      </c>
      <c r="I26" s="5">
        <v>403</v>
      </c>
      <c r="J26" s="5">
        <v>689</v>
      </c>
      <c r="K26" s="10">
        <v>10979</v>
      </c>
      <c r="L26" s="5">
        <v>15663</v>
      </c>
      <c r="M26" s="5">
        <v>4388</v>
      </c>
      <c r="N26" s="5">
        <v>301</v>
      </c>
      <c r="O26" s="5">
        <v>1262</v>
      </c>
      <c r="P26" s="10">
        <v>10974</v>
      </c>
      <c r="Q26" s="7">
        <v>13436</v>
      </c>
      <c r="R26" s="7">
        <v>4315</v>
      </c>
      <c r="S26" s="7">
        <v>380</v>
      </c>
      <c r="T26" s="7">
        <v>1853</v>
      </c>
      <c r="U26" s="577">
        <v>8741</v>
      </c>
      <c r="V26" s="7">
        <v>13373</v>
      </c>
      <c r="W26" s="7">
        <v>4605</v>
      </c>
      <c r="X26" s="7">
        <v>498</v>
      </c>
      <c r="Y26" s="7">
        <v>1595</v>
      </c>
      <c r="Z26" s="7">
        <v>8270</v>
      </c>
      <c r="AA26" s="7">
        <v>14288</v>
      </c>
      <c r="AB26" s="7">
        <v>3865</v>
      </c>
      <c r="AC26" s="7">
        <v>772</v>
      </c>
      <c r="AD26" s="7">
        <v>1376</v>
      </c>
      <c r="AE26" s="675">
        <v>8986</v>
      </c>
      <c r="AF26" s="560">
        <v>12121</v>
      </c>
      <c r="AG26" s="560">
        <v>3280</v>
      </c>
      <c r="AH26" s="560">
        <v>169</v>
      </c>
      <c r="AI26" s="560">
        <v>1459</v>
      </c>
      <c r="AJ26" s="560">
        <v>7251</v>
      </c>
      <c r="AK26" s="560">
        <v>10392</v>
      </c>
      <c r="AL26" s="560">
        <v>3384</v>
      </c>
      <c r="AM26" s="560">
        <v>457</v>
      </c>
      <c r="AN26" s="560">
        <v>2058</v>
      </c>
      <c r="AO26" s="560">
        <v>5935</v>
      </c>
      <c r="AP26" s="12">
        <v>26623</v>
      </c>
      <c r="AQ26" s="5">
        <v>17564</v>
      </c>
      <c r="AR26" s="5">
        <v>907</v>
      </c>
      <c r="AS26" s="5">
        <v>1039</v>
      </c>
      <c r="AT26" s="10">
        <v>8152</v>
      </c>
      <c r="AU26" s="5">
        <v>28619</v>
      </c>
      <c r="AV26" s="5">
        <v>16726</v>
      </c>
      <c r="AW26" s="5">
        <v>1024</v>
      </c>
      <c r="AX26" s="5">
        <v>1397</v>
      </c>
      <c r="AY26" s="10">
        <v>10869</v>
      </c>
      <c r="AZ26" s="5">
        <v>24982</v>
      </c>
      <c r="BA26" s="5">
        <v>13239</v>
      </c>
      <c r="BB26" s="5">
        <v>870</v>
      </c>
      <c r="BC26" s="5">
        <v>2356</v>
      </c>
      <c r="BD26" s="10">
        <v>10873</v>
      </c>
      <c r="BE26" s="5">
        <v>25194</v>
      </c>
      <c r="BF26" s="5">
        <v>12401</v>
      </c>
      <c r="BG26" s="5">
        <v>1144</v>
      </c>
      <c r="BH26" s="5">
        <v>2213</v>
      </c>
      <c r="BI26" s="5">
        <v>11649</v>
      </c>
      <c r="BJ26" s="5">
        <v>23682</v>
      </c>
      <c r="BK26" s="5">
        <v>10618</v>
      </c>
      <c r="BL26" s="5">
        <v>1198</v>
      </c>
      <c r="BM26" s="5">
        <v>1434</v>
      </c>
      <c r="BN26" s="53">
        <v>10922</v>
      </c>
      <c r="BO26" s="53">
        <v>22495</v>
      </c>
      <c r="BP26" s="53">
        <v>9827</v>
      </c>
      <c r="BQ26" s="53">
        <v>548</v>
      </c>
      <c r="BR26" s="53">
        <v>1601</v>
      </c>
      <c r="BS26" s="53">
        <v>10388</v>
      </c>
      <c r="BT26" s="53">
        <v>22585</v>
      </c>
      <c r="BU26" s="53">
        <v>9314</v>
      </c>
      <c r="BV26" s="53">
        <v>574</v>
      </c>
      <c r="BW26" s="53">
        <v>2632</v>
      </c>
      <c r="BX26" s="53">
        <v>11664</v>
      </c>
      <c r="BY26" s="12">
        <v>38132</v>
      </c>
      <c r="BZ26" s="5">
        <v>17588</v>
      </c>
      <c r="CA26" s="5">
        <v>1327</v>
      </c>
      <c r="CB26" s="5">
        <v>3522</v>
      </c>
      <c r="CC26" s="290">
        <f t="shared" ref="CC26:CC38" si="398">BY26-BZ26-CA26</f>
        <v>19217</v>
      </c>
      <c r="CD26" s="544" t="s">
        <v>185</v>
      </c>
      <c r="CE26" s="275" t="s">
        <v>185</v>
      </c>
      <c r="CF26" s="275" t="s">
        <v>185</v>
      </c>
      <c r="CG26" s="275" t="s">
        <v>185</v>
      </c>
      <c r="CH26" s="258" t="s">
        <v>185</v>
      </c>
      <c r="CI26" s="259" t="s">
        <v>185</v>
      </c>
      <c r="CJ26" s="259" t="s">
        <v>185</v>
      </c>
      <c r="CK26" s="259" t="s">
        <v>185</v>
      </c>
      <c r="CL26" s="260" t="s">
        <v>185</v>
      </c>
      <c r="CM26" s="5">
        <v>280185</v>
      </c>
      <c r="CN26" s="5">
        <v>232656</v>
      </c>
      <c r="CO26" s="5">
        <v>9782</v>
      </c>
      <c r="CP26" s="5">
        <v>7097</v>
      </c>
      <c r="CQ26" s="10">
        <v>37747</v>
      </c>
      <c r="CR26" s="5">
        <v>335274</v>
      </c>
      <c r="CS26" s="5">
        <v>260359</v>
      </c>
      <c r="CT26" s="5">
        <v>10405</v>
      </c>
      <c r="CU26" s="5">
        <v>9604</v>
      </c>
      <c r="CV26" s="5">
        <v>64510</v>
      </c>
      <c r="CW26" s="195">
        <v>377169</v>
      </c>
      <c r="CX26" s="5">
        <v>287746</v>
      </c>
      <c r="CY26" s="5">
        <v>12060</v>
      </c>
      <c r="CZ26" s="5">
        <v>77363</v>
      </c>
      <c r="DA26" s="5">
        <v>14038</v>
      </c>
      <c r="DB26" s="12">
        <v>382884</v>
      </c>
      <c r="DC26" s="5">
        <v>289840</v>
      </c>
      <c r="DD26" s="5">
        <v>12287</v>
      </c>
      <c r="DE26" s="5">
        <v>80757</v>
      </c>
      <c r="DF26" s="5">
        <v>15062</v>
      </c>
      <c r="DG26" s="56">
        <v>385563</v>
      </c>
      <c r="DH26" s="54">
        <v>290742</v>
      </c>
      <c r="DI26" s="54">
        <v>13214</v>
      </c>
      <c r="DJ26" s="54">
        <v>81607</v>
      </c>
      <c r="DK26" s="54">
        <v>16567</v>
      </c>
      <c r="DL26" s="12">
        <v>401089</v>
      </c>
      <c r="DM26" s="5">
        <v>301096</v>
      </c>
      <c r="DN26" s="5">
        <v>12646</v>
      </c>
      <c r="DO26" s="5">
        <v>15330</v>
      </c>
      <c r="DP26" s="5">
        <v>69363</v>
      </c>
      <c r="DQ26" s="12">
        <v>410477.23499999999</v>
      </c>
      <c r="DR26" s="5">
        <v>308120.71400000004</v>
      </c>
      <c r="DS26" s="5">
        <v>12945.610999999999</v>
      </c>
      <c r="DT26" s="5">
        <v>16045.76</v>
      </c>
      <c r="DU26" s="530">
        <f t="shared" ref="DU26:DU38" si="399">DQ26-DR26-DS26</f>
        <v>89410.909999999945</v>
      </c>
      <c r="DV26" s="5">
        <v>418503</v>
      </c>
      <c r="DW26" s="5">
        <v>313416</v>
      </c>
      <c r="DX26" s="5">
        <v>12979</v>
      </c>
      <c r="DY26" s="5">
        <v>16926</v>
      </c>
      <c r="DZ26" s="5">
        <v>92108</v>
      </c>
      <c r="EA26" s="5">
        <v>423471</v>
      </c>
      <c r="EB26" s="5">
        <v>303874</v>
      </c>
      <c r="EC26" s="5">
        <v>12883</v>
      </c>
      <c r="ED26" s="5">
        <v>19991</v>
      </c>
      <c r="EE26" s="5">
        <v>94732</v>
      </c>
      <c r="EF26" s="5">
        <v>434907</v>
      </c>
      <c r="EG26" s="5">
        <v>302936</v>
      </c>
      <c r="EH26" s="5">
        <v>14585</v>
      </c>
      <c r="EI26" s="5">
        <v>22866</v>
      </c>
      <c r="EJ26" s="5">
        <v>94053</v>
      </c>
      <c r="EK26" s="5">
        <v>445974</v>
      </c>
      <c r="EL26" s="5">
        <v>307523</v>
      </c>
      <c r="EM26" s="5">
        <v>13895</v>
      </c>
      <c r="EN26" s="5">
        <v>21443</v>
      </c>
      <c r="EO26" s="5">
        <v>112890</v>
      </c>
      <c r="EP26" s="258" t="s">
        <v>185</v>
      </c>
      <c r="EQ26" s="259" t="s">
        <v>185</v>
      </c>
      <c r="ER26" s="259" t="s">
        <v>185</v>
      </c>
      <c r="ES26" s="259" t="s">
        <v>185</v>
      </c>
      <c r="ET26" s="260" t="s">
        <v>185</v>
      </c>
      <c r="EU26" s="5">
        <v>112763</v>
      </c>
      <c r="EV26" s="5">
        <v>93746</v>
      </c>
      <c r="EW26" s="5">
        <v>5088</v>
      </c>
      <c r="EX26" s="5">
        <v>3505</v>
      </c>
      <c r="EY26" s="10">
        <v>13929</v>
      </c>
      <c r="EZ26" s="5">
        <v>135655</v>
      </c>
      <c r="FA26" s="5">
        <v>106683</v>
      </c>
      <c r="FB26" s="5">
        <v>5549</v>
      </c>
      <c r="FC26" s="5">
        <v>4226</v>
      </c>
      <c r="FD26" s="10">
        <v>23423</v>
      </c>
      <c r="FE26" s="5">
        <v>164552</v>
      </c>
      <c r="FF26" s="5">
        <v>122583</v>
      </c>
      <c r="FG26" s="5">
        <v>6720</v>
      </c>
      <c r="FH26" s="5">
        <v>7113</v>
      </c>
      <c r="FI26" s="10">
        <v>35249</v>
      </c>
      <c r="FJ26" s="5">
        <v>168228.375</v>
      </c>
      <c r="FK26" s="5">
        <v>125723.674</v>
      </c>
      <c r="FL26" s="5">
        <v>6608.3989999999994</v>
      </c>
      <c r="FM26" s="5">
        <v>7298.8639999999996</v>
      </c>
      <c r="FN26" s="10">
        <v>35896.302000000003</v>
      </c>
      <c r="FO26" s="5">
        <v>168199</v>
      </c>
      <c r="FP26" s="5">
        <v>126245</v>
      </c>
      <c r="FQ26" s="5">
        <v>5930</v>
      </c>
      <c r="FR26" s="5">
        <v>7673</v>
      </c>
      <c r="FS26" s="618">
        <v>36024</v>
      </c>
      <c r="FT26" s="618">
        <v>167568</v>
      </c>
      <c r="FU26" s="618">
        <v>119399</v>
      </c>
      <c r="FV26" s="618">
        <v>5689</v>
      </c>
      <c r="FW26" s="618">
        <v>8724</v>
      </c>
      <c r="FX26" s="618">
        <v>37161</v>
      </c>
      <c r="FY26" s="618">
        <v>167439</v>
      </c>
      <c r="FZ26" s="618">
        <v>111412</v>
      </c>
      <c r="GA26" s="618">
        <v>7527</v>
      </c>
      <c r="GB26" s="618">
        <v>12170</v>
      </c>
      <c r="GC26" s="618">
        <v>36082</v>
      </c>
      <c r="GD26" s="618">
        <v>170469</v>
      </c>
      <c r="GE26" s="618">
        <v>115033</v>
      </c>
      <c r="GF26" s="618">
        <v>7164</v>
      </c>
      <c r="GG26" s="618">
        <v>10175</v>
      </c>
      <c r="GH26" s="618">
        <v>43095</v>
      </c>
      <c r="GI26" s="12">
        <v>23444</v>
      </c>
      <c r="GJ26" s="5">
        <v>19656</v>
      </c>
      <c r="GK26" s="5">
        <v>1021</v>
      </c>
      <c r="GL26" s="5">
        <v>799</v>
      </c>
      <c r="GM26" s="10">
        <v>2767</v>
      </c>
      <c r="GN26" s="5">
        <v>27213</v>
      </c>
      <c r="GO26" s="5">
        <v>22080</v>
      </c>
      <c r="GP26" s="5">
        <v>1156</v>
      </c>
      <c r="GQ26" s="5">
        <v>848</v>
      </c>
      <c r="GR26" s="10">
        <v>3977</v>
      </c>
      <c r="GS26" s="12">
        <v>34742</v>
      </c>
      <c r="GT26" s="5">
        <v>27259</v>
      </c>
      <c r="GU26" s="5">
        <v>1933</v>
      </c>
      <c r="GV26" s="5">
        <v>1578</v>
      </c>
      <c r="GW26" s="5">
        <v>5550</v>
      </c>
      <c r="GX26" s="12"/>
      <c r="GY26" s="5"/>
      <c r="GZ26" s="5"/>
      <c r="HA26" s="5"/>
      <c r="HB26" s="10"/>
      <c r="HC26" s="5">
        <v>36430</v>
      </c>
      <c r="HD26" s="5">
        <v>28774</v>
      </c>
      <c r="HE26" s="5">
        <v>1490</v>
      </c>
      <c r="HF26" s="5">
        <v>2045</v>
      </c>
      <c r="HG26" s="5">
        <v>6166</v>
      </c>
      <c r="HH26" s="5">
        <v>37077</v>
      </c>
      <c r="HI26" s="5">
        <v>27816</v>
      </c>
      <c r="HJ26" s="5">
        <v>1131</v>
      </c>
      <c r="HK26" s="5">
        <v>2083</v>
      </c>
      <c r="HL26" s="5">
        <v>6894</v>
      </c>
      <c r="HM26" s="5">
        <v>38113</v>
      </c>
      <c r="HN26" s="5">
        <v>26560</v>
      </c>
      <c r="HO26" s="5">
        <v>1320</v>
      </c>
      <c r="HP26" s="5">
        <v>3709</v>
      </c>
      <c r="HQ26" s="5">
        <v>6457</v>
      </c>
      <c r="HR26" s="5">
        <v>40819</v>
      </c>
      <c r="HS26" s="5">
        <v>27797</v>
      </c>
      <c r="HT26" s="5">
        <v>2268</v>
      </c>
      <c r="HU26" s="5">
        <v>2565</v>
      </c>
      <c r="HV26" s="5">
        <v>9370</v>
      </c>
      <c r="HW26" s="569">
        <f t="shared" ref="HW26" si="400">GI26+JK26+QB26</f>
        <v>97941</v>
      </c>
      <c r="HX26" s="546">
        <f t="shared" ref="HX26" si="401">GJ26+JL26+QC26</f>
        <v>88105</v>
      </c>
      <c r="HY26" s="546">
        <f t="shared" ref="HY26" si="402">GK26+JM26+QD26</f>
        <v>2586</v>
      </c>
      <c r="HZ26" s="546">
        <f t="shared" ref="HZ26" si="403">GL26+JN26+QE26</f>
        <v>2084</v>
      </c>
      <c r="IA26" s="546">
        <f t="shared" ref="IA26" si="404">GM26+JO26+QF26</f>
        <v>7250</v>
      </c>
      <c r="IB26" s="569">
        <f t="shared" ref="IB26" si="405">GN26+JP26+QG26</f>
        <v>121020</v>
      </c>
      <c r="IC26" s="546">
        <f t="shared" ref="IC26" si="406">GO26+JQ26+QH26</f>
        <v>104478</v>
      </c>
      <c r="ID26" s="546">
        <f t="shared" ref="ID26" si="407">GP26+JR26+QI26</f>
        <v>2903</v>
      </c>
      <c r="IE26" s="546">
        <f t="shared" ref="IE26" si="408">GQ26+JS26+QJ26</f>
        <v>2723</v>
      </c>
      <c r="IF26" s="546">
        <f t="shared" ref="IF26" si="409">GR26+JT26+QK26</f>
        <v>13639</v>
      </c>
      <c r="IG26" s="12">
        <v>135094</v>
      </c>
      <c r="IH26" s="5">
        <v>112306</v>
      </c>
      <c r="II26" s="5">
        <v>4317</v>
      </c>
      <c r="IJ26" s="5">
        <v>4770</v>
      </c>
      <c r="IK26" s="5">
        <v>18471</v>
      </c>
      <c r="IL26" s="565"/>
      <c r="IM26" s="7"/>
      <c r="IN26" s="7"/>
      <c r="IO26" s="7"/>
      <c r="IP26" s="7"/>
      <c r="IQ26" s="7">
        <v>161980</v>
      </c>
      <c r="IR26" s="7">
        <v>134954</v>
      </c>
      <c r="IS26" s="7">
        <v>5056</v>
      </c>
      <c r="IT26" s="7">
        <v>6452</v>
      </c>
      <c r="IU26" s="577">
        <v>21970</v>
      </c>
      <c r="IV26" s="7">
        <v>163634</v>
      </c>
      <c r="IW26" s="7">
        <v>132103</v>
      </c>
      <c r="IX26" s="7">
        <v>4492</v>
      </c>
      <c r="IY26" s="7">
        <v>6981</v>
      </c>
      <c r="IZ26" s="7">
        <v>22661</v>
      </c>
      <c r="JA26" s="565">
        <v>177529</v>
      </c>
      <c r="JB26" s="7">
        <v>142109</v>
      </c>
      <c r="JC26" s="7">
        <v>4335</v>
      </c>
      <c r="JD26" s="7">
        <v>8442</v>
      </c>
      <c r="JE26" s="7">
        <v>22783</v>
      </c>
      <c r="JF26" s="565">
        <v>182396</v>
      </c>
      <c r="JG26" s="7">
        <v>145167</v>
      </c>
      <c r="JH26" s="7">
        <v>4090</v>
      </c>
      <c r="JI26" s="7">
        <v>6117</v>
      </c>
      <c r="JJ26" s="7">
        <v>29270</v>
      </c>
      <c r="JK26" s="12">
        <v>48617</v>
      </c>
      <c r="JL26" s="5">
        <v>44154</v>
      </c>
      <c r="JM26" s="5">
        <v>1087</v>
      </c>
      <c r="JN26" s="5">
        <v>918</v>
      </c>
      <c r="JO26" s="5">
        <v>3376</v>
      </c>
      <c r="JP26" s="12">
        <v>61196</v>
      </c>
      <c r="JQ26" s="5">
        <v>52939</v>
      </c>
      <c r="JR26" s="5">
        <v>1163</v>
      </c>
      <c r="JS26" s="5">
        <v>1343</v>
      </c>
      <c r="JT26" s="5">
        <v>7094</v>
      </c>
      <c r="JU26" s="12">
        <v>78973</v>
      </c>
      <c r="JV26" s="5">
        <v>65929</v>
      </c>
      <c r="JW26" s="5">
        <v>1992</v>
      </c>
      <c r="JX26" s="5">
        <v>2554</v>
      </c>
      <c r="JY26" s="5">
        <v>11052</v>
      </c>
      <c r="JZ26" s="12">
        <v>80301.010999999999</v>
      </c>
      <c r="KA26" s="5">
        <v>66444.635999999999</v>
      </c>
      <c r="KB26" s="5">
        <v>2283.6799999999998</v>
      </c>
      <c r="KC26" s="5">
        <v>2700.384</v>
      </c>
      <c r="KD26" s="5">
        <v>11572.695</v>
      </c>
      <c r="KE26" s="5">
        <v>79853</v>
      </c>
      <c r="KF26" s="5">
        <v>64198</v>
      </c>
      <c r="KG26" s="5">
        <v>2283</v>
      </c>
      <c r="KH26" s="5">
        <v>3187</v>
      </c>
      <c r="KI26" s="5">
        <v>11553</v>
      </c>
      <c r="KJ26" s="5">
        <v>87869</v>
      </c>
      <c r="KK26" s="5">
        <v>70726</v>
      </c>
      <c r="KL26" s="5">
        <v>1545</v>
      </c>
      <c r="KM26" s="5">
        <v>3081</v>
      </c>
      <c r="KN26" s="5">
        <v>12781</v>
      </c>
      <c r="KO26" s="5">
        <v>90861</v>
      </c>
      <c r="KP26" s="5">
        <v>73420</v>
      </c>
      <c r="KQ26" s="5">
        <v>902</v>
      </c>
      <c r="KR26" s="5">
        <v>2685</v>
      </c>
      <c r="KS26" s="5">
        <v>14641</v>
      </c>
      <c r="KT26" s="258" t="s">
        <v>185</v>
      </c>
      <c r="KU26" s="259" t="s">
        <v>185</v>
      </c>
      <c r="KV26" s="316">
        <v>9963</v>
      </c>
      <c r="KW26" s="332">
        <f t="shared" ref="KW26:KW38" si="410">+KZ26+LC26</f>
        <v>6084</v>
      </c>
      <c r="KX26" s="332">
        <f t="shared" ref="KX26:KX38" si="411">+LA26+LD26</f>
        <v>3879</v>
      </c>
      <c r="KY26" s="332">
        <f t="shared" ref="KY26:KY38" si="412">+KZ26+LA26</f>
        <v>9723</v>
      </c>
      <c r="KZ26" s="318">
        <v>5930</v>
      </c>
      <c r="LA26" s="318">
        <v>3793</v>
      </c>
      <c r="LB26" s="332">
        <f t="shared" ref="LB26:LB38" si="413">+LC26+LD26</f>
        <v>240</v>
      </c>
      <c r="LC26" s="318">
        <v>154</v>
      </c>
      <c r="LD26" s="318">
        <v>86</v>
      </c>
      <c r="LE26" s="316">
        <v>18875</v>
      </c>
      <c r="LF26" s="332">
        <f t="shared" ref="LF26:LF38" si="414">+LI26+LL26+LO26</f>
        <v>11357</v>
      </c>
      <c r="LG26" s="332">
        <f t="shared" ref="LG26:LG38" si="415">+LJ26+LM26+LP26</f>
        <v>7518</v>
      </c>
      <c r="LH26" s="332">
        <f t="shared" ref="LH26:LH38" si="416">+LI26+LJ26</f>
        <v>18327</v>
      </c>
      <c r="LI26" s="318">
        <v>11061</v>
      </c>
      <c r="LJ26" s="318">
        <v>7266</v>
      </c>
      <c r="LK26" s="332">
        <f t="shared" ref="LK26:LK38" si="417">+LL26+LM26</f>
        <v>281</v>
      </c>
      <c r="LL26" s="318">
        <v>123</v>
      </c>
      <c r="LM26" s="318">
        <v>158</v>
      </c>
      <c r="LN26" s="332">
        <f t="shared" ref="LN26:LN38" si="418">+LO26+LP26</f>
        <v>267</v>
      </c>
      <c r="LO26" s="318">
        <v>173</v>
      </c>
      <c r="LP26" s="318">
        <v>94</v>
      </c>
      <c r="LQ26" s="316">
        <v>44554</v>
      </c>
      <c r="LR26" s="332">
        <f t="shared" ref="LR26:LR38" si="419">+LU26+LZ26+MC26+MF26</f>
        <v>26284</v>
      </c>
      <c r="LS26" s="332">
        <f t="shared" ref="LS26:LS38" si="420">+LV26+MA26+MD26+MG26</f>
        <v>18270</v>
      </c>
      <c r="LT26" s="342">
        <f t="shared" ref="LT26:LT38" si="421">+LU26+LV26</f>
        <v>41381</v>
      </c>
      <c r="LU26" s="318">
        <v>24670</v>
      </c>
      <c r="LV26" s="318">
        <v>16711</v>
      </c>
      <c r="LW26" s="318">
        <v>1614</v>
      </c>
      <c r="LX26" s="318">
        <v>1559</v>
      </c>
      <c r="LY26" s="342">
        <f t="shared" ref="LY26:LY38" si="422">+LZ26+MA26</f>
        <v>615</v>
      </c>
      <c r="LZ26" s="318">
        <v>305</v>
      </c>
      <c r="MA26" s="318">
        <v>310</v>
      </c>
      <c r="MB26" s="342">
        <f t="shared" ref="MB26:MB38" si="423">+MC26+MD26</f>
        <v>570</v>
      </c>
      <c r="MC26" s="318">
        <v>300</v>
      </c>
      <c r="MD26" s="318">
        <v>270</v>
      </c>
      <c r="ME26" s="333">
        <f t="shared" ref="ME26:ME38" si="424">+MF26+MG26</f>
        <v>1988</v>
      </c>
      <c r="MF26" s="333">
        <f t="shared" ref="MF26:MF38" si="425">+MI26+ML26</f>
        <v>1009</v>
      </c>
      <c r="MG26" s="333">
        <f t="shared" ref="MG26:MG38" si="426">+MJ26+MM26</f>
        <v>979</v>
      </c>
      <c r="MH26" s="334">
        <f t="shared" ref="MH26:MH38" si="427">+MI26+MJ26</f>
        <v>33</v>
      </c>
      <c r="MI26" s="334">
        <f t="shared" ref="MI26:MI38" si="428">+LW26-LZ26-MC26-ML26</f>
        <v>20</v>
      </c>
      <c r="MJ26" s="334">
        <f t="shared" ref="MJ26:MJ38" si="429">+LX26-MA26-MD26-MM26</f>
        <v>13</v>
      </c>
      <c r="MK26" s="318">
        <v>1955</v>
      </c>
      <c r="ML26" s="318">
        <v>989</v>
      </c>
      <c r="MM26" s="318">
        <v>966</v>
      </c>
      <c r="MN26" s="14">
        <f t="shared" ref="MN26:MN38" si="430">+JK26+QB26</f>
        <v>74497</v>
      </c>
      <c r="MO26" s="332">
        <f t="shared" ref="MO26:MO38" si="431">+MS26+MY26+NB26+NE26</f>
        <v>40702</v>
      </c>
      <c r="MP26" s="332">
        <f t="shared" ref="MP26:MP38" si="432">+MT26+MZ26+NC26+NF26</f>
        <v>33795</v>
      </c>
      <c r="MQ26" s="13">
        <f t="shared" ref="MQ26:MQ38" si="433">+JL26+QC26</f>
        <v>68449</v>
      </c>
      <c r="MR26" s="136">
        <f t="shared" ref="MR26:MR38" si="434">+MS26+MT26</f>
        <v>67691</v>
      </c>
      <c r="MS26" s="318">
        <v>37496</v>
      </c>
      <c r="MT26" s="318">
        <v>30195</v>
      </c>
      <c r="MU26" s="318">
        <v>3206</v>
      </c>
      <c r="MV26" s="318">
        <v>3600</v>
      </c>
      <c r="MW26" s="13">
        <f t="shared" ref="MW26:MW38" si="435">+JM26+QD26</f>
        <v>1565</v>
      </c>
      <c r="MX26" s="136">
        <f t="shared" ref="MX26:MX38" si="436">+MY26+MZ26</f>
        <v>1556</v>
      </c>
      <c r="MY26" s="318">
        <v>800</v>
      </c>
      <c r="MZ26" s="318">
        <v>756</v>
      </c>
      <c r="NA26" s="13">
        <f t="shared" ref="NA26:NA38" si="437">+NB26+NC26</f>
        <v>1285</v>
      </c>
      <c r="NB26" s="318">
        <v>605</v>
      </c>
      <c r="NC26" s="318">
        <v>680</v>
      </c>
      <c r="ND26" s="11">
        <f t="shared" ref="ND26:ND38" si="438">+JO26+QF26</f>
        <v>4483</v>
      </c>
      <c r="NE26" s="335">
        <f t="shared" ref="NE26:NE38" si="439">+NH26+NK26</f>
        <v>1801</v>
      </c>
      <c r="NF26" s="335">
        <f t="shared" ref="NF26:NF38" si="440">+NI26+NL26</f>
        <v>2164</v>
      </c>
      <c r="NG26" s="336">
        <f t="shared" ref="NG26:NG38" si="441">+NH26+NI26</f>
        <v>28</v>
      </c>
      <c r="NH26" s="336">
        <f t="shared" ref="NH26:NH38" si="442">+MU26-MY26-NB26-NK26</f>
        <v>18</v>
      </c>
      <c r="NI26" s="336">
        <f t="shared" ref="NI26:NI38" si="443">+MV26-MZ26-NC26-NL26</f>
        <v>10</v>
      </c>
      <c r="NJ26" s="337">
        <f t="shared" ref="NJ26:NJ38" si="444">+NK26+NL26</f>
        <v>3937</v>
      </c>
      <c r="NK26" s="337">
        <f t="shared" ref="NK26:NK38" si="445">+NM26+NO26</f>
        <v>1783</v>
      </c>
      <c r="NL26" s="337">
        <f t="shared" ref="NL26:NL38" si="446">+NN26+NP26</f>
        <v>2154</v>
      </c>
      <c r="NM26" s="318">
        <v>730</v>
      </c>
      <c r="NN26" s="318">
        <v>972</v>
      </c>
      <c r="NO26" s="318">
        <v>1053</v>
      </c>
      <c r="NP26" s="318">
        <v>1182</v>
      </c>
      <c r="NQ26" s="338">
        <v>93807</v>
      </c>
      <c r="NR26" s="318">
        <v>47150</v>
      </c>
      <c r="NS26" s="318">
        <v>46657</v>
      </c>
      <c r="NT26" s="7">
        <f t="shared" ref="NT26:NT38" si="447">+JQ26+QH26</f>
        <v>82398</v>
      </c>
      <c r="NU26" s="7">
        <v>42105</v>
      </c>
      <c r="NV26" s="7">
        <v>40293</v>
      </c>
      <c r="NW26" s="125">
        <f t="shared" ref="NW26:NW38" si="448">+NX26+NY26</f>
        <v>81447</v>
      </c>
      <c r="NX26" s="318">
        <v>41663</v>
      </c>
      <c r="NY26" s="318">
        <v>39784</v>
      </c>
      <c r="NZ26" s="7">
        <f t="shared" ref="NZ26:NZ38" si="449">+OA26+OB26</f>
        <v>1747</v>
      </c>
      <c r="OA26" s="318">
        <v>888</v>
      </c>
      <c r="OB26" s="318">
        <v>859</v>
      </c>
      <c r="OC26" s="7">
        <f t="shared" ref="OC26:OC38" si="450">+OD26+OE26</f>
        <v>1875</v>
      </c>
      <c r="OD26" s="318">
        <v>822</v>
      </c>
      <c r="OE26" s="318">
        <v>1053</v>
      </c>
      <c r="OF26" s="125">
        <f t="shared" ref="OF26:OF38" si="451">+NQ26-NT26-NZ26</f>
        <v>9662</v>
      </c>
      <c r="OG26" s="125">
        <f t="shared" ref="OG26:OG38" si="452">+NR26-NU26-OA26</f>
        <v>4157</v>
      </c>
      <c r="OH26" s="125">
        <f t="shared" ref="OH26:OH38" si="453">+NS26-NV26-OB26</f>
        <v>5505</v>
      </c>
      <c r="OI26" s="326">
        <v>109602</v>
      </c>
      <c r="OJ26" s="318">
        <v>96048</v>
      </c>
      <c r="OK26" s="318">
        <v>2306</v>
      </c>
      <c r="OL26" s="318">
        <v>11248</v>
      </c>
      <c r="OM26" s="7">
        <v>2819</v>
      </c>
      <c r="ON26" s="12">
        <v>112005</v>
      </c>
      <c r="OO26" s="5">
        <v>97090</v>
      </c>
      <c r="OP26" s="5">
        <v>2289</v>
      </c>
      <c r="OQ26" s="5">
        <v>12626</v>
      </c>
      <c r="OR26" s="5">
        <v>3366</v>
      </c>
      <c r="OS26" s="12">
        <v>112052</v>
      </c>
      <c r="OT26" s="5">
        <v>96873</v>
      </c>
      <c r="OU26" s="5">
        <v>2462</v>
      </c>
      <c r="OV26" s="5">
        <v>12717</v>
      </c>
      <c r="OW26" s="5">
        <v>3615</v>
      </c>
      <c r="OX26" s="12">
        <v>120291</v>
      </c>
      <c r="OY26" s="5">
        <v>102650</v>
      </c>
      <c r="OZ26" s="5">
        <v>2658</v>
      </c>
      <c r="PA26" s="5">
        <v>14983</v>
      </c>
      <c r="PB26" s="5">
        <v>3886</v>
      </c>
      <c r="PC26" s="12">
        <v>122470.257</v>
      </c>
      <c r="PD26" s="5">
        <v>103901.171</v>
      </c>
      <c r="PE26" s="5">
        <v>2954.511</v>
      </c>
      <c r="PF26" s="5">
        <v>4011.44</v>
      </c>
      <c r="PG26" s="5">
        <v>15614.574999999995</v>
      </c>
      <c r="PH26" s="5">
        <v>125550</v>
      </c>
      <c r="PI26" s="5">
        <v>106180</v>
      </c>
      <c r="PJ26" s="5">
        <v>3566</v>
      </c>
      <c r="PK26" s="5">
        <v>4407</v>
      </c>
      <c r="PL26" s="2">
        <v>15804</v>
      </c>
      <c r="PM26" s="2">
        <v>126557</v>
      </c>
      <c r="PN26" s="2">
        <v>104287</v>
      </c>
      <c r="PO26" s="2">
        <v>3361</v>
      </c>
      <c r="PP26" s="2">
        <v>4898</v>
      </c>
      <c r="PQ26" s="2">
        <v>15767</v>
      </c>
      <c r="PR26" s="2">
        <v>139416</v>
      </c>
      <c r="PS26" s="2">
        <v>115549</v>
      </c>
      <c r="PT26" s="2">
        <v>3015</v>
      </c>
      <c r="PU26" s="2">
        <v>4733</v>
      </c>
      <c r="PV26" s="2">
        <v>16326</v>
      </c>
      <c r="PW26" s="2">
        <v>141577</v>
      </c>
      <c r="PX26" s="2">
        <v>117370</v>
      </c>
      <c r="PY26" s="2">
        <v>1822</v>
      </c>
      <c r="PZ26" s="2">
        <v>3552</v>
      </c>
      <c r="QA26" s="2">
        <v>19900</v>
      </c>
      <c r="QB26" s="12">
        <v>25880</v>
      </c>
      <c r="QC26" s="5">
        <v>24295</v>
      </c>
      <c r="QD26" s="5">
        <v>478</v>
      </c>
      <c r="QE26" s="5">
        <v>367</v>
      </c>
      <c r="QF26" s="5">
        <v>1107</v>
      </c>
      <c r="QG26" s="12">
        <v>32611</v>
      </c>
      <c r="QH26" s="5">
        <v>29459</v>
      </c>
      <c r="QI26" s="5">
        <v>584</v>
      </c>
      <c r="QJ26" s="5">
        <v>532</v>
      </c>
      <c r="QK26" s="5">
        <v>2568</v>
      </c>
      <c r="QL26" s="12">
        <v>41318</v>
      </c>
      <c r="QM26" s="5">
        <v>36721</v>
      </c>
      <c r="QN26" s="5">
        <v>666</v>
      </c>
      <c r="QO26" s="5">
        <v>1332</v>
      </c>
      <c r="QP26" s="5">
        <v>3931</v>
      </c>
      <c r="QQ26" s="12">
        <v>42169.245999999999</v>
      </c>
      <c r="QR26" s="5">
        <v>37456.535000000003</v>
      </c>
      <c r="QS26" s="5">
        <v>670.83100000000002</v>
      </c>
      <c r="QT26" s="5">
        <v>1311.056</v>
      </c>
      <c r="QU26" s="10">
        <v>4041.8799999999956</v>
      </c>
      <c r="QV26" s="1">
        <v>45572</v>
      </c>
      <c r="QW26" s="2">
        <v>40382</v>
      </c>
      <c r="QX26" s="2">
        <v>942</v>
      </c>
      <c r="QY26" s="2">
        <v>1473</v>
      </c>
      <c r="QZ26" s="69">
        <v>4248</v>
      </c>
      <c r="RA26" s="2">
        <v>46704</v>
      </c>
      <c r="RB26" s="2">
        <v>40089</v>
      </c>
      <c r="RC26" s="2">
        <v>1078</v>
      </c>
      <c r="RD26" s="2">
        <v>1711</v>
      </c>
      <c r="RE26" s="2">
        <v>4214</v>
      </c>
      <c r="RF26" s="2">
        <v>51547</v>
      </c>
      <c r="RG26" s="2">
        <v>44823</v>
      </c>
      <c r="RH26" s="2">
        <v>1470</v>
      </c>
      <c r="RI26" s="2">
        <v>1652</v>
      </c>
      <c r="RJ26" s="2">
        <v>3545</v>
      </c>
      <c r="RK26" s="2">
        <v>50716</v>
      </c>
      <c r="RL26" s="2">
        <v>43950</v>
      </c>
      <c r="RM26" s="2">
        <v>920</v>
      </c>
      <c r="RN26" s="2">
        <v>867</v>
      </c>
      <c r="RO26" s="2">
        <v>5259</v>
      </c>
    </row>
    <row r="27" spans="1:483" ht="14.25" x14ac:dyDescent="0.2">
      <c r="A27" s="217" t="s">
        <v>18</v>
      </c>
      <c r="B27" s="258" t="s">
        <v>185</v>
      </c>
      <c r="C27" s="259" t="s">
        <v>185</v>
      </c>
      <c r="D27" s="259" t="s">
        <v>185</v>
      </c>
      <c r="E27" s="259" t="s">
        <v>185</v>
      </c>
      <c r="F27" s="260" t="s">
        <v>185</v>
      </c>
      <c r="G27" s="5">
        <v>207509</v>
      </c>
      <c r="H27" s="5">
        <v>125615</v>
      </c>
      <c r="I27" s="5">
        <v>5554</v>
      </c>
      <c r="J27" s="5">
        <v>98831</v>
      </c>
      <c r="K27" s="10">
        <v>76340</v>
      </c>
      <c r="L27" s="5">
        <v>254696</v>
      </c>
      <c r="M27" s="5">
        <v>135524</v>
      </c>
      <c r="N27" s="5">
        <v>4606</v>
      </c>
      <c r="O27" s="5">
        <v>169144</v>
      </c>
      <c r="P27" s="10">
        <v>114566</v>
      </c>
      <c r="Q27" s="7">
        <v>270592</v>
      </c>
      <c r="R27" s="7">
        <v>195664</v>
      </c>
      <c r="S27" s="7">
        <v>5426</v>
      </c>
      <c r="T27" s="7">
        <v>196767</v>
      </c>
      <c r="U27" s="577">
        <v>69502</v>
      </c>
      <c r="V27" s="7">
        <v>265676</v>
      </c>
      <c r="W27" s="7">
        <v>186998</v>
      </c>
      <c r="X27" s="7">
        <v>5429</v>
      </c>
      <c r="Y27" s="7">
        <v>194235</v>
      </c>
      <c r="Z27" s="7">
        <v>73249</v>
      </c>
      <c r="AA27" s="7">
        <v>270293</v>
      </c>
      <c r="AB27" s="7">
        <v>42779</v>
      </c>
      <c r="AC27" s="7">
        <v>6098</v>
      </c>
      <c r="AD27" s="7">
        <v>196717</v>
      </c>
      <c r="AE27" s="675">
        <v>75695</v>
      </c>
      <c r="AF27" s="560">
        <v>271316</v>
      </c>
      <c r="AG27" s="560">
        <v>39821</v>
      </c>
      <c r="AH27" s="560">
        <v>4656</v>
      </c>
      <c r="AI27" s="560">
        <v>201500</v>
      </c>
      <c r="AJ27" s="560">
        <v>90509</v>
      </c>
      <c r="AK27" s="560">
        <v>265215</v>
      </c>
      <c r="AL27" s="560">
        <v>44148</v>
      </c>
      <c r="AM27" s="560">
        <v>5012</v>
      </c>
      <c r="AN27" s="560">
        <v>189177</v>
      </c>
      <c r="AO27" s="560">
        <v>102058</v>
      </c>
      <c r="AP27" s="12">
        <v>283571</v>
      </c>
      <c r="AQ27" s="5">
        <v>219844</v>
      </c>
      <c r="AR27" s="5">
        <v>9258</v>
      </c>
      <c r="AS27" s="5">
        <v>60244</v>
      </c>
      <c r="AT27" s="10">
        <v>54469</v>
      </c>
      <c r="AU27" s="5">
        <v>364851</v>
      </c>
      <c r="AV27" s="5">
        <v>249375</v>
      </c>
      <c r="AW27" s="5">
        <v>11712</v>
      </c>
      <c r="AX27" s="5">
        <v>127860</v>
      </c>
      <c r="AY27" s="10">
        <v>103764</v>
      </c>
      <c r="AZ27" s="5">
        <v>338129</v>
      </c>
      <c r="BA27" s="5">
        <v>254079</v>
      </c>
      <c r="BB27" s="5">
        <v>11873</v>
      </c>
      <c r="BC27" s="5">
        <v>154421</v>
      </c>
      <c r="BD27" s="10">
        <v>72177</v>
      </c>
      <c r="BE27" s="5">
        <v>336443</v>
      </c>
      <c r="BF27" s="5">
        <v>250090</v>
      </c>
      <c r="BG27" s="5">
        <v>12199</v>
      </c>
      <c r="BH27" s="5">
        <v>156173</v>
      </c>
      <c r="BI27" s="5">
        <v>74154</v>
      </c>
      <c r="BJ27" s="5">
        <v>337448</v>
      </c>
      <c r="BK27" s="5">
        <v>131458</v>
      </c>
      <c r="BL27" s="5">
        <v>12881</v>
      </c>
      <c r="BM27" s="5">
        <v>161984</v>
      </c>
      <c r="BN27" s="53">
        <v>74692</v>
      </c>
      <c r="BO27" s="53">
        <v>359657</v>
      </c>
      <c r="BP27" s="53">
        <v>135166</v>
      </c>
      <c r="BQ27" s="53">
        <v>16349</v>
      </c>
      <c r="BR27" s="53">
        <v>175201</v>
      </c>
      <c r="BS27" s="53">
        <v>86127</v>
      </c>
      <c r="BT27" s="53">
        <v>349224</v>
      </c>
      <c r="BU27" s="53">
        <v>132085</v>
      </c>
      <c r="BV27" s="53">
        <v>14540</v>
      </c>
      <c r="BW27" s="53">
        <v>169690</v>
      </c>
      <c r="BX27" s="53">
        <v>100324</v>
      </c>
      <c r="BY27" s="12">
        <v>605702</v>
      </c>
      <c r="BZ27" s="5">
        <v>443378</v>
      </c>
      <c r="CA27" s="5">
        <v>16851</v>
      </c>
      <c r="CB27" s="5">
        <v>348517</v>
      </c>
      <c r="CC27" s="290">
        <f t="shared" si="398"/>
        <v>145473</v>
      </c>
      <c r="CD27" s="258" t="s">
        <v>185</v>
      </c>
      <c r="CE27" s="259" t="s">
        <v>185</v>
      </c>
      <c r="CF27" s="259" t="s">
        <v>185</v>
      </c>
      <c r="CG27" s="259" t="s">
        <v>185</v>
      </c>
      <c r="CH27" s="258" t="s">
        <v>185</v>
      </c>
      <c r="CI27" s="259" t="s">
        <v>185</v>
      </c>
      <c r="CJ27" s="259" t="s">
        <v>185</v>
      </c>
      <c r="CK27" s="259" t="s">
        <v>185</v>
      </c>
      <c r="CL27" s="260" t="s">
        <v>185</v>
      </c>
      <c r="CM27" s="5">
        <v>1810097</v>
      </c>
      <c r="CN27" s="5">
        <v>1615423</v>
      </c>
      <c r="CO27" s="5">
        <v>44695</v>
      </c>
      <c r="CP27" s="5">
        <v>170380</v>
      </c>
      <c r="CQ27" s="10">
        <v>149979</v>
      </c>
      <c r="CR27" s="5">
        <v>2636637</v>
      </c>
      <c r="CS27" s="5">
        <v>2245285</v>
      </c>
      <c r="CT27" s="5">
        <v>72963</v>
      </c>
      <c r="CU27" s="5">
        <v>328514</v>
      </c>
      <c r="CV27" s="5">
        <v>318389</v>
      </c>
      <c r="CW27" s="195">
        <v>3296122</v>
      </c>
      <c r="CX27" s="5">
        <v>2741802</v>
      </c>
      <c r="CY27" s="5">
        <v>104196</v>
      </c>
      <c r="CZ27" s="5">
        <v>450124</v>
      </c>
      <c r="DA27" s="5">
        <v>546773</v>
      </c>
      <c r="DB27" s="12">
        <v>3417935</v>
      </c>
      <c r="DC27" s="5">
        <v>2860694</v>
      </c>
      <c r="DD27" s="5">
        <v>112237</v>
      </c>
      <c r="DE27" s="5">
        <v>445004</v>
      </c>
      <c r="DF27" s="5">
        <v>579708</v>
      </c>
      <c r="DG27" s="56">
        <v>3501893</v>
      </c>
      <c r="DH27" s="54">
        <v>2950148</v>
      </c>
      <c r="DI27" s="54">
        <v>120031</v>
      </c>
      <c r="DJ27" s="54">
        <v>431714</v>
      </c>
      <c r="DK27" s="54">
        <v>609345</v>
      </c>
      <c r="DL27" s="12">
        <v>3479684</v>
      </c>
      <c r="DM27" s="5">
        <v>2946162</v>
      </c>
      <c r="DN27" s="5">
        <v>129571</v>
      </c>
      <c r="DO27" s="5">
        <v>589070</v>
      </c>
      <c r="DP27" s="5">
        <v>351862</v>
      </c>
      <c r="DQ27" s="12">
        <v>3542940.2680000002</v>
      </c>
      <c r="DR27" s="5">
        <v>2993659.2270000004</v>
      </c>
      <c r="DS27" s="5">
        <v>133601.37600000002</v>
      </c>
      <c r="DT27" s="5">
        <v>620554.02300000004</v>
      </c>
      <c r="DU27" s="530">
        <f t="shared" si="399"/>
        <v>415679.66499999969</v>
      </c>
      <c r="DV27" s="5">
        <v>3607470</v>
      </c>
      <c r="DW27" s="5">
        <v>3037136</v>
      </c>
      <c r="DX27" s="5">
        <v>139116</v>
      </c>
      <c r="DY27" s="5">
        <v>642485</v>
      </c>
      <c r="DZ27" s="5">
        <v>431218</v>
      </c>
      <c r="EA27" s="5">
        <v>3666325</v>
      </c>
      <c r="EB27" s="5">
        <v>2591676</v>
      </c>
      <c r="EC27" s="5">
        <v>142422</v>
      </c>
      <c r="ED27" s="5">
        <v>659840</v>
      </c>
      <c r="EE27" s="5">
        <v>443710</v>
      </c>
      <c r="EF27" s="5">
        <v>3905981</v>
      </c>
      <c r="EG27" s="5">
        <v>2687401</v>
      </c>
      <c r="EH27" s="5">
        <v>161624</v>
      </c>
      <c r="EI27" s="5">
        <v>746212</v>
      </c>
      <c r="EJ27" s="5">
        <v>514538</v>
      </c>
      <c r="EK27" s="5">
        <v>4011970</v>
      </c>
      <c r="EL27" s="5">
        <v>2728489</v>
      </c>
      <c r="EM27" s="5">
        <v>163399</v>
      </c>
      <c r="EN27" s="5">
        <v>794537</v>
      </c>
      <c r="EO27" s="5">
        <v>559639</v>
      </c>
      <c r="EP27" s="258" t="s">
        <v>185</v>
      </c>
      <c r="EQ27" s="259" t="s">
        <v>185</v>
      </c>
      <c r="ER27" s="259" t="s">
        <v>185</v>
      </c>
      <c r="ES27" s="259" t="s">
        <v>185</v>
      </c>
      <c r="ET27" s="260" t="s">
        <v>185</v>
      </c>
      <c r="EU27" s="5">
        <v>741784</v>
      </c>
      <c r="EV27" s="5">
        <v>659654</v>
      </c>
      <c r="EW27" s="5">
        <v>23175</v>
      </c>
      <c r="EX27" s="5">
        <v>70378</v>
      </c>
      <c r="EY27" s="10">
        <v>58955</v>
      </c>
      <c r="EZ27" s="5">
        <v>1078521</v>
      </c>
      <c r="FA27" s="5">
        <v>915562</v>
      </c>
      <c r="FB27" s="5">
        <v>35040</v>
      </c>
      <c r="FC27" s="5">
        <v>136058</v>
      </c>
      <c r="FD27" s="10">
        <v>127919</v>
      </c>
      <c r="FE27" s="5">
        <v>1406947</v>
      </c>
      <c r="FF27" s="5">
        <v>1187200</v>
      </c>
      <c r="FG27" s="5">
        <v>60630</v>
      </c>
      <c r="FH27" s="5">
        <v>240598</v>
      </c>
      <c r="FI27" s="10">
        <v>159117</v>
      </c>
      <c r="FJ27" s="5">
        <v>1431281.49</v>
      </c>
      <c r="FK27" s="5">
        <v>1206399.9870000002</v>
      </c>
      <c r="FL27" s="5">
        <v>64393.455999999998</v>
      </c>
      <c r="FM27" s="5">
        <v>258483.50100000002</v>
      </c>
      <c r="FN27" s="10">
        <v>160488.04699999979</v>
      </c>
      <c r="FO27" s="5">
        <v>1447853</v>
      </c>
      <c r="FP27" s="5">
        <v>1215317</v>
      </c>
      <c r="FQ27" s="5">
        <v>67497</v>
      </c>
      <c r="FR27" s="5">
        <v>267090</v>
      </c>
      <c r="FS27" s="618">
        <v>165039</v>
      </c>
      <c r="FT27" s="618">
        <v>1458487</v>
      </c>
      <c r="FU27" s="618">
        <v>1017716</v>
      </c>
      <c r="FV27" s="618">
        <v>67789</v>
      </c>
      <c r="FW27" s="618">
        <v>275126</v>
      </c>
      <c r="FX27" s="618">
        <v>171177</v>
      </c>
      <c r="FY27" s="618">
        <v>1537661</v>
      </c>
      <c r="FZ27" s="618">
        <v>1047903</v>
      </c>
      <c r="GA27" s="618">
        <v>76442</v>
      </c>
      <c r="GB27" s="618">
        <v>310278</v>
      </c>
      <c r="GC27" s="618">
        <v>190329</v>
      </c>
      <c r="GD27" s="618">
        <v>1570579</v>
      </c>
      <c r="GE27" s="618">
        <v>1055573</v>
      </c>
      <c r="GF27" s="618">
        <v>79120</v>
      </c>
      <c r="GG27" s="618">
        <v>323282</v>
      </c>
      <c r="GH27" s="618">
        <v>213395</v>
      </c>
      <c r="GI27" s="12">
        <v>157456</v>
      </c>
      <c r="GJ27" s="5">
        <v>138410</v>
      </c>
      <c r="GK27" s="5">
        <v>5224</v>
      </c>
      <c r="GL27" s="5">
        <v>15808</v>
      </c>
      <c r="GM27" s="10">
        <v>13822</v>
      </c>
      <c r="GN27" s="5">
        <v>219356</v>
      </c>
      <c r="GO27" s="5">
        <v>184383</v>
      </c>
      <c r="GP27" s="5">
        <v>7858</v>
      </c>
      <c r="GQ27" s="5">
        <v>26418</v>
      </c>
      <c r="GR27" s="10">
        <v>27115</v>
      </c>
      <c r="GS27" s="12">
        <v>327702</v>
      </c>
      <c r="GT27" s="5">
        <v>275051</v>
      </c>
      <c r="GU27" s="5">
        <v>14281</v>
      </c>
      <c r="GV27" s="5">
        <v>54754</v>
      </c>
      <c r="GW27" s="5">
        <v>38370</v>
      </c>
      <c r="GX27" s="12"/>
      <c r="GY27" s="5"/>
      <c r="GZ27" s="5"/>
      <c r="HA27" s="5"/>
      <c r="HB27" s="10"/>
      <c r="HC27" s="5">
        <v>347863</v>
      </c>
      <c r="HD27" s="5">
        <v>290368</v>
      </c>
      <c r="HE27" s="5">
        <v>16093</v>
      </c>
      <c r="HF27" s="5">
        <v>59478</v>
      </c>
      <c r="HG27" s="5">
        <v>41402</v>
      </c>
      <c r="HH27" s="5">
        <v>360777</v>
      </c>
      <c r="HI27" s="5">
        <v>257418</v>
      </c>
      <c r="HJ27" s="5">
        <v>15774</v>
      </c>
      <c r="HK27" s="5">
        <v>61480</v>
      </c>
      <c r="HL27" s="5">
        <v>42190</v>
      </c>
      <c r="HM27" s="5">
        <v>382106</v>
      </c>
      <c r="HN27" s="5">
        <v>261821</v>
      </c>
      <c r="HO27" s="5">
        <v>18746</v>
      </c>
      <c r="HP27" s="5">
        <v>69965</v>
      </c>
      <c r="HQ27" s="5">
        <v>51567</v>
      </c>
      <c r="HR27" s="5">
        <v>390843</v>
      </c>
      <c r="HS27" s="5">
        <v>264597</v>
      </c>
      <c r="HT27" s="5">
        <v>19719</v>
      </c>
      <c r="HU27" s="5">
        <v>76212</v>
      </c>
      <c r="HV27" s="5">
        <v>53101</v>
      </c>
      <c r="HW27" s="569">
        <f t="shared" ref="HW27:HW38" si="454">GI27+JK27+QB27</f>
        <v>624329</v>
      </c>
      <c r="HX27" s="546">
        <f t="shared" ref="HX27:HX38" si="455">GJ27+JL27+QC27</f>
        <v>572916</v>
      </c>
      <c r="HY27" s="546">
        <f t="shared" ref="HY27:HY38" si="456">GK27+JM27+QD27</f>
        <v>13728</v>
      </c>
      <c r="HZ27" s="546">
        <f t="shared" ref="HZ27:HZ38" si="457">GL27+JN27+QE27</f>
        <v>38651</v>
      </c>
      <c r="IA27" s="546">
        <f t="shared" ref="IA27:IA38" si="458">GM27+JO27+QF27</f>
        <v>37685</v>
      </c>
      <c r="IB27" s="569">
        <f t="shared" ref="IB27:IB38" si="459">GN27+JP27+QG27</f>
        <v>985568</v>
      </c>
      <c r="IC27" s="546">
        <f t="shared" ref="IC27:IC38" si="460">GO27+JQ27+QH27</f>
        <v>868612</v>
      </c>
      <c r="ID27" s="546">
        <f t="shared" ref="ID27:ID38" si="461">GP27+JR27+QI27</f>
        <v>24459</v>
      </c>
      <c r="IE27" s="546">
        <f t="shared" ref="IE27:IE38" si="462">GQ27+JS27+QJ27</f>
        <v>77338</v>
      </c>
      <c r="IF27" s="546">
        <f t="shared" ref="IF27:IF38" si="463">GR27+JT27+QK27</f>
        <v>92497</v>
      </c>
      <c r="IG27" s="12">
        <v>1210219</v>
      </c>
      <c r="IH27" s="5">
        <v>1043617</v>
      </c>
      <c r="II27" s="5">
        <v>40840</v>
      </c>
      <c r="IJ27" s="5">
        <v>137035</v>
      </c>
      <c r="IK27" s="5">
        <v>125762</v>
      </c>
      <c r="IL27" s="565"/>
      <c r="IM27" s="7"/>
      <c r="IN27" s="7"/>
      <c r="IO27" s="7"/>
      <c r="IP27" s="7"/>
      <c r="IQ27" s="7">
        <v>1470955</v>
      </c>
      <c r="IR27" s="7">
        <v>1262269</v>
      </c>
      <c r="IS27" s="7">
        <v>50038</v>
      </c>
      <c r="IT27" s="7">
        <v>165999</v>
      </c>
      <c r="IU27" s="577">
        <v>158648</v>
      </c>
      <c r="IV27" s="7">
        <v>1521260</v>
      </c>
      <c r="IW27" s="7">
        <v>1175499</v>
      </c>
      <c r="IX27" s="7">
        <v>51075</v>
      </c>
      <c r="IY27" s="7">
        <v>170940</v>
      </c>
      <c r="IZ27" s="7">
        <v>166006</v>
      </c>
      <c r="JA27" s="565">
        <v>1639555</v>
      </c>
      <c r="JB27" s="7">
        <v>1232603</v>
      </c>
      <c r="JC27" s="7">
        <v>60641</v>
      </c>
      <c r="JD27" s="7">
        <v>195658</v>
      </c>
      <c r="JE27" s="7">
        <v>200822</v>
      </c>
      <c r="JF27" s="565">
        <v>1726737</v>
      </c>
      <c r="JG27" s="7">
        <v>1289079</v>
      </c>
      <c r="JH27" s="7">
        <v>63045</v>
      </c>
      <c r="JI27" s="7">
        <v>223091</v>
      </c>
      <c r="JJ27" s="7">
        <v>210926</v>
      </c>
      <c r="JK27" s="12">
        <v>306554</v>
      </c>
      <c r="JL27" s="5">
        <v>285607</v>
      </c>
      <c r="JM27" s="5">
        <v>5882</v>
      </c>
      <c r="JN27" s="5">
        <v>15325</v>
      </c>
      <c r="JO27" s="5">
        <v>15065</v>
      </c>
      <c r="JP27" s="12">
        <v>493419</v>
      </c>
      <c r="JQ27" s="5">
        <v>441978</v>
      </c>
      <c r="JR27" s="5">
        <v>10942</v>
      </c>
      <c r="JS27" s="5">
        <v>33315</v>
      </c>
      <c r="JT27" s="5">
        <v>40499</v>
      </c>
      <c r="JU27" s="12">
        <v>679812</v>
      </c>
      <c r="JV27" s="5">
        <v>592599</v>
      </c>
      <c r="JW27" s="5">
        <v>20765</v>
      </c>
      <c r="JX27" s="5">
        <v>69025</v>
      </c>
      <c r="JY27" s="5">
        <v>66448</v>
      </c>
      <c r="JZ27" s="12">
        <v>696971.85600000003</v>
      </c>
      <c r="KA27" s="5">
        <v>608355.549</v>
      </c>
      <c r="KB27" s="5">
        <v>20461.472000000002</v>
      </c>
      <c r="KC27" s="5">
        <v>71639.622000000003</v>
      </c>
      <c r="KD27" s="5">
        <v>68154.835000000021</v>
      </c>
      <c r="KE27" s="5">
        <v>732925</v>
      </c>
      <c r="KF27" s="5">
        <v>578031</v>
      </c>
      <c r="KG27" s="5">
        <v>22671</v>
      </c>
      <c r="KH27" s="5">
        <v>75591</v>
      </c>
      <c r="KI27" s="5">
        <v>75658</v>
      </c>
      <c r="KJ27" s="5">
        <v>788933</v>
      </c>
      <c r="KK27" s="5">
        <v>605530</v>
      </c>
      <c r="KL27" s="5">
        <v>26860</v>
      </c>
      <c r="KM27" s="5">
        <v>87697</v>
      </c>
      <c r="KN27" s="5">
        <v>90399</v>
      </c>
      <c r="KO27" s="5">
        <v>835779</v>
      </c>
      <c r="KP27" s="5">
        <v>639670</v>
      </c>
      <c r="KQ27" s="5">
        <v>25465</v>
      </c>
      <c r="KR27" s="5">
        <v>102946</v>
      </c>
      <c r="KS27" s="5">
        <v>93526</v>
      </c>
      <c r="KT27" s="258" t="s">
        <v>185</v>
      </c>
      <c r="KU27" s="259" t="s">
        <v>185</v>
      </c>
      <c r="KV27" s="316">
        <v>60011</v>
      </c>
      <c r="KW27" s="332">
        <f t="shared" si="410"/>
        <v>35135</v>
      </c>
      <c r="KX27" s="332">
        <f t="shared" si="411"/>
        <v>24876</v>
      </c>
      <c r="KY27" s="332">
        <f t="shared" si="412"/>
        <v>58955</v>
      </c>
      <c r="KZ27" s="318">
        <v>34625</v>
      </c>
      <c r="LA27" s="318">
        <v>24330</v>
      </c>
      <c r="LB27" s="332">
        <f t="shared" si="413"/>
        <v>1056</v>
      </c>
      <c r="LC27" s="318">
        <v>510</v>
      </c>
      <c r="LD27" s="318">
        <v>546</v>
      </c>
      <c r="LE27" s="316">
        <v>119584</v>
      </c>
      <c r="LF27" s="332">
        <f t="shared" si="414"/>
        <v>71108</v>
      </c>
      <c r="LG27" s="332">
        <f t="shared" si="415"/>
        <v>48476</v>
      </c>
      <c r="LH27" s="332">
        <f t="shared" si="416"/>
        <v>112440</v>
      </c>
      <c r="LI27" s="318">
        <v>66784</v>
      </c>
      <c r="LJ27" s="318">
        <v>45656</v>
      </c>
      <c r="LK27" s="332">
        <f t="shared" si="417"/>
        <v>1105</v>
      </c>
      <c r="LL27" s="318">
        <v>566</v>
      </c>
      <c r="LM27" s="318">
        <v>539</v>
      </c>
      <c r="LN27" s="332">
        <f t="shared" si="418"/>
        <v>6039</v>
      </c>
      <c r="LO27" s="318">
        <v>3758</v>
      </c>
      <c r="LP27" s="318">
        <v>2281</v>
      </c>
      <c r="LQ27" s="316">
        <v>271460</v>
      </c>
      <c r="LR27" s="332">
        <f t="shared" si="419"/>
        <v>159358</v>
      </c>
      <c r="LS27" s="332">
        <f t="shared" si="420"/>
        <v>112102</v>
      </c>
      <c r="LT27" s="342">
        <f t="shared" si="421"/>
        <v>250374</v>
      </c>
      <c r="LU27" s="318">
        <v>146702</v>
      </c>
      <c r="LV27" s="318">
        <v>103672</v>
      </c>
      <c r="LW27" s="318">
        <v>12656</v>
      </c>
      <c r="LX27" s="318">
        <v>8430</v>
      </c>
      <c r="LY27" s="342">
        <f t="shared" si="422"/>
        <v>3690</v>
      </c>
      <c r="LZ27" s="318">
        <v>2028</v>
      </c>
      <c r="MA27" s="318">
        <v>1662</v>
      </c>
      <c r="MB27" s="342">
        <f t="shared" si="423"/>
        <v>10874</v>
      </c>
      <c r="MC27" s="318">
        <v>6901</v>
      </c>
      <c r="MD27" s="318">
        <v>3973</v>
      </c>
      <c r="ME27" s="333">
        <f t="shared" si="424"/>
        <v>6522</v>
      </c>
      <c r="MF27" s="333">
        <f t="shared" si="425"/>
        <v>3727</v>
      </c>
      <c r="MG27" s="333">
        <f t="shared" si="426"/>
        <v>2795</v>
      </c>
      <c r="MH27" s="334">
        <f t="shared" si="427"/>
        <v>269</v>
      </c>
      <c r="MI27" s="334">
        <f t="shared" si="428"/>
        <v>171</v>
      </c>
      <c r="MJ27" s="334">
        <f t="shared" si="429"/>
        <v>98</v>
      </c>
      <c r="MK27" s="318">
        <v>6253</v>
      </c>
      <c r="ML27" s="318">
        <v>3556</v>
      </c>
      <c r="MM27" s="318">
        <v>2697</v>
      </c>
      <c r="MN27" s="14">
        <f t="shared" si="430"/>
        <v>466873</v>
      </c>
      <c r="MO27" s="332">
        <f t="shared" si="431"/>
        <v>260790</v>
      </c>
      <c r="MP27" s="332">
        <f t="shared" si="432"/>
        <v>206083</v>
      </c>
      <c r="MQ27" s="13">
        <f t="shared" si="433"/>
        <v>434506</v>
      </c>
      <c r="MR27" s="136">
        <f t="shared" si="434"/>
        <v>419799</v>
      </c>
      <c r="MS27" s="318">
        <v>234826</v>
      </c>
      <c r="MT27" s="318">
        <v>184973</v>
      </c>
      <c r="MU27" s="318">
        <v>25964</v>
      </c>
      <c r="MV27" s="318">
        <v>21110</v>
      </c>
      <c r="MW27" s="13">
        <f t="shared" si="435"/>
        <v>8504</v>
      </c>
      <c r="MX27" s="136">
        <f t="shared" si="436"/>
        <v>8318</v>
      </c>
      <c r="MY27" s="318">
        <v>4528</v>
      </c>
      <c r="MZ27" s="318">
        <v>3790</v>
      </c>
      <c r="NA27" s="13">
        <f t="shared" si="437"/>
        <v>22843</v>
      </c>
      <c r="NB27" s="318">
        <v>12761</v>
      </c>
      <c r="NC27" s="318">
        <v>10082</v>
      </c>
      <c r="ND27" s="11">
        <f t="shared" si="438"/>
        <v>23863</v>
      </c>
      <c r="NE27" s="335">
        <f t="shared" si="439"/>
        <v>8675</v>
      </c>
      <c r="NF27" s="335">
        <f t="shared" si="440"/>
        <v>7238</v>
      </c>
      <c r="NG27" s="336">
        <f t="shared" si="441"/>
        <v>250</v>
      </c>
      <c r="NH27" s="336">
        <f t="shared" si="442"/>
        <v>166</v>
      </c>
      <c r="NI27" s="336">
        <f t="shared" si="443"/>
        <v>84</v>
      </c>
      <c r="NJ27" s="337">
        <f t="shared" si="444"/>
        <v>15663</v>
      </c>
      <c r="NK27" s="337">
        <f t="shared" si="445"/>
        <v>8509</v>
      </c>
      <c r="NL27" s="337">
        <f t="shared" si="446"/>
        <v>7154</v>
      </c>
      <c r="NM27" s="318">
        <v>1849</v>
      </c>
      <c r="NN27" s="318">
        <v>2275</v>
      </c>
      <c r="NO27" s="318">
        <v>6660</v>
      </c>
      <c r="NP27" s="318">
        <v>4879</v>
      </c>
      <c r="NQ27" s="338">
        <v>766212</v>
      </c>
      <c r="NR27" s="318">
        <v>408206</v>
      </c>
      <c r="NS27" s="318">
        <v>358006</v>
      </c>
      <c r="NT27" s="7">
        <f t="shared" si="447"/>
        <v>684229</v>
      </c>
      <c r="NU27" s="7">
        <v>366618</v>
      </c>
      <c r="NV27" s="7">
        <v>317611</v>
      </c>
      <c r="NW27" s="125">
        <f t="shared" si="448"/>
        <v>654054</v>
      </c>
      <c r="NX27" s="318">
        <v>351223</v>
      </c>
      <c r="NY27" s="318">
        <v>302831</v>
      </c>
      <c r="NZ27" s="7">
        <f t="shared" si="449"/>
        <v>16601</v>
      </c>
      <c r="OA27" s="318">
        <v>8900</v>
      </c>
      <c r="OB27" s="318">
        <v>7701</v>
      </c>
      <c r="OC27" s="7">
        <f t="shared" si="450"/>
        <v>50920</v>
      </c>
      <c r="OD27" s="318">
        <v>25799</v>
      </c>
      <c r="OE27" s="318">
        <v>25121</v>
      </c>
      <c r="OF27" s="125">
        <f t="shared" si="451"/>
        <v>65382</v>
      </c>
      <c r="OG27" s="125">
        <f t="shared" si="452"/>
        <v>32688</v>
      </c>
      <c r="OH27" s="125">
        <f t="shared" si="453"/>
        <v>32694</v>
      </c>
      <c r="OI27" s="326">
        <v>996952</v>
      </c>
      <c r="OJ27" s="318">
        <v>867925</v>
      </c>
      <c r="OK27" s="318">
        <v>27033</v>
      </c>
      <c r="OL27" s="318">
        <v>101994</v>
      </c>
      <c r="OM27" s="7">
        <v>82847</v>
      </c>
      <c r="ON27" s="12">
        <v>1034668</v>
      </c>
      <c r="OO27" s="5">
        <v>901240</v>
      </c>
      <c r="OP27" s="5">
        <v>29882</v>
      </c>
      <c r="OQ27" s="5">
        <v>103546</v>
      </c>
      <c r="OR27" s="5">
        <v>91876</v>
      </c>
      <c r="OS27" s="12">
        <v>1068291</v>
      </c>
      <c r="OT27" s="5">
        <v>930252</v>
      </c>
      <c r="OU27" s="5">
        <v>30898</v>
      </c>
      <c r="OV27" s="5">
        <v>107141</v>
      </c>
      <c r="OW27" s="5">
        <v>99204</v>
      </c>
      <c r="OX27" s="12">
        <v>1067774</v>
      </c>
      <c r="OY27" s="5">
        <v>928685</v>
      </c>
      <c r="OZ27" s="5">
        <v>33092</v>
      </c>
      <c r="PA27" s="5">
        <v>105997</v>
      </c>
      <c r="PB27" s="5">
        <v>97996</v>
      </c>
      <c r="PC27" s="12">
        <v>1091092.8459999999</v>
      </c>
      <c r="PD27" s="5">
        <v>948622.21200000006</v>
      </c>
      <c r="PE27" s="5">
        <v>32497.632000000001</v>
      </c>
      <c r="PF27" s="5">
        <v>100682.712</v>
      </c>
      <c r="PG27" s="5">
        <v>109973.00199999985</v>
      </c>
      <c r="PH27" s="5">
        <v>1123092</v>
      </c>
      <c r="PI27" s="5">
        <v>971901</v>
      </c>
      <c r="PJ27" s="5">
        <v>33945</v>
      </c>
      <c r="PK27" s="5">
        <v>106521</v>
      </c>
      <c r="PL27" s="2">
        <v>117246</v>
      </c>
      <c r="PM27" s="2">
        <v>1160483</v>
      </c>
      <c r="PN27" s="2">
        <v>918081</v>
      </c>
      <c r="PO27" s="2">
        <v>35301</v>
      </c>
      <c r="PP27" s="2">
        <v>109460</v>
      </c>
      <c r="PQ27" s="2">
        <v>123816</v>
      </c>
      <c r="PR27" s="2">
        <v>1257449</v>
      </c>
      <c r="PS27" s="2">
        <v>970782</v>
      </c>
      <c r="PT27" s="2">
        <v>41895</v>
      </c>
      <c r="PU27" s="2">
        <v>125693</v>
      </c>
      <c r="PV27" s="2">
        <v>149255</v>
      </c>
      <c r="PW27" s="2">
        <v>1335894</v>
      </c>
      <c r="PX27" s="2">
        <v>1024482</v>
      </c>
      <c r="PY27" s="2">
        <v>43326</v>
      </c>
      <c r="PZ27" s="2">
        <v>146879</v>
      </c>
      <c r="QA27" s="2">
        <v>157825</v>
      </c>
      <c r="QB27" s="12">
        <v>160319</v>
      </c>
      <c r="QC27" s="5">
        <v>148899</v>
      </c>
      <c r="QD27" s="5">
        <v>2622</v>
      </c>
      <c r="QE27" s="5">
        <v>7518</v>
      </c>
      <c r="QF27" s="5">
        <v>8798</v>
      </c>
      <c r="QG27" s="12">
        <v>272793</v>
      </c>
      <c r="QH27" s="5">
        <v>242251</v>
      </c>
      <c r="QI27" s="5">
        <v>5659</v>
      </c>
      <c r="QJ27" s="5">
        <v>17605</v>
      </c>
      <c r="QK27" s="5">
        <v>24883</v>
      </c>
      <c r="QL27" s="12">
        <v>387962</v>
      </c>
      <c r="QM27" s="5">
        <v>336086</v>
      </c>
      <c r="QN27" s="5">
        <v>12327</v>
      </c>
      <c r="QO27" s="5">
        <v>28971</v>
      </c>
      <c r="QP27" s="5">
        <v>39549</v>
      </c>
      <c r="QQ27" s="12">
        <v>394120.99</v>
      </c>
      <c r="QR27" s="5">
        <v>340266.663</v>
      </c>
      <c r="QS27" s="5">
        <v>12036.16</v>
      </c>
      <c r="QT27" s="5">
        <v>29043.09</v>
      </c>
      <c r="QU27" s="10">
        <v>41818.166999999987</v>
      </c>
      <c r="QV27" s="1">
        <v>406718</v>
      </c>
      <c r="QW27" s="2">
        <v>350272</v>
      </c>
      <c r="QX27" s="2">
        <v>12313</v>
      </c>
      <c r="QY27" s="2">
        <v>31238</v>
      </c>
      <c r="QZ27" s="69">
        <v>44133</v>
      </c>
      <c r="RA27" s="2">
        <v>427558</v>
      </c>
      <c r="RB27" s="2">
        <v>340050</v>
      </c>
      <c r="RC27" s="2">
        <v>12630</v>
      </c>
      <c r="RD27" s="2">
        <v>33869</v>
      </c>
      <c r="RE27" s="2">
        <v>48158</v>
      </c>
      <c r="RF27" s="2">
        <v>468516</v>
      </c>
      <c r="RG27" s="2">
        <v>365252</v>
      </c>
      <c r="RH27" s="2">
        <v>15035</v>
      </c>
      <c r="RI27" s="2">
        <v>37996</v>
      </c>
      <c r="RJ27" s="2">
        <v>58856</v>
      </c>
      <c r="RK27" s="2">
        <v>500115</v>
      </c>
      <c r="RL27" s="2">
        <v>384812</v>
      </c>
      <c r="RM27" s="2">
        <v>17861</v>
      </c>
      <c r="RN27" s="2">
        <v>43933</v>
      </c>
      <c r="RO27" s="2">
        <v>64299</v>
      </c>
    </row>
    <row r="28" spans="1:483" ht="14.25" x14ac:dyDescent="0.2">
      <c r="A28" s="217" t="s">
        <v>19</v>
      </c>
      <c r="B28" s="258" t="s">
        <v>185</v>
      </c>
      <c r="C28" s="259" t="s">
        <v>185</v>
      </c>
      <c r="D28" s="259" t="s">
        <v>185</v>
      </c>
      <c r="E28" s="259" t="s">
        <v>185</v>
      </c>
      <c r="F28" s="260" t="s">
        <v>185</v>
      </c>
      <c r="G28" s="5">
        <v>2085905</v>
      </c>
      <c r="H28" s="5">
        <v>1009478</v>
      </c>
      <c r="I28" s="5">
        <v>91656</v>
      </c>
      <c r="J28" s="5">
        <v>1287579</v>
      </c>
      <c r="K28" s="10">
        <v>984771</v>
      </c>
      <c r="L28" s="5">
        <v>2446324</v>
      </c>
      <c r="M28" s="5">
        <v>944575</v>
      </c>
      <c r="N28" s="5">
        <v>59276</v>
      </c>
      <c r="O28" s="5">
        <v>1791232</v>
      </c>
      <c r="P28" s="10">
        <v>1442473</v>
      </c>
      <c r="Q28" s="7">
        <v>2502987</v>
      </c>
      <c r="R28" s="7">
        <v>1302612</v>
      </c>
      <c r="S28" s="7">
        <v>47209</v>
      </c>
      <c r="T28" s="7">
        <v>1937088</v>
      </c>
      <c r="U28" s="577">
        <v>1153166</v>
      </c>
      <c r="V28" s="7">
        <v>2516506</v>
      </c>
      <c r="W28" s="7">
        <v>1357233</v>
      </c>
      <c r="X28" s="7">
        <v>46264</v>
      </c>
      <c r="Y28" s="7">
        <v>1954860</v>
      </c>
      <c r="Z28" s="7">
        <v>1113009</v>
      </c>
      <c r="AA28" s="7">
        <v>2513977</v>
      </c>
      <c r="AB28" s="7">
        <v>187499</v>
      </c>
      <c r="AC28" s="7">
        <v>44344</v>
      </c>
      <c r="AD28" s="7">
        <v>1955499</v>
      </c>
      <c r="AE28" s="675">
        <v>1118966</v>
      </c>
      <c r="AF28" s="560">
        <v>2582757</v>
      </c>
      <c r="AG28" s="560">
        <v>178755</v>
      </c>
      <c r="AH28" s="560">
        <v>42855</v>
      </c>
      <c r="AI28" s="560">
        <v>2016495</v>
      </c>
      <c r="AJ28" s="560">
        <v>1194494</v>
      </c>
      <c r="AK28" s="560">
        <v>2556147</v>
      </c>
      <c r="AL28" s="560">
        <v>178574</v>
      </c>
      <c r="AM28" s="560">
        <v>35132</v>
      </c>
      <c r="AN28" s="560">
        <v>1995304</v>
      </c>
      <c r="AO28" s="560">
        <v>1250720</v>
      </c>
      <c r="AP28" s="12">
        <v>2364623</v>
      </c>
      <c r="AQ28" s="5">
        <v>1576239</v>
      </c>
      <c r="AR28" s="5">
        <v>218745</v>
      </c>
      <c r="AS28" s="5">
        <v>751685</v>
      </c>
      <c r="AT28" s="10">
        <v>569639</v>
      </c>
      <c r="AU28" s="5">
        <v>2496419</v>
      </c>
      <c r="AV28" s="5">
        <v>1340552</v>
      </c>
      <c r="AW28" s="5">
        <v>200066</v>
      </c>
      <c r="AX28" s="5">
        <v>1141744</v>
      </c>
      <c r="AY28" s="10">
        <v>955801</v>
      </c>
      <c r="AZ28" s="5">
        <v>2112517</v>
      </c>
      <c r="BA28" s="5">
        <v>1217784</v>
      </c>
      <c r="BB28" s="5">
        <v>134573</v>
      </c>
      <c r="BC28" s="5">
        <v>1216131</v>
      </c>
      <c r="BD28" s="10">
        <v>760160</v>
      </c>
      <c r="BE28" s="5">
        <v>2102121</v>
      </c>
      <c r="BF28" s="5">
        <v>1236309</v>
      </c>
      <c r="BG28" s="5">
        <v>127606</v>
      </c>
      <c r="BH28" s="5">
        <v>1247582</v>
      </c>
      <c r="BI28" s="5">
        <v>738206</v>
      </c>
      <c r="BJ28" s="5">
        <v>2084453</v>
      </c>
      <c r="BK28" s="5">
        <v>472169</v>
      </c>
      <c r="BL28" s="5">
        <v>129043</v>
      </c>
      <c r="BM28" s="5">
        <v>1249992</v>
      </c>
      <c r="BN28" s="53">
        <v>742254</v>
      </c>
      <c r="BO28" s="53">
        <v>2060753</v>
      </c>
      <c r="BP28" s="53">
        <v>433621</v>
      </c>
      <c r="BQ28" s="53">
        <v>124378</v>
      </c>
      <c r="BR28" s="53">
        <v>1275131</v>
      </c>
      <c r="BS28" s="53">
        <v>757654</v>
      </c>
      <c r="BT28" s="53">
        <v>2062516</v>
      </c>
      <c r="BU28" s="53">
        <v>434649</v>
      </c>
      <c r="BV28" s="53">
        <v>129120</v>
      </c>
      <c r="BW28" s="53">
        <v>1256224</v>
      </c>
      <c r="BX28" s="53">
        <v>795634</v>
      </c>
      <c r="BY28" s="12">
        <v>4629940</v>
      </c>
      <c r="BZ28" s="5">
        <v>2565991</v>
      </c>
      <c r="CA28" s="5">
        <v>175681</v>
      </c>
      <c r="CB28" s="5">
        <v>3190815</v>
      </c>
      <c r="CC28" s="290">
        <f t="shared" si="398"/>
        <v>1888268</v>
      </c>
      <c r="CD28" s="258" t="s">
        <v>185</v>
      </c>
      <c r="CE28" s="259" t="s">
        <v>185</v>
      </c>
      <c r="CF28" s="259" t="s">
        <v>185</v>
      </c>
      <c r="CG28" s="259" t="s">
        <v>185</v>
      </c>
      <c r="CH28" s="258" t="s">
        <v>185</v>
      </c>
      <c r="CI28" s="259" t="s">
        <v>185</v>
      </c>
      <c r="CJ28" s="259" t="s">
        <v>185</v>
      </c>
      <c r="CK28" s="259" t="s">
        <v>185</v>
      </c>
      <c r="CL28" s="260" t="s">
        <v>185</v>
      </c>
      <c r="CM28" s="5">
        <v>14244971</v>
      </c>
      <c r="CN28" s="5">
        <v>11131555</v>
      </c>
      <c r="CO28" s="5">
        <v>960576</v>
      </c>
      <c r="CP28" s="5">
        <v>1665848</v>
      </c>
      <c r="CQ28" s="10">
        <v>2152840</v>
      </c>
      <c r="CR28" s="5">
        <v>16356157</v>
      </c>
      <c r="CS28" s="5">
        <v>11403802</v>
      </c>
      <c r="CT28" s="5">
        <v>1073459</v>
      </c>
      <c r="CU28" s="5">
        <v>2567791</v>
      </c>
      <c r="CV28" s="5">
        <v>3878896</v>
      </c>
      <c r="CW28" s="195">
        <v>18455872</v>
      </c>
      <c r="CX28" s="5">
        <v>12243091</v>
      </c>
      <c r="CY28" s="5">
        <v>1180362</v>
      </c>
      <c r="CZ28" s="5">
        <v>5032419</v>
      </c>
      <c r="DA28" s="5">
        <v>3813888</v>
      </c>
      <c r="DB28" s="12">
        <v>18649528</v>
      </c>
      <c r="DC28" s="5">
        <v>12432627</v>
      </c>
      <c r="DD28" s="5">
        <v>1190785</v>
      </c>
      <c r="DE28" s="5">
        <v>5026116</v>
      </c>
      <c r="DF28" s="5">
        <v>3942278</v>
      </c>
      <c r="DG28" s="56">
        <v>18900212</v>
      </c>
      <c r="DH28" s="54">
        <v>12689763</v>
      </c>
      <c r="DI28" s="54">
        <v>1219405</v>
      </c>
      <c r="DJ28" s="54">
        <v>4991044</v>
      </c>
      <c r="DK28" s="54">
        <v>4009338</v>
      </c>
      <c r="DL28" s="12">
        <v>19171540</v>
      </c>
      <c r="DM28" s="5">
        <v>12868678</v>
      </c>
      <c r="DN28" s="5">
        <v>1237255</v>
      </c>
      <c r="DO28" s="5">
        <v>4176895</v>
      </c>
      <c r="DP28" s="5">
        <v>4562979</v>
      </c>
      <c r="DQ28" s="12">
        <v>19484330.16</v>
      </c>
      <c r="DR28" s="5">
        <v>13080293.424000001</v>
      </c>
      <c r="DS28" s="5">
        <v>1252622.608</v>
      </c>
      <c r="DT28" s="5">
        <v>4352482.9460000005</v>
      </c>
      <c r="DU28" s="530">
        <f t="shared" si="399"/>
        <v>5151414.1279999996</v>
      </c>
      <c r="DV28" s="5">
        <v>19825957</v>
      </c>
      <c r="DW28" s="5">
        <v>13264020</v>
      </c>
      <c r="DX28" s="5">
        <v>1269610</v>
      </c>
      <c r="DY28" s="5">
        <v>4521216</v>
      </c>
      <c r="DZ28" s="5">
        <v>5292327</v>
      </c>
      <c r="EA28" s="5">
        <v>20194592</v>
      </c>
      <c r="EB28" s="5">
        <v>10531538</v>
      </c>
      <c r="EC28" s="5">
        <v>1284764</v>
      </c>
      <c r="ED28" s="5">
        <v>4704636</v>
      </c>
      <c r="EE28" s="5">
        <v>5455762</v>
      </c>
      <c r="EF28" s="5">
        <v>21441753</v>
      </c>
      <c r="EG28" s="5">
        <v>10669566</v>
      </c>
      <c r="EH28" s="5">
        <v>1353633</v>
      </c>
      <c r="EI28" s="5">
        <v>5281597</v>
      </c>
      <c r="EJ28" s="5">
        <v>6220526</v>
      </c>
      <c r="EK28" s="5">
        <v>21685578</v>
      </c>
      <c r="EL28" s="5">
        <v>10656428</v>
      </c>
      <c r="EM28" s="5">
        <v>1359241</v>
      </c>
      <c r="EN28" s="5">
        <v>5452259</v>
      </c>
      <c r="EO28" s="5">
        <v>6459379</v>
      </c>
      <c r="EP28" s="258" t="s">
        <v>185</v>
      </c>
      <c r="EQ28" s="259" t="s">
        <v>185</v>
      </c>
      <c r="ER28" s="259" t="s">
        <v>185</v>
      </c>
      <c r="ES28" s="259" t="s">
        <v>185</v>
      </c>
      <c r="ET28" s="260" t="s">
        <v>185</v>
      </c>
      <c r="EU28" s="5">
        <v>5710400</v>
      </c>
      <c r="EV28" s="5">
        <v>4435676</v>
      </c>
      <c r="EW28" s="5">
        <v>465558</v>
      </c>
      <c r="EX28" s="5">
        <v>707672</v>
      </c>
      <c r="EY28" s="10">
        <v>809166</v>
      </c>
      <c r="EZ28" s="5">
        <v>6397739</v>
      </c>
      <c r="FA28" s="5">
        <v>4478573</v>
      </c>
      <c r="FB28" s="5">
        <v>522533</v>
      </c>
      <c r="FC28" s="5">
        <v>1070970</v>
      </c>
      <c r="FD28" s="10">
        <v>1396633</v>
      </c>
      <c r="FE28" s="5">
        <v>7092090</v>
      </c>
      <c r="FF28" s="5">
        <v>4840266</v>
      </c>
      <c r="FG28" s="5">
        <v>587358</v>
      </c>
      <c r="FH28" s="5">
        <v>1668657</v>
      </c>
      <c r="FI28" s="10">
        <v>1664466</v>
      </c>
      <c r="FJ28" s="5">
        <v>7186052.46</v>
      </c>
      <c r="FK28" s="5">
        <v>4912933.176</v>
      </c>
      <c r="FL28" s="5">
        <v>594174.46400000004</v>
      </c>
      <c r="FM28" s="5">
        <v>1734958.54</v>
      </c>
      <c r="FN28" s="10">
        <v>1678944.8199999998</v>
      </c>
      <c r="FO28" s="5">
        <v>7287011</v>
      </c>
      <c r="FP28" s="5">
        <v>4969495</v>
      </c>
      <c r="FQ28" s="5">
        <v>601912</v>
      </c>
      <c r="FR28" s="5">
        <v>1814222</v>
      </c>
      <c r="FS28" s="618">
        <v>1715604</v>
      </c>
      <c r="FT28" s="618">
        <v>7401918</v>
      </c>
      <c r="FU28" s="618">
        <v>3852204</v>
      </c>
      <c r="FV28" s="618">
        <v>611748</v>
      </c>
      <c r="FW28" s="618">
        <v>1888125</v>
      </c>
      <c r="FX28" s="618">
        <v>1768630</v>
      </c>
      <c r="FY28" s="618">
        <v>7595982</v>
      </c>
      <c r="FZ28" s="618">
        <v>3790135</v>
      </c>
      <c r="GA28" s="618">
        <v>616793</v>
      </c>
      <c r="GB28" s="618">
        <v>2046823</v>
      </c>
      <c r="GC28" s="618">
        <v>1941115</v>
      </c>
      <c r="GD28" s="618">
        <v>7634173</v>
      </c>
      <c r="GE28" s="618">
        <v>3734311</v>
      </c>
      <c r="GF28" s="618">
        <v>625382</v>
      </c>
      <c r="GG28" s="618">
        <v>2137583</v>
      </c>
      <c r="GH28" s="618">
        <v>2010602</v>
      </c>
      <c r="GI28" s="12">
        <v>1484489</v>
      </c>
      <c r="GJ28" s="5">
        <v>1112617</v>
      </c>
      <c r="GK28" s="5">
        <v>117727</v>
      </c>
      <c r="GL28" s="5">
        <v>191619</v>
      </c>
      <c r="GM28" s="10">
        <v>254145</v>
      </c>
      <c r="GN28" s="5">
        <v>1518403</v>
      </c>
      <c r="GO28" s="5">
        <v>1033287</v>
      </c>
      <c r="GP28" s="5">
        <v>115840</v>
      </c>
      <c r="GQ28" s="5">
        <v>227594</v>
      </c>
      <c r="GR28" s="10">
        <v>369276</v>
      </c>
      <c r="GS28" s="12">
        <v>1811636</v>
      </c>
      <c r="GT28" s="5">
        <v>1209859</v>
      </c>
      <c r="GU28" s="5">
        <v>140180</v>
      </c>
      <c r="GV28" s="5">
        <v>376489</v>
      </c>
      <c r="GW28" s="5">
        <v>461597</v>
      </c>
      <c r="GX28" s="12"/>
      <c r="GY28" s="5"/>
      <c r="GZ28" s="5"/>
      <c r="HA28" s="5"/>
      <c r="HB28" s="10"/>
      <c r="HC28" s="5">
        <v>1886900</v>
      </c>
      <c r="HD28" s="5">
        <v>1269599</v>
      </c>
      <c r="HE28" s="5">
        <v>140938</v>
      </c>
      <c r="HF28" s="5">
        <v>411478</v>
      </c>
      <c r="HG28" s="5">
        <v>476363</v>
      </c>
      <c r="HH28" s="5">
        <v>1941154</v>
      </c>
      <c r="HI28" s="5">
        <v>1026773</v>
      </c>
      <c r="HJ28" s="5">
        <v>143573</v>
      </c>
      <c r="HK28" s="5">
        <v>431884</v>
      </c>
      <c r="HL28" s="5">
        <v>493724</v>
      </c>
      <c r="HM28" s="5">
        <v>1992703</v>
      </c>
      <c r="HN28" s="5">
        <v>1012034</v>
      </c>
      <c r="HO28" s="5">
        <v>152603</v>
      </c>
      <c r="HP28" s="5">
        <v>469680</v>
      </c>
      <c r="HQ28" s="5">
        <v>534768</v>
      </c>
      <c r="HR28" s="5">
        <v>2031775</v>
      </c>
      <c r="HS28" s="5">
        <v>1007159</v>
      </c>
      <c r="HT28" s="5">
        <v>150854</v>
      </c>
      <c r="HU28" s="5">
        <v>503809</v>
      </c>
      <c r="HV28" s="5">
        <v>569982</v>
      </c>
      <c r="HW28" s="569">
        <f t="shared" si="454"/>
        <v>5851163</v>
      </c>
      <c r="HX28" s="546">
        <f t="shared" si="455"/>
        <v>4597272</v>
      </c>
      <c r="HY28" s="546">
        <f t="shared" si="456"/>
        <v>305981</v>
      </c>
      <c r="HZ28" s="546">
        <f t="shared" si="457"/>
        <v>454670</v>
      </c>
      <c r="IA28" s="546">
        <f t="shared" si="458"/>
        <v>947910</v>
      </c>
      <c r="IB28" s="569">
        <f t="shared" si="459"/>
        <v>7188369</v>
      </c>
      <c r="IC28" s="546">
        <f t="shared" si="460"/>
        <v>5111007</v>
      </c>
      <c r="ID28" s="546">
        <f t="shared" si="461"/>
        <v>344788</v>
      </c>
      <c r="IE28" s="546">
        <f t="shared" si="462"/>
        <v>653566</v>
      </c>
      <c r="IF28" s="546">
        <f t="shared" si="463"/>
        <v>1732574</v>
      </c>
      <c r="IG28" s="12">
        <v>7731618</v>
      </c>
      <c r="IH28" s="5">
        <v>5161692</v>
      </c>
      <c r="II28" s="5">
        <v>386012</v>
      </c>
      <c r="IJ28" s="5">
        <v>1012819</v>
      </c>
      <c r="IK28" s="5">
        <v>2183914</v>
      </c>
      <c r="IL28" s="565"/>
      <c r="IM28" s="7"/>
      <c r="IN28" s="7"/>
      <c r="IO28" s="7"/>
      <c r="IP28" s="7"/>
      <c r="IQ28" s="7">
        <v>9335769</v>
      </c>
      <c r="IR28" s="7">
        <v>6232631</v>
      </c>
      <c r="IS28" s="7">
        <v>457079</v>
      </c>
      <c r="IT28" s="7">
        <v>1237314</v>
      </c>
      <c r="IU28" s="577">
        <v>2646059</v>
      </c>
      <c r="IV28" s="7">
        <v>9577352</v>
      </c>
      <c r="IW28" s="7">
        <v>5516050</v>
      </c>
      <c r="IX28" s="7">
        <v>464263</v>
      </c>
      <c r="IY28" s="7">
        <v>1295545</v>
      </c>
      <c r="IZ28" s="7">
        <v>2743019</v>
      </c>
      <c r="JA28" s="565">
        <v>10408393</v>
      </c>
      <c r="JB28" s="7">
        <v>5756543</v>
      </c>
      <c r="JC28" s="7">
        <v>522598</v>
      </c>
      <c r="JD28" s="7">
        <v>1490586</v>
      </c>
      <c r="JE28" s="7">
        <v>3169889</v>
      </c>
      <c r="JF28" s="565">
        <v>10692245</v>
      </c>
      <c r="JG28" s="7">
        <v>5865513</v>
      </c>
      <c r="JH28" s="7">
        <v>521385</v>
      </c>
      <c r="JI28" s="7">
        <v>1561252</v>
      </c>
      <c r="JJ28" s="7">
        <v>3324735</v>
      </c>
      <c r="JK28" s="12">
        <v>2858107</v>
      </c>
      <c r="JL28" s="5">
        <v>2247814</v>
      </c>
      <c r="JM28" s="5">
        <v>127428</v>
      </c>
      <c r="JN28" s="5">
        <v>174825</v>
      </c>
      <c r="JO28" s="5">
        <v>482865</v>
      </c>
      <c r="JP28" s="12">
        <v>3640157</v>
      </c>
      <c r="JQ28" s="5">
        <v>2560688</v>
      </c>
      <c r="JR28" s="5">
        <v>152066</v>
      </c>
      <c r="JS28" s="5">
        <v>284020</v>
      </c>
      <c r="JT28" s="5">
        <v>927403</v>
      </c>
      <c r="JU28" s="12">
        <v>4556096</v>
      </c>
      <c r="JV28" s="5">
        <v>2982002</v>
      </c>
      <c r="JW28" s="5">
        <v>199212</v>
      </c>
      <c r="JX28" s="5">
        <v>534263</v>
      </c>
      <c r="JY28" s="5">
        <v>1374882</v>
      </c>
      <c r="JZ28" s="12">
        <v>4629939.84</v>
      </c>
      <c r="KA28" s="5">
        <v>3019732.8119999999</v>
      </c>
      <c r="KB28" s="5">
        <v>202819.16799999998</v>
      </c>
      <c r="KC28" s="5">
        <v>558204.05200000003</v>
      </c>
      <c r="KD28" s="5">
        <v>1407387.8599999999</v>
      </c>
      <c r="KE28" s="5">
        <v>4831171</v>
      </c>
      <c r="KF28" s="5">
        <v>2733784</v>
      </c>
      <c r="KG28" s="5">
        <v>207533</v>
      </c>
      <c r="KH28" s="5">
        <v>615602</v>
      </c>
      <c r="KI28" s="5">
        <v>1485488</v>
      </c>
      <c r="KJ28" s="5">
        <v>5285754</v>
      </c>
      <c r="KK28" s="5">
        <v>2862902</v>
      </c>
      <c r="KL28" s="5">
        <v>228487</v>
      </c>
      <c r="KM28" s="5">
        <v>734327</v>
      </c>
      <c r="KN28" s="5">
        <v>1726996</v>
      </c>
      <c r="KO28" s="5">
        <v>5426164</v>
      </c>
      <c r="KP28" s="5">
        <v>2928228</v>
      </c>
      <c r="KQ28" s="5">
        <v>236614</v>
      </c>
      <c r="KR28" s="5">
        <v>751327</v>
      </c>
      <c r="KS28" s="5">
        <v>1786065</v>
      </c>
      <c r="KT28" s="258" t="s">
        <v>185</v>
      </c>
      <c r="KU28" s="259" t="s">
        <v>185</v>
      </c>
      <c r="KV28" s="316">
        <v>872668</v>
      </c>
      <c r="KW28" s="332">
        <f t="shared" si="410"/>
        <v>534205</v>
      </c>
      <c r="KX28" s="332">
        <f t="shared" si="411"/>
        <v>338463</v>
      </c>
      <c r="KY28" s="332">
        <f t="shared" si="412"/>
        <v>835343</v>
      </c>
      <c r="KZ28" s="318">
        <v>512423</v>
      </c>
      <c r="LA28" s="318">
        <v>322920</v>
      </c>
      <c r="LB28" s="332">
        <f t="shared" si="413"/>
        <v>37325</v>
      </c>
      <c r="LC28" s="318">
        <v>21782</v>
      </c>
      <c r="LD28" s="318">
        <v>15543</v>
      </c>
      <c r="LE28" s="316">
        <v>1477559</v>
      </c>
      <c r="LF28" s="332">
        <f t="shared" si="414"/>
        <v>900185</v>
      </c>
      <c r="LG28" s="332">
        <f t="shared" si="415"/>
        <v>577374</v>
      </c>
      <c r="LH28" s="332">
        <f t="shared" si="416"/>
        <v>1362140</v>
      </c>
      <c r="LI28" s="318">
        <v>833049</v>
      </c>
      <c r="LJ28" s="318">
        <v>529091</v>
      </c>
      <c r="LK28" s="332">
        <f t="shared" si="417"/>
        <v>38241</v>
      </c>
      <c r="LL28" s="318">
        <v>18643</v>
      </c>
      <c r="LM28" s="318">
        <v>19598</v>
      </c>
      <c r="LN28" s="332">
        <f t="shared" si="418"/>
        <v>77178</v>
      </c>
      <c r="LO28" s="318">
        <v>48493</v>
      </c>
      <c r="LP28" s="318">
        <v>28685</v>
      </c>
      <c r="LQ28" s="316">
        <v>2752865</v>
      </c>
      <c r="LR28" s="332">
        <f t="shared" si="419"/>
        <v>1638294</v>
      </c>
      <c r="LS28" s="332">
        <f t="shared" si="420"/>
        <v>1114571</v>
      </c>
      <c r="LT28" s="342">
        <f t="shared" si="421"/>
        <v>2271155</v>
      </c>
      <c r="LU28" s="318">
        <v>1364819</v>
      </c>
      <c r="LV28" s="318">
        <v>906336</v>
      </c>
      <c r="LW28" s="318">
        <v>273475</v>
      </c>
      <c r="LX28" s="318">
        <v>208235</v>
      </c>
      <c r="LY28" s="342">
        <f t="shared" si="422"/>
        <v>103894</v>
      </c>
      <c r="LZ28" s="318">
        <v>54029</v>
      </c>
      <c r="MA28" s="318">
        <v>49865</v>
      </c>
      <c r="MB28" s="342">
        <f t="shared" si="423"/>
        <v>131043</v>
      </c>
      <c r="MC28" s="318">
        <v>81287</v>
      </c>
      <c r="MD28" s="318">
        <v>49756</v>
      </c>
      <c r="ME28" s="333">
        <f t="shared" si="424"/>
        <v>246773</v>
      </c>
      <c r="MF28" s="333">
        <f t="shared" si="425"/>
        <v>138159</v>
      </c>
      <c r="MG28" s="333">
        <f t="shared" si="426"/>
        <v>108614</v>
      </c>
      <c r="MH28" s="334">
        <f t="shared" si="427"/>
        <v>5565</v>
      </c>
      <c r="MI28" s="334">
        <f t="shared" si="428"/>
        <v>3495</v>
      </c>
      <c r="MJ28" s="334">
        <f t="shared" si="429"/>
        <v>2070</v>
      </c>
      <c r="MK28" s="318">
        <v>241208</v>
      </c>
      <c r="ML28" s="318">
        <v>134664</v>
      </c>
      <c r="MM28" s="318">
        <v>106544</v>
      </c>
      <c r="MN28" s="14">
        <f t="shared" si="430"/>
        <v>4366674</v>
      </c>
      <c r="MO28" s="332">
        <f t="shared" si="431"/>
        <v>2441861</v>
      </c>
      <c r="MP28" s="332">
        <f t="shared" si="432"/>
        <v>1924813</v>
      </c>
      <c r="MQ28" s="13">
        <f t="shared" si="433"/>
        <v>3484655</v>
      </c>
      <c r="MR28" s="136">
        <f t="shared" si="434"/>
        <v>3325709</v>
      </c>
      <c r="MS28" s="318">
        <v>1886964</v>
      </c>
      <c r="MT28" s="318">
        <v>1438745</v>
      </c>
      <c r="MU28" s="318">
        <v>554897</v>
      </c>
      <c r="MV28" s="318">
        <v>486068</v>
      </c>
      <c r="MW28" s="13">
        <f t="shared" si="435"/>
        <v>188254</v>
      </c>
      <c r="MX28" s="136">
        <f t="shared" si="436"/>
        <v>184171</v>
      </c>
      <c r="MY28" s="318">
        <v>91776</v>
      </c>
      <c r="MZ28" s="318">
        <v>92395</v>
      </c>
      <c r="NA28" s="13">
        <f t="shared" si="437"/>
        <v>263051</v>
      </c>
      <c r="NB28" s="318">
        <v>149673</v>
      </c>
      <c r="NC28" s="318">
        <v>113378</v>
      </c>
      <c r="ND28" s="11">
        <f t="shared" si="438"/>
        <v>693765</v>
      </c>
      <c r="NE28" s="335">
        <f t="shared" si="439"/>
        <v>313448</v>
      </c>
      <c r="NF28" s="335">
        <f t="shared" si="440"/>
        <v>280295</v>
      </c>
      <c r="NG28" s="336">
        <f t="shared" si="441"/>
        <v>3761</v>
      </c>
      <c r="NH28" s="336">
        <f t="shared" si="442"/>
        <v>2046</v>
      </c>
      <c r="NI28" s="336">
        <f t="shared" si="443"/>
        <v>1715</v>
      </c>
      <c r="NJ28" s="337">
        <f t="shared" si="444"/>
        <v>589982</v>
      </c>
      <c r="NK28" s="337">
        <f t="shared" si="445"/>
        <v>311402</v>
      </c>
      <c r="NL28" s="337">
        <f t="shared" si="446"/>
        <v>278580</v>
      </c>
      <c r="NM28" s="318">
        <v>7679</v>
      </c>
      <c r="NN28" s="318">
        <v>6758</v>
      </c>
      <c r="NO28" s="318">
        <v>303723</v>
      </c>
      <c r="NP28" s="318">
        <v>271822</v>
      </c>
      <c r="NQ28" s="338">
        <v>5669966</v>
      </c>
      <c r="NR28" s="318">
        <v>2966146</v>
      </c>
      <c r="NS28" s="318">
        <v>2703820</v>
      </c>
      <c r="NT28" s="7">
        <f t="shared" si="447"/>
        <v>4077720</v>
      </c>
      <c r="NU28" s="7">
        <v>2177690</v>
      </c>
      <c r="NV28" s="7">
        <v>1900030</v>
      </c>
      <c r="NW28" s="125">
        <f t="shared" si="448"/>
        <v>3841308</v>
      </c>
      <c r="NX28" s="318">
        <v>2058235</v>
      </c>
      <c r="NY28" s="318">
        <v>1783073</v>
      </c>
      <c r="NZ28" s="7">
        <f t="shared" si="449"/>
        <v>228948</v>
      </c>
      <c r="OA28" s="318">
        <v>105028</v>
      </c>
      <c r="OB28" s="318">
        <v>123920</v>
      </c>
      <c r="OC28" s="7">
        <f t="shared" si="450"/>
        <v>425972</v>
      </c>
      <c r="OD28" s="318">
        <v>212606</v>
      </c>
      <c r="OE28" s="318">
        <v>213366</v>
      </c>
      <c r="OF28" s="125">
        <f t="shared" si="451"/>
        <v>1363298</v>
      </c>
      <c r="OG28" s="125">
        <f t="shared" si="452"/>
        <v>683428</v>
      </c>
      <c r="OH28" s="125">
        <f t="shared" si="453"/>
        <v>679870</v>
      </c>
      <c r="OI28" s="326">
        <v>6711219</v>
      </c>
      <c r="OJ28" s="318">
        <v>4557841</v>
      </c>
      <c r="OK28" s="318">
        <v>285209</v>
      </c>
      <c r="OL28" s="318">
        <v>1868169</v>
      </c>
      <c r="OM28" s="7">
        <v>656854</v>
      </c>
      <c r="ON28" s="12">
        <v>6836450</v>
      </c>
      <c r="OO28" s="5">
        <v>4644586</v>
      </c>
      <c r="OP28" s="5">
        <v>289354</v>
      </c>
      <c r="OQ28" s="5">
        <v>1902510</v>
      </c>
      <c r="OR28" s="5">
        <v>692890</v>
      </c>
      <c r="OS28" s="12">
        <v>7013942</v>
      </c>
      <c r="OT28" s="5">
        <v>4770011</v>
      </c>
      <c r="OU28" s="5">
        <v>298450</v>
      </c>
      <c r="OV28" s="5">
        <v>1945481</v>
      </c>
      <c r="OW28" s="5">
        <v>713437</v>
      </c>
      <c r="OX28" s="12">
        <v>7147639</v>
      </c>
      <c r="OY28" s="5">
        <v>4799827</v>
      </c>
      <c r="OZ28" s="5">
        <v>304588</v>
      </c>
      <c r="PA28" s="5">
        <v>2043224</v>
      </c>
      <c r="PB28" s="5">
        <v>755735</v>
      </c>
      <c r="PC28" s="12">
        <v>7258395.2699999996</v>
      </c>
      <c r="PD28" s="5">
        <v>4865994.324</v>
      </c>
      <c r="PE28" s="5">
        <v>311370.272</v>
      </c>
      <c r="PF28" s="5">
        <v>784502.99200000009</v>
      </c>
      <c r="PG28" s="5">
        <v>2081030.6739999996</v>
      </c>
      <c r="PH28" s="5">
        <v>7448869</v>
      </c>
      <c r="PI28" s="5">
        <v>4963032</v>
      </c>
      <c r="PJ28" s="5">
        <v>316141</v>
      </c>
      <c r="PK28" s="5">
        <v>825836</v>
      </c>
      <c r="PL28" s="2">
        <v>2169696</v>
      </c>
      <c r="PM28" s="2">
        <v>7636198</v>
      </c>
      <c r="PN28" s="2">
        <v>4489277</v>
      </c>
      <c r="PO28" s="2">
        <v>320690</v>
      </c>
      <c r="PP28" s="2">
        <v>863661</v>
      </c>
      <c r="PQ28" s="2">
        <v>2249295</v>
      </c>
      <c r="PR28" s="2">
        <v>8415690</v>
      </c>
      <c r="PS28" s="2">
        <v>4744509</v>
      </c>
      <c r="PT28" s="2">
        <v>369995</v>
      </c>
      <c r="PU28" s="2">
        <v>1020906</v>
      </c>
      <c r="PV28" s="2">
        <v>2635121</v>
      </c>
      <c r="PW28" s="2">
        <v>8660470</v>
      </c>
      <c r="PX28" s="2">
        <v>4858354</v>
      </c>
      <c r="PY28" s="2">
        <v>370531</v>
      </c>
      <c r="PZ28" s="2">
        <v>1057443</v>
      </c>
      <c r="QA28" s="2">
        <v>2754753</v>
      </c>
      <c r="QB28" s="12">
        <v>1508567</v>
      </c>
      <c r="QC28" s="5">
        <v>1236841</v>
      </c>
      <c r="QD28" s="5">
        <v>60826</v>
      </c>
      <c r="QE28" s="5">
        <v>88226</v>
      </c>
      <c r="QF28" s="5">
        <v>210900</v>
      </c>
      <c r="QG28" s="12">
        <v>2029809</v>
      </c>
      <c r="QH28" s="5">
        <v>1517032</v>
      </c>
      <c r="QI28" s="5">
        <v>76882</v>
      </c>
      <c r="QJ28" s="5">
        <v>141952</v>
      </c>
      <c r="QK28" s="5">
        <v>435895</v>
      </c>
      <c r="QL28" s="12">
        <v>2591543</v>
      </c>
      <c r="QM28" s="5">
        <v>1817825</v>
      </c>
      <c r="QN28" s="5">
        <v>105376</v>
      </c>
      <c r="QO28" s="5">
        <v>221472</v>
      </c>
      <c r="QP28" s="5">
        <v>668342</v>
      </c>
      <c r="QQ28" s="12">
        <v>2628455.4300000002</v>
      </c>
      <c r="QR28" s="5">
        <v>1846261.5120000001</v>
      </c>
      <c r="QS28" s="5">
        <v>108551.10399999999</v>
      </c>
      <c r="QT28" s="5">
        <v>226298.94</v>
      </c>
      <c r="QU28" s="10">
        <v>673642.81400000001</v>
      </c>
      <c r="QV28" s="1">
        <v>2717291</v>
      </c>
      <c r="QW28" s="2">
        <v>1877331</v>
      </c>
      <c r="QX28" s="2">
        <v>109818</v>
      </c>
      <c r="QY28" s="2">
        <v>241518</v>
      </c>
      <c r="QZ28" s="69">
        <v>730142</v>
      </c>
      <c r="RA28" s="2">
        <v>2805027</v>
      </c>
      <c r="RB28" s="2">
        <v>1755493</v>
      </c>
      <c r="RC28" s="2">
        <v>113157</v>
      </c>
      <c r="RD28" s="2">
        <v>248059</v>
      </c>
      <c r="RE28" s="2">
        <v>763807</v>
      </c>
      <c r="RF28" s="2">
        <v>3129936</v>
      </c>
      <c r="RG28" s="2">
        <v>1881607</v>
      </c>
      <c r="RH28" s="2">
        <v>141508</v>
      </c>
      <c r="RI28" s="2">
        <v>286579</v>
      </c>
      <c r="RJ28" s="2">
        <v>908125</v>
      </c>
      <c r="RK28" s="2">
        <v>3234306</v>
      </c>
      <c r="RL28" s="2">
        <v>1930126</v>
      </c>
      <c r="RM28" s="2">
        <v>133917</v>
      </c>
      <c r="RN28" s="2">
        <v>306116</v>
      </c>
      <c r="RO28" s="2">
        <v>968688</v>
      </c>
    </row>
    <row r="29" spans="1:483" ht="14.25" x14ac:dyDescent="0.2">
      <c r="A29" s="217" t="s">
        <v>20</v>
      </c>
      <c r="B29" s="258" t="s">
        <v>185</v>
      </c>
      <c r="C29" s="259" t="s">
        <v>185</v>
      </c>
      <c r="D29" s="259" t="s">
        <v>185</v>
      </c>
      <c r="E29" s="259" t="s">
        <v>185</v>
      </c>
      <c r="F29" s="260" t="s">
        <v>185</v>
      </c>
      <c r="G29" s="5">
        <v>118252</v>
      </c>
      <c r="H29" s="5">
        <v>90878</v>
      </c>
      <c r="I29" s="5">
        <v>3396</v>
      </c>
      <c r="J29" s="5">
        <v>43921</v>
      </c>
      <c r="K29" s="10">
        <v>23978</v>
      </c>
      <c r="L29" s="5">
        <v>134348</v>
      </c>
      <c r="M29" s="5">
        <v>81015</v>
      </c>
      <c r="N29" s="5">
        <v>2710</v>
      </c>
      <c r="O29" s="5">
        <v>82601</v>
      </c>
      <c r="P29" s="10">
        <v>50623</v>
      </c>
      <c r="Q29" s="7">
        <v>146741</v>
      </c>
      <c r="R29" s="7">
        <v>99185</v>
      </c>
      <c r="S29" s="7">
        <v>6454</v>
      </c>
      <c r="T29" s="7">
        <v>101512</v>
      </c>
      <c r="U29" s="577">
        <v>41102</v>
      </c>
      <c r="V29" s="7">
        <v>138565</v>
      </c>
      <c r="W29" s="7">
        <v>89724</v>
      </c>
      <c r="X29" s="7">
        <v>5885</v>
      </c>
      <c r="Y29" s="7">
        <v>97079</v>
      </c>
      <c r="Z29" s="7">
        <v>42956</v>
      </c>
      <c r="AA29" s="7">
        <v>134605</v>
      </c>
      <c r="AB29" s="7">
        <v>25092</v>
      </c>
      <c r="AC29" s="7">
        <v>5745</v>
      </c>
      <c r="AD29" s="7">
        <v>93407</v>
      </c>
      <c r="AE29" s="675">
        <v>39322</v>
      </c>
      <c r="AF29" s="560">
        <v>135573</v>
      </c>
      <c r="AG29" s="560">
        <v>25092</v>
      </c>
      <c r="AH29" s="560">
        <v>3412</v>
      </c>
      <c r="AI29" s="560">
        <v>95562</v>
      </c>
      <c r="AJ29" s="560">
        <v>35065</v>
      </c>
      <c r="AK29" s="560">
        <v>128209</v>
      </c>
      <c r="AL29" s="560">
        <v>21143</v>
      </c>
      <c r="AM29" s="560">
        <v>6129</v>
      </c>
      <c r="AN29" s="560">
        <v>89940</v>
      </c>
      <c r="AO29" s="560">
        <v>35071</v>
      </c>
      <c r="AP29" s="12">
        <v>209804</v>
      </c>
      <c r="AQ29" s="5">
        <v>173693</v>
      </c>
      <c r="AR29" s="5">
        <v>10778</v>
      </c>
      <c r="AS29" s="5">
        <v>46911</v>
      </c>
      <c r="AT29" s="10">
        <v>25333</v>
      </c>
      <c r="AU29" s="5">
        <v>228691</v>
      </c>
      <c r="AV29" s="5">
        <v>168023</v>
      </c>
      <c r="AW29" s="5">
        <v>12107</v>
      </c>
      <c r="AX29" s="5">
        <v>75323</v>
      </c>
      <c r="AY29" s="10">
        <v>48561</v>
      </c>
      <c r="AZ29" s="5">
        <v>197220</v>
      </c>
      <c r="BA29" s="5">
        <v>148482</v>
      </c>
      <c r="BB29" s="5">
        <v>9195</v>
      </c>
      <c r="BC29" s="5">
        <v>88426</v>
      </c>
      <c r="BD29" s="10">
        <v>39543</v>
      </c>
      <c r="BE29" s="5">
        <v>194918</v>
      </c>
      <c r="BF29" s="5">
        <v>145858</v>
      </c>
      <c r="BG29" s="5">
        <v>9594</v>
      </c>
      <c r="BH29" s="5">
        <v>89629</v>
      </c>
      <c r="BI29" s="5">
        <v>39466</v>
      </c>
      <c r="BJ29" s="5">
        <v>195528</v>
      </c>
      <c r="BK29" s="5">
        <v>86383</v>
      </c>
      <c r="BL29" s="5">
        <v>9246</v>
      </c>
      <c r="BM29" s="5">
        <v>90701</v>
      </c>
      <c r="BN29" s="53">
        <v>36474</v>
      </c>
      <c r="BO29" s="53">
        <v>188280</v>
      </c>
      <c r="BP29" s="53">
        <v>71967</v>
      </c>
      <c r="BQ29" s="53">
        <v>10673</v>
      </c>
      <c r="BR29" s="53">
        <v>94637</v>
      </c>
      <c r="BS29" s="53">
        <v>37272</v>
      </c>
      <c r="BT29" s="53">
        <v>192377</v>
      </c>
      <c r="BU29" s="53">
        <v>75523</v>
      </c>
      <c r="BV29" s="53">
        <v>9649</v>
      </c>
      <c r="BW29" s="53">
        <v>97248</v>
      </c>
      <c r="BX29" s="53">
        <v>35273</v>
      </c>
      <c r="BY29" s="12">
        <v>339527</v>
      </c>
      <c r="BZ29" s="5">
        <v>241651</v>
      </c>
      <c r="CA29" s="5">
        <v>14956</v>
      </c>
      <c r="CB29" s="5">
        <v>189256</v>
      </c>
      <c r="CC29" s="290">
        <f t="shared" si="398"/>
        <v>82920</v>
      </c>
      <c r="CD29" s="258" t="s">
        <v>185</v>
      </c>
      <c r="CE29" s="259" t="s">
        <v>185</v>
      </c>
      <c r="CF29" s="259" t="s">
        <v>185</v>
      </c>
      <c r="CG29" s="259" t="s">
        <v>185</v>
      </c>
      <c r="CH29" s="258" t="s">
        <v>185</v>
      </c>
      <c r="CI29" s="259" t="s">
        <v>185</v>
      </c>
      <c r="CJ29" s="259" t="s">
        <v>185</v>
      </c>
      <c r="CK29" s="259" t="s">
        <v>185</v>
      </c>
      <c r="CL29" s="260" t="s">
        <v>185</v>
      </c>
      <c r="CM29" s="5">
        <v>1779016</v>
      </c>
      <c r="CN29" s="5">
        <v>1634189</v>
      </c>
      <c r="CO29" s="5">
        <v>59517</v>
      </c>
      <c r="CP29" s="5">
        <v>127088</v>
      </c>
      <c r="CQ29" s="10">
        <v>85310</v>
      </c>
      <c r="CR29" s="5">
        <v>2413593</v>
      </c>
      <c r="CS29" s="5">
        <v>2132617</v>
      </c>
      <c r="CT29" s="5">
        <v>80037</v>
      </c>
      <c r="CU29" s="5">
        <v>218902</v>
      </c>
      <c r="CV29" s="5">
        <v>200939</v>
      </c>
      <c r="CW29" s="195">
        <v>2764064</v>
      </c>
      <c r="CX29" s="5">
        <v>2415863</v>
      </c>
      <c r="CY29" s="5">
        <v>94833</v>
      </c>
      <c r="CZ29" s="5">
        <v>253368</v>
      </c>
      <c r="DA29" s="5">
        <v>314893</v>
      </c>
      <c r="DB29" s="12">
        <v>2824971</v>
      </c>
      <c r="DC29" s="5">
        <v>2478074</v>
      </c>
      <c r="DD29" s="5">
        <v>96943</v>
      </c>
      <c r="DE29" s="5">
        <v>249954</v>
      </c>
      <c r="DF29" s="5">
        <v>329718</v>
      </c>
      <c r="DG29" s="56">
        <v>2875287</v>
      </c>
      <c r="DH29" s="54">
        <v>2536735</v>
      </c>
      <c r="DI29" s="54">
        <v>99335</v>
      </c>
      <c r="DJ29" s="54">
        <v>239217</v>
      </c>
      <c r="DK29" s="54">
        <v>330689</v>
      </c>
      <c r="DL29" s="12">
        <v>2924059</v>
      </c>
      <c r="DM29" s="5">
        <v>2577536</v>
      </c>
      <c r="DN29" s="5">
        <v>103966</v>
      </c>
      <c r="DO29" s="5">
        <v>341256</v>
      </c>
      <c r="DP29" s="5">
        <v>187398</v>
      </c>
      <c r="DQ29" s="12">
        <v>2989168.11</v>
      </c>
      <c r="DR29" s="5">
        <v>2632270.17</v>
      </c>
      <c r="DS29" s="5">
        <v>108644.40000000001</v>
      </c>
      <c r="DT29" s="5">
        <v>357726.228</v>
      </c>
      <c r="DU29" s="530">
        <f t="shared" si="399"/>
        <v>248253.53999999992</v>
      </c>
      <c r="DV29" s="5">
        <v>3054940</v>
      </c>
      <c r="DW29" s="5">
        <v>2692427</v>
      </c>
      <c r="DX29" s="5">
        <v>111190</v>
      </c>
      <c r="DY29" s="5">
        <v>375810</v>
      </c>
      <c r="DZ29" s="5">
        <v>251323</v>
      </c>
      <c r="EA29" s="5">
        <v>3119219</v>
      </c>
      <c r="EB29" s="5">
        <v>2464298</v>
      </c>
      <c r="EC29" s="5">
        <v>114824</v>
      </c>
      <c r="ED29" s="5">
        <v>390925</v>
      </c>
      <c r="EE29" s="5">
        <v>258254</v>
      </c>
      <c r="EF29" s="5">
        <v>3348000</v>
      </c>
      <c r="EG29" s="5">
        <v>2607259</v>
      </c>
      <c r="EH29" s="5">
        <v>127670</v>
      </c>
      <c r="EI29" s="5">
        <v>442962</v>
      </c>
      <c r="EJ29" s="5">
        <v>276626</v>
      </c>
      <c r="EK29" s="5">
        <v>3424920</v>
      </c>
      <c r="EL29" s="5">
        <v>2658733</v>
      </c>
      <c r="EM29" s="5">
        <v>129727</v>
      </c>
      <c r="EN29" s="5">
        <v>459621</v>
      </c>
      <c r="EO29" s="5">
        <v>300688</v>
      </c>
      <c r="EP29" s="258" t="s">
        <v>185</v>
      </c>
      <c r="EQ29" s="259" t="s">
        <v>185</v>
      </c>
      <c r="ER29" s="259" t="s">
        <v>185</v>
      </c>
      <c r="ES29" s="259" t="s">
        <v>185</v>
      </c>
      <c r="ET29" s="260" t="s">
        <v>185</v>
      </c>
      <c r="EU29" s="5">
        <v>652448</v>
      </c>
      <c r="EV29" s="5">
        <v>594007</v>
      </c>
      <c r="EW29" s="5">
        <v>27150</v>
      </c>
      <c r="EX29" s="5">
        <v>48139</v>
      </c>
      <c r="EY29" s="10">
        <v>31291</v>
      </c>
      <c r="EZ29" s="5">
        <v>861478</v>
      </c>
      <c r="FA29" s="5">
        <v>752728</v>
      </c>
      <c r="FB29" s="5">
        <v>36067</v>
      </c>
      <c r="FC29" s="5">
        <v>81748</v>
      </c>
      <c r="FD29" s="10">
        <v>72683</v>
      </c>
      <c r="FE29" s="5">
        <v>1000718</v>
      </c>
      <c r="FF29" s="5">
        <v>868482</v>
      </c>
      <c r="FG29" s="5">
        <v>44073</v>
      </c>
      <c r="FH29" s="5">
        <v>127818</v>
      </c>
      <c r="FI29" s="10">
        <v>88163</v>
      </c>
      <c r="FJ29" s="5">
        <v>1025238.0599999999</v>
      </c>
      <c r="FK29" s="5">
        <v>888930.58199999994</v>
      </c>
      <c r="FL29" s="5">
        <v>46968</v>
      </c>
      <c r="FM29" s="5">
        <v>134010.59</v>
      </c>
      <c r="FN29" s="10">
        <v>89339.478000000003</v>
      </c>
      <c r="FO29" s="5">
        <v>1049462</v>
      </c>
      <c r="FP29" s="5">
        <v>911826</v>
      </c>
      <c r="FQ29" s="5">
        <v>48357</v>
      </c>
      <c r="FR29" s="5">
        <v>143754</v>
      </c>
      <c r="FS29" s="618">
        <v>89279</v>
      </c>
      <c r="FT29" s="618">
        <v>1073304</v>
      </c>
      <c r="FU29" s="618">
        <v>824814</v>
      </c>
      <c r="FV29" s="618">
        <v>50160</v>
      </c>
      <c r="FW29" s="618">
        <v>150862</v>
      </c>
      <c r="FX29" s="618">
        <v>90928</v>
      </c>
      <c r="FY29" s="618">
        <v>1110240</v>
      </c>
      <c r="FZ29" s="618">
        <v>836138</v>
      </c>
      <c r="GA29" s="618">
        <v>58880</v>
      </c>
      <c r="GB29" s="618">
        <v>166655</v>
      </c>
      <c r="GC29" s="618">
        <v>90284</v>
      </c>
      <c r="GD29" s="618">
        <v>1109895</v>
      </c>
      <c r="GE29" s="618">
        <v>848048</v>
      </c>
      <c r="GF29" s="618">
        <v>54644</v>
      </c>
      <c r="GG29" s="618">
        <v>155998</v>
      </c>
      <c r="GH29" s="618">
        <v>91906</v>
      </c>
      <c r="GI29" s="12">
        <v>146411</v>
      </c>
      <c r="GJ29" s="5">
        <v>133823</v>
      </c>
      <c r="GK29" s="5">
        <v>5097</v>
      </c>
      <c r="GL29" s="5">
        <v>10763</v>
      </c>
      <c r="GM29" s="10">
        <v>7491</v>
      </c>
      <c r="GN29" s="5">
        <v>193868</v>
      </c>
      <c r="GO29" s="5">
        <v>168336</v>
      </c>
      <c r="GP29" s="5">
        <v>8373</v>
      </c>
      <c r="GQ29" s="5">
        <v>17248</v>
      </c>
      <c r="GR29" s="10">
        <v>17159</v>
      </c>
      <c r="GS29" s="12">
        <v>254123</v>
      </c>
      <c r="GT29" s="5">
        <v>221638</v>
      </c>
      <c r="GU29" s="5">
        <v>11189</v>
      </c>
      <c r="GV29" s="5">
        <v>28511</v>
      </c>
      <c r="GW29" s="5">
        <v>21296</v>
      </c>
      <c r="GX29" s="12"/>
      <c r="GY29" s="5"/>
      <c r="GZ29" s="5"/>
      <c r="HA29" s="5"/>
      <c r="HB29" s="10"/>
      <c r="HC29" s="5">
        <v>275976</v>
      </c>
      <c r="HD29" s="5">
        <v>241008</v>
      </c>
      <c r="HE29" s="5">
        <v>12711</v>
      </c>
      <c r="HF29" s="5">
        <v>33799</v>
      </c>
      <c r="HG29" s="5">
        <v>22257</v>
      </c>
      <c r="HH29" s="5">
        <v>285564</v>
      </c>
      <c r="HI29" s="5">
        <v>225376</v>
      </c>
      <c r="HJ29" s="5">
        <v>11474</v>
      </c>
      <c r="HK29" s="5">
        <v>35061</v>
      </c>
      <c r="HL29" s="5">
        <v>23151</v>
      </c>
      <c r="HM29" s="5">
        <v>301203</v>
      </c>
      <c r="HN29" s="5">
        <v>230629</v>
      </c>
      <c r="HO29" s="5">
        <v>14585</v>
      </c>
      <c r="HP29" s="5">
        <v>41514</v>
      </c>
      <c r="HQ29" s="5">
        <v>26766</v>
      </c>
      <c r="HR29" s="5">
        <v>322529</v>
      </c>
      <c r="HS29" s="5">
        <v>245025</v>
      </c>
      <c r="HT29" s="5">
        <v>18227</v>
      </c>
      <c r="HU29" s="5">
        <v>43156</v>
      </c>
      <c r="HV29" s="5">
        <v>28337</v>
      </c>
      <c r="HW29" s="569">
        <f t="shared" si="454"/>
        <v>714667</v>
      </c>
      <c r="HX29" s="546">
        <f t="shared" si="455"/>
        <v>670943</v>
      </c>
      <c r="HY29" s="546">
        <f t="shared" si="456"/>
        <v>17721</v>
      </c>
      <c r="HZ29" s="546">
        <f t="shared" si="457"/>
        <v>29413</v>
      </c>
      <c r="IA29" s="546">
        <f t="shared" si="458"/>
        <v>26003</v>
      </c>
      <c r="IB29" s="569">
        <f t="shared" si="459"/>
        <v>1101623</v>
      </c>
      <c r="IC29" s="546">
        <f t="shared" si="460"/>
        <v>1001890</v>
      </c>
      <c r="ID29" s="546">
        <f t="shared" si="461"/>
        <v>27789</v>
      </c>
      <c r="IE29" s="546">
        <f t="shared" si="462"/>
        <v>56583</v>
      </c>
      <c r="IF29" s="546">
        <f t="shared" si="463"/>
        <v>71944</v>
      </c>
      <c r="IG29" s="12">
        <v>1231846</v>
      </c>
      <c r="IH29" s="5">
        <v>1115430</v>
      </c>
      <c r="II29" s="5">
        <v>32227</v>
      </c>
      <c r="IJ29" s="5">
        <v>82944</v>
      </c>
      <c r="IK29" s="5">
        <v>84189</v>
      </c>
      <c r="IL29" s="565"/>
      <c r="IM29" s="7"/>
      <c r="IN29" s="7"/>
      <c r="IO29" s="7"/>
      <c r="IP29" s="7"/>
      <c r="IQ29" s="7">
        <v>1523482</v>
      </c>
      <c r="IR29" s="7">
        <v>1378697</v>
      </c>
      <c r="IS29" s="7">
        <v>41298</v>
      </c>
      <c r="IT29" s="7">
        <v>103493</v>
      </c>
      <c r="IU29" s="577">
        <v>103487</v>
      </c>
      <c r="IV29" s="7">
        <v>1573554</v>
      </c>
      <c r="IW29" s="7">
        <v>1338761</v>
      </c>
      <c r="IX29" s="7">
        <v>41787</v>
      </c>
      <c r="IY29" s="7">
        <v>108590</v>
      </c>
      <c r="IZ29" s="7">
        <v>110556</v>
      </c>
      <c r="JA29" s="565">
        <v>1741979</v>
      </c>
      <c r="JB29" s="7">
        <v>1464127</v>
      </c>
      <c r="JC29" s="7">
        <v>48987</v>
      </c>
      <c r="JD29" s="7">
        <v>131614</v>
      </c>
      <c r="JE29" s="7">
        <v>129326</v>
      </c>
      <c r="JF29" s="565">
        <v>1815410</v>
      </c>
      <c r="JG29" s="7">
        <v>1511434</v>
      </c>
      <c r="JH29" s="7">
        <v>53972</v>
      </c>
      <c r="JI29" s="7">
        <v>144686</v>
      </c>
      <c r="JJ29" s="7">
        <v>140871</v>
      </c>
      <c r="JK29" s="12">
        <v>379150</v>
      </c>
      <c r="JL29" s="5">
        <v>358584</v>
      </c>
      <c r="JM29" s="5">
        <v>8908</v>
      </c>
      <c r="JN29" s="5">
        <v>12579</v>
      </c>
      <c r="JO29" s="5">
        <v>11658</v>
      </c>
      <c r="JP29" s="12">
        <v>599028</v>
      </c>
      <c r="JQ29" s="5">
        <v>550595</v>
      </c>
      <c r="JR29" s="5">
        <v>13095</v>
      </c>
      <c r="JS29" s="5">
        <v>26994</v>
      </c>
      <c r="JT29" s="5">
        <v>35338</v>
      </c>
      <c r="JU29" s="12">
        <v>758515</v>
      </c>
      <c r="JV29" s="5">
        <v>694442</v>
      </c>
      <c r="JW29" s="5">
        <v>16436</v>
      </c>
      <c r="JX29" s="5">
        <v>44637</v>
      </c>
      <c r="JY29" s="5">
        <v>47637</v>
      </c>
      <c r="JZ29" s="12">
        <v>775585.93500000006</v>
      </c>
      <c r="KA29" s="5">
        <v>710569.10600000003</v>
      </c>
      <c r="KB29" s="5">
        <v>17427.599999999999</v>
      </c>
      <c r="KC29" s="5">
        <v>47040.451999999997</v>
      </c>
      <c r="KD29" s="5">
        <v>47589.229000000028</v>
      </c>
      <c r="KE29" s="5">
        <v>815551</v>
      </c>
      <c r="KF29" s="5">
        <v>706154</v>
      </c>
      <c r="KG29" s="5">
        <v>18937</v>
      </c>
      <c r="KH29" s="5">
        <v>49195</v>
      </c>
      <c r="KI29" s="5">
        <v>52275</v>
      </c>
      <c r="KJ29" s="5">
        <v>909032</v>
      </c>
      <c r="KK29" s="5">
        <v>775483</v>
      </c>
      <c r="KL29" s="5">
        <v>23714</v>
      </c>
      <c r="KM29" s="5">
        <v>61964</v>
      </c>
      <c r="KN29" s="5">
        <v>60867</v>
      </c>
      <c r="KO29" s="5">
        <v>934273</v>
      </c>
      <c r="KP29" s="5">
        <v>789388</v>
      </c>
      <c r="KQ29" s="5">
        <v>23176</v>
      </c>
      <c r="KR29" s="5">
        <v>71143</v>
      </c>
      <c r="KS29" s="5">
        <v>67929</v>
      </c>
      <c r="KT29" s="258" t="s">
        <v>185</v>
      </c>
      <c r="KU29" s="259" t="s">
        <v>185</v>
      </c>
      <c r="KV29" s="316">
        <v>100717</v>
      </c>
      <c r="KW29" s="332">
        <f t="shared" si="410"/>
        <v>59471</v>
      </c>
      <c r="KX29" s="332">
        <f t="shared" si="411"/>
        <v>41246</v>
      </c>
      <c r="KY29" s="332">
        <f t="shared" si="412"/>
        <v>98738</v>
      </c>
      <c r="KZ29" s="318">
        <v>58354</v>
      </c>
      <c r="LA29" s="318">
        <v>40384</v>
      </c>
      <c r="LB29" s="332">
        <f t="shared" si="413"/>
        <v>1979</v>
      </c>
      <c r="LC29" s="318">
        <v>1117</v>
      </c>
      <c r="LD29" s="318">
        <v>862</v>
      </c>
      <c r="LE29" s="316">
        <v>174247</v>
      </c>
      <c r="LF29" s="332">
        <f t="shared" si="414"/>
        <v>103484</v>
      </c>
      <c r="LG29" s="332">
        <f t="shared" si="415"/>
        <v>70763</v>
      </c>
      <c r="LH29" s="332">
        <f t="shared" si="416"/>
        <v>166585</v>
      </c>
      <c r="LI29" s="318">
        <v>98801</v>
      </c>
      <c r="LJ29" s="318">
        <v>67784</v>
      </c>
      <c r="LK29" s="332">
        <f t="shared" si="417"/>
        <v>2118</v>
      </c>
      <c r="LL29" s="318">
        <v>1127</v>
      </c>
      <c r="LM29" s="318">
        <v>991</v>
      </c>
      <c r="LN29" s="332">
        <f t="shared" si="418"/>
        <v>5544</v>
      </c>
      <c r="LO29" s="318">
        <v>3556</v>
      </c>
      <c r="LP29" s="318">
        <v>1988</v>
      </c>
      <c r="LQ29" s="316">
        <v>382013</v>
      </c>
      <c r="LR29" s="332">
        <f t="shared" si="419"/>
        <v>225044</v>
      </c>
      <c r="LS29" s="332">
        <f t="shared" si="420"/>
        <v>156969</v>
      </c>
      <c r="LT29" s="342">
        <f t="shared" si="421"/>
        <v>358334</v>
      </c>
      <c r="LU29" s="318">
        <v>210434</v>
      </c>
      <c r="LV29" s="318">
        <v>147900</v>
      </c>
      <c r="LW29" s="318">
        <v>14610</v>
      </c>
      <c r="LX29" s="318">
        <v>9069</v>
      </c>
      <c r="LY29" s="342">
        <f t="shared" si="422"/>
        <v>6685</v>
      </c>
      <c r="LZ29" s="318">
        <v>3909</v>
      </c>
      <c r="MA29" s="318">
        <v>2776</v>
      </c>
      <c r="MB29" s="342">
        <f t="shared" si="423"/>
        <v>10529</v>
      </c>
      <c r="MC29" s="318">
        <v>6573</v>
      </c>
      <c r="MD29" s="318">
        <v>3956</v>
      </c>
      <c r="ME29" s="333">
        <f t="shared" si="424"/>
        <v>6465</v>
      </c>
      <c r="MF29" s="333">
        <f t="shared" si="425"/>
        <v>4128</v>
      </c>
      <c r="MG29" s="333">
        <f t="shared" si="426"/>
        <v>2337</v>
      </c>
      <c r="MH29" s="334">
        <f t="shared" si="427"/>
        <v>372</v>
      </c>
      <c r="MI29" s="334">
        <f t="shared" si="428"/>
        <v>236</v>
      </c>
      <c r="MJ29" s="334">
        <f t="shared" si="429"/>
        <v>136</v>
      </c>
      <c r="MK29" s="318">
        <v>6093</v>
      </c>
      <c r="ML29" s="318">
        <v>3892</v>
      </c>
      <c r="MM29" s="318">
        <v>2201</v>
      </c>
      <c r="MN29" s="14">
        <f t="shared" si="430"/>
        <v>568256</v>
      </c>
      <c r="MO29" s="332">
        <f t="shared" si="431"/>
        <v>313266</v>
      </c>
      <c r="MP29" s="332">
        <f t="shared" si="432"/>
        <v>254990</v>
      </c>
      <c r="MQ29" s="13">
        <f t="shared" si="433"/>
        <v>537120</v>
      </c>
      <c r="MR29" s="136">
        <f t="shared" si="434"/>
        <v>524660</v>
      </c>
      <c r="MS29" s="318">
        <v>289073</v>
      </c>
      <c r="MT29" s="318">
        <v>235587</v>
      </c>
      <c r="MU29" s="318">
        <v>24193</v>
      </c>
      <c r="MV29" s="318">
        <v>19403</v>
      </c>
      <c r="MW29" s="13">
        <f t="shared" si="435"/>
        <v>12624</v>
      </c>
      <c r="MX29" s="136">
        <f t="shared" si="436"/>
        <v>12444</v>
      </c>
      <c r="MY29" s="318">
        <v>6794</v>
      </c>
      <c r="MZ29" s="318">
        <v>5650</v>
      </c>
      <c r="NA29" s="13">
        <f t="shared" si="437"/>
        <v>18650</v>
      </c>
      <c r="NB29" s="318">
        <v>10655</v>
      </c>
      <c r="NC29" s="318">
        <v>7995</v>
      </c>
      <c r="ND29" s="11">
        <f t="shared" si="438"/>
        <v>18512</v>
      </c>
      <c r="NE29" s="335">
        <f t="shared" si="439"/>
        <v>6744</v>
      </c>
      <c r="NF29" s="335">
        <f t="shared" si="440"/>
        <v>5758</v>
      </c>
      <c r="NG29" s="336">
        <f t="shared" si="441"/>
        <v>124</v>
      </c>
      <c r="NH29" s="336">
        <f t="shared" si="442"/>
        <v>43</v>
      </c>
      <c r="NI29" s="336">
        <f t="shared" si="443"/>
        <v>81</v>
      </c>
      <c r="NJ29" s="337">
        <f t="shared" si="444"/>
        <v>12378</v>
      </c>
      <c r="NK29" s="337">
        <f t="shared" si="445"/>
        <v>6701</v>
      </c>
      <c r="NL29" s="337">
        <f t="shared" si="446"/>
        <v>5677</v>
      </c>
      <c r="NM29" s="318">
        <v>852</v>
      </c>
      <c r="NN29" s="318">
        <v>835</v>
      </c>
      <c r="NO29" s="318">
        <v>5849</v>
      </c>
      <c r="NP29" s="318">
        <v>4842</v>
      </c>
      <c r="NQ29" s="338">
        <v>907755</v>
      </c>
      <c r="NR29" s="318">
        <v>474911</v>
      </c>
      <c r="NS29" s="318">
        <v>432844</v>
      </c>
      <c r="NT29" s="7">
        <f t="shared" si="447"/>
        <v>833554</v>
      </c>
      <c r="NU29" s="7">
        <v>436751</v>
      </c>
      <c r="NV29" s="7">
        <v>396803</v>
      </c>
      <c r="NW29" s="125">
        <f t="shared" si="448"/>
        <v>809119</v>
      </c>
      <c r="NX29" s="318">
        <v>424477</v>
      </c>
      <c r="NY29" s="318">
        <v>384642</v>
      </c>
      <c r="NZ29" s="7">
        <f t="shared" si="449"/>
        <v>19416</v>
      </c>
      <c r="OA29" s="318">
        <v>10276</v>
      </c>
      <c r="OB29" s="318">
        <v>9140</v>
      </c>
      <c r="OC29" s="7">
        <f t="shared" si="450"/>
        <v>39335</v>
      </c>
      <c r="OD29" s="318">
        <v>19648</v>
      </c>
      <c r="OE29" s="318">
        <v>19687</v>
      </c>
      <c r="OF29" s="125">
        <f t="shared" si="451"/>
        <v>54785</v>
      </c>
      <c r="OG29" s="125">
        <f t="shared" si="452"/>
        <v>27884</v>
      </c>
      <c r="OH29" s="125">
        <f t="shared" si="453"/>
        <v>26901</v>
      </c>
      <c r="OI29" s="326">
        <v>1084233</v>
      </c>
      <c r="OJ29" s="318">
        <v>983327</v>
      </c>
      <c r="OK29" s="318">
        <v>24191</v>
      </c>
      <c r="OL29" s="318">
        <v>76715</v>
      </c>
      <c r="OM29" s="7">
        <v>57489</v>
      </c>
      <c r="ON29" s="12">
        <v>1116029</v>
      </c>
      <c r="OO29" s="5">
        <v>1013252</v>
      </c>
      <c r="OP29" s="5">
        <v>24782</v>
      </c>
      <c r="OQ29" s="5">
        <v>77995</v>
      </c>
      <c r="OR29" s="5">
        <v>60337</v>
      </c>
      <c r="OS29" s="12">
        <v>1150604</v>
      </c>
      <c r="OT29" s="5">
        <v>1047961</v>
      </c>
      <c r="OU29" s="5">
        <v>25585</v>
      </c>
      <c r="OV29" s="5">
        <v>77058</v>
      </c>
      <c r="OW29" s="5">
        <v>63131</v>
      </c>
      <c r="OX29" s="12">
        <v>1182070</v>
      </c>
      <c r="OY29" s="5">
        <v>1079946</v>
      </c>
      <c r="OZ29" s="5">
        <v>25352</v>
      </c>
      <c r="PA29" s="5">
        <v>76772</v>
      </c>
      <c r="PB29" s="5">
        <v>64422</v>
      </c>
      <c r="PC29" s="12">
        <v>1211644.98</v>
      </c>
      <c r="PD29" s="5">
        <v>1107567.23</v>
      </c>
      <c r="PE29" s="5">
        <v>26326.799999999999</v>
      </c>
      <c r="PF29" s="5">
        <v>68372.75</v>
      </c>
      <c r="PG29" s="5">
        <v>77750.95</v>
      </c>
      <c r="PH29" s="5">
        <v>1247506</v>
      </c>
      <c r="PI29" s="5">
        <v>1137689</v>
      </c>
      <c r="PJ29" s="5">
        <v>28587</v>
      </c>
      <c r="PK29" s="5">
        <v>69694</v>
      </c>
      <c r="PL29" s="2">
        <v>81230</v>
      </c>
      <c r="PM29" s="2">
        <v>1287990</v>
      </c>
      <c r="PN29" s="2">
        <v>1113385</v>
      </c>
      <c r="PO29" s="2">
        <v>30313</v>
      </c>
      <c r="PP29" s="2">
        <v>73529</v>
      </c>
      <c r="PQ29" s="2">
        <v>87405</v>
      </c>
      <c r="PR29" s="2">
        <v>1440776</v>
      </c>
      <c r="PS29" s="2">
        <v>1233498</v>
      </c>
      <c r="PT29" s="2">
        <v>34402</v>
      </c>
      <c r="PU29" s="2">
        <v>90100</v>
      </c>
      <c r="PV29" s="2">
        <v>102560</v>
      </c>
      <c r="PW29" s="2">
        <v>1492881</v>
      </c>
      <c r="PX29" s="2">
        <v>1266409</v>
      </c>
      <c r="PY29" s="2">
        <v>35745</v>
      </c>
      <c r="PZ29" s="2">
        <v>101530</v>
      </c>
      <c r="QA29" s="2">
        <v>112534</v>
      </c>
      <c r="QB29" s="12">
        <v>189106</v>
      </c>
      <c r="QC29" s="5">
        <v>178536</v>
      </c>
      <c r="QD29" s="5">
        <v>3716</v>
      </c>
      <c r="QE29" s="5">
        <v>6071</v>
      </c>
      <c r="QF29" s="5">
        <v>6854</v>
      </c>
      <c r="QG29" s="12">
        <v>308727</v>
      </c>
      <c r="QH29" s="5">
        <v>282959</v>
      </c>
      <c r="QI29" s="5">
        <v>6321</v>
      </c>
      <c r="QJ29" s="5">
        <v>12341</v>
      </c>
      <c r="QK29" s="5">
        <v>19447</v>
      </c>
      <c r="QL29" s="12">
        <v>423555</v>
      </c>
      <c r="QM29" s="5">
        <v>385504</v>
      </c>
      <c r="QN29" s="5">
        <v>8916</v>
      </c>
      <c r="QO29" s="5">
        <v>19785</v>
      </c>
      <c r="QP29" s="5">
        <v>29135</v>
      </c>
      <c r="QQ29" s="12">
        <v>436059.04500000004</v>
      </c>
      <c r="QR29" s="5">
        <v>396998.12400000001</v>
      </c>
      <c r="QS29" s="5">
        <v>8899.2000000000007</v>
      </c>
      <c r="QT29" s="5">
        <v>21332.297999999999</v>
      </c>
      <c r="QU29" s="10">
        <v>30161.72100000003</v>
      </c>
      <c r="QV29" s="1">
        <v>452826</v>
      </c>
      <c r="QW29" s="2">
        <v>410614</v>
      </c>
      <c r="QX29" s="2">
        <v>10453</v>
      </c>
      <c r="QY29" s="2">
        <v>22867</v>
      </c>
      <c r="QZ29" s="69">
        <v>31759</v>
      </c>
      <c r="RA29" s="2">
        <v>472439</v>
      </c>
      <c r="RB29" s="2">
        <v>407231</v>
      </c>
      <c r="RC29" s="2">
        <v>11376</v>
      </c>
      <c r="RD29" s="2">
        <v>24334</v>
      </c>
      <c r="RE29" s="2">
        <v>35130</v>
      </c>
      <c r="RF29" s="2">
        <v>531744</v>
      </c>
      <c r="RG29" s="2">
        <v>458015</v>
      </c>
      <c r="RH29" s="2">
        <v>10688</v>
      </c>
      <c r="RI29" s="2">
        <v>28136</v>
      </c>
      <c r="RJ29" s="2">
        <v>41693</v>
      </c>
      <c r="RK29" s="2">
        <v>558608</v>
      </c>
      <c r="RL29" s="2">
        <v>477021</v>
      </c>
      <c r="RM29" s="2">
        <v>12569</v>
      </c>
      <c r="RN29" s="2">
        <v>30387</v>
      </c>
      <c r="RO29" s="2">
        <v>44605</v>
      </c>
    </row>
    <row r="30" spans="1:483" ht="14.25" x14ac:dyDescent="0.2">
      <c r="A30" s="217" t="s">
        <v>22</v>
      </c>
      <c r="B30" s="258" t="s">
        <v>185</v>
      </c>
      <c r="C30" s="259" t="s">
        <v>185</v>
      </c>
      <c r="D30" s="259" t="s">
        <v>185</v>
      </c>
      <c r="E30" s="259" t="s">
        <v>185</v>
      </c>
      <c r="F30" s="260" t="s">
        <v>185</v>
      </c>
      <c r="G30" s="5">
        <v>71806</v>
      </c>
      <c r="H30" s="5">
        <v>8649</v>
      </c>
      <c r="I30" s="5">
        <v>157</v>
      </c>
      <c r="J30" s="5">
        <v>4406</v>
      </c>
      <c r="K30" s="10">
        <v>63000</v>
      </c>
      <c r="L30" s="5">
        <v>57805</v>
      </c>
      <c r="M30" s="5">
        <v>4464</v>
      </c>
      <c r="N30" s="5">
        <v>205</v>
      </c>
      <c r="O30" s="5">
        <v>2508</v>
      </c>
      <c r="P30" s="10">
        <v>53136</v>
      </c>
      <c r="Q30" s="7">
        <v>43005</v>
      </c>
      <c r="R30" s="7">
        <v>3492</v>
      </c>
      <c r="S30" s="7">
        <v>72</v>
      </c>
      <c r="T30" s="7">
        <v>2656</v>
      </c>
      <c r="U30" s="577">
        <v>39441</v>
      </c>
      <c r="V30" s="7">
        <v>42786</v>
      </c>
      <c r="W30" s="7">
        <v>3558</v>
      </c>
      <c r="X30" s="7">
        <v>123</v>
      </c>
      <c r="Y30" s="7">
        <v>3150</v>
      </c>
      <c r="Z30" s="7">
        <v>39105</v>
      </c>
      <c r="AA30" s="7">
        <v>39867</v>
      </c>
      <c r="AB30" s="7">
        <v>2151</v>
      </c>
      <c r="AC30" s="7">
        <v>243</v>
      </c>
      <c r="AD30" s="7">
        <v>2881</v>
      </c>
      <c r="AE30" s="675">
        <v>36684</v>
      </c>
      <c r="AF30" s="560">
        <v>39945</v>
      </c>
      <c r="AG30" s="560">
        <v>1999</v>
      </c>
      <c r="AH30" s="560">
        <v>187</v>
      </c>
      <c r="AI30" s="560">
        <v>2745</v>
      </c>
      <c r="AJ30" s="560">
        <v>36421</v>
      </c>
      <c r="AK30" s="560">
        <v>36083</v>
      </c>
      <c r="AL30" s="560">
        <v>2288</v>
      </c>
      <c r="AM30" s="560">
        <v>670</v>
      </c>
      <c r="AN30" s="560">
        <v>2080</v>
      </c>
      <c r="AO30" s="560">
        <v>32137</v>
      </c>
      <c r="AP30" s="12">
        <v>69700</v>
      </c>
      <c r="AQ30" s="5">
        <v>17322</v>
      </c>
      <c r="AR30" s="5">
        <v>565</v>
      </c>
      <c r="AS30" s="5">
        <v>5588</v>
      </c>
      <c r="AT30" s="10">
        <v>51813</v>
      </c>
      <c r="AU30" s="5">
        <v>66006</v>
      </c>
      <c r="AV30" s="5">
        <v>11438</v>
      </c>
      <c r="AW30" s="5">
        <v>653</v>
      </c>
      <c r="AX30" s="5">
        <v>5068</v>
      </c>
      <c r="AY30" s="10">
        <v>53915</v>
      </c>
      <c r="AZ30" s="5">
        <v>47251</v>
      </c>
      <c r="BA30" s="5">
        <v>8416</v>
      </c>
      <c r="BB30" s="5">
        <v>492</v>
      </c>
      <c r="BC30" s="5">
        <v>5258</v>
      </c>
      <c r="BD30" s="10">
        <v>38343</v>
      </c>
      <c r="BE30" s="5">
        <v>49367</v>
      </c>
      <c r="BF30" s="5">
        <v>7694</v>
      </c>
      <c r="BG30" s="5">
        <v>710</v>
      </c>
      <c r="BH30" s="5">
        <v>5547</v>
      </c>
      <c r="BI30" s="5">
        <v>40963</v>
      </c>
      <c r="BJ30" s="5">
        <v>48983</v>
      </c>
      <c r="BK30" s="5">
        <v>5992</v>
      </c>
      <c r="BL30" s="5">
        <v>399</v>
      </c>
      <c r="BM30" s="5">
        <v>4827</v>
      </c>
      <c r="BN30" s="53">
        <v>41257</v>
      </c>
      <c r="BO30" s="53">
        <v>50050</v>
      </c>
      <c r="BP30" s="53">
        <v>8545</v>
      </c>
      <c r="BQ30" s="53">
        <v>840</v>
      </c>
      <c r="BR30" s="53">
        <v>5140</v>
      </c>
      <c r="BS30" s="53">
        <v>39971</v>
      </c>
      <c r="BT30" s="53">
        <v>43580</v>
      </c>
      <c r="BU30" s="53">
        <v>5353</v>
      </c>
      <c r="BV30" s="53">
        <v>123</v>
      </c>
      <c r="BW30" s="53">
        <v>4546</v>
      </c>
      <c r="BX30" s="53">
        <v>37158</v>
      </c>
      <c r="BY30" s="12">
        <v>90951</v>
      </c>
      <c r="BZ30" s="5">
        <v>12287</v>
      </c>
      <c r="CA30" s="5">
        <v>753</v>
      </c>
      <c r="CB30" s="5">
        <v>8107</v>
      </c>
      <c r="CC30" s="290">
        <f t="shared" si="398"/>
        <v>77911</v>
      </c>
      <c r="CD30" s="258" t="s">
        <v>185</v>
      </c>
      <c r="CE30" s="259" t="s">
        <v>185</v>
      </c>
      <c r="CF30" s="259" t="s">
        <v>185</v>
      </c>
      <c r="CG30" s="259" t="s">
        <v>185</v>
      </c>
      <c r="CH30" s="258" t="s">
        <v>185</v>
      </c>
      <c r="CI30" s="259" t="s">
        <v>185</v>
      </c>
      <c r="CJ30" s="259" t="s">
        <v>185</v>
      </c>
      <c r="CK30" s="259" t="s">
        <v>185</v>
      </c>
      <c r="CL30" s="260" t="s">
        <v>185</v>
      </c>
      <c r="CM30" s="5">
        <v>568314</v>
      </c>
      <c r="CN30" s="5">
        <v>216683</v>
      </c>
      <c r="CO30" s="5">
        <v>11756</v>
      </c>
      <c r="CP30" s="5">
        <v>28344</v>
      </c>
      <c r="CQ30" s="10">
        <v>339875</v>
      </c>
      <c r="CR30" s="5">
        <v>678666</v>
      </c>
      <c r="CS30" s="5">
        <v>200647</v>
      </c>
      <c r="CT30" s="5">
        <v>11261</v>
      </c>
      <c r="CU30" s="5">
        <v>33375</v>
      </c>
      <c r="CV30" s="5">
        <v>466758</v>
      </c>
      <c r="CW30" s="195">
        <v>769475</v>
      </c>
      <c r="CX30" s="5">
        <v>231329</v>
      </c>
      <c r="CY30" s="5">
        <v>16142</v>
      </c>
      <c r="CZ30" s="5">
        <v>522004</v>
      </c>
      <c r="DA30" s="5">
        <v>45230</v>
      </c>
      <c r="DB30" s="12">
        <v>777356</v>
      </c>
      <c r="DC30" s="5">
        <v>235684</v>
      </c>
      <c r="DD30" s="5">
        <v>16471</v>
      </c>
      <c r="DE30" s="5">
        <v>525201</v>
      </c>
      <c r="DF30" s="5">
        <v>47155</v>
      </c>
      <c r="DG30" s="56">
        <v>785496</v>
      </c>
      <c r="DH30" s="54">
        <v>237805</v>
      </c>
      <c r="DI30" s="54">
        <v>16503</v>
      </c>
      <c r="DJ30" s="54">
        <v>531188</v>
      </c>
      <c r="DK30" s="54">
        <v>48722</v>
      </c>
      <c r="DL30" s="12">
        <v>826124</v>
      </c>
      <c r="DM30" s="5">
        <v>242046</v>
      </c>
      <c r="DN30" s="5">
        <v>12413</v>
      </c>
      <c r="DO30" s="5">
        <v>51430</v>
      </c>
      <c r="DP30" s="5">
        <v>429750</v>
      </c>
      <c r="DQ30" s="12">
        <v>838049.01600000006</v>
      </c>
      <c r="DR30" s="5">
        <v>243692.96000000002</v>
      </c>
      <c r="DS30" s="5">
        <v>13204.020999999999</v>
      </c>
      <c r="DT30" s="5">
        <v>53373.979999999996</v>
      </c>
      <c r="DU30" s="530">
        <f t="shared" si="399"/>
        <v>581152.03500000015</v>
      </c>
      <c r="DV30" s="5">
        <v>848885</v>
      </c>
      <c r="DW30" s="5">
        <v>249103</v>
      </c>
      <c r="DX30" s="5">
        <v>13911</v>
      </c>
      <c r="DY30" s="5">
        <v>54635</v>
      </c>
      <c r="DZ30" s="5">
        <v>585871</v>
      </c>
      <c r="EA30" s="5">
        <v>860062</v>
      </c>
      <c r="EB30" s="5">
        <v>236798</v>
      </c>
      <c r="EC30" s="5">
        <v>15890</v>
      </c>
      <c r="ED30" s="5">
        <v>57995</v>
      </c>
      <c r="EE30" s="5">
        <v>589851</v>
      </c>
      <c r="EF30" s="5">
        <v>895919</v>
      </c>
      <c r="EG30" s="5">
        <v>241164</v>
      </c>
      <c r="EH30" s="5">
        <v>18445</v>
      </c>
      <c r="EI30" s="5">
        <v>66660</v>
      </c>
      <c r="EJ30" s="5">
        <v>609700</v>
      </c>
      <c r="EK30" s="5">
        <v>911274</v>
      </c>
      <c r="EL30" s="5">
        <v>236519</v>
      </c>
      <c r="EM30" s="5">
        <v>16049</v>
      </c>
      <c r="EN30" s="5">
        <v>66871</v>
      </c>
      <c r="EO30" s="5">
        <v>634584</v>
      </c>
      <c r="EP30" s="258" t="s">
        <v>185</v>
      </c>
      <c r="EQ30" s="259" t="s">
        <v>185</v>
      </c>
      <c r="ER30" s="259" t="s">
        <v>185</v>
      </c>
      <c r="ES30" s="259" t="s">
        <v>185</v>
      </c>
      <c r="ET30" s="260" t="s">
        <v>185</v>
      </c>
      <c r="EU30" s="5">
        <v>201997</v>
      </c>
      <c r="EV30" s="5">
        <v>84167</v>
      </c>
      <c r="EW30" s="5">
        <v>6062</v>
      </c>
      <c r="EX30" s="5">
        <v>11670</v>
      </c>
      <c r="EY30" s="10">
        <v>111768</v>
      </c>
      <c r="EZ30" s="5">
        <v>239793</v>
      </c>
      <c r="FA30" s="5">
        <v>75408</v>
      </c>
      <c r="FB30" s="5">
        <v>5713</v>
      </c>
      <c r="FC30" s="5">
        <v>13559</v>
      </c>
      <c r="FD30" s="10">
        <v>158672</v>
      </c>
      <c r="FE30" s="5">
        <v>293545</v>
      </c>
      <c r="FF30" s="5">
        <v>87472</v>
      </c>
      <c r="FG30" s="5">
        <v>6338</v>
      </c>
      <c r="FH30" s="5">
        <v>20460</v>
      </c>
      <c r="FI30" s="10">
        <v>199735</v>
      </c>
      <c r="FJ30" s="5">
        <v>298839.18400000001</v>
      </c>
      <c r="FK30" s="5">
        <v>88825.060000000012</v>
      </c>
      <c r="FL30" s="5">
        <v>7208.5309999999999</v>
      </c>
      <c r="FM30" s="5">
        <v>21435.579999999998</v>
      </c>
      <c r="FN30" s="10">
        <v>202805.59300000002</v>
      </c>
      <c r="FO30" s="5">
        <v>303741</v>
      </c>
      <c r="FP30" s="5">
        <v>91324</v>
      </c>
      <c r="FQ30" s="5">
        <v>7473</v>
      </c>
      <c r="FR30" s="5">
        <v>22166</v>
      </c>
      <c r="FS30" s="618">
        <v>204944</v>
      </c>
      <c r="FT30" s="618">
        <v>308151</v>
      </c>
      <c r="FU30" s="618">
        <v>85335</v>
      </c>
      <c r="FV30" s="618">
        <v>8386</v>
      </c>
      <c r="FW30" s="618">
        <v>23955</v>
      </c>
      <c r="FX30" s="618">
        <v>207340</v>
      </c>
      <c r="FY30" s="618">
        <v>319157</v>
      </c>
      <c r="FZ30" s="618">
        <v>83561</v>
      </c>
      <c r="GA30" s="618">
        <v>8556</v>
      </c>
      <c r="GB30" s="618">
        <v>27511</v>
      </c>
      <c r="GC30" s="618">
        <v>216114</v>
      </c>
      <c r="GD30" s="618">
        <v>316938</v>
      </c>
      <c r="GE30" s="618">
        <v>83083</v>
      </c>
      <c r="GF30" s="618">
        <v>7513</v>
      </c>
      <c r="GG30" s="618">
        <v>28868</v>
      </c>
      <c r="GH30" s="618">
        <v>215112</v>
      </c>
      <c r="GI30" s="12">
        <v>59116</v>
      </c>
      <c r="GJ30" s="5">
        <v>21117</v>
      </c>
      <c r="GK30" s="5">
        <v>1018</v>
      </c>
      <c r="GL30" s="5">
        <v>3076</v>
      </c>
      <c r="GM30" s="10">
        <v>36981</v>
      </c>
      <c r="GN30" s="5">
        <v>64701</v>
      </c>
      <c r="GO30" s="5">
        <v>17204</v>
      </c>
      <c r="GP30" s="5">
        <v>1307</v>
      </c>
      <c r="GQ30" s="5">
        <v>3633</v>
      </c>
      <c r="GR30" s="10">
        <v>46190</v>
      </c>
      <c r="GS30" s="12">
        <v>88030</v>
      </c>
      <c r="GT30" s="5">
        <v>23643</v>
      </c>
      <c r="GU30" s="5">
        <v>2075</v>
      </c>
      <c r="GV30" s="5">
        <v>5424</v>
      </c>
      <c r="GW30" s="5">
        <v>62312</v>
      </c>
      <c r="GX30" s="12"/>
      <c r="GY30" s="5"/>
      <c r="GZ30" s="5"/>
      <c r="HA30" s="5"/>
      <c r="HB30" s="10"/>
      <c r="HC30" s="5">
        <v>92020</v>
      </c>
      <c r="HD30" s="5">
        <v>25283</v>
      </c>
      <c r="HE30" s="5">
        <v>2483</v>
      </c>
      <c r="HF30" s="5">
        <v>6345</v>
      </c>
      <c r="HG30" s="5">
        <v>64254</v>
      </c>
      <c r="HH30" s="5">
        <v>96373</v>
      </c>
      <c r="HI30" s="5">
        <v>24458</v>
      </c>
      <c r="HJ30" s="5">
        <v>2403</v>
      </c>
      <c r="HK30" s="5">
        <v>7046</v>
      </c>
      <c r="HL30" s="5">
        <v>67490</v>
      </c>
      <c r="HM30" s="5">
        <v>105951</v>
      </c>
      <c r="HN30" s="5">
        <v>22761</v>
      </c>
      <c r="HO30" s="5">
        <v>2061</v>
      </c>
      <c r="HP30" s="5">
        <v>6918</v>
      </c>
      <c r="HQ30" s="5">
        <v>78914</v>
      </c>
      <c r="HR30" s="5">
        <v>104261</v>
      </c>
      <c r="HS30" s="5">
        <v>25548</v>
      </c>
      <c r="HT30" s="5">
        <v>1634</v>
      </c>
      <c r="HU30" s="5">
        <v>9420</v>
      </c>
      <c r="HV30" s="5">
        <v>73487</v>
      </c>
      <c r="HW30" s="569">
        <f t="shared" si="454"/>
        <v>221540</v>
      </c>
      <c r="HX30" s="546">
        <f t="shared" si="455"/>
        <v>94399</v>
      </c>
      <c r="HY30" s="546">
        <f t="shared" si="456"/>
        <v>2915</v>
      </c>
      <c r="HZ30" s="546">
        <f t="shared" si="457"/>
        <v>7041</v>
      </c>
      <c r="IA30" s="546">
        <f t="shared" si="458"/>
        <v>124226</v>
      </c>
      <c r="IB30" s="569">
        <f t="shared" si="459"/>
        <v>274742</v>
      </c>
      <c r="IC30" s="546">
        <f t="shared" si="460"/>
        <v>96244</v>
      </c>
      <c r="ID30" s="546">
        <f t="shared" si="461"/>
        <v>3852</v>
      </c>
      <c r="IE30" s="546">
        <f t="shared" si="462"/>
        <v>9093</v>
      </c>
      <c r="IF30" s="546">
        <f t="shared" si="463"/>
        <v>174646</v>
      </c>
      <c r="IG30" s="12">
        <v>311603</v>
      </c>
      <c r="IH30" s="5">
        <v>107624</v>
      </c>
      <c r="II30" s="5">
        <v>4942</v>
      </c>
      <c r="IJ30" s="5">
        <v>13994</v>
      </c>
      <c r="IK30" s="5">
        <v>199037</v>
      </c>
      <c r="IL30" s="565"/>
      <c r="IM30" s="7"/>
      <c r="IN30" s="7"/>
      <c r="IO30" s="7"/>
      <c r="IP30" s="7"/>
      <c r="IQ30" s="7">
        <v>370409</v>
      </c>
      <c r="IR30" s="7">
        <v>128761</v>
      </c>
      <c r="IS30" s="7">
        <v>6456</v>
      </c>
      <c r="IT30" s="7">
        <v>17975</v>
      </c>
      <c r="IU30" s="577">
        <v>235192</v>
      </c>
      <c r="IV30" s="7">
        <v>383465</v>
      </c>
      <c r="IW30" s="7">
        <v>126324</v>
      </c>
      <c r="IX30" s="7">
        <v>6902</v>
      </c>
      <c r="IY30" s="7">
        <v>19990</v>
      </c>
      <c r="IZ30" s="7">
        <v>243527</v>
      </c>
      <c r="JA30" s="565">
        <v>415145</v>
      </c>
      <c r="JB30" s="7">
        <v>135562</v>
      </c>
      <c r="JC30" s="7">
        <v>7436</v>
      </c>
      <c r="JD30" s="7">
        <v>22751</v>
      </c>
      <c r="JE30" s="7">
        <v>262538</v>
      </c>
      <c r="JF30" s="565">
        <v>420854</v>
      </c>
      <c r="JG30" s="7">
        <v>134882</v>
      </c>
      <c r="JH30" s="7">
        <v>5785</v>
      </c>
      <c r="JI30" s="7">
        <v>21641</v>
      </c>
      <c r="JJ30" s="7">
        <v>271395</v>
      </c>
      <c r="JK30" s="12">
        <v>111837</v>
      </c>
      <c r="JL30" s="5">
        <v>45632</v>
      </c>
      <c r="JM30" s="5">
        <v>1314</v>
      </c>
      <c r="JN30" s="5">
        <v>2968</v>
      </c>
      <c r="JO30" s="5">
        <v>64891</v>
      </c>
      <c r="JP30" s="12">
        <v>142493</v>
      </c>
      <c r="JQ30" s="5">
        <v>46054</v>
      </c>
      <c r="JR30" s="5">
        <v>1684</v>
      </c>
      <c r="JS30" s="5">
        <v>3757</v>
      </c>
      <c r="JT30" s="5">
        <v>94755</v>
      </c>
      <c r="JU30" s="12">
        <v>178875</v>
      </c>
      <c r="JV30" s="5">
        <v>61405</v>
      </c>
      <c r="JW30" s="5">
        <v>2410</v>
      </c>
      <c r="JX30" s="5">
        <v>7007</v>
      </c>
      <c r="JY30" s="5">
        <v>115060</v>
      </c>
      <c r="JZ30" s="12">
        <v>180974.04</v>
      </c>
      <c r="KA30" s="5">
        <v>59899.32</v>
      </c>
      <c r="KB30" s="5">
        <v>2370.31</v>
      </c>
      <c r="KC30" s="5">
        <v>7370.4</v>
      </c>
      <c r="KD30" s="5">
        <v>118704.41</v>
      </c>
      <c r="KE30" s="5">
        <v>188778</v>
      </c>
      <c r="KF30" s="5">
        <v>59894</v>
      </c>
      <c r="KG30" s="5">
        <v>2999</v>
      </c>
      <c r="KH30" s="5">
        <v>9069</v>
      </c>
      <c r="KI30" s="5">
        <v>122732</v>
      </c>
      <c r="KJ30" s="5">
        <v>205033</v>
      </c>
      <c r="KK30" s="5">
        <v>67273</v>
      </c>
      <c r="KL30" s="5">
        <v>3579</v>
      </c>
      <c r="KM30" s="5">
        <v>11006</v>
      </c>
      <c r="KN30" s="5">
        <v>129349</v>
      </c>
      <c r="KO30" s="5">
        <v>211850</v>
      </c>
      <c r="KP30" s="5">
        <v>63863</v>
      </c>
      <c r="KQ30" s="5">
        <v>3135</v>
      </c>
      <c r="KR30" s="5">
        <v>8139</v>
      </c>
      <c r="KS30" s="5">
        <v>141800</v>
      </c>
      <c r="KT30" s="258" t="s">
        <v>185</v>
      </c>
      <c r="KU30" s="259" t="s">
        <v>185</v>
      </c>
      <c r="KV30" s="316">
        <v>27678</v>
      </c>
      <c r="KW30" s="332">
        <f t="shared" si="410"/>
        <v>16317</v>
      </c>
      <c r="KX30" s="332">
        <f t="shared" si="411"/>
        <v>11361</v>
      </c>
      <c r="KY30" s="332">
        <f t="shared" si="412"/>
        <v>15612</v>
      </c>
      <c r="KZ30" s="318">
        <v>9460</v>
      </c>
      <c r="LA30" s="318">
        <v>6152</v>
      </c>
      <c r="LB30" s="332">
        <f t="shared" si="413"/>
        <v>12066</v>
      </c>
      <c r="LC30" s="318">
        <v>6857</v>
      </c>
      <c r="LD30" s="318">
        <v>5209</v>
      </c>
      <c r="LE30" s="316">
        <v>31162</v>
      </c>
      <c r="LF30" s="332">
        <f t="shared" si="414"/>
        <v>19031</v>
      </c>
      <c r="LG30" s="332">
        <f t="shared" si="415"/>
        <v>12131</v>
      </c>
      <c r="LH30" s="332">
        <f t="shared" si="416"/>
        <v>30025</v>
      </c>
      <c r="LI30" s="318">
        <v>18342</v>
      </c>
      <c r="LJ30" s="318">
        <v>11683</v>
      </c>
      <c r="LK30" s="332">
        <f t="shared" si="417"/>
        <v>295</v>
      </c>
      <c r="LL30" s="318">
        <v>153</v>
      </c>
      <c r="LM30" s="318">
        <v>142</v>
      </c>
      <c r="LN30" s="332">
        <f t="shared" si="418"/>
        <v>842</v>
      </c>
      <c r="LO30" s="318">
        <v>536</v>
      </c>
      <c r="LP30" s="318">
        <v>306</v>
      </c>
      <c r="LQ30" s="316">
        <v>111415</v>
      </c>
      <c r="LR30" s="332">
        <f t="shared" si="419"/>
        <v>63016</v>
      </c>
      <c r="LS30" s="332">
        <f t="shared" si="420"/>
        <v>48399</v>
      </c>
      <c r="LT30" s="342">
        <f t="shared" si="421"/>
        <v>52053</v>
      </c>
      <c r="LU30" s="318">
        <v>31750</v>
      </c>
      <c r="LV30" s="318">
        <v>20303</v>
      </c>
      <c r="LW30" s="318">
        <v>31266</v>
      </c>
      <c r="LX30" s="318">
        <v>28096</v>
      </c>
      <c r="LY30" s="342">
        <f t="shared" si="422"/>
        <v>866</v>
      </c>
      <c r="LZ30" s="318">
        <v>552</v>
      </c>
      <c r="MA30" s="318">
        <v>314</v>
      </c>
      <c r="MB30" s="342">
        <f t="shared" si="423"/>
        <v>2662</v>
      </c>
      <c r="MC30" s="318">
        <v>1347</v>
      </c>
      <c r="MD30" s="318">
        <v>1315</v>
      </c>
      <c r="ME30" s="333">
        <f t="shared" si="424"/>
        <v>55834</v>
      </c>
      <c r="MF30" s="333">
        <f t="shared" si="425"/>
        <v>29367</v>
      </c>
      <c r="MG30" s="333">
        <f t="shared" si="426"/>
        <v>26467</v>
      </c>
      <c r="MH30" s="334">
        <f t="shared" si="427"/>
        <v>385</v>
      </c>
      <c r="MI30" s="334">
        <f t="shared" si="428"/>
        <v>220</v>
      </c>
      <c r="MJ30" s="334">
        <f t="shared" si="429"/>
        <v>165</v>
      </c>
      <c r="MK30" s="318">
        <v>55449</v>
      </c>
      <c r="ML30" s="318">
        <v>29147</v>
      </c>
      <c r="MM30" s="318">
        <v>26302</v>
      </c>
      <c r="MN30" s="14">
        <f t="shared" si="430"/>
        <v>162424</v>
      </c>
      <c r="MO30" s="332">
        <f t="shared" si="431"/>
        <v>86582</v>
      </c>
      <c r="MP30" s="332">
        <f t="shared" si="432"/>
        <v>75842</v>
      </c>
      <c r="MQ30" s="13">
        <f t="shared" si="433"/>
        <v>73282</v>
      </c>
      <c r="MR30" s="136">
        <f t="shared" si="434"/>
        <v>71808</v>
      </c>
      <c r="MS30" s="318">
        <v>41575</v>
      </c>
      <c r="MT30" s="318">
        <v>30233</v>
      </c>
      <c r="MU30" s="318">
        <v>45007</v>
      </c>
      <c r="MV30" s="318">
        <v>45609</v>
      </c>
      <c r="MW30" s="13">
        <f t="shared" si="435"/>
        <v>1897</v>
      </c>
      <c r="MX30" s="136">
        <f t="shared" si="436"/>
        <v>1837</v>
      </c>
      <c r="MY30" s="318">
        <v>954</v>
      </c>
      <c r="MZ30" s="318">
        <v>883</v>
      </c>
      <c r="NA30" s="13">
        <f t="shared" si="437"/>
        <v>3965</v>
      </c>
      <c r="NB30" s="318">
        <v>2053</v>
      </c>
      <c r="NC30" s="318">
        <v>1912</v>
      </c>
      <c r="ND30" s="11">
        <f t="shared" si="438"/>
        <v>87245</v>
      </c>
      <c r="NE30" s="335">
        <f t="shared" si="439"/>
        <v>42000</v>
      </c>
      <c r="NF30" s="335">
        <f t="shared" si="440"/>
        <v>42814</v>
      </c>
      <c r="NG30" s="336">
        <f t="shared" si="441"/>
        <v>213</v>
      </c>
      <c r="NH30" s="336">
        <f t="shared" si="442"/>
        <v>119</v>
      </c>
      <c r="NI30" s="336">
        <f t="shared" si="443"/>
        <v>94</v>
      </c>
      <c r="NJ30" s="337">
        <f t="shared" si="444"/>
        <v>84601</v>
      </c>
      <c r="NK30" s="337">
        <f t="shared" si="445"/>
        <v>41881</v>
      </c>
      <c r="NL30" s="337">
        <f t="shared" si="446"/>
        <v>42720</v>
      </c>
      <c r="NM30" s="318">
        <v>296</v>
      </c>
      <c r="NN30" s="318">
        <v>218</v>
      </c>
      <c r="NO30" s="318">
        <v>41585</v>
      </c>
      <c r="NP30" s="318">
        <v>42502</v>
      </c>
      <c r="NQ30" s="338">
        <v>210041</v>
      </c>
      <c r="NR30" s="318">
        <v>106220</v>
      </c>
      <c r="NS30" s="318">
        <v>103821</v>
      </c>
      <c r="NT30" s="7">
        <f t="shared" si="447"/>
        <v>79040</v>
      </c>
      <c r="NU30" s="7">
        <v>43565</v>
      </c>
      <c r="NV30" s="7">
        <v>35475</v>
      </c>
      <c r="NW30" s="125">
        <f t="shared" si="448"/>
        <v>77212</v>
      </c>
      <c r="NX30" s="318">
        <v>42699</v>
      </c>
      <c r="NY30" s="318">
        <v>34513</v>
      </c>
      <c r="NZ30" s="7">
        <f t="shared" si="449"/>
        <v>2545</v>
      </c>
      <c r="OA30" s="318">
        <v>1487</v>
      </c>
      <c r="OB30" s="318">
        <v>1058</v>
      </c>
      <c r="OC30" s="7">
        <f t="shared" si="450"/>
        <v>5460</v>
      </c>
      <c r="OD30" s="318">
        <v>2462</v>
      </c>
      <c r="OE30" s="318">
        <v>2998</v>
      </c>
      <c r="OF30" s="125">
        <f t="shared" si="451"/>
        <v>128456</v>
      </c>
      <c r="OG30" s="125">
        <f t="shared" si="452"/>
        <v>61168</v>
      </c>
      <c r="OH30" s="125">
        <f t="shared" si="453"/>
        <v>67288</v>
      </c>
      <c r="OI30" s="326">
        <v>248163</v>
      </c>
      <c r="OJ30" s="318">
        <v>97927</v>
      </c>
      <c r="OK30" s="318">
        <v>4612</v>
      </c>
      <c r="OL30" s="318">
        <v>145624</v>
      </c>
      <c r="OM30" s="7">
        <v>7690</v>
      </c>
      <c r="ON30" s="12">
        <v>253752</v>
      </c>
      <c r="OO30" s="5">
        <v>101007</v>
      </c>
      <c r="OP30" s="5">
        <v>4641</v>
      </c>
      <c r="OQ30" s="5">
        <v>148104</v>
      </c>
      <c r="OR30" s="5">
        <v>8921</v>
      </c>
      <c r="OS30" s="12">
        <v>255486</v>
      </c>
      <c r="OT30" s="5">
        <v>102040</v>
      </c>
      <c r="OU30" s="5">
        <v>4596</v>
      </c>
      <c r="OV30" s="5">
        <v>148850</v>
      </c>
      <c r="OW30" s="5">
        <v>9745</v>
      </c>
      <c r="OX30" s="12">
        <v>268003</v>
      </c>
      <c r="OY30" s="5">
        <v>103006</v>
      </c>
      <c r="OZ30" s="5">
        <v>3479</v>
      </c>
      <c r="PA30" s="5">
        <v>161518</v>
      </c>
      <c r="PB30" s="5">
        <v>10468</v>
      </c>
      <c r="PC30" s="12">
        <v>272853.16800000001</v>
      </c>
      <c r="PD30" s="5">
        <v>102136.02</v>
      </c>
      <c r="PE30" s="5">
        <v>3513.6359999999995</v>
      </c>
      <c r="PF30" s="5">
        <v>11178.439999999999</v>
      </c>
      <c r="PG30" s="5">
        <v>167203.51199999999</v>
      </c>
      <c r="PH30" s="5">
        <v>278389</v>
      </c>
      <c r="PI30" s="5">
        <v>103478</v>
      </c>
      <c r="PJ30" s="5">
        <v>3973</v>
      </c>
      <c r="PK30" s="5">
        <v>11630</v>
      </c>
      <c r="PL30" s="2">
        <v>170938</v>
      </c>
      <c r="PM30" s="2">
        <v>287092</v>
      </c>
      <c r="PN30" s="2">
        <v>101866</v>
      </c>
      <c r="PO30" s="2">
        <v>4499</v>
      </c>
      <c r="PP30" s="2">
        <v>12944</v>
      </c>
      <c r="PQ30" s="2">
        <v>176037</v>
      </c>
      <c r="PR30" s="2">
        <v>309194</v>
      </c>
      <c r="PS30" s="2">
        <v>112801</v>
      </c>
      <c r="PT30" s="2">
        <v>5375</v>
      </c>
      <c r="PU30" s="2">
        <v>15833</v>
      </c>
      <c r="PV30" s="2">
        <v>183624</v>
      </c>
      <c r="PW30" s="2">
        <v>316593</v>
      </c>
      <c r="PX30" s="2">
        <v>109334</v>
      </c>
      <c r="PY30" s="2">
        <v>4151</v>
      </c>
      <c r="PZ30" s="2">
        <v>12221</v>
      </c>
      <c r="QA30" s="2">
        <v>197908</v>
      </c>
      <c r="QB30" s="12">
        <v>50587</v>
      </c>
      <c r="QC30" s="5">
        <v>27650</v>
      </c>
      <c r="QD30" s="5">
        <v>583</v>
      </c>
      <c r="QE30" s="5">
        <v>997</v>
      </c>
      <c r="QF30" s="5">
        <v>22354</v>
      </c>
      <c r="QG30" s="12">
        <v>67548</v>
      </c>
      <c r="QH30" s="5">
        <v>32986</v>
      </c>
      <c r="QI30" s="5">
        <v>861</v>
      </c>
      <c r="QJ30" s="5">
        <v>1703</v>
      </c>
      <c r="QK30" s="5">
        <v>33701</v>
      </c>
      <c r="QL30" s="12">
        <v>89128</v>
      </c>
      <c r="QM30" s="5">
        <v>41601</v>
      </c>
      <c r="QN30" s="5">
        <v>1069</v>
      </c>
      <c r="QO30" s="5">
        <v>3461</v>
      </c>
      <c r="QP30" s="5">
        <v>46458</v>
      </c>
      <c r="QQ30" s="12">
        <v>91879.128000000012</v>
      </c>
      <c r="QR30" s="5">
        <v>42236.700000000004</v>
      </c>
      <c r="QS30" s="5">
        <v>1143.3259999999998</v>
      </c>
      <c r="QT30" s="5">
        <v>3808.04</v>
      </c>
      <c r="QU30" s="10">
        <v>48499.102000000006</v>
      </c>
      <c r="QV30" s="1">
        <v>94401</v>
      </c>
      <c r="QW30" s="2">
        <v>42152</v>
      </c>
      <c r="QX30" s="2">
        <v>1390</v>
      </c>
      <c r="QY30" s="2">
        <v>3764</v>
      </c>
      <c r="QZ30" s="69">
        <v>50859</v>
      </c>
      <c r="RA30" s="2">
        <v>98314</v>
      </c>
      <c r="RB30" s="2">
        <v>41972</v>
      </c>
      <c r="RC30" s="2">
        <v>1500</v>
      </c>
      <c r="RD30" s="2">
        <v>3875</v>
      </c>
      <c r="RE30" s="2">
        <v>53305</v>
      </c>
      <c r="RF30" s="2">
        <v>104161</v>
      </c>
      <c r="RG30" s="2">
        <v>45528</v>
      </c>
      <c r="RH30" s="2">
        <v>1796</v>
      </c>
      <c r="RI30" s="2">
        <v>4827</v>
      </c>
      <c r="RJ30" s="2">
        <v>54275</v>
      </c>
      <c r="RK30" s="2">
        <v>104743</v>
      </c>
      <c r="RL30" s="2">
        <v>45471</v>
      </c>
      <c r="RM30" s="2">
        <v>1016</v>
      </c>
      <c r="RN30" s="2">
        <v>4082</v>
      </c>
      <c r="RO30" s="2">
        <v>56108</v>
      </c>
    </row>
    <row r="31" spans="1:483" ht="14.25" x14ac:dyDescent="0.2">
      <c r="A31" s="217" t="s">
        <v>23</v>
      </c>
      <c r="B31" s="258" t="s">
        <v>185</v>
      </c>
      <c r="C31" s="259" t="s">
        <v>185</v>
      </c>
      <c r="D31" s="259" t="s">
        <v>185</v>
      </c>
      <c r="E31" s="259" t="s">
        <v>185</v>
      </c>
      <c r="F31" s="260" t="s">
        <v>185</v>
      </c>
      <c r="G31" s="5">
        <v>44219</v>
      </c>
      <c r="H31" s="5">
        <v>36507</v>
      </c>
      <c r="I31" s="5">
        <v>102</v>
      </c>
      <c r="J31" s="5">
        <v>8847</v>
      </c>
      <c r="K31" s="10">
        <v>7610</v>
      </c>
      <c r="L31" s="5">
        <v>41039</v>
      </c>
      <c r="M31" s="5">
        <v>27509</v>
      </c>
      <c r="N31" s="5">
        <v>120</v>
      </c>
      <c r="O31" s="5">
        <v>16928</v>
      </c>
      <c r="P31" s="10">
        <v>13410</v>
      </c>
      <c r="Q31" s="7">
        <v>44280</v>
      </c>
      <c r="R31" s="7">
        <v>35398</v>
      </c>
      <c r="S31" s="7">
        <v>427</v>
      </c>
      <c r="T31" s="7">
        <v>24866</v>
      </c>
      <c r="U31" s="577">
        <v>8455</v>
      </c>
      <c r="V31" s="7">
        <v>43053</v>
      </c>
      <c r="W31" s="7">
        <v>33196</v>
      </c>
      <c r="X31" s="7">
        <v>255</v>
      </c>
      <c r="Y31" s="7">
        <v>24241</v>
      </c>
      <c r="Z31" s="7">
        <v>9522</v>
      </c>
      <c r="AA31" s="7">
        <v>43683</v>
      </c>
      <c r="AB31" s="7">
        <v>16191</v>
      </c>
      <c r="AC31" s="7">
        <v>172</v>
      </c>
      <c r="AD31" s="7">
        <v>24661</v>
      </c>
      <c r="AE31" s="675">
        <v>10507</v>
      </c>
      <c r="AF31" s="560">
        <v>39730</v>
      </c>
      <c r="AG31" s="560">
        <v>14149</v>
      </c>
      <c r="AH31" s="560">
        <v>0</v>
      </c>
      <c r="AI31" s="560">
        <v>22999</v>
      </c>
      <c r="AJ31" s="560">
        <v>9596</v>
      </c>
      <c r="AK31" s="560">
        <v>34434</v>
      </c>
      <c r="AL31" s="560">
        <v>12746</v>
      </c>
      <c r="AM31" s="560">
        <v>0</v>
      </c>
      <c r="AN31" s="560">
        <v>19411</v>
      </c>
      <c r="AO31" s="560">
        <v>9723</v>
      </c>
      <c r="AP31" s="12">
        <v>77568</v>
      </c>
      <c r="AQ31" s="5">
        <v>73065</v>
      </c>
      <c r="AR31" s="5">
        <v>195</v>
      </c>
      <c r="AS31" s="5">
        <v>3770</v>
      </c>
      <c r="AT31" s="10">
        <v>4308</v>
      </c>
      <c r="AU31" s="5">
        <v>79322</v>
      </c>
      <c r="AV31" s="5">
        <v>70561</v>
      </c>
      <c r="AW31" s="5">
        <v>345</v>
      </c>
      <c r="AX31" s="5">
        <v>7800</v>
      </c>
      <c r="AY31" s="10">
        <v>8416</v>
      </c>
      <c r="AZ31" s="5">
        <v>70118</v>
      </c>
      <c r="BA31" s="5">
        <v>63856</v>
      </c>
      <c r="BB31" s="5">
        <v>420</v>
      </c>
      <c r="BC31" s="5">
        <v>12013</v>
      </c>
      <c r="BD31" s="10">
        <v>5842</v>
      </c>
      <c r="BE31" s="5">
        <v>67489</v>
      </c>
      <c r="BF31" s="5">
        <v>60896</v>
      </c>
      <c r="BG31" s="5">
        <v>480</v>
      </c>
      <c r="BH31" s="5">
        <v>11905</v>
      </c>
      <c r="BI31" s="5">
        <v>5972</v>
      </c>
      <c r="BJ31" s="5">
        <v>66817</v>
      </c>
      <c r="BK31" s="5">
        <v>50882</v>
      </c>
      <c r="BL31" s="5">
        <v>244</v>
      </c>
      <c r="BM31" s="5">
        <v>12261</v>
      </c>
      <c r="BN31" s="53">
        <v>6730</v>
      </c>
      <c r="BO31" s="53">
        <v>66804</v>
      </c>
      <c r="BP31" s="53">
        <v>49359</v>
      </c>
      <c r="BQ31" s="53">
        <v>0</v>
      </c>
      <c r="BR31" s="53">
        <v>13885</v>
      </c>
      <c r="BS31" s="53">
        <v>7223</v>
      </c>
      <c r="BT31" s="53">
        <v>69695</v>
      </c>
      <c r="BU31" s="53">
        <v>50966</v>
      </c>
      <c r="BV31" s="53">
        <v>0</v>
      </c>
      <c r="BW31" s="53">
        <v>16211</v>
      </c>
      <c r="BX31" s="53">
        <v>10843</v>
      </c>
      <c r="BY31" s="12">
        <v>113392</v>
      </c>
      <c r="BZ31" s="5">
        <v>97113</v>
      </c>
      <c r="CA31" s="5"/>
      <c r="CB31" s="5">
        <v>37212</v>
      </c>
      <c r="CC31" s="290">
        <f t="shared" si="398"/>
        <v>16279</v>
      </c>
      <c r="CD31" s="258" t="s">
        <v>185</v>
      </c>
      <c r="CE31" s="259" t="s">
        <v>185</v>
      </c>
      <c r="CF31" s="259" t="s">
        <v>185</v>
      </c>
      <c r="CG31" s="259" t="s">
        <v>185</v>
      </c>
      <c r="CH31" s="258" t="s">
        <v>185</v>
      </c>
      <c r="CI31" s="259" t="s">
        <v>185</v>
      </c>
      <c r="CJ31" s="259" t="s">
        <v>185</v>
      </c>
      <c r="CK31" s="259" t="s">
        <v>185</v>
      </c>
      <c r="CL31" s="260" t="s">
        <v>185</v>
      </c>
      <c r="CM31" s="5">
        <v>479505</v>
      </c>
      <c r="CN31" s="5">
        <v>464861</v>
      </c>
      <c r="CO31" s="5">
        <v>1433</v>
      </c>
      <c r="CP31" s="5">
        <v>9678</v>
      </c>
      <c r="CQ31" s="10">
        <v>13211</v>
      </c>
      <c r="CR31" s="5">
        <v>667144</v>
      </c>
      <c r="CS31" s="5">
        <v>632655</v>
      </c>
      <c r="CT31" s="5">
        <v>2199</v>
      </c>
      <c r="CU31" s="5">
        <v>19768</v>
      </c>
      <c r="CV31" s="5">
        <v>32290</v>
      </c>
      <c r="CW31" s="195">
        <v>801939</v>
      </c>
      <c r="CX31" s="5">
        <v>759792</v>
      </c>
      <c r="CY31" s="5">
        <v>3382</v>
      </c>
      <c r="CZ31" s="5">
        <v>38765</v>
      </c>
      <c r="DA31" s="5">
        <v>34175</v>
      </c>
      <c r="DB31" s="12">
        <v>826398</v>
      </c>
      <c r="DC31" s="5">
        <v>784484</v>
      </c>
      <c r="DD31" s="5">
        <v>3623</v>
      </c>
      <c r="DE31" s="5">
        <v>38291</v>
      </c>
      <c r="DF31" s="5">
        <v>36198</v>
      </c>
      <c r="DG31" s="56">
        <v>836198</v>
      </c>
      <c r="DH31" s="54">
        <v>793166</v>
      </c>
      <c r="DI31" s="54">
        <v>3539</v>
      </c>
      <c r="DJ31" s="54">
        <v>39493</v>
      </c>
      <c r="DK31" s="54">
        <v>38377</v>
      </c>
      <c r="DL31" s="12">
        <v>857708</v>
      </c>
      <c r="DM31" s="5">
        <v>812762</v>
      </c>
      <c r="DN31" s="5">
        <v>3547</v>
      </c>
      <c r="DO31" s="5">
        <v>40246</v>
      </c>
      <c r="DP31" s="5">
        <v>27317</v>
      </c>
      <c r="DQ31" s="12">
        <v>873611.06200000003</v>
      </c>
      <c r="DR31" s="5">
        <v>827776.54999999993</v>
      </c>
      <c r="DS31" s="5"/>
      <c r="DT31" s="5">
        <v>43508.619000000006</v>
      </c>
      <c r="DU31" s="530">
        <f t="shared" si="399"/>
        <v>45834.512000000104</v>
      </c>
      <c r="DV31" s="5">
        <v>889006</v>
      </c>
      <c r="DW31" s="5">
        <v>841455</v>
      </c>
      <c r="DX31" s="5">
        <v>3721</v>
      </c>
      <c r="DY31" s="5">
        <v>47875</v>
      </c>
      <c r="DZ31" s="5">
        <v>42904</v>
      </c>
      <c r="EA31" s="5">
        <v>903597</v>
      </c>
      <c r="EB31" s="5">
        <v>816928</v>
      </c>
      <c r="EC31" s="5">
        <v>4066</v>
      </c>
      <c r="ED31" s="5">
        <v>50085</v>
      </c>
      <c r="EE31" s="5">
        <v>45419</v>
      </c>
      <c r="EF31" s="5">
        <v>959448</v>
      </c>
      <c r="EG31" s="5">
        <v>857923</v>
      </c>
      <c r="EH31" s="5">
        <v>0</v>
      </c>
      <c r="EI31" s="5">
        <v>57796</v>
      </c>
      <c r="EJ31" s="5">
        <v>53200</v>
      </c>
      <c r="EK31" s="5">
        <v>983136</v>
      </c>
      <c r="EL31" s="5">
        <v>875161</v>
      </c>
      <c r="EM31" s="5">
        <v>0</v>
      </c>
      <c r="EN31" s="5">
        <v>63566</v>
      </c>
      <c r="EO31" s="5">
        <v>59676</v>
      </c>
      <c r="EP31" s="258" t="s">
        <v>185</v>
      </c>
      <c r="EQ31" s="259" t="s">
        <v>185</v>
      </c>
      <c r="ER31" s="259" t="s">
        <v>185</v>
      </c>
      <c r="ES31" s="259" t="s">
        <v>185</v>
      </c>
      <c r="ET31" s="260" t="s">
        <v>185</v>
      </c>
      <c r="EU31" s="5">
        <v>190478</v>
      </c>
      <c r="EV31" s="5">
        <v>184717</v>
      </c>
      <c r="EW31" s="5">
        <v>695</v>
      </c>
      <c r="EX31" s="5">
        <v>3950</v>
      </c>
      <c r="EY31" s="10">
        <v>5066</v>
      </c>
      <c r="EZ31" s="5">
        <v>272207</v>
      </c>
      <c r="FA31" s="5">
        <v>257946</v>
      </c>
      <c r="FB31" s="5">
        <v>1181</v>
      </c>
      <c r="FC31" s="5">
        <v>7716</v>
      </c>
      <c r="FD31" s="10">
        <v>13080</v>
      </c>
      <c r="FE31" s="5">
        <v>345661</v>
      </c>
      <c r="FF31" s="5">
        <v>327180</v>
      </c>
      <c r="FG31" s="5">
        <v>1485</v>
      </c>
      <c r="FH31" s="5">
        <v>16115</v>
      </c>
      <c r="FI31" s="10">
        <v>16996</v>
      </c>
      <c r="FJ31" s="5">
        <v>351022.05200000003</v>
      </c>
      <c r="FK31" s="5">
        <v>332960.39999999997</v>
      </c>
      <c r="FL31" s="5"/>
      <c r="FM31" s="5">
        <v>17516.456999999999</v>
      </c>
      <c r="FN31" s="10">
        <v>18061.65200000006</v>
      </c>
      <c r="FO31" s="5">
        <v>359405</v>
      </c>
      <c r="FP31" s="5">
        <v>339330</v>
      </c>
      <c r="FQ31" s="5">
        <v>1497</v>
      </c>
      <c r="FR31" s="5">
        <v>19681</v>
      </c>
      <c r="FS31" s="618">
        <v>18023</v>
      </c>
      <c r="FT31" s="618">
        <v>365545</v>
      </c>
      <c r="FU31" s="618">
        <v>330790</v>
      </c>
      <c r="FV31" s="618">
        <v>1571</v>
      </c>
      <c r="FW31" s="618">
        <v>20145</v>
      </c>
      <c r="FX31" s="618">
        <v>18006</v>
      </c>
      <c r="FY31" s="618">
        <v>389869</v>
      </c>
      <c r="FZ31" s="618">
        <v>348591</v>
      </c>
      <c r="GA31" s="618">
        <v>0</v>
      </c>
      <c r="GB31" s="618">
        <v>23493</v>
      </c>
      <c r="GC31" s="618">
        <v>21970</v>
      </c>
      <c r="GD31" s="618">
        <v>379860</v>
      </c>
      <c r="GE31" s="618">
        <v>339264</v>
      </c>
      <c r="GF31" s="618">
        <v>0</v>
      </c>
      <c r="GG31" s="618">
        <v>23339</v>
      </c>
      <c r="GH31" s="618">
        <v>23039</v>
      </c>
      <c r="GI31" s="12">
        <v>45187</v>
      </c>
      <c r="GJ31" s="5">
        <v>43921</v>
      </c>
      <c r="GK31" s="5">
        <v>148</v>
      </c>
      <c r="GL31" s="5">
        <v>772</v>
      </c>
      <c r="GM31" s="10">
        <v>1118</v>
      </c>
      <c r="GN31" s="5">
        <v>57003</v>
      </c>
      <c r="GO31" s="5">
        <v>54075</v>
      </c>
      <c r="GP31" s="5">
        <v>296</v>
      </c>
      <c r="GQ31" s="5">
        <v>1505</v>
      </c>
      <c r="GR31" s="10">
        <v>2632</v>
      </c>
      <c r="GS31" s="12">
        <v>81093</v>
      </c>
      <c r="GT31" s="5">
        <v>77194</v>
      </c>
      <c r="GU31" s="5">
        <v>184</v>
      </c>
      <c r="GV31" s="5">
        <v>3660</v>
      </c>
      <c r="GW31" s="5">
        <v>3715</v>
      </c>
      <c r="GX31" s="12"/>
      <c r="GY31" s="5"/>
      <c r="GZ31" s="5"/>
      <c r="HA31" s="5"/>
      <c r="HB31" s="10"/>
      <c r="HC31" s="5">
        <v>87854</v>
      </c>
      <c r="HD31" s="5">
        <v>83799</v>
      </c>
      <c r="HE31" s="5">
        <v>346</v>
      </c>
      <c r="HF31" s="5">
        <v>3881</v>
      </c>
      <c r="HG31" s="5">
        <v>3697</v>
      </c>
      <c r="HH31" s="5">
        <v>91781</v>
      </c>
      <c r="HI31" s="5">
        <v>83650</v>
      </c>
      <c r="HJ31" s="5">
        <v>620</v>
      </c>
      <c r="HK31" s="5">
        <v>4441</v>
      </c>
      <c r="HL31" s="5">
        <v>4163</v>
      </c>
      <c r="HM31" s="5">
        <v>102284</v>
      </c>
      <c r="HN31" s="5">
        <v>93609</v>
      </c>
      <c r="HO31" s="5">
        <v>0</v>
      </c>
      <c r="HP31" s="5">
        <v>4377</v>
      </c>
      <c r="HQ31" s="5">
        <v>4589</v>
      </c>
      <c r="HR31" s="5">
        <v>104375</v>
      </c>
      <c r="HS31" s="5">
        <v>94348</v>
      </c>
      <c r="HT31" s="5">
        <v>0</v>
      </c>
      <c r="HU31" s="5">
        <v>5829</v>
      </c>
      <c r="HV31" s="5">
        <v>5845</v>
      </c>
      <c r="HW31" s="569">
        <f t="shared" si="454"/>
        <v>151322</v>
      </c>
      <c r="HX31" s="546">
        <f t="shared" si="455"/>
        <v>147437</v>
      </c>
      <c r="HY31" s="546">
        <f t="shared" si="456"/>
        <v>422</v>
      </c>
      <c r="HZ31" s="546">
        <f t="shared" si="457"/>
        <v>2235</v>
      </c>
      <c r="IA31" s="546">
        <f t="shared" si="458"/>
        <v>3463</v>
      </c>
      <c r="IB31" s="569">
        <f t="shared" si="459"/>
        <v>227618</v>
      </c>
      <c r="IC31" s="546">
        <f t="shared" si="460"/>
        <v>217108</v>
      </c>
      <c r="ID31" s="546">
        <f t="shared" si="461"/>
        <v>894</v>
      </c>
      <c r="IE31" s="546">
        <f t="shared" si="462"/>
        <v>4451</v>
      </c>
      <c r="IF31" s="546">
        <f t="shared" si="463"/>
        <v>9616</v>
      </c>
      <c r="IG31" s="12">
        <v>286193</v>
      </c>
      <c r="IH31" s="5">
        <v>272605</v>
      </c>
      <c r="II31" s="5">
        <v>866</v>
      </c>
      <c r="IJ31" s="5">
        <v>8604</v>
      </c>
      <c r="IK31" s="5">
        <v>12722</v>
      </c>
      <c r="IL31" s="565"/>
      <c r="IM31" s="7"/>
      <c r="IN31" s="7"/>
      <c r="IO31" s="7"/>
      <c r="IP31" s="7"/>
      <c r="IQ31" s="7">
        <v>338983</v>
      </c>
      <c r="IR31" s="7">
        <v>323318</v>
      </c>
      <c r="IS31" s="7">
        <v>1432</v>
      </c>
      <c r="IT31" s="7">
        <v>10614</v>
      </c>
      <c r="IU31" s="577">
        <v>14090</v>
      </c>
      <c r="IV31" s="7">
        <v>351449</v>
      </c>
      <c r="IW31" s="7">
        <v>324446</v>
      </c>
      <c r="IX31" s="7">
        <v>1990</v>
      </c>
      <c r="IY31" s="7">
        <v>12311</v>
      </c>
      <c r="IZ31" s="7">
        <v>15779</v>
      </c>
      <c r="JA31" s="565">
        <v>379196</v>
      </c>
      <c r="JB31" s="7">
        <v>349222</v>
      </c>
      <c r="JC31" s="7">
        <v>0</v>
      </c>
      <c r="JD31" s="7">
        <v>12084</v>
      </c>
      <c r="JE31" s="7">
        <v>18152</v>
      </c>
      <c r="JF31" s="565">
        <v>404785</v>
      </c>
      <c r="JG31" s="7">
        <v>370554</v>
      </c>
      <c r="JH31" s="7">
        <v>0</v>
      </c>
      <c r="JI31" s="7">
        <v>14890</v>
      </c>
      <c r="JJ31" s="7">
        <v>21637</v>
      </c>
      <c r="JK31" s="12">
        <v>74443</v>
      </c>
      <c r="JL31" s="5">
        <v>72709</v>
      </c>
      <c r="JM31" s="5">
        <v>178</v>
      </c>
      <c r="JN31" s="5">
        <v>996</v>
      </c>
      <c r="JO31" s="5">
        <v>1556</v>
      </c>
      <c r="JP31" s="12">
        <v>116901</v>
      </c>
      <c r="JQ31" s="5">
        <v>111798</v>
      </c>
      <c r="JR31" s="5">
        <v>439</v>
      </c>
      <c r="JS31" s="5">
        <v>2025</v>
      </c>
      <c r="JT31" s="5">
        <v>4664</v>
      </c>
      <c r="JU31" s="12">
        <v>161999</v>
      </c>
      <c r="JV31" s="5">
        <v>154678</v>
      </c>
      <c r="JW31" s="5">
        <v>506</v>
      </c>
      <c r="JX31" s="5">
        <v>3997</v>
      </c>
      <c r="JY31" s="5">
        <v>6815</v>
      </c>
      <c r="JZ31" s="12">
        <v>166636.87299999999</v>
      </c>
      <c r="KA31" s="5">
        <v>159081.07999999999</v>
      </c>
      <c r="KB31" s="5"/>
      <c r="KC31" s="5">
        <v>4358.9340000000002</v>
      </c>
      <c r="KD31" s="5">
        <v>7555.7930000000051</v>
      </c>
      <c r="KE31" s="5">
        <v>178573</v>
      </c>
      <c r="KF31" s="5">
        <v>166225</v>
      </c>
      <c r="KG31" s="5">
        <v>945</v>
      </c>
      <c r="KH31" s="5">
        <v>5478</v>
      </c>
      <c r="KI31" s="5">
        <v>7483</v>
      </c>
      <c r="KJ31" s="5">
        <v>189566</v>
      </c>
      <c r="KK31" s="5">
        <v>175731</v>
      </c>
      <c r="KL31" s="5">
        <v>0</v>
      </c>
      <c r="KM31" s="5">
        <v>5627</v>
      </c>
      <c r="KN31" s="5">
        <v>9033</v>
      </c>
      <c r="KO31" s="5">
        <v>203363</v>
      </c>
      <c r="KP31" s="5">
        <v>189626</v>
      </c>
      <c r="KQ31" s="5">
        <v>0</v>
      </c>
      <c r="KR31" s="5">
        <v>5882</v>
      </c>
      <c r="KS31" s="5">
        <v>8436</v>
      </c>
      <c r="KT31" s="258" t="s">
        <v>185</v>
      </c>
      <c r="KU31" s="259" t="s">
        <v>185</v>
      </c>
      <c r="KV31" s="316">
        <v>24483</v>
      </c>
      <c r="KW31" s="332">
        <f t="shared" si="410"/>
        <v>15291</v>
      </c>
      <c r="KX31" s="332">
        <f t="shared" si="411"/>
        <v>9192</v>
      </c>
      <c r="KY31" s="332">
        <f t="shared" si="412"/>
        <v>24278</v>
      </c>
      <c r="KZ31" s="318">
        <v>15134</v>
      </c>
      <c r="LA31" s="318">
        <v>9144</v>
      </c>
      <c r="LB31" s="332">
        <f t="shared" si="413"/>
        <v>205</v>
      </c>
      <c r="LC31" s="318">
        <v>157</v>
      </c>
      <c r="LD31" s="318">
        <v>48</v>
      </c>
      <c r="LE31" s="316">
        <v>36744</v>
      </c>
      <c r="LF31" s="332">
        <f t="shared" si="414"/>
        <v>22639</v>
      </c>
      <c r="LG31" s="332">
        <f t="shared" si="415"/>
        <v>14105</v>
      </c>
      <c r="LH31" s="332">
        <f t="shared" si="416"/>
        <v>36434</v>
      </c>
      <c r="LI31" s="318">
        <v>22396</v>
      </c>
      <c r="LJ31" s="318">
        <v>14038</v>
      </c>
      <c r="LK31" s="332">
        <f t="shared" si="417"/>
        <v>28</v>
      </c>
      <c r="LL31" s="318">
        <v>21</v>
      </c>
      <c r="LM31" s="318">
        <v>7</v>
      </c>
      <c r="LN31" s="332">
        <f t="shared" si="418"/>
        <v>282</v>
      </c>
      <c r="LO31" s="318">
        <v>222</v>
      </c>
      <c r="LP31" s="318">
        <v>60</v>
      </c>
      <c r="LQ31" s="316">
        <v>81413</v>
      </c>
      <c r="LR31" s="332">
        <f t="shared" si="419"/>
        <v>49962</v>
      </c>
      <c r="LS31" s="332">
        <f t="shared" si="420"/>
        <v>31451</v>
      </c>
      <c r="LT31" s="342">
        <f t="shared" si="421"/>
        <v>79438</v>
      </c>
      <c r="LU31" s="318">
        <v>48642</v>
      </c>
      <c r="LV31" s="318">
        <v>30796</v>
      </c>
      <c r="LW31" s="318">
        <v>1320</v>
      </c>
      <c r="LX31" s="318">
        <v>655</v>
      </c>
      <c r="LY31" s="342">
        <f t="shared" si="422"/>
        <v>179</v>
      </c>
      <c r="LZ31" s="318">
        <v>137</v>
      </c>
      <c r="MA31" s="318">
        <v>42</v>
      </c>
      <c r="MB31" s="342">
        <f t="shared" si="423"/>
        <v>763</v>
      </c>
      <c r="MC31" s="318">
        <v>546</v>
      </c>
      <c r="MD31" s="318">
        <v>217</v>
      </c>
      <c r="ME31" s="333">
        <f t="shared" si="424"/>
        <v>1033</v>
      </c>
      <c r="MF31" s="333">
        <f t="shared" si="425"/>
        <v>637</v>
      </c>
      <c r="MG31" s="333">
        <f t="shared" si="426"/>
        <v>396</v>
      </c>
      <c r="MH31" s="334">
        <f t="shared" si="427"/>
        <v>35</v>
      </c>
      <c r="MI31" s="334">
        <f t="shared" si="428"/>
        <v>24</v>
      </c>
      <c r="MJ31" s="334">
        <f t="shared" si="429"/>
        <v>11</v>
      </c>
      <c r="MK31" s="318">
        <v>998</v>
      </c>
      <c r="ML31" s="318">
        <v>613</v>
      </c>
      <c r="MM31" s="318">
        <v>385</v>
      </c>
      <c r="MN31" s="14">
        <f t="shared" si="430"/>
        <v>106135</v>
      </c>
      <c r="MO31" s="332">
        <f t="shared" si="431"/>
        <v>61367</v>
      </c>
      <c r="MP31" s="332">
        <f t="shared" si="432"/>
        <v>44768</v>
      </c>
      <c r="MQ31" s="13">
        <f t="shared" si="433"/>
        <v>103516</v>
      </c>
      <c r="MR31" s="136">
        <f t="shared" si="434"/>
        <v>102508</v>
      </c>
      <c r="MS31" s="318">
        <v>59179</v>
      </c>
      <c r="MT31" s="318">
        <v>43329</v>
      </c>
      <c r="MU31" s="318">
        <v>2188</v>
      </c>
      <c r="MV31" s="318">
        <v>1439</v>
      </c>
      <c r="MW31" s="13">
        <f t="shared" si="435"/>
        <v>274</v>
      </c>
      <c r="MX31" s="136">
        <f t="shared" si="436"/>
        <v>263</v>
      </c>
      <c r="MY31" s="318">
        <v>184</v>
      </c>
      <c r="MZ31" s="318">
        <v>79</v>
      </c>
      <c r="NA31" s="13">
        <f t="shared" si="437"/>
        <v>1463</v>
      </c>
      <c r="NB31" s="318">
        <v>824</v>
      </c>
      <c r="NC31" s="318">
        <v>639</v>
      </c>
      <c r="ND31" s="11">
        <f t="shared" si="438"/>
        <v>2345</v>
      </c>
      <c r="NE31" s="335">
        <f t="shared" si="439"/>
        <v>1180</v>
      </c>
      <c r="NF31" s="335">
        <f t="shared" si="440"/>
        <v>721</v>
      </c>
      <c r="NG31" s="336">
        <f t="shared" si="441"/>
        <v>18</v>
      </c>
      <c r="NH31" s="336">
        <f t="shared" si="442"/>
        <v>12</v>
      </c>
      <c r="NI31" s="336">
        <f t="shared" si="443"/>
        <v>6</v>
      </c>
      <c r="NJ31" s="337">
        <f t="shared" si="444"/>
        <v>1883</v>
      </c>
      <c r="NK31" s="337">
        <f t="shared" si="445"/>
        <v>1168</v>
      </c>
      <c r="NL31" s="337">
        <f t="shared" si="446"/>
        <v>715</v>
      </c>
      <c r="NM31" s="318">
        <v>311</v>
      </c>
      <c r="NN31" s="318">
        <v>213</v>
      </c>
      <c r="NO31" s="318">
        <v>857</v>
      </c>
      <c r="NP31" s="318">
        <v>502</v>
      </c>
      <c r="NQ31" s="338">
        <v>170615</v>
      </c>
      <c r="NR31" s="318">
        <v>93229</v>
      </c>
      <c r="NS31" s="318">
        <v>77386</v>
      </c>
      <c r="NT31" s="7">
        <f t="shared" si="447"/>
        <v>163033</v>
      </c>
      <c r="NU31" s="7">
        <v>89232</v>
      </c>
      <c r="NV31" s="7">
        <v>73801</v>
      </c>
      <c r="NW31" s="125">
        <f t="shared" si="448"/>
        <v>161382</v>
      </c>
      <c r="NX31" s="318">
        <v>88492</v>
      </c>
      <c r="NY31" s="318">
        <v>72890</v>
      </c>
      <c r="NZ31" s="7">
        <f t="shared" si="449"/>
        <v>598</v>
      </c>
      <c r="OA31" s="318">
        <v>410</v>
      </c>
      <c r="OB31" s="318">
        <v>188</v>
      </c>
      <c r="OC31" s="7">
        <f t="shared" si="450"/>
        <v>2946</v>
      </c>
      <c r="OD31" s="318">
        <v>1465</v>
      </c>
      <c r="OE31" s="318">
        <v>1481</v>
      </c>
      <c r="OF31" s="125">
        <f t="shared" si="451"/>
        <v>6984</v>
      </c>
      <c r="OG31" s="125">
        <f t="shared" si="452"/>
        <v>3587</v>
      </c>
      <c r="OH31" s="125">
        <f t="shared" si="453"/>
        <v>3397</v>
      </c>
      <c r="OI31" s="326">
        <v>216693</v>
      </c>
      <c r="OJ31" s="318">
        <v>206487</v>
      </c>
      <c r="OK31" s="318">
        <v>1221</v>
      </c>
      <c r="OL31" s="318">
        <v>8985</v>
      </c>
      <c r="OM31" s="7">
        <v>6074</v>
      </c>
      <c r="ON31" s="12">
        <v>225223</v>
      </c>
      <c r="OO31" s="5">
        <v>214898</v>
      </c>
      <c r="OP31" s="5">
        <v>1027</v>
      </c>
      <c r="OQ31" s="5">
        <v>9298</v>
      </c>
      <c r="OR31" s="5">
        <v>5567</v>
      </c>
      <c r="OS31" s="12">
        <v>227334</v>
      </c>
      <c r="OT31" s="5">
        <v>217160</v>
      </c>
      <c r="OU31" s="5">
        <v>954</v>
      </c>
      <c r="OV31" s="5">
        <v>9220</v>
      </c>
      <c r="OW31" s="5">
        <v>5650</v>
      </c>
      <c r="OX31" s="12">
        <v>235308</v>
      </c>
      <c r="OY31" s="5">
        <v>224136</v>
      </c>
      <c r="OZ31" s="5">
        <v>771</v>
      </c>
      <c r="PA31" s="5">
        <v>10401</v>
      </c>
      <c r="PB31" s="5">
        <v>5467</v>
      </c>
      <c r="PC31" s="12">
        <v>242560.18199999997</v>
      </c>
      <c r="PD31" s="5">
        <v>230297.61</v>
      </c>
      <c r="PE31" s="5"/>
      <c r="PF31" s="5">
        <v>6134.7960000000003</v>
      </c>
      <c r="PG31" s="5">
        <v>12262.571999999986</v>
      </c>
      <c r="PH31" s="5">
        <v>251129</v>
      </c>
      <c r="PI31" s="5">
        <v>239519</v>
      </c>
      <c r="PJ31" s="5">
        <v>1086</v>
      </c>
      <c r="PK31" s="5">
        <v>6733</v>
      </c>
      <c r="PL31" s="2">
        <v>10393</v>
      </c>
      <c r="PM31" s="2">
        <v>259668</v>
      </c>
      <c r="PN31" s="2">
        <v>240796</v>
      </c>
      <c r="PO31" s="2">
        <v>1370</v>
      </c>
      <c r="PP31" s="2">
        <v>7870</v>
      </c>
      <c r="PQ31" s="2">
        <v>11616</v>
      </c>
      <c r="PR31" s="2">
        <v>276912</v>
      </c>
      <c r="PS31" s="2">
        <v>255613</v>
      </c>
      <c r="PT31" s="2">
        <v>0</v>
      </c>
      <c r="PU31" s="2">
        <v>7707</v>
      </c>
      <c r="PV31" s="2">
        <v>13563</v>
      </c>
      <c r="PW31" s="2">
        <v>300410</v>
      </c>
      <c r="PX31" s="2">
        <v>276206</v>
      </c>
      <c r="PY31" s="2"/>
      <c r="PZ31" s="2">
        <v>9061</v>
      </c>
      <c r="QA31" s="2">
        <v>15792</v>
      </c>
      <c r="QB31" s="12">
        <v>31692</v>
      </c>
      <c r="QC31" s="5">
        <v>30807</v>
      </c>
      <c r="QD31" s="5">
        <v>96</v>
      </c>
      <c r="QE31" s="5">
        <v>467</v>
      </c>
      <c r="QF31" s="5">
        <v>789</v>
      </c>
      <c r="QG31" s="12">
        <v>53714</v>
      </c>
      <c r="QH31" s="5">
        <v>51235</v>
      </c>
      <c r="QI31" s="5">
        <v>159</v>
      </c>
      <c r="QJ31" s="5">
        <v>921</v>
      </c>
      <c r="QK31" s="5">
        <v>2320</v>
      </c>
      <c r="QL31" s="12">
        <v>73309</v>
      </c>
      <c r="QM31" s="5">
        <v>69458</v>
      </c>
      <c r="QN31" s="5">
        <v>265</v>
      </c>
      <c r="QO31" s="5">
        <v>1470</v>
      </c>
      <c r="QP31" s="5">
        <v>3586</v>
      </c>
      <c r="QQ31" s="12">
        <v>75923.308999999994</v>
      </c>
      <c r="QR31" s="5">
        <v>71216.53</v>
      </c>
      <c r="QS31" s="5"/>
      <c r="QT31" s="5">
        <v>1775.8620000000001</v>
      </c>
      <c r="QU31" s="10">
        <v>4706.778999999995</v>
      </c>
      <c r="QV31" s="1">
        <v>78868</v>
      </c>
      <c r="QW31" s="2">
        <v>74588</v>
      </c>
      <c r="QX31" s="2">
        <v>461</v>
      </c>
      <c r="QY31" s="2">
        <v>1995</v>
      </c>
      <c r="QZ31" s="69">
        <v>3819</v>
      </c>
      <c r="RA31" s="2">
        <v>81095</v>
      </c>
      <c r="RB31" s="2">
        <v>74571</v>
      </c>
      <c r="RC31" s="2">
        <v>425</v>
      </c>
      <c r="RD31" s="2">
        <v>2392</v>
      </c>
      <c r="RE31" s="2">
        <v>4133</v>
      </c>
      <c r="RF31" s="2">
        <v>87346</v>
      </c>
      <c r="RG31" s="2">
        <v>79882</v>
      </c>
      <c r="RH31" s="2">
        <v>0</v>
      </c>
      <c r="RI31" s="2">
        <v>2080</v>
      </c>
      <c r="RJ31" s="2">
        <v>4530</v>
      </c>
      <c r="RK31" s="2">
        <v>97047</v>
      </c>
      <c r="RL31" s="2">
        <v>86580</v>
      </c>
      <c r="RN31" s="2">
        <v>3179</v>
      </c>
      <c r="RO31" s="2">
        <v>7356</v>
      </c>
    </row>
    <row r="32" spans="1:483" ht="14.25" x14ac:dyDescent="0.2">
      <c r="A32" s="217" t="s">
        <v>33</v>
      </c>
      <c r="B32" s="258" t="s">
        <v>185</v>
      </c>
      <c r="C32" s="259" t="s">
        <v>185</v>
      </c>
      <c r="D32" s="259" t="s">
        <v>185</v>
      </c>
      <c r="E32" s="259" t="s">
        <v>185</v>
      </c>
      <c r="F32" s="260" t="s">
        <v>185</v>
      </c>
      <c r="G32" s="5">
        <v>41144</v>
      </c>
      <c r="H32" s="5">
        <v>37902</v>
      </c>
      <c r="I32" s="5">
        <v>75</v>
      </c>
      <c r="J32" s="5">
        <v>844</v>
      </c>
      <c r="K32" s="10">
        <v>3167</v>
      </c>
      <c r="L32" s="5">
        <v>25200</v>
      </c>
      <c r="M32" s="5">
        <v>22275</v>
      </c>
      <c r="N32" s="5">
        <v>23</v>
      </c>
      <c r="O32" s="5">
        <v>820</v>
      </c>
      <c r="P32" s="10">
        <v>2902</v>
      </c>
      <c r="Q32" s="7">
        <v>17581</v>
      </c>
      <c r="R32" s="7">
        <v>14978</v>
      </c>
      <c r="S32" s="7">
        <v>0</v>
      </c>
      <c r="T32" s="7">
        <v>826</v>
      </c>
      <c r="U32" s="577">
        <v>2603</v>
      </c>
      <c r="V32" s="7">
        <v>15159</v>
      </c>
      <c r="W32" s="7">
        <v>12846</v>
      </c>
      <c r="X32" s="7">
        <v>41</v>
      </c>
      <c r="Y32" s="7">
        <v>1070</v>
      </c>
      <c r="Z32" s="7">
        <v>2248</v>
      </c>
      <c r="AA32" s="7">
        <v>14449</v>
      </c>
      <c r="AB32" s="7">
        <v>11654</v>
      </c>
      <c r="AC32" s="7">
        <v>96</v>
      </c>
      <c r="AD32" s="7">
        <v>993</v>
      </c>
      <c r="AE32" s="675">
        <v>2237</v>
      </c>
      <c r="AF32" s="560">
        <v>14391</v>
      </c>
      <c r="AG32" s="560">
        <v>11381</v>
      </c>
      <c r="AH32" s="560">
        <v>0</v>
      </c>
      <c r="AI32" s="560">
        <v>997</v>
      </c>
      <c r="AJ32" s="560">
        <v>1941</v>
      </c>
      <c r="AK32" s="560">
        <v>13453</v>
      </c>
      <c r="AL32" s="560">
        <v>10489</v>
      </c>
      <c r="AM32" s="560">
        <v>0</v>
      </c>
      <c r="AN32" s="560">
        <v>1539</v>
      </c>
      <c r="AO32" s="560">
        <v>1378</v>
      </c>
      <c r="AP32" s="12">
        <v>55325</v>
      </c>
      <c r="AQ32" s="5">
        <v>49963</v>
      </c>
      <c r="AR32" s="5">
        <v>113</v>
      </c>
      <c r="AS32" s="5">
        <v>977</v>
      </c>
      <c r="AT32" s="10">
        <v>5249</v>
      </c>
      <c r="AU32" s="5">
        <v>50158</v>
      </c>
      <c r="AV32" s="5">
        <v>43976</v>
      </c>
      <c r="AW32" s="5">
        <v>77</v>
      </c>
      <c r="AX32" s="5">
        <v>1072</v>
      </c>
      <c r="AY32" s="10">
        <v>6105</v>
      </c>
      <c r="AZ32" s="5">
        <v>39841</v>
      </c>
      <c r="BA32" s="5">
        <v>33542</v>
      </c>
      <c r="BB32" s="5">
        <v>0</v>
      </c>
      <c r="BC32" s="5">
        <v>1210</v>
      </c>
      <c r="BD32" s="10">
        <v>6299</v>
      </c>
      <c r="BE32" s="5">
        <v>37553</v>
      </c>
      <c r="BF32" s="5">
        <v>31700</v>
      </c>
      <c r="BG32" s="5">
        <v>208</v>
      </c>
      <c r="BH32" s="5">
        <v>1449</v>
      </c>
      <c r="BI32" s="5">
        <v>5645</v>
      </c>
      <c r="BJ32" s="5">
        <v>36750</v>
      </c>
      <c r="BK32" s="5">
        <v>30316</v>
      </c>
      <c r="BL32" s="5">
        <v>125</v>
      </c>
      <c r="BM32" s="5">
        <v>1427</v>
      </c>
      <c r="BN32" s="53">
        <v>5615</v>
      </c>
      <c r="BO32" s="53">
        <v>31182</v>
      </c>
      <c r="BP32" s="53">
        <v>24285</v>
      </c>
      <c r="BQ32" s="53">
        <v>0</v>
      </c>
      <c r="BR32" s="53">
        <v>1952</v>
      </c>
      <c r="BS32" s="53">
        <v>5036</v>
      </c>
      <c r="BT32" s="53">
        <v>37785</v>
      </c>
      <c r="BU32" s="53">
        <v>30608</v>
      </c>
      <c r="BV32" s="53">
        <v>0</v>
      </c>
      <c r="BW32" s="53">
        <v>1613</v>
      </c>
      <c r="BX32" s="53">
        <v>5047</v>
      </c>
      <c r="BY32" s="12">
        <v>55786</v>
      </c>
      <c r="BZ32" s="5">
        <v>47089</v>
      </c>
      <c r="CA32" s="5"/>
      <c r="CB32" s="5">
        <v>2272</v>
      </c>
      <c r="CC32" s="290">
        <f t="shared" si="398"/>
        <v>8697</v>
      </c>
      <c r="CD32" s="258" t="s">
        <v>185</v>
      </c>
      <c r="CE32" s="259" t="s">
        <v>185</v>
      </c>
      <c r="CF32" s="259" t="s">
        <v>185</v>
      </c>
      <c r="CG32" s="259" t="s">
        <v>185</v>
      </c>
      <c r="CH32" s="258" t="s">
        <v>185</v>
      </c>
      <c r="CI32" s="259" t="s">
        <v>185</v>
      </c>
      <c r="CJ32" s="259" t="s">
        <v>185</v>
      </c>
      <c r="CK32" s="259" t="s">
        <v>185</v>
      </c>
      <c r="CL32" s="260" t="s">
        <v>185</v>
      </c>
      <c r="CM32" s="5">
        <v>411382</v>
      </c>
      <c r="CN32" s="5">
        <v>392261</v>
      </c>
      <c r="CO32" s="5">
        <v>798</v>
      </c>
      <c r="CP32" s="5">
        <v>3604</v>
      </c>
      <c r="CQ32" s="10">
        <v>18323</v>
      </c>
      <c r="CR32" s="5">
        <v>511263</v>
      </c>
      <c r="CS32" s="5">
        <v>478948</v>
      </c>
      <c r="CT32" s="5">
        <v>1030</v>
      </c>
      <c r="CU32" s="5">
        <v>6720</v>
      </c>
      <c r="CV32" s="5">
        <v>31285</v>
      </c>
      <c r="CW32" s="195">
        <v>569070</v>
      </c>
      <c r="CX32" s="5">
        <v>529121</v>
      </c>
      <c r="CY32" s="5">
        <v>1834</v>
      </c>
      <c r="CZ32" s="5">
        <v>38115</v>
      </c>
      <c r="DA32" s="5">
        <v>9413</v>
      </c>
      <c r="DB32" s="12">
        <v>579340</v>
      </c>
      <c r="DC32" s="5">
        <v>539406</v>
      </c>
      <c r="DD32" s="5">
        <v>1670</v>
      </c>
      <c r="DE32" s="5">
        <v>38264</v>
      </c>
      <c r="DF32" s="5">
        <v>10610</v>
      </c>
      <c r="DG32" s="56">
        <v>582774</v>
      </c>
      <c r="DH32" s="54">
        <v>542212</v>
      </c>
      <c r="DI32" s="54">
        <v>1919</v>
      </c>
      <c r="DJ32" s="54">
        <v>38643</v>
      </c>
      <c r="DK32" s="54">
        <v>11105</v>
      </c>
      <c r="DL32" s="12">
        <v>606776</v>
      </c>
      <c r="DM32" s="5">
        <v>565368</v>
      </c>
      <c r="DN32" s="5">
        <v>0</v>
      </c>
      <c r="DO32" s="5">
        <v>11153</v>
      </c>
      <c r="DP32" s="5">
        <v>31239</v>
      </c>
      <c r="DQ32" s="12">
        <v>617011.66800000006</v>
      </c>
      <c r="DR32" s="5">
        <v>572504.85600000003</v>
      </c>
      <c r="DS32" s="5"/>
      <c r="DT32" s="5">
        <v>11412.456</v>
      </c>
      <c r="DU32" s="530">
        <f t="shared" si="399"/>
        <v>44506.812000000034</v>
      </c>
      <c r="DV32" s="5">
        <v>625860</v>
      </c>
      <c r="DW32" s="5">
        <v>580545</v>
      </c>
      <c r="DX32" s="5">
        <v>2108</v>
      </c>
      <c r="DY32" s="5">
        <v>12114</v>
      </c>
      <c r="DZ32" s="5">
        <v>42713</v>
      </c>
      <c r="EA32" s="5">
        <v>632739</v>
      </c>
      <c r="EB32" s="5">
        <v>576411</v>
      </c>
      <c r="EC32" s="5">
        <v>2392</v>
      </c>
      <c r="ED32" s="5">
        <v>12682</v>
      </c>
      <c r="EE32" s="5">
        <v>45023</v>
      </c>
      <c r="EF32" s="5">
        <v>660756</v>
      </c>
      <c r="EG32" s="5">
        <v>597937</v>
      </c>
      <c r="EH32" s="5">
        <v>0</v>
      </c>
      <c r="EI32" s="5">
        <v>15638</v>
      </c>
      <c r="EJ32" s="5">
        <v>45950</v>
      </c>
      <c r="EK32" s="5">
        <v>661378</v>
      </c>
      <c r="EL32" s="5">
        <v>598463</v>
      </c>
      <c r="EM32" s="5">
        <v>0</v>
      </c>
      <c r="EN32" s="5">
        <v>14946</v>
      </c>
      <c r="EO32" s="5">
        <v>43073</v>
      </c>
      <c r="EP32" s="258" t="s">
        <v>185</v>
      </c>
      <c r="EQ32" s="259" t="s">
        <v>185</v>
      </c>
      <c r="ER32" s="259" t="s">
        <v>185</v>
      </c>
      <c r="ES32" s="259" t="s">
        <v>185</v>
      </c>
      <c r="ET32" s="260" t="s">
        <v>185</v>
      </c>
      <c r="EU32" s="5">
        <v>140791</v>
      </c>
      <c r="EV32" s="5">
        <v>132402</v>
      </c>
      <c r="EW32" s="5">
        <v>396</v>
      </c>
      <c r="EX32" s="5">
        <v>1261</v>
      </c>
      <c r="EY32" s="10">
        <v>7993</v>
      </c>
      <c r="EZ32" s="5">
        <v>184887</v>
      </c>
      <c r="FA32" s="5">
        <v>170622</v>
      </c>
      <c r="FB32" s="5">
        <v>474</v>
      </c>
      <c r="FC32" s="5">
        <v>2673</v>
      </c>
      <c r="FD32" s="10">
        <v>13791</v>
      </c>
      <c r="FE32" s="5">
        <v>217395</v>
      </c>
      <c r="FF32" s="5">
        <v>198816</v>
      </c>
      <c r="FG32" s="5">
        <v>0</v>
      </c>
      <c r="FH32" s="5">
        <v>4465</v>
      </c>
      <c r="FI32" s="10">
        <v>18579</v>
      </c>
      <c r="FJ32" s="5">
        <v>221129.45399999997</v>
      </c>
      <c r="FK32" s="5">
        <v>201987.644</v>
      </c>
      <c r="FL32" s="5"/>
      <c r="FM32" s="5">
        <v>4789.3999999999996</v>
      </c>
      <c r="FN32" s="10">
        <v>19141.809999999969</v>
      </c>
      <c r="FO32" s="5">
        <v>226672</v>
      </c>
      <c r="FP32" s="5">
        <v>206249</v>
      </c>
      <c r="FQ32" s="5">
        <v>916</v>
      </c>
      <c r="FR32" s="5">
        <v>5161</v>
      </c>
      <c r="FS32" s="618">
        <v>19252</v>
      </c>
      <c r="FT32" s="618">
        <v>232108</v>
      </c>
      <c r="FU32" s="618">
        <v>207534</v>
      </c>
      <c r="FV32" s="618">
        <v>1002</v>
      </c>
      <c r="FW32" s="618">
        <v>5383</v>
      </c>
      <c r="FX32" s="618">
        <v>19805</v>
      </c>
      <c r="FY32" s="618">
        <v>222183</v>
      </c>
      <c r="FZ32" s="618">
        <v>199297</v>
      </c>
      <c r="GA32" s="618">
        <v>0</v>
      </c>
      <c r="GB32" s="618">
        <v>4736</v>
      </c>
      <c r="GC32" s="618">
        <v>17809</v>
      </c>
      <c r="GD32" s="618">
        <v>234357</v>
      </c>
      <c r="GE32" s="618">
        <v>209336</v>
      </c>
      <c r="GF32" s="618">
        <v>0</v>
      </c>
      <c r="GG32" s="618">
        <v>5403</v>
      </c>
      <c r="GH32" s="618">
        <v>19205</v>
      </c>
      <c r="GI32" s="12">
        <v>28555</v>
      </c>
      <c r="GJ32" s="5">
        <v>26698</v>
      </c>
      <c r="GK32" s="5">
        <v>77</v>
      </c>
      <c r="GL32" s="5">
        <v>291</v>
      </c>
      <c r="GM32" s="10">
        <v>1780</v>
      </c>
      <c r="GN32" s="5">
        <v>34420</v>
      </c>
      <c r="GO32" s="5">
        <v>30998</v>
      </c>
      <c r="GP32" s="5">
        <v>113</v>
      </c>
      <c r="GQ32" s="5">
        <v>541</v>
      </c>
      <c r="GR32" s="10">
        <v>3309</v>
      </c>
      <c r="GS32" s="12">
        <v>52709</v>
      </c>
      <c r="GT32" s="5">
        <v>47672</v>
      </c>
      <c r="GU32" s="5">
        <v>0</v>
      </c>
      <c r="GV32" s="5">
        <v>1031</v>
      </c>
      <c r="GW32" s="5">
        <v>5037</v>
      </c>
      <c r="GX32" s="12"/>
      <c r="GY32" s="5"/>
      <c r="GZ32" s="5"/>
      <c r="HA32" s="5"/>
      <c r="HB32" s="10"/>
      <c r="HC32" s="5">
        <v>55523</v>
      </c>
      <c r="HD32" s="5">
        <v>50195</v>
      </c>
      <c r="HE32" s="5">
        <v>177</v>
      </c>
      <c r="HF32" s="5">
        <v>1115</v>
      </c>
      <c r="HG32" s="5">
        <v>5120</v>
      </c>
      <c r="HH32" s="5">
        <v>57289</v>
      </c>
      <c r="HI32" s="5">
        <v>50671</v>
      </c>
      <c r="HJ32" s="5">
        <v>217</v>
      </c>
      <c r="HK32" s="5">
        <v>1264</v>
      </c>
      <c r="HL32" s="5">
        <v>5297</v>
      </c>
      <c r="HM32" s="5">
        <v>60796</v>
      </c>
      <c r="HN32" s="5">
        <v>54493</v>
      </c>
      <c r="HO32" s="5">
        <v>0</v>
      </c>
      <c r="HP32" s="5">
        <v>1066</v>
      </c>
      <c r="HQ32" s="5">
        <v>5114</v>
      </c>
      <c r="HR32" s="5">
        <v>66134</v>
      </c>
      <c r="HS32" s="5">
        <v>58357</v>
      </c>
      <c r="HT32" s="5">
        <v>0</v>
      </c>
      <c r="HU32" s="5">
        <v>1952</v>
      </c>
      <c r="HV32" s="5">
        <v>5612</v>
      </c>
      <c r="HW32" s="569">
        <f t="shared" si="454"/>
        <v>129076</v>
      </c>
      <c r="HX32" s="546">
        <f t="shared" si="455"/>
        <v>124395</v>
      </c>
      <c r="HY32" s="546">
        <f t="shared" si="456"/>
        <v>258</v>
      </c>
      <c r="HZ32" s="546">
        <f t="shared" si="457"/>
        <v>881</v>
      </c>
      <c r="IA32" s="546">
        <f t="shared" si="458"/>
        <v>4423</v>
      </c>
      <c r="IB32" s="569">
        <f t="shared" si="459"/>
        <v>177381</v>
      </c>
      <c r="IC32" s="546">
        <f t="shared" si="460"/>
        <v>167856</v>
      </c>
      <c r="ID32" s="546">
        <f t="shared" si="461"/>
        <v>488</v>
      </c>
      <c r="IE32" s="546">
        <f t="shared" si="462"/>
        <v>1864</v>
      </c>
      <c r="IF32" s="546">
        <f t="shared" si="463"/>
        <v>9037</v>
      </c>
      <c r="IG32" s="12">
        <v>212835</v>
      </c>
      <c r="IH32" s="5">
        <v>200310</v>
      </c>
      <c r="II32" s="5">
        <v>0</v>
      </c>
      <c r="IJ32" s="5">
        <v>3167</v>
      </c>
      <c r="IK32" s="5">
        <v>12525</v>
      </c>
      <c r="IL32" s="565"/>
      <c r="IM32" s="7"/>
      <c r="IN32" s="7"/>
      <c r="IO32" s="7"/>
      <c r="IP32" s="7"/>
      <c r="IQ32" s="7">
        <v>250764</v>
      </c>
      <c r="IR32" s="7">
        <v>236267</v>
      </c>
      <c r="IS32" s="7">
        <v>887</v>
      </c>
      <c r="IT32" s="7">
        <v>3577</v>
      </c>
      <c r="IU32" s="577">
        <v>13449</v>
      </c>
      <c r="IV32" s="7">
        <v>254818</v>
      </c>
      <c r="IW32" s="7">
        <v>236991</v>
      </c>
      <c r="IX32" s="7">
        <v>1001</v>
      </c>
      <c r="IY32" s="7">
        <v>3880</v>
      </c>
      <c r="IZ32" s="7">
        <v>13819</v>
      </c>
      <c r="JA32" s="565">
        <v>276970</v>
      </c>
      <c r="JB32" s="7">
        <v>257207</v>
      </c>
      <c r="JC32" s="7">
        <v>0</v>
      </c>
      <c r="JD32" s="7">
        <v>3918</v>
      </c>
      <c r="JE32" s="7">
        <v>15322</v>
      </c>
      <c r="JF32" s="565">
        <v>286740</v>
      </c>
      <c r="JG32" s="7">
        <v>262532</v>
      </c>
      <c r="JH32" s="7">
        <v>0</v>
      </c>
      <c r="JI32" s="7">
        <v>6306</v>
      </c>
      <c r="JJ32" s="7">
        <v>14490</v>
      </c>
      <c r="JK32" s="12">
        <v>71610</v>
      </c>
      <c r="JL32" s="5">
        <v>69605</v>
      </c>
      <c r="JM32" s="5">
        <v>164</v>
      </c>
      <c r="JN32" s="5">
        <v>365</v>
      </c>
      <c r="JO32" s="5">
        <v>1841</v>
      </c>
      <c r="JP32" s="12">
        <v>100758</v>
      </c>
      <c r="JQ32" s="5">
        <v>96627</v>
      </c>
      <c r="JR32" s="5">
        <v>202</v>
      </c>
      <c r="JS32" s="5">
        <v>916</v>
      </c>
      <c r="JT32" s="5">
        <v>3929</v>
      </c>
      <c r="JU32" s="12">
        <v>129597</v>
      </c>
      <c r="JV32" s="5">
        <v>123298</v>
      </c>
      <c r="JW32" s="5">
        <v>0</v>
      </c>
      <c r="JX32" s="5">
        <v>1804</v>
      </c>
      <c r="JY32" s="5">
        <v>6299</v>
      </c>
      <c r="JZ32" s="12">
        <v>131736.696</v>
      </c>
      <c r="KA32" s="5">
        <v>125157.988</v>
      </c>
      <c r="KB32" s="5"/>
      <c r="KC32" s="5">
        <v>1943.1279999999999</v>
      </c>
      <c r="KD32" s="5">
        <v>6578.7079999999987</v>
      </c>
      <c r="KE32" s="5">
        <v>135593</v>
      </c>
      <c r="KF32" s="5">
        <v>127425</v>
      </c>
      <c r="KG32" s="5">
        <v>502</v>
      </c>
      <c r="KH32" s="5">
        <v>2103</v>
      </c>
      <c r="KI32" s="5">
        <v>6127</v>
      </c>
      <c r="KJ32" s="5">
        <v>144135</v>
      </c>
      <c r="KK32" s="5">
        <v>136171</v>
      </c>
      <c r="KL32" s="5">
        <v>0</v>
      </c>
      <c r="KM32" s="5">
        <v>1929</v>
      </c>
      <c r="KN32" s="5">
        <v>6154</v>
      </c>
      <c r="KO32" s="5">
        <v>148944</v>
      </c>
      <c r="KP32" s="5">
        <v>137716</v>
      </c>
      <c r="KQ32" s="5">
        <v>0</v>
      </c>
      <c r="KR32" s="5">
        <v>3029</v>
      </c>
      <c r="KS32" s="5">
        <v>5910</v>
      </c>
      <c r="KT32" s="258" t="s">
        <v>185</v>
      </c>
      <c r="KU32" s="259" t="s">
        <v>185</v>
      </c>
      <c r="KV32" s="316">
        <v>26851</v>
      </c>
      <c r="KW32" s="332">
        <f t="shared" si="410"/>
        <v>16303</v>
      </c>
      <c r="KX32" s="332">
        <f t="shared" si="411"/>
        <v>10548</v>
      </c>
      <c r="KY32" s="332">
        <f t="shared" si="412"/>
        <v>26690</v>
      </c>
      <c r="KZ32" s="318">
        <v>16190</v>
      </c>
      <c r="LA32" s="318">
        <v>10500</v>
      </c>
      <c r="LB32" s="332">
        <f t="shared" si="413"/>
        <v>161</v>
      </c>
      <c r="LC32" s="318">
        <v>113</v>
      </c>
      <c r="LD32" s="318">
        <v>48</v>
      </c>
      <c r="LE32" s="316">
        <v>40144</v>
      </c>
      <c r="LF32" s="332">
        <f t="shared" si="414"/>
        <v>22895</v>
      </c>
      <c r="LG32" s="332">
        <f t="shared" si="415"/>
        <v>17249</v>
      </c>
      <c r="LH32" s="332">
        <f t="shared" si="416"/>
        <v>39774</v>
      </c>
      <c r="LI32" s="318">
        <v>22652</v>
      </c>
      <c r="LJ32" s="318">
        <v>17122</v>
      </c>
      <c r="LK32" s="332">
        <f t="shared" si="417"/>
        <v>64</v>
      </c>
      <c r="LL32" s="318">
        <v>44</v>
      </c>
      <c r="LM32" s="318">
        <v>20</v>
      </c>
      <c r="LN32" s="332">
        <f t="shared" si="418"/>
        <v>306</v>
      </c>
      <c r="LO32" s="318">
        <v>199</v>
      </c>
      <c r="LP32" s="318">
        <v>107</v>
      </c>
      <c r="LQ32" s="316">
        <v>78747</v>
      </c>
      <c r="LR32" s="332">
        <f t="shared" si="419"/>
        <v>44392</v>
      </c>
      <c r="LS32" s="332">
        <f t="shared" si="420"/>
        <v>34355</v>
      </c>
      <c r="LT32" s="342">
        <f t="shared" si="421"/>
        <v>76982</v>
      </c>
      <c r="LU32" s="318">
        <v>43479</v>
      </c>
      <c r="LV32" s="318">
        <v>33503</v>
      </c>
      <c r="LW32" s="318">
        <v>913</v>
      </c>
      <c r="LX32" s="318">
        <v>852</v>
      </c>
      <c r="LY32" s="342">
        <f t="shared" si="422"/>
        <v>129</v>
      </c>
      <c r="LZ32" s="318">
        <v>103</v>
      </c>
      <c r="MA32" s="318">
        <v>26</v>
      </c>
      <c r="MB32" s="342">
        <f t="shared" si="423"/>
        <v>424</v>
      </c>
      <c r="MC32" s="318">
        <v>211</v>
      </c>
      <c r="MD32" s="318">
        <v>213</v>
      </c>
      <c r="ME32" s="333">
        <f t="shared" si="424"/>
        <v>1212</v>
      </c>
      <c r="MF32" s="333">
        <f t="shared" si="425"/>
        <v>599</v>
      </c>
      <c r="MG32" s="333">
        <f t="shared" si="426"/>
        <v>613</v>
      </c>
      <c r="MH32" s="334">
        <f t="shared" si="427"/>
        <v>37</v>
      </c>
      <c r="MI32" s="334">
        <f t="shared" si="428"/>
        <v>27</v>
      </c>
      <c r="MJ32" s="334">
        <f t="shared" si="429"/>
        <v>10</v>
      </c>
      <c r="MK32" s="318">
        <v>1175</v>
      </c>
      <c r="ML32" s="318">
        <v>572</v>
      </c>
      <c r="MM32" s="318">
        <v>603</v>
      </c>
      <c r="MN32" s="14">
        <f t="shared" si="430"/>
        <v>100521</v>
      </c>
      <c r="MO32" s="332">
        <f t="shared" si="431"/>
        <v>53980</v>
      </c>
      <c r="MP32" s="332">
        <f t="shared" si="432"/>
        <v>46541</v>
      </c>
      <c r="MQ32" s="13">
        <f t="shared" si="433"/>
        <v>97697</v>
      </c>
      <c r="MR32" s="136">
        <f t="shared" si="434"/>
        <v>97277</v>
      </c>
      <c r="MS32" s="318">
        <v>52488</v>
      </c>
      <c r="MT32" s="318">
        <v>44789</v>
      </c>
      <c r="MU32" s="318">
        <v>1492</v>
      </c>
      <c r="MV32" s="318">
        <v>1752</v>
      </c>
      <c r="MW32" s="13">
        <f t="shared" si="435"/>
        <v>181</v>
      </c>
      <c r="MX32" s="136">
        <f t="shared" si="436"/>
        <v>172</v>
      </c>
      <c r="MY32" s="318">
        <v>81</v>
      </c>
      <c r="MZ32" s="318">
        <v>91</v>
      </c>
      <c r="NA32" s="13">
        <f t="shared" si="437"/>
        <v>590</v>
      </c>
      <c r="NB32" s="318">
        <v>265</v>
      </c>
      <c r="NC32" s="318">
        <v>325</v>
      </c>
      <c r="ND32" s="11">
        <f t="shared" si="438"/>
        <v>2643</v>
      </c>
      <c r="NE32" s="335">
        <f t="shared" si="439"/>
        <v>1146</v>
      </c>
      <c r="NF32" s="335">
        <f t="shared" si="440"/>
        <v>1336</v>
      </c>
      <c r="NG32" s="336">
        <f t="shared" si="441"/>
        <v>13</v>
      </c>
      <c r="NH32" s="336">
        <f t="shared" si="442"/>
        <v>13</v>
      </c>
      <c r="NI32" s="336">
        <f t="shared" si="443"/>
        <v>0</v>
      </c>
      <c r="NJ32" s="337">
        <f t="shared" si="444"/>
        <v>2469</v>
      </c>
      <c r="NK32" s="337">
        <f t="shared" si="445"/>
        <v>1133</v>
      </c>
      <c r="NL32" s="337">
        <f t="shared" si="446"/>
        <v>1336</v>
      </c>
      <c r="NM32" s="318">
        <v>780</v>
      </c>
      <c r="NN32" s="318">
        <v>993</v>
      </c>
      <c r="NO32" s="318">
        <v>353</v>
      </c>
      <c r="NP32" s="318">
        <v>343</v>
      </c>
      <c r="NQ32" s="338">
        <v>142961</v>
      </c>
      <c r="NR32" s="318">
        <v>72736</v>
      </c>
      <c r="NS32" s="318">
        <v>70225</v>
      </c>
      <c r="NT32" s="7">
        <f t="shared" si="447"/>
        <v>136858</v>
      </c>
      <c r="NU32" s="7">
        <v>69915</v>
      </c>
      <c r="NV32" s="7">
        <v>66943</v>
      </c>
      <c r="NW32" s="125">
        <f t="shared" si="448"/>
        <v>136022</v>
      </c>
      <c r="NX32" s="318">
        <v>69508</v>
      </c>
      <c r="NY32" s="318">
        <v>66514</v>
      </c>
      <c r="NZ32" s="7">
        <f t="shared" si="449"/>
        <v>375</v>
      </c>
      <c r="OA32" s="318">
        <v>239</v>
      </c>
      <c r="OB32" s="318">
        <v>136</v>
      </c>
      <c r="OC32" s="7">
        <f t="shared" si="450"/>
        <v>1323</v>
      </c>
      <c r="OD32" s="318">
        <v>617</v>
      </c>
      <c r="OE32" s="318">
        <v>706</v>
      </c>
      <c r="OF32" s="125">
        <f t="shared" si="451"/>
        <v>5728</v>
      </c>
      <c r="OG32" s="125">
        <f t="shared" si="452"/>
        <v>2582</v>
      </c>
      <c r="OH32" s="125">
        <f t="shared" si="453"/>
        <v>3146</v>
      </c>
      <c r="OI32" s="326">
        <v>168934</v>
      </c>
      <c r="OJ32" s="318">
        <v>161889</v>
      </c>
      <c r="OK32" s="318">
        <v>161889</v>
      </c>
      <c r="OL32" s="318">
        <v>6709</v>
      </c>
      <c r="OM32" s="7">
        <v>1996</v>
      </c>
      <c r="ON32" s="12">
        <v>173862</v>
      </c>
      <c r="OO32" s="5">
        <v>166734</v>
      </c>
      <c r="OP32" s="5">
        <v>441</v>
      </c>
      <c r="OQ32" s="5">
        <v>6687</v>
      </c>
      <c r="OR32" s="5">
        <v>2141</v>
      </c>
      <c r="OS32" s="12">
        <v>173992</v>
      </c>
      <c r="OT32" s="5">
        <v>166293</v>
      </c>
      <c r="OU32" s="5">
        <v>560</v>
      </c>
      <c r="OV32" s="5">
        <v>7139</v>
      </c>
      <c r="OW32" s="5">
        <v>2117</v>
      </c>
      <c r="OX32" s="12">
        <v>187212</v>
      </c>
      <c r="OY32" s="5">
        <v>178292</v>
      </c>
      <c r="OZ32" s="5">
        <v>0</v>
      </c>
      <c r="PA32" s="5">
        <v>8920</v>
      </c>
      <c r="PB32" s="5">
        <v>2451</v>
      </c>
      <c r="PC32" s="12">
        <v>190211.658</v>
      </c>
      <c r="PD32" s="5">
        <v>180921.448</v>
      </c>
      <c r="PE32" s="5"/>
      <c r="PF32" s="5">
        <v>2463.12</v>
      </c>
      <c r="PG32" s="5">
        <v>9290.2099999999919</v>
      </c>
      <c r="PH32" s="5">
        <v>195241</v>
      </c>
      <c r="PI32" s="5">
        <v>186072</v>
      </c>
      <c r="PJ32" s="5">
        <v>710</v>
      </c>
      <c r="PK32" s="5">
        <v>2462</v>
      </c>
      <c r="PL32" s="2">
        <v>8329</v>
      </c>
      <c r="PM32" s="2">
        <v>197529</v>
      </c>
      <c r="PN32" s="2">
        <v>186320</v>
      </c>
      <c r="PO32" s="2">
        <v>784</v>
      </c>
      <c r="PP32" s="2">
        <v>2616</v>
      </c>
      <c r="PQ32" s="2">
        <v>8522</v>
      </c>
      <c r="PR32" s="2">
        <v>216174</v>
      </c>
      <c r="PS32" s="2">
        <v>202714</v>
      </c>
      <c r="PT32" s="2">
        <v>0</v>
      </c>
      <c r="PU32" s="2">
        <v>2852</v>
      </c>
      <c r="PV32" s="2">
        <v>10208</v>
      </c>
      <c r="PW32" s="2">
        <v>220606</v>
      </c>
      <c r="PX32" s="2">
        <v>204175</v>
      </c>
      <c r="PY32" s="2"/>
      <c r="PZ32" s="2">
        <v>4354</v>
      </c>
      <c r="QA32" s="2">
        <v>8878</v>
      </c>
      <c r="QB32" s="12">
        <v>28911</v>
      </c>
      <c r="QC32" s="5">
        <v>28092</v>
      </c>
      <c r="QD32" s="5">
        <v>17</v>
      </c>
      <c r="QE32" s="5">
        <v>225</v>
      </c>
      <c r="QF32" s="5">
        <v>802</v>
      </c>
      <c r="QG32" s="12">
        <v>42203</v>
      </c>
      <c r="QH32" s="5">
        <v>40231</v>
      </c>
      <c r="QI32" s="5">
        <v>173</v>
      </c>
      <c r="QJ32" s="5">
        <v>407</v>
      </c>
      <c r="QK32" s="5">
        <v>1799</v>
      </c>
      <c r="QL32" s="12">
        <v>57615</v>
      </c>
      <c r="QM32" s="5">
        <v>54994</v>
      </c>
      <c r="QN32" s="5">
        <v>0</v>
      </c>
      <c r="QO32" s="5">
        <v>647</v>
      </c>
      <c r="QP32" s="5">
        <v>2621</v>
      </c>
      <c r="QQ32" s="12">
        <v>58474.962</v>
      </c>
      <c r="QR32" s="5">
        <v>55763.46</v>
      </c>
      <c r="QS32" s="5"/>
      <c r="QT32" s="5">
        <v>519.99199999999996</v>
      </c>
      <c r="QU32" s="10">
        <v>2711.5020000000004</v>
      </c>
      <c r="QV32" s="1">
        <v>60127</v>
      </c>
      <c r="QW32" s="2">
        <v>57644</v>
      </c>
      <c r="QX32" s="2">
        <v>165</v>
      </c>
      <c r="QY32" s="2">
        <v>448</v>
      </c>
      <c r="QZ32" s="69">
        <v>2308</v>
      </c>
      <c r="RA32" s="2">
        <v>61936</v>
      </c>
      <c r="RB32" s="2">
        <v>58895</v>
      </c>
      <c r="RC32" s="2">
        <v>282</v>
      </c>
      <c r="RD32" s="2">
        <v>513</v>
      </c>
      <c r="RE32" s="2">
        <v>2395</v>
      </c>
      <c r="RF32" s="2">
        <v>72039</v>
      </c>
      <c r="RG32" s="2">
        <v>66543</v>
      </c>
      <c r="RH32" s="2">
        <v>0</v>
      </c>
      <c r="RI32" s="2">
        <v>923</v>
      </c>
      <c r="RJ32" s="2">
        <v>4054</v>
      </c>
      <c r="RK32" s="2">
        <v>71662</v>
      </c>
      <c r="RL32" s="2">
        <v>66459</v>
      </c>
      <c r="RN32" s="2">
        <v>1325</v>
      </c>
      <c r="RO32" s="2">
        <v>2968</v>
      </c>
    </row>
    <row r="33" spans="1:483" ht="14.25" x14ac:dyDescent="0.2">
      <c r="A33" s="217" t="s">
        <v>35</v>
      </c>
      <c r="B33" s="258" t="s">
        <v>185</v>
      </c>
      <c r="C33" s="259" t="s">
        <v>185</v>
      </c>
      <c r="D33" s="259" t="s">
        <v>185</v>
      </c>
      <c r="E33" s="259" t="s">
        <v>185</v>
      </c>
      <c r="F33" s="260" t="s">
        <v>185</v>
      </c>
      <c r="G33" s="5">
        <v>47771</v>
      </c>
      <c r="H33" s="5">
        <v>31814</v>
      </c>
      <c r="I33" s="5">
        <v>3215</v>
      </c>
      <c r="J33" s="5">
        <v>15806</v>
      </c>
      <c r="K33" s="10">
        <v>12742</v>
      </c>
      <c r="L33" s="5">
        <v>84237</v>
      </c>
      <c r="M33" s="5">
        <v>46432</v>
      </c>
      <c r="N33" s="5">
        <v>3129</v>
      </c>
      <c r="O33" s="5"/>
      <c r="P33" s="10"/>
      <c r="Q33" s="7">
        <v>113022</v>
      </c>
      <c r="R33" s="7">
        <v>82251</v>
      </c>
      <c r="S33" s="7">
        <v>4446</v>
      </c>
      <c r="T33" s="7">
        <v>81689</v>
      </c>
      <c r="U33" s="577">
        <v>26325</v>
      </c>
      <c r="V33" s="7">
        <v>113005</v>
      </c>
      <c r="W33" s="7">
        <v>72628</v>
      </c>
      <c r="X33" s="7">
        <v>3488</v>
      </c>
      <c r="Y33" s="7">
        <v>82930</v>
      </c>
      <c r="Z33" s="7">
        <v>36889</v>
      </c>
      <c r="AA33" s="7">
        <v>113074</v>
      </c>
      <c r="AB33" s="7">
        <v>16522</v>
      </c>
      <c r="AC33" s="7">
        <v>3708</v>
      </c>
      <c r="AD33" s="7">
        <v>82217</v>
      </c>
      <c r="AE33" s="675">
        <v>42070</v>
      </c>
      <c r="AF33" s="560">
        <v>125701</v>
      </c>
      <c r="AG33" s="560">
        <v>18548</v>
      </c>
      <c r="AH33" s="560">
        <v>5080</v>
      </c>
      <c r="AI33" s="560">
        <v>90515</v>
      </c>
      <c r="AJ33" s="560">
        <v>47617</v>
      </c>
      <c r="AK33" s="560">
        <v>122892</v>
      </c>
      <c r="AL33" s="560">
        <v>14757</v>
      </c>
      <c r="AM33" s="560">
        <v>4204</v>
      </c>
      <c r="AN33" s="560">
        <v>93240</v>
      </c>
      <c r="AO33" s="560">
        <v>47804</v>
      </c>
      <c r="AP33" s="12">
        <v>119857</v>
      </c>
      <c r="AQ33" s="5">
        <v>99007</v>
      </c>
      <c r="AR33" s="5">
        <v>9284</v>
      </c>
      <c r="AS33" s="5">
        <v>13131</v>
      </c>
      <c r="AT33" s="10">
        <v>11566</v>
      </c>
      <c r="AU33" s="5">
        <v>169137</v>
      </c>
      <c r="AV33" s="5">
        <v>120333</v>
      </c>
      <c r="AW33" s="5">
        <v>13497</v>
      </c>
      <c r="AX33" s="5"/>
      <c r="AY33" s="10"/>
      <c r="AZ33" s="5">
        <v>166692</v>
      </c>
      <c r="BA33" s="5">
        <v>126972</v>
      </c>
      <c r="BB33" s="5">
        <v>12526</v>
      </c>
      <c r="BC33" s="5">
        <v>71831</v>
      </c>
      <c r="BD33" s="10">
        <v>27194</v>
      </c>
      <c r="BE33" s="5">
        <v>167655</v>
      </c>
      <c r="BF33" s="5">
        <v>116635</v>
      </c>
      <c r="BG33" s="5">
        <v>13624</v>
      </c>
      <c r="BH33" s="5">
        <v>72693</v>
      </c>
      <c r="BI33" s="5">
        <v>37396</v>
      </c>
      <c r="BJ33" s="5">
        <v>169128</v>
      </c>
      <c r="BK33" s="5">
        <v>66551</v>
      </c>
      <c r="BL33" s="5">
        <v>15196</v>
      </c>
      <c r="BM33" s="5">
        <v>73530</v>
      </c>
      <c r="BN33" s="53">
        <v>43191</v>
      </c>
      <c r="BO33" s="53">
        <v>157660</v>
      </c>
      <c r="BP33" s="53">
        <v>59306</v>
      </c>
      <c r="BQ33" s="53">
        <v>13652</v>
      </c>
      <c r="BR33" s="53">
        <v>73756</v>
      </c>
      <c r="BS33" s="53">
        <v>40937</v>
      </c>
      <c r="BT33" s="53">
        <v>157641</v>
      </c>
      <c r="BU33" s="53">
        <v>59857</v>
      </c>
      <c r="BV33" s="53">
        <v>11381</v>
      </c>
      <c r="BW33" s="53">
        <v>74832</v>
      </c>
      <c r="BX33" s="53">
        <v>45352</v>
      </c>
      <c r="BY33" s="12">
        <v>281123</v>
      </c>
      <c r="BZ33" s="5">
        <v>199587</v>
      </c>
      <c r="CA33" s="5">
        <v>17005</v>
      </c>
      <c r="CB33" s="5">
        <v>157285</v>
      </c>
      <c r="CC33" s="290">
        <f t="shared" si="398"/>
        <v>64531</v>
      </c>
      <c r="CD33" s="258" t="s">
        <v>185</v>
      </c>
      <c r="CE33" s="259" t="s">
        <v>185</v>
      </c>
      <c r="CF33" s="259" t="s">
        <v>185</v>
      </c>
      <c r="CG33" s="259" t="s">
        <v>185</v>
      </c>
      <c r="CH33" s="258" t="s">
        <v>185</v>
      </c>
      <c r="CI33" s="259" t="s">
        <v>185</v>
      </c>
      <c r="CJ33" s="259" t="s">
        <v>185</v>
      </c>
      <c r="CK33" s="259" t="s">
        <v>185</v>
      </c>
      <c r="CL33" s="260" t="s">
        <v>185</v>
      </c>
      <c r="CM33" s="5">
        <v>622010</v>
      </c>
      <c r="CN33" s="5">
        <v>553259</v>
      </c>
      <c r="CO33" s="5">
        <v>30318</v>
      </c>
      <c r="CP33" s="5">
        <v>33570</v>
      </c>
      <c r="CQ33" s="10">
        <v>38433</v>
      </c>
      <c r="CR33" s="5">
        <v>1056802</v>
      </c>
      <c r="CS33" s="5">
        <v>867072</v>
      </c>
      <c r="CT33" s="5">
        <v>62300</v>
      </c>
      <c r="CU33" s="5"/>
      <c r="CV33" s="5">
        <v>0</v>
      </c>
      <c r="CW33" s="195">
        <v>1368020</v>
      </c>
      <c r="CX33" s="5">
        <v>1081267</v>
      </c>
      <c r="CY33" s="5">
        <v>93581</v>
      </c>
      <c r="CZ33" s="5">
        <v>193172</v>
      </c>
      <c r="DA33" s="5">
        <v>176461</v>
      </c>
      <c r="DB33" s="12">
        <v>1403282</v>
      </c>
      <c r="DC33" s="5">
        <v>1105755</v>
      </c>
      <c r="DD33" s="5">
        <v>97454</v>
      </c>
      <c r="DE33" s="5">
        <v>200073</v>
      </c>
      <c r="DF33" s="5">
        <v>188105</v>
      </c>
      <c r="DG33" s="56">
        <v>1425076</v>
      </c>
      <c r="DH33" s="54">
        <v>1119949</v>
      </c>
      <c r="DI33" s="54">
        <v>100947</v>
      </c>
      <c r="DJ33" s="54">
        <v>204180</v>
      </c>
      <c r="DK33" s="54">
        <v>194987</v>
      </c>
      <c r="DL33" s="12">
        <v>1489012</v>
      </c>
      <c r="DM33" s="5">
        <v>1151601</v>
      </c>
      <c r="DN33" s="5">
        <v>113585</v>
      </c>
      <c r="DO33" s="5">
        <v>207348</v>
      </c>
      <c r="DP33" s="5">
        <v>189011</v>
      </c>
      <c r="DQ33" s="12">
        <v>1509470.7419999999</v>
      </c>
      <c r="DR33" s="5">
        <v>1158149.6609999998</v>
      </c>
      <c r="DS33" s="5">
        <v>118087.375</v>
      </c>
      <c r="DT33" s="5">
        <v>215055.40099999998</v>
      </c>
      <c r="DU33" s="530">
        <f t="shared" si="399"/>
        <v>233233.70600000001</v>
      </c>
      <c r="DV33" s="5">
        <v>1532417</v>
      </c>
      <c r="DW33" s="5">
        <v>1161113</v>
      </c>
      <c r="DX33" s="5">
        <v>120270</v>
      </c>
      <c r="DY33" s="5">
        <v>227984</v>
      </c>
      <c r="DZ33" s="5">
        <v>251034</v>
      </c>
      <c r="EA33" s="5">
        <v>1558403</v>
      </c>
      <c r="EB33" s="5">
        <v>1010876</v>
      </c>
      <c r="EC33" s="5">
        <v>123829</v>
      </c>
      <c r="ED33" s="5">
        <v>240079</v>
      </c>
      <c r="EE33" s="5">
        <v>266550</v>
      </c>
      <c r="EF33" s="5">
        <v>1684806</v>
      </c>
      <c r="EG33" s="5">
        <v>1041540</v>
      </c>
      <c r="EH33" s="5">
        <v>139699</v>
      </c>
      <c r="EI33" s="5">
        <v>279430</v>
      </c>
      <c r="EJ33" s="5">
        <v>331005</v>
      </c>
      <c r="EK33" s="5">
        <v>1730077</v>
      </c>
      <c r="EL33" s="5">
        <v>1055185</v>
      </c>
      <c r="EM33" s="5">
        <v>150825</v>
      </c>
      <c r="EN33" s="5">
        <v>292111</v>
      </c>
      <c r="EO33" s="5">
        <v>342771</v>
      </c>
      <c r="EP33" s="258" t="s">
        <v>185</v>
      </c>
      <c r="EQ33" s="259" t="s">
        <v>185</v>
      </c>
      <c r="ER33" s="259" t="s">
        <v>185</v>
      </c>
      <c r="ES33" s="259" t="s">
        <v>185</v>
      </c>
      <c r="ET33" s="260" t="s">
        <v>185</v>
      </c>
      <c r="EU33" s="5">
        <v>252402</v>
      </c>
      <c r="EV33" s="5">
        <v>224324</v>
      </c>
      <c r="EW33" s="5">
        <v>13321</v>
      </c>
      <c r="EX33" s="5">
        <v>13715</v>
      </c>
      <c r="EY33" s="10">
        <v>14757</v>
      </c>
      <c r="EZ33" s="5">
        <v>434657</v>
      </c>
      <c r="FA33" s="5">
        <v>358006</v>
      </c>
      <c r="FB33" s="5">
        <v>28110</v>
      </c>
      <c r="FC33" s="5"/>
      <c r="FD33" s="10">
        <v>0</v>
      </c>
      <c r="FE33" s="5">
        <v>590300</v>
      </c>
      <c r="FF33" s="5">
        <v>455948</v>
      </c>
      <c r="FG33" s="5">
        <v>49844</v>
      </c>
      <c r="FH33" s="5">
        <v>75412</v>
      </c>
      <c r="FI33" s="10">
        <v>84508</v>
      </c>
      <c r="FJ33" s="5">
        <v>590896.02</v>
      </c>
      <c r="FK33" s="5">
        <v>454841.89500000002</v>
      </c>
      <c r="FL33" s="5">
        <v>50338.961000000003</v>
      </c>
      <c r="FM33" s="5">
        <v>78642.443000000014</v>
      </c>
      <c r="FN33" s="10">
        <v>85715.16399999999</v>
      </c>
      <c r="FO33" s="5">
        <v>600787</v>
      </c>
      <c r="FP33" s="5">
        <v>456026</v>
      </c>
      <c r="FQ33" s="5">
        <v>50896</v>
      </c>
      <c r="FR33" s="5">
        <v>82473</v>
      </c>
      <c r="FS33" s="618">
        <v>93865</v>
      </c>
      <c r="FT33" s="618">
        <v>615663</v>
      </c>
      <c r="FU33" s="618">
        <v>405501</v>
      </c>
      <c r="FV33" s="618">
        <v>53943</v>
      </c>
      <c r="FW33" s="618">
        <v>86527</v>
      </c>
      <c r="FX33" s="618">
        <v>99496</v>
      </c>
      <c r="FY33" s="618">
        <v>671974</v>
      </c>
      <c r="FZ33" s="618">
        <v>415438</v>
      </c>
      <c r="GA33" s="618">
        <v>62250</v>
      </c>
      <c r="GB33" s="618">
        <v>107165</v>
      </c>
      <c r="GC33" s="618">
        <v>123531</v>
      </c>
      <c r="GD33" s="618">
        <v>673245</v>
      </c>
      <c r="GE33" s="618">
        <v>417801</v>
      </c>
      <c r="GF33" s="618">
        <v>65564</v>
      </c>
      <c r="GG33" s="618">
        <v>103466</v>
      </c>
      <c r="GH33" s="618">
        <v>124760</v>
      </c>
      <c r="GI33" s="12">
        <v>48803</v>
      </c>
      <c r="GJ33" s="5">
        <v>43007</v>
      </c>
      <c r="GK33" s="5">
        <v>2480</v>
      </c>
      <c r="GL33" s="5">
        <v>2822</v>
      </c>
      <c r="GM33" s="10">
        <v>3316</v>
      </c>
      <c r="GN33" s="5">
        <v>80860</v>
      </c>
      <c r="GO33" s="5">
        <v>66154</v>
      </c>
      <c r="GP33" s="5">
        <v>4793</v>
      </c>
      <c r="GQ33" s="5"/>
      <c r="GR33" s="10"/>
      <c r="GS33" s="12">
        <v>128162</v>
      </c>
      <c r="GT33" s="5">
        <v>95791</v>
      </c>
      <c r="GU33" s="5">
        <v>10315</v>
      </c>
      <c r="GV33" s="5">
        <v>15375</v>
      </c>
      <c r="GW33" s="5">
        <v>22056</v>
      </c>
      <c r="GX33" s="12"/>
      <c r="GY33" s="5"/>
      <c r="GZ33" s="5"/>
      <c r="HA33" s="5"/>
      <c r="HB33" s="10"/>
      <c r="HC33" s="5">
        <v>131570</v>
      </c>
      <c r="HD33" s="5">
        <v>98165</v>
      </c>
      <c r="HE33" s="5">
        <v>11375</v>
      </c>
      <c r="HF33" s="5">
        <v>16531</v>
      </c>
      <c r="HG33" s="5">
        <v>22030</v>
      </c>
      <c r="HH33" s="5">
        <v>140018</v>
      </c>
      <c r="HI33" s="5">
        <v>91768</v>
      </c>
      <c r="HJ33" s="5">
        <v>12355</v>
      </c>
      <c r="HK33" s="5">
        <v>18043</v>
      </c>
      <c r="HL33" s="5">
        <v>24285</v>
      </c>
      <c r="HM33" s="5">
        <v>159610</v>
      </c>
      <c r="HN33" s="5">
        <v>98733</v>
      </c>
      <c r="HO33" s="5">
        <v>14927</v>
      </c>
      <c r="HP33" s="5">
        <v>25491</v>
      </c>
      <c r="HQ33" s="5">
        <v>29273</v>
      </c>
      <c r="HR33" s="5">
        <v>156342</v>
      </c>
      <c r="HS33" s="5">
        <v>94824</v>
      </c>
      <c r="HT33" s="5">
        <v>16601</v>
      </c>
      <c r="HU33" s="5">
        <v>21962</v>
      </c>
      <c r="HV33" s="5">
        <v>30304</v>
      </c>
      <c r="HW33" s="569">
        <f t="shared" si="454"/>
        <v>169443</v>
      </c>
      <c r="HX33" s="546">
        <f t="shared" si="455"/>
        <v>152044</v>
      </c>
      <c r="HY33" s="546">
        <f t="shared" si="456"/>
        <v>6321</v>
      </c>
      <c r="HZ33" s="546">
        <f t="shared" si="457"/>
        <v>7221</v>
      </c>
      <c r="IA33" s="546">
        <f t="shared" si="458"/>
        <v>11078</v>
      </c>
      <c r="IB33" s="569">
        <f t="shared" si="459"/>
        <v>318735</v>
      </c>
      <c r="IC33" s="546">
        <f t="shared" si="460"/>
        <v>265982</v>
      </c>
      <c r="ID33" s="546">
        <f t="shared" si="461"/>
        <v>14279</v>
      </c>
      <c r="IE33" s="546">
        <f t="shared" si="462"/>
        <v>0</v>
      </c>
      <c r="IF33" s="546">
        <f t="shared" si="463"/>
        <v>0</v>
      </c>
      <c r="IG33" s="12">
        <v>454704</v>
      </c>
      <c r="IH33" s="5">
        <v>344497</v>
      </c>
      <c r="II33" s="5">
        <v>27521</v>
      </c>
      <c r="IJ33" s="5">
        <v>41167</v>
      </c>
      <c r="IK33" s="5">
        <v>82686</v>
      </c>
      <c r="IL33" s="565"/>
      <c r="IM33" s="7"/>
      <c r="IN33" s="7"/>
      <c r="IO33" s="7"/>
      <c r="IP33" s="7"/>
      <c r="IQ33" s="7">
        <v>533999</v>
      </c>
      <c r="IR33" s="7">
        <v>406465</v>
      </c>
      <c r="IS33" s="7">
        <v>33699</v>
      </c>
      <c r="IT33" s="7">
        <v>48933</v>
      </c>
      <c r="IU33" s="577">
        <v>93835</v>
      </c>
      <c r="IV33" s="7">
        <v>553956</v>
      </c>
      <c r="IW33" s="7">
        <v>383410</v>
      </c>
      <c r="IX33" s="7">
        <v>36171</v>
      </c>
      <c r="IY33" s="7">
        <v>51894</v>
      </c>
      <c r="IZ33" s="7">
        <v>98063</v>
      </c>
      <c r="JA33" s="565">
        <v>623291</v>
      </c>
      <c r="JB33" s="7">
        <v>420829</v>
      </c>
      <c r="JC33" s="7">
        <v>41437</v>
      </c>
      <c r="JD33" s="7">
        <v>62373</v>
      </c>
      <c r="JE33" s="7">
        <v>120250</v>
      </c>
      <c r="JF33" s="565">
        <v>628117</v>
      </c>
      <c r="JG33" s="7">
        <v>407798</v>
      </c>
      <c r="JH33" s="7">
        <v>47380</v>
      </c>
      <c r="JI33" s="7">
        <v>66033</v>
      </c>
      <c r="JJ33" s="7">
        <v>128791</v>
      </c>
      <c r="JK33" s="12">
        <v>79693</v>
      </c>
      <c r="JL33" s="5">
        <v>71722</v>
      </c>
      <c r="JM33" s="5">
        <v>2417</v>
      </c>
      <c r="JN33" s="5">
        <v>3088</v>
      </c>
      <c r="JO33" s="5">
        <v>5554</v>
      </c>
      <c r="JP33" s="12">
        <v>158078</v>
      </c>
      <c r="JQ33" s="5">
        <v>131490</v>
      </c>
      <c r="JR33" s="5">
        <v>5958</v>
      </c>
      <c r="JS33" s="5"/>
      <c r="JT33" s="5"/>
      <c r="JU33" s="12">
        <v>257994</v>
      </c>
      <c r="JV33" s="5">
        <v>192670</v>
      </c>
      <c r="JW33" s="5">
        <v>13738</v>
      </c>
      <c r="JX33" s="5">
        <v>21712</v>
      </c>
      <c r="JY33" s="5">
        <v>51586</v>
      </c>
      <c r="JZ33" s="12">
        <v>261426.72399999999</v>
      </c>
      <c r="KA33" s="5">
        <v>195514.12800000003</v>
      </c>
      <c r="KB33" s="5">
        <v>14575.356000000002</v>
      </c>
      <c r="KC33" s="5">
        <v>21617.353999999999</v>
      </c>
      <c r="KD33" s="5">
        <v>51337.239999999962</v>
      </c>
      <c r="KE33" s="5">
        <v>275155</v>
      </c>
      <c r="KF33" s="5">
        <v>186911</v>
      </c>
      <c r="KG33" s="5">
        <v>16015</v>
      </c>
      <c r="KH33" s="5">
        <v>24685</v>
      </c>
      <c r="KI33" s="5">
        <v>54068</v>
      </c>
      <c r="KJ33" s="5">
        <v>304948</v>
      </c>
      <c r="KK33" s="5">
        <v>205399</v>
      </c>
      <c r="KL33" s="5">
        <v>17183</v>
      </c>
      <c r="KM33" s="5">
        <v>26118</v>
      </c>
      <c r="KN33" s="5">
        <v>66100</v>
      </c>
      <c r="KO33" s="5">
        <v>308547</v>
      </c>
      <c r="KP33" s="5">
        <v>192511</v>
      </c>
      <c r="KQ33" s="5">
        <v>20816</v>
      </c>
      <c r="KR33" s="5">
        <v>33430</v>
      </c>
      <c r="KS33" s="5">
        <v>73843</v>
      </c>
      <c r="KT33" s="258" t="s">
        <v>185</v>
      </c>
      <c r="KU33" s="259" t="s">
        <v>185</v>
      </c>
      <c r="KV33" s="316">
        <v>13324</v>
      </c>
      <c r="KW33" s="332">
        <f t="shared" si="410"/>
        <v>8176</v>
      </c>
      <c r="KX33" s="332">
        <f t="shared" si="411"/>
        <v>5148</v>
      </c>
      <c r="KY33" s="332">
        <f t="shared" si="412"/>
        <v>13083</v>
      </c>
      <c r="KZ33" s="318">
        <v>8036</v>
      </c>
      <c r="LA33" s="318">
        <v>5047</v>
      </c>
      <c r="LB33" s="332">
        <f t="shared" si="413"/>
        <v>241</v>
      </c>
      <c r="LC33" s="318">
        <v>140</v>
      </c>
      <c r="LD33" s="318">
        <v>101</v>
      </c>
      <c r="LE33" s="316">
        <v>29048</v>
      </c>
      <c r="LF33" s="332">
        <f t="shared" si="414"/>
        <v>17949</v>
      </c>
      <c r="LG33" s="332">
        <f t="shared" si="415"/>
        <v>11099</v>
      </c>
      <c r="LH33" s="332">
        <f t="shared" si="416"/>
        <v>27820</v>
      </c>
      <c r="LI33" s="318">
        <v>17182</v>
      </c>
      <c r="LJ33" s="318">
        <v>10638</v>
      </c>
      <c r="LK33" s="332">
        <f t="shared" si="417"/>
        <v>412</v>
      </c>
      <c r="LL33" s="318">
        <v>218</v>
      </c>
      <c r="LM33" s="318">
        <v>194</v>
      </c>
      <c r="LN33" s="332">
        <f t="shared" si="418"/>
        <v>816</v>
      </c>
      <c r="LO33" s="318">
        <v>549</v>
      </c>
      <c r="LP33" s="318">
        <v>267</v>
      </c>
      <c r="LQ33" s="316">
        <v>69247</v>
      </c>
      <c r="LR33" s="332">
        <f t="shared" si="419"/>
        <v>43439</v>
      </c>
      <c r="LS33" s="332">
        <f t="shared" si="420"/>
        <v>25808</v>
      </c>
      <c r="LT33" s="342">
        <f t="shared" si="421"/>
        <v>63059</v>
      </c>
      <c r="LU33" s="318">
        <v>39861</v>
      </c>
      <c r="LV33" s="318">
        <v>23198</v>
      </c>
      <c r="LW33" s="318">
        <v>3578</v>
      </c>
      <c r="LX33" s="318">
        <v>2610</v>
      </c>
      <c r="LY33" s="342">
        <f t="shared" si="422"/>
        <v>1827</v>
      </c>
      <c r="LZ33" s="318">
        <v>1048</v>
      </c>
      <c r="MA33" s="318">
        <v>779</v>
      </c>
      <c r="MB33" s="342">
        <f t="shared" si="423"/>
        <v>1889</v>
      </c>
      <c r="MC33" s="318">
        <v>1148</v>
      </c>
      <c r="MD33" s="318">
        <v>741</v>
      </c>
      <c r="ME33" s="333">
        <f t="shared" si="424"/>
        <v>2472</v>
      </c>
      <c r="MF33" s="333">
        <f t="shared" si="425"/>
        <v>1382</v>
      </c>
      <c r="MG33" s="333">
        <f t="shared" si="426"/>
        <v>1090</v>
      </c>
      <c r="MH33" s="334">
        <f t="shared" si="427"/>
        <v>55</v>
      </c>
      <c r="MI33" s="334">
        <f t="shared" si="428"/>
        <v>48</v>
      </c>
      <c r="MJ33" s="334">
        <f t="shared" si="429"/>
        <v>7</v>
      </c>
      <c r="MK33" s="318">
        <v>2417</v>
      </c>
      <c r="ML33" s="318">
        <v>1334</v>
      </c>
      <c r="MM33" s="318">
        <v>1083</v>
      </c>
      <c r="MN33" s="14">
        <f t="shared" si="430"/>
        <v>120640</v>
      </c>
      <c r="MO33" s="332">
        <f t="shared" si="431"/>
        <v>70938</v>
      </c>
      <c r="MP33" s="332">
        <f t="shared" si="432"/>
        <v>49702</v>
      </c>
      <c r="MQ33" s="13">
        <f t="shared" si="433"/>
        <v>109037</v>
      </c>
      <c r="MR33" s="136">
        <f t="shared" si="434"/>
        <v>106196</v>
      </c>
      <c r="MS33" s="318">
        <v>63464</v>
      </c>
      <c r="MT33" s="318">
        <v>42732</v>
      </c>
      <c r="MU33" s="318">
        <v>7474</v>
      </c>
      <c r="MV33" s="318">
        <v>6970</v>
      </c>
      <c r="MW33" s="13">
        <f t="shared" si="435"/>
        <v>3841</v>
      </c>
      <c r="MX33" s="136">
        <f t="shared" si="436"/>
        <v>3824</v>
      </c>
      <c r="MY33" s="318">
        <v>1819</v>
      </c>
      <c r="MZ33" s="318">
        <v>2005</v>
      </c>
      <c r="NA33" s="13">
        <f t="shared" si="437"/>
        <v>4399</v>
      </c>
      <c r="NB33" s="318">
        <v>2527</v>
      </c>
      <c r="NC33" s="318">
        <v>1872</v>
      </c>
      <c r="ND33" s="11">
        <f t="shared" si="438"/>
        <v>7762</v>
      </c>
      <c r="NE33" s="335">
        <f t="shared" si="439"/>
        <v>3128</v>
      </c>
      <c r="NF33" s="335">
        <f t="shared" si="440"/>
        <v>3093</v>
      </c>
      <c r="NG33" s="336">
        <f t="shared" si="441"/>
        <v>80</v>
      </c>
      <c r="NH33" s="336">
        <f t="shared" si="442"/>
        <v>56</v>
      </c>
      <c r="NI33" s="336">
        <f t="shared" si="443"/>
        <v>24</v>
      </c>
      <c r="NJ33" s="337">
        <f t="shared" si="444"/>
        <v>6141</v>
      </c>
      <c r="NK33" s="337">
        <f t="shared" si="445"/>
        <v>3072</v>
      </c>
      <c r="NL33" s="337">
        <f t="shared" si="446"/>
        <v>3069</v>
      </c>
      <c r="NM33" s="318">
        <v>471</v>
      </c>
      <c r="NN33" s="318">
        <v>418</v>
      </c>
      <c r="NO33" s="318">
        <v>2601</v>
      </c>
      <c r="NP33" s="318">
        <v>2651</v>
      </c>
      <c r="NQ33" s="338">
        <v>237875</v>
      </c>
      <c r="NR33" s="318">
        <v>129642</v>
      </c>
      <c r="NS33" s="318">
        <v>108233</v>
      </c>
      <c r="NT33" s="7">
        <f t="shared" si="447"/>
        <v>199828</v>
      </c>
      <c r="NU33" s="7">
        <v>111516</v>
      </c>
      <c r="NV33" s="7">
        <v>88312</v>
      </c>
      <c r="NW33" s="125">
        <f t="shared" si="448"/>
        <v>192165</v>
      </c>
      <c r="NX33" s="318">
        <v>107736</v>
      </c>
      <c r="NY33" s="318">
        <v>84429</v>
      </c>
      <c r="NZ33" s="7">
        <f t="shared" si="449"/>
        <v>9486</v>
      </c>
      <c r="OA33" s="318">
        <v>4444</v>
      </c>
      <c r="OB33" s="318">
        <v>5042</v>
      </c>
      <c r="OC33" s="7">
        <f t="shared" si="450"/>
        <v>12486</v>
      </c>
      <c r="OD33" s="318">
        <v>6123</v>
      </c>
      <c r="OE33" s="318">
        <v>6363</v>
      </c>
      <c r="OF33" s="125">
        <f t="shared" si="451"/>
        <v>28561</v>
      </c>
      <c r="OG33" s="125">
        <f t="shared" si="452"/>
        <v>13682</v>
      </c>
      <c r="OH33" s="125">
        <f t="shared" si="453"/>
        <v>14879</v>
      </c>
      <c r="OI33" s="326">
        <v>343078</v>
      </c>
      <c r="OJ33" s="318">
        <v>274257</v>
      </c>
      <c r="OK33" s="318">
        <v>274257</v>
      </c>
      <c r="OL33" s="318">
        <v>53030</v>
      </c>
      <c r="OM33" s="7">
        <v>24911</v>
      </c>
      <c r="ON33" s="12">
        <v>359059</v>
      </c>
      <c r="OO33" s="5">
        <v>284040</v>
      </c>
      <c r="OP33" s="5">
        <v>17196</v>
      </c>
      <c r="OQ33" s="5">
        <v>57823</v>
      </c>
      <c r="OR33" s="5">
        <v>27720</v>
      </c>
      <c r="OS33" s="12">
        <v>370276</v>
      </c>
      <c r="OT33" s="5">
        <v>289113</v>
      </c>
      <c r="OU33" s="5">
        <v>19005</v>
      </c>
      <c r="OV33" s="5">
        <v>62158</v>
      </c>
      <c r="OW33" s="5">
        <v>28803</v>
      </c>
      <c r="OX33" s="12">
        <v>386724</v>
      </c>
      <c r="OY33" s="5">
        <v>295958</v>
      </c>
      <c r="OZ33" s="5">
        <v>21416</v>
      </c>
      <c r="PA33" s="5">
        <v>69350</v>
      </c>
      <c r="PB33" s="5">
        <v>30017</v>
      </c>
      <c r="PC33" s="12">
        <v>395721.27399999998</v>
      </c>
      <c r="PD33" s="5">
        <v>304133.08800000005</v>
      </c>
      <c r="PE33" s="5">
        <v>22402.862000000001</v>
      </c>
      <c r="PF33" s="5">
        <v>30189.752999999997</v>
      </c>
      <c r="PG33" s="5">
        <v>69185.323999999935</v>
      </c>
      <c r="PH33" s="5">
        <v>402429</v>
      </c>
      <c r="PI33" s="5">
        <v>308300</v>
      </c>
      <c r="PJ33" s="5">
        <v>22324</v>
      </c>
      <c r="PK33" s="5">
        <v>32402</v>
      </c>
      <c r="PL33" s="2">
        <v>71805</v>
      </c>
      <c r="PM33" s="2">
        <v>413938</v>
      </c>
      <c r="PN33" s="2">
        <v>291642</v>
      </c>
      <c r="PO33" s="2">
        <v>23816</v>
      </c>
      <c r="PP33" s="2">
        <v>33851</v>
      </c>
      <c r="PQ33" s="2">
        <v>73778</v>
      </c>
      <c r="PR33" s="2">
        <v>463681</v>
      </c>
      <c r="PS33" s="2">
        <v>322096</v>
      </c>
      <c r="PT33" s="2">
        <v>26510</v>
      </c>
      <c r="PU33" s="2">
        <v>36882</v>
      </c>
      <c r="PV33" s="2">
        <v>90977</v>
      </c>
      <c r="PW33" s="2">
        <v>471775</v>
      </c>
      <c r="PX33" s="2">
        <v>312974</v>
      </c>
      <c r="PY33" s="2">
        <v>30779</v>
      </c>
      <c r="PZ33" s="2">
        <v>44071</v>
      </c>
      <c r="QA33" s="2">
        <v>98487</v>
      </c>
      <c r="QB33" s="12">
        <v>40947</v>
      </c>
      <c r="QC33" s="5">
        <v>37315</v>
      </c>
      <c r="QD33" s="5">
        <v>1424</v>
      </c>
      <c r="QE33" s="5">
        <v>1311</v>
      </c>
      <c r="QF33" s="5">
        <v>2208</v>
      </c>
      <c r="QG33" s="12">
        <v>79797</v>
      </c>
      <c r="QH33" s="5">
        <v>68338</v>
      </c>
      <c r="QI33" s="5">
        <v>3528</v>
      </c>
      <c r="QJ33" s="5"/>
      <c r="QK33" s="5"/>
      <c r="QL33" s="12">
        <v>128730</v>
      </c>
      <c r="QM33" s="5">
        <v>103288</v>
      </c>
      <c r="QN33" s="5">
        <v>7678</v>
      </c>
      <c r="QO33" s="5">
        <v>8305</v>
      </c>
      <c r="QP33" s="5">
        <v>17764</v>
      </c>
      <c r="QQ33" s="12">
        <v>134294.54999999999</v>
      </c>
      <c r="QR33" s="5">
        <v>108618.96</v>
      </c>
      <c r="QS33" s="5">
        <v>7827.5059999999994</v>
      </c>
      <c r="QT33" s="5">
        <v>8572.3989999999994</v>
      </c>
      <c r="QU33" s="10">
        <v>17848.083999999981</v>
      </c>
      <c r="QV33" s="1">
        <v>135761</v>
      </c>
      <c r="QW33" s="2">
        <v>108556</v>
      </c>
      <c r="QX33" s="2">
        <v>7498</v>
      </c>
      <c r="QY33" s="2">
        <v>9162</v>
      </c>
      <c r="QZ33" s="69">
        <v>19707</v>
      </c>
      <c r="RA33" s="2">
        <v>138783</v>
      </c>
      <c r="RB33" s="2">
        <v>104731</v>
      </c>
      <c r="RC33" s="2">
        <v>7801</v>
      </c>
      <c r="RD33" s="2">
        <v>9166</v>
      </c>
      <c r="RE33" s="2">
        <v>19710</v>
      </c>
      <c r="RF33" s="2">
        <v>158733</v>
      </c>
      <c r="RG33" s="2">
        <v>116697</v>
      </c>
      <c r="RH33" s="2">
        <v>9327</v>
      </c>
      <c r="RI33" s="2">
        <v>10764</v>
      </c>
      <c r="RJ33" s="2">
        <v>24877</v>
      </c>
      <c r="RK33" s="2">
        <v>163228</v>
      </c>
      <c r="RL33" s="2">
        <v>120463</v>
      </c>
      <c r="RM33" s="2">
        <v>9963</v>
      </c>
      <c r="RN33" s="2">
        <v>10641</v>
      </c>
      <c r="RO33" s="2">
        <v>24644</v>
      </c>
    </row>
    <row r="34" spans="1:483" ht="14.25" x14ac:dyDescent="0.2">
      <c r="A34" s="217" t="s">
        <v>38</v>
      </c>
      <c r="B34" s="258" t="s">
        <v>185</v>
      </c>
      <c r="C34" s="259" t="s">
        <v>185</v>
      </c>
      <c r="D34" s="259" t="s">
        <v>185</v>
      </c>
      <c r="E34" s="259" t="s">
        <v>185</v>
      </c>
      <c r="F34" s="260" t="s">
        <v>185</v>
      </c>
      <c r="G34" s="5">
        <v>105362</v>
      </c>
      <c r="H34" s="5">
        <v>69024</v>
      </c>
      <c r="I34" s="5">
        <v>1364</v>
      </c>
      <c r="J34" s="5">
        <v>67226</v>
      </c>
      <c r="K34" s="10">
        <v>34974</v>
      </c>
      <c r="L34" s="5">
        <v>104985</v>
      </c>
      <c r="M34" s="5">
        <v>55092</v>
      </c>
      <c r="N34" s="5">
        <v>1196</v>
      </c>
      <c r="O34" s="5">
        <v>76963</v>
      </c>
      <c r="P34" s="10">
        <v>48697</v>
      </c>
      <c r="Q34" s="7">
        <v>100278</v>
      </c>
      <c r="R34" s="7">
        <v>68978</v>
      </c>
      <c r="S34" s="7">
        <v>553</v>
      </c>
      <c r="T34" s="7">
        <v>79070</v>
      </c>
      <c r="U34" s="577">
        <v>30747</v>
      </c>
      <c r="V34" s="7">
        <v>97898</v>
      </c>
      <c r="W34" s="7">
        <v>64342</v>
      </c>
      <c r="X34" s="7">
        <v>942</v>
      </c>
      <c r="Y34" s="7">
        <v>78705</v>
      </c>
      <c r="Z34" s="7">
        <v>32586</v>
      </c>
      <c r="AA34" s="7">
        <v>98194</v>
      </c>
      <c r="AB34" s="7">
        <v>9772</v>
      </c>
      <c r="AC34" s="7">
        <v>831</v>
      </c>
      <c r="AD34" s="7">
        <v>77644</v>
      </c>
      <c r="AE34" s="675">
        <v>32120</v>
      </c>
      <c r="AF34" s="560">
        <v>92820</v>
      </c>
      <c r="AG34" s="560">
        <v>9131</v>
      </c>
      <c r="AH34" s="560">
        <v>803</v>
      </c>
      <c r="AI34" s="560">
        <v>72520</v>
      </c>
      <c r="AJ34" s="560">
        <v>30543</v>
      </c>
      <c r="AK34" s="560">
        <v>84515</v>
      </c>
      <c r="AL34" s="560">
        <v>7907</v>
      </c>
      <c r="AM34" s="560">
        <v>528</v>
      </c>
      <c r="AN34" s="560">
        <v>67558</v>
      </c>
      <c r="AO34" s="560">
        <v>26161</v>
      </c>
      <c r="AP34" s="12">
        <v>124612</v>
      </c>
      <c r="AQ34" s="5">
        <v>88247</v>
      </c>
      <c r="AR34" s="5">
        <v>2725</v>
      </c>
      <c r="AS34" s="5">
        <v>57957</v>
      </c>
      <c r="AT34" s="10">
        <v>33640</v>
      </c>
      <c r="AU34" s="5">
        <v>134996</v>
      </c>
      <c r="AV34" s="5">
        <v>81637</v>
      </c>
      <c r="AW34" s="5">
        <v>2783</v>
      </c>
      <c r="AX34" s="5">
        <v>72986</v>
      </c>
      <c r="AY34" s="10">
        <v>50576</v>
      </c>
      <c r="AZ34" s="5">
        <v>123127</v>
      </c>
      <c r="BA34" s="5">
        <v>80225</v>
      </c>
      <c r="BB34" s="5">
        <v>2429</v>
      </c>
      <c r="BC34" s="5">
        <v>74941</v>
      </c>
      <c r="BD34" s="10">
        <v>40473</v>
      </c>
      <c r="BE34" s="5">
        <v>122810</v>
      </c>
      <c r="BF34" s="5">
        <v>78362</v>
      </c>
      <c r="BG34" s="5">
        <v>2135</v>
      </c>
      <c r="BH34" s="5">
        <v>76455</v>
      </c>
      <c r="BI34" s="5">
        <v>42262</v>
      </c>
      <c r="BJ34" s="5">
        <v>121258</v>
      </c>
      <c r="BK34" s="5">
        <v>27408</v>
      </c>
      <c r="BL34" s="5">
        <v>2006</v>
      </c>
      <c r="BM34" s="5">
        <v>76231</v>
      </c>
      <c r="BN34" s="53">
        <v>40341</v>
      </c>
      <c r="BO34" s="53">
        <v>118788</v>
      </c>
      <c r="BP34" s="53">
        <v>24316</v>
      </c>
      <c r="BQ34" s="53">
        <v>1953</v>
      </c>
      <c r="BR34" s="53">
        <v>74898</v>
      </c>
      <c r="BS34" s="53">
        <v>38783</v>
      </c>
      <c r="BT34" s="53">
        <v>118426</v>
      </c>
      <c r="BU34" s="53">
        <v>24325</v>
      </c>
      <c r="BV34" s="53">
        <v>1466</v>
      </c>
      <c r="BW34" s="53">
        <v>76373</v>
      </c>
      <c r="BX34" s="53">
        <v>39230</v>
      </c>
      <c r="BY34" s="12">
        <v>224640</v>
      </c>
      <c r="BZ34" s="5">
        <v>147195</v>
      </c>
      <c r="CA34" s="5">
        <v>3123</v>
      </c>
      <c r="CB34" s="5">
        <v>157814</v>
      </c>
      <c r="CC34" s="290">
        <f t="shared" si="398"/>
        <v>74322</v>
      </c>
      <c r="CD34" s="258" t="s">
        <v>185</v>
      </c>
      <c r="CE34" s="259" t="s">
        <v>185</v>
      </c>
      <c r="CF34" s="259" t="s">
        <v>185</v>
      </c>
      <c r="CG34" s="259" t="s">
        <v>185</v>
      </c>
      <c r="CH34" s="258" t="s">
        <v>185</v>
      </c>
      <c r="CI34" s="259" t="s">
        <v>185</v>
      </c>
      <c r="CJ34" s="259" t="s">
        <v>185</v>
      </c>
      <c r="CK34" s="259" t="s">
        <v>185</v>
      </c>
      <c r="CL34" s="260" t="s">
        <v>185</v>
      </c>
      <c r="CM34" s="5">
        <v>692616</v>
      </c>
      <c r="CN34" s="5">
        <v>576753</v>
      </c>
      <c r="CO34" s="5">
        <v>12087</v>
      </c>
      <c r="CP34" s="5">
        <v>185041</v>
      </c>
      <c r="CQ34" s="10">
        <v>103776</v>
      </c>
      <c r="CR34" s="5">
        <v>894820</v>
      </c>
      <c r="CS34" s="5">
        <v>682434</v>
      </c>
      <c r="CT34" s="5">
        <v>15312</v>
      </c>
      <c r="CU34" s="5">
        <v>270914</v>
      </c>
      <c r="CV34" s="5">
        <v>197074</v>
      </c>
      <c r="CW34" s="195">
        <v>1012813</v>
      </c>
      <c r="CX34" s="5">
        <v>758358</v>
      </c>
      <c r="CY34" s="5">
        <v>20167</v>
      </c>
      <c r="CZ34" s="5">
        <v>234288</v>
      </c>
      <c r="DA34" s="5">
        <v>340317</v>
      </c>
      <c r="DB34" s="12">
        <v>1031788</v>
      </c>
      <c r="DC34" s="5">
        <v>783775</v>
      </c>
      <c r="DD34" s="5">
        <v>21078</v>
      </c>
      <c r="DE34" s="5">
        <v>226935</v>
      </c>
      <c r="DF34" s="5">
        <v>349166</v>
      </c>
      <c r="DG34" s="56">
        <v>1057419</v>
      </c>
      <c r="DH34" s="54">
        <v>811904</v>
      </c>
      <c r="DI34" s="54">
        <v>22644</v>
      </c>
      <c r="DJ34" s="54">
        <v>222871</v>
      </c>
      <c r="DK34" s="54">
        <v>362643</v>
      </c>
      <c r="DL34" s="12">
        <v>1092648</v>
      </c>
      <c r="DM34" s="5">
        <v>856052</v>
      </c>
      <c r="DN34" s="5">
        <v>21835</v>
      </c>
      <c r="DO34" s="5">
        <v>376884</v>
      </c>
      <c r="DP34" s="5">
        <v>191716</v>
      </c>
      <c r="DQ34" s="12">
        <v>1112502.1439999999</v>
      </c>
      <c r="DR34" s="5">
        <v>868958.12800000003</v>
      </c>
      <c r="DS34" s="5">
        <v>22039.5</v>
      </c>
      <c r="DT34" s="5">
        <v>387708.99000000005</v>
      </c>
      <c r="DU34" s="530">
        <f t="shared" si="399"/>
        <v>221504.51599999983</v>
      </c>
      <c r="DV34" s="5">
        <v>1132351</v>
      </c>
      <c r="DW34" s="5">
        <v>878744</v>
      </c>
      <c r="DX34" s="5">
        <v>21928</v>
      </c>
      <c r="DY34" s="5">
        <v>402671</v>
      </c>
      <c r="DZ34" s="5">
        <v>230965</v>
      </c>
      <c r="EA34" s="5">
        <v>1139544</v>
      </c>
      <c r="EB34" s="5">
        <v>593266</v>
      </c>
      <c r="EC34" s="5">
        <v>22407</v>
      </c>
      <c r="ED34" s="5">
        <v>410331</v>
      </c>
      <c r="EE34" s="5">
        <v>229016</v>
      </c>
      <c r="EF34" s="5">
        <v>1165940</v>
      </c>
      <c r="EG34" s="5">
        <v>584272</v>
      </c>
      <c r="EH34" s="5">
        <v>25655</v>
      </c>
      <c r="EI34" s="5">
        <v>441658</v>
      </c>
      <c r="EJ34" s="5">
        <v>201968</v>
      </c>
      <c r="EK34" s="5">
        <v>1188440</v>
      </c>
      <c r="EL34" s="5">
        <v>583993</v>
      </c>
      <c r="EM34" s="5">
        <v>23491</v>
      </c>
      <c r="EN34" s="5">
        <v>454346</v>
      </c>
      <c r="EO34" s="5">
        <v>212755</v>
      </c>
      <c r="EP34" s="258" t="s">
        <v>185</v>
      </c>
      <c r="EQ34" s="259" t="s">
        <v>185</v>
      </c>
      <c r="ER34" s="259" t="s">
        <v>185</v>
      </c>
      <c r="ES34" s="259" t="s">
        <v>185</v>
      </c>
      <c r="ET34" s="260" t="s">
        <v>185</v>
      </c>
      <c r="EU34" s="5">
        <v>239337</v>
      </c>
      <c r="EV34" s="5">
        <v>199010</v>
      </c>
      <c r="EW34" s="5">
        <v>5692</v>
      </c>
      <c r="EX34" s="5">
        <v>59005</v>
      </c>
      <c r="EY34" s="10">
        <v>34635</v>
      </c>
      <c r="EZ34" s="5">
        <v>326925</v>
      </c>
      <c r="FA34" s="5">
        <v>245179</v>
      </c>
      <c r="FB34" s="5">
        <v>7047</v>
      </c>
      <c r="FC34" s="5">
        <v>98602</v>
      </c>
      <c r="FD34" s="10">
        <v>74699</v>
      </c>
      <c r="FE34" s="5">
        <v>413735</v>
      </c>
      <c r="FF34" s="5">
        <v>317741</v>
      </c>
      <c r="FG34" s="5">
        <v>9789</v>
      </c>
      <c r="FH34" s="5">
        <v>145164</v>
      </c>
      <c r="FI34" s="10">
        <v>86205</v>
      </c>
      <c r="FJ34" s="5">
        <v>417188.304</v>
      </c>
      <c r="FK34" s="5">
        <v>318753.33199999999</v>
      </c>
      <c r="FL34" s="5">
        <v>10175.951999999999</v>
      </c>
      <c r="FM34" s="5">
        <v>147438.63</v>
      </c>
      <c r="FN34" s="10">
        <v>88259.02</v>
      </c>
      <c r="FO34" s="5">
        <v>426099</v>
      </c>
      <c r="FP34" s="5">
        <v>323592</v>
      </c>
      <c r="FQ34" s="5">
        <v>9944</v>
      </c>
      <c r="FR34" s="5">
        <v>154088</v>
      </c>
      <c r="FS34" s="618">
        <v>92161</v>
      </c>
      <c r="FT34" s="618">
        <v>427513</v>
      </c>
      <c r="FU34" s="618">
        <v>215723</v>
      </c>
      <c r="FV34" s="618">
        <v>10466</v>
      </c>
      <c r="FW34" s="618">
        <v>154681</v>
      </c>
      <c r="FX34" s="618">
        <v>90753</v>
      </c>
      <c r="FY34" s="618">
        <v>431671</v>
      </c>
      <c r="FZ34" s="618">
        <v>202503</v>
      </c>
      <c r="GA34" s="618">
        <v>10633</v>
      </c>
      <c r="GB34" s="618">
        <v>174215</v>
      </c>
      <c r="GC34" s="618">
        <v>95243</v>
      </c>
      <c r="GD34" s="618">
        <v>439699</v>
      </c>
      <c r="GE34" s="618">
        <v>207262</v>
      </c>
      <c r="GF34" s="618">
        <v>9695</v>
      </c>
      <c r="GG34" s="618">
        <v>171156</v>
      </c>
      <c r="GH34" s="618">
        <v>94752</v>
      </c>
      <c r="GI34" s="12">
        <v>46502</v>
      </c>
      <c r="GJ34" s="5">
        <v>38021</v>
      </c>
      <c r="GK34" s="5">
        <v>964</v>
      </c>
      <c r="GL34" s="5">
        <v>10881</v>
      </c>
      <c r="GM34" s="10">
        <v>7517</v>
      </c>
      <c r="GN34" s="5">
        <v>67001</v>
      </c>
      <c r="GO34" s="5">
        <v>49490</v>
      </c>
      <c r="GP34" s="5">
        <v>1411</v>
      </c>
      <c r="GQ34" s="5">
        <v>19315</v>
      </c>
      <c r="GR34" s="10">
        <v>16100</v>
      </c>
      <c r="GS34" s="12">
        <v>95760</v>
      </c>
      <c r="GT34" s="5">
        <v>73113</v>
      </c>
      <c r="GU34" s="5">
        <v>2079</v>
      </c>
      <c r="GV34" s="5">
        <v>32812</v>
      </c>
      <c r="GW34" s="5">
        <v>20568</v>
      </c>
      <c r="GX34" s="12"/>
      <c r="GY34" s="5"/>
      <c r="GZ34" s="5"/>
      <c r="HA34" s="5"/>
      <c r="HB34" s="10"/>
      <c r="HC34" s="5">
        <v>102332</v>
      </c>
      <c r="HD34" s="5">
        <v>78909</v>
      </c>
      <c r="HE34" s="5">
        <v>1953</v>
      </c>
      <c r="HF34" s="5">
        <v>35734</v>
      </c>
      <c r="HG34" s="5">
        <v>21344</v>
      </c>
      <c r="HH34" s="5">
        <v>106166</v>
      </c>
      <c r="HI34" s="5">
        <v>54320</v>
      </c>
      <c r="HJ34" s="5">
        <v>1950</v>
      </c>
      <c r="HK34" s="5">
        <v>37991</v>
      </c>
      <c r="HL34" s="5">
        <v>21878</v>
      </c>
      <c r="HM34" s="5">
        <v>106315</v>
      </c>
      <c r="HN34" s="5">
        <v>51582</v>
      </c>
      <c r="HO34" s="5">
        <v>2906</v>
      </c>
      <c r="HP34" s="5">
        <v>40622</v>
      </c>
      <c r="HQ34" s="5">
        <v>23057</v>
      </c>
      <c r="HR34" s="5">
        <v>116674</v>
      </c>
      <c r="HS34" s="5">
        <v>55176</v>
      </c>
      <c r="HT34" s="5">
        <v>2769</v>
      </c>
      <c r="HU34" s="5">
        <v>43695</v>
      </c>
      <c r="HV34" s="5">
        <v>24246</v>
      </c>
      <c r="HW34" s="569">
        <f t="shared" si="454"/>
        <v>234838</v>
      </c>
      <c r="HX34" s="546">
        <f t="shared" si="455"/>
        <v>209484</v>
      </c>
      <c r="HY34" s="546">
        <f t="shared" si="456"/>
        <v>3263</v>
      </c>
      <c r="HZ34" s="546">
        <f t="shared" si="457"/>
        <v>37890</v>
      </c>
      <c r="IA34" s="546">
        <f t="shared" si="458"/>
        <v>22091</v>
      </c>
      <c r="IB34" s="569">
        <f t="shared" si="459"/>
        <v>333150</v>
      </c>
      <c r="IC34" s="546">
        <f t="shared" si="460"/>
        <v>278864</v>
      </c>
      <c r="ID34" s="546">
        <f t="shared" si="461"/>
        <v>5037</v>
      </c>
      <c r="IE34" s="546">
        <f t="shared" si="462"/>
        <v>64641</v>
      </c>
      <c r="IF34" s="546">
        <f t="shared" si="463"/>
        <v>49249</v>
      </c>
      <c r="IG34" s="12">
        <v>356214</v>
      </c>
      <c r="IH34" s="5">
        <v>296557</v>
      </c>
      <c r="II34" s="5">
        <v>6771</v>
      </c>
      <c r="IJ34" s="5">
        <v>87657</v>
      </c>
      <c r="IK34" s="5">
        <v>52886</v>
      </c>
      <c r="IL34" s="565"/>
      <c r="IM34" s="7"/>
      <c r="IN34" s="7"/>
      <c r="IO34" s="7"/>
      <c r="IP34" s="7"/>
      <c r="IQ34" s="7">
        <v>449566</v>
      </c>
      <c r="IR34" s="7">
        <v>377978</v>
      </c>
      <c r="IS34" s="7">
        <v>8627</v>
      </c>
      <c r="IT34" s="7">
        <v>109712</v>
      </c>
      <c r="IU34" s="577">
        <v>62726</v>
      </c>
      <c r="IV34" s="7">
        <v>458932</v>
      </c>
      <c r="IW34" s="7">
        <v>297308</v>
      </c>
      <c r="IX34" s="7">
        <v>8762</v>
      </c>
      <c r="IY34" s="7">
        <v>116311</v>
      </c>
      <c r="IZ34" s="7">
        <v>63006</v>
      </c>
      <c r="JA34" s="565">
        <v>470777</v>
      </c>
      <c r="JB34" s="7">
        <v>297625</v>
      </c>
      <c r="JC34" s="7">
        <v>11925</v>
      </c>
      <c r="JD34" s="7">
        <v>125220</v>
      </c>
      <c r="JE34" s="7">
        <v>55965</v>
      </c>
      <c r="JF34" s="565">
        <v>494907</v>
      </c>
      <c r="JG34" s="7">
        <v>303142</v>
      </c>
      <c r="JH34" s="7">
        <v>10062</v>
      </c>
      <c r="JI34" s="7">
        <v>136013</v>
      </c>
      <c r="JJ34" s="7">
        <v>61827</v>
      </c>
      <c r="JK34" s="12">
        <v>111957</v>
      </c>
      <c r="JL34" s="5">
        <v>101536</v>
      </c>
      <c r="JM34" s="5">
        <v>1372</v>
      </c>
      <c r="JN34" s="5">
        <v>16862</v>
      </c>
      <c r="JO34" s="5">
        <v>9049</v>
      </c>
      <c r="JP34" s="12">
        <v>154372</v>
      </c>
      <c r="JQ34" s="5">
        <v>131501</v>
      </c>
      <c r="JR34" s="5">
        <v>2364</v>
      </c>
      <c r="JS34" s="5">
        <v>28847</v>
      </c>
      <c r="JT34" s="5">
        <v>20507</v>
      </c>
      <c r="JU34" s="12">
        <v>189688</v>
      </c>
      <c r="JV34" s="5">
        <v>161840</v>
      </c>
      <c r="JW34" s="5">
        <v>3361</v>
      </c>
      <c r="JX34" s="5">
        <v>43401</v>
      </c>
      <c r="JY34" s="5">
        <v>24487</v>
      </c>
      <c r="JZ34" s="12">
        <v>195222.73199999999</v>
      </c>
      <c r="KA34" s="5">
        <v>166482.63199999998</v>
      </c>
      <c r="KB34" s="5">
        <v>3828.576</v>
      </c>
      <c r="KC34" s="5">
        <v>45323.726999999999</v>
      </c>
      <c r="KD34" s="5">
        <v>24911.524000000005</v>
      </c>
      <c r="KE34" s="5">
        <v>199989</v>
      </c>
      <c r="KF34" s="5">
        <v>130363</v>
      </c>
      <c r="KG34" s="5">
        <v>4106</v>
      </c>
      <c r="KH34" s="5">
        <v>51533</v>
      </c>
      <c r="KI34" s="5">
        <v>25212</v>
      </c>
      <c r="KJ34" s="5">
        <v>198116</v>
      </c>
      <c r="KK34" s="5">
        <v>127802</v>
      </c>
      <c r="KL34" s="5">
        <v>4809</v>
      </c>
      <c r="KM34" s="5">
        <v>52862</v>
      </c>
      <c r="KN34" s="5">
        <v>24861</v>
      </c>
      <c r="KO34" s="5">
        <v>215691</v>
      </c>
      <c r="KP34" s="5">
        <v>135114</v>
      </c>
      <c r="KQ34" s="5">
        <v>3802</v>
      </c>
      <c r="KR34" s="5">
        <v>59933</v>
      </c>
      <c r="KS34" s="5">
        <v>31571</v>
      </c>
      <c r="KT34" s="258" t="s">
        <v>185</v>
      </c>
      <c r="KU34" s="259" t="s">
        <v>185</v>
      </c>
      <c r="KV34" s="316">
        <v>43476</v>
      </c>
      <c r="KW34" s="332">
        <f t="shared" si="410"/>
        <v>26062</v>
      </c>
      <c r="KX34" s="332">
        <f t="shared" si="411"/>
        <v>17414</v>
      </c>
      <c r="KY34" s="332">
        <f t="shared" si="412"/>
        <v>42821</v>
      </c>
      <c r="KZ34" s="318">
        <v>25720</v>
      </c>
      <c r="LA34" s="318">
        <v>17101</v>
      </c>
      <c r="LB34" s="332">
        <f t="shared" si="413"/>
        <v>655</v>
      </c>
      <c r="LC34" s="318">
        <v>342</v>
      </c>
      <c r="LD34" s="318">
        <v>313</v>
      </c>
      <c r="LE34" s="316">
        <v>69703</v>
      </c>
      <c r="LF34" s="332">
        <f t="shared" si="414"/>
        <v>42044</v>
      </c>
      <c r="LG34" s="332">
        <f t="shared" si="415"/>
        <v>27659</v>
      </c>
      <c r="LH34" s="332">
        <f t="shared" si="416"/>
        <v>61079</v>
      </c>
      <c r="LI34" s="318">
        <v>36427</v>
      </c>
      <c r="LJ34" s="318">
        <v>24652</v>
      </c>
      <c r="LK34" s="332">
        <f t="shared" si="417"/>
        <v>546</v>
      </c>
      <c r="LL34" s="318">
        <v>305</v>
      </c>
      <c r="LM34" s="318">
        <v>241</v>
      </c>
      <c r="LN34" s="332">
        <f t="shared" si="418"/>
        <v>8078</v>
      </c>
      <c r="LO34" s="318">
        <v>5312</v>
      </c>
      <c r="LP34" s="318">
        <v>2766</v>
      </c>
      <c r="LQ34" s="316">
        <v>124345</v>
      </c>
      <c r="LR34" s="332">
        <f t="shared" si="419"/>
        <v>72925</v>
      </c>
      <c r="LS34" s="332">
        <f t="shared" si="420"/>
        <v>51420</v>
      </c>
      <c r="LT34" s="342">
        <f t="shared" si="421"/>
        <v>104228</v>
      </c>
      <c r="LU34" s="318">
        <v>60685</v>
      </c>
      <c r="LV34" s="318">
        <v>43543</v>
      </c>
      <c r="LW34" s="318">
        <v>12240</v>
      </c>
      <c r="LX34" s="318">
        <v>7877</v>
      </c>
      <c r="LY34" s="342">
        <f t="shared" si="422"/>
        <v>1096</v>
      </c>
      <c r="LZ34" s="318">
        <v>604</v>
      </c>
      <c r="MA34" s="318">
        <v>492</v>
      </c>
      <c r="MB34" s="342">
        <f t="shared" si="423"/>
        <v>15472</v>
      </c>
      <c r="MC34" s="318">
        <v>9807</v>
      </c>
      <c r="MD34" s="318">
        <v>5665</v>
      </c>
      <c r="ME34" s="333">
        <f t="shared" si="424"/>
        <v>3549</v>
      </c>
      <c r="MF34" s="333">
        <f t="shared" si="425"/>
        <v>1829</v>
      </c>
      <c r="MG34" s="333">
        <f t="shared" si="426"/>
        <v>1720</v>
      </c>
      <c r="MH34" s="334">
        <f t="shared" si="427"/>
        <v>248</v>
      </c>
      <c r="MI34" s="334">
        <f t="shared" si="428"/>
        <v>152</v>
      </c>
      <c r="MJ34" s="334">
        <f t="shared" si="429"/>
        <v>96</v>
      </c>
      <c r="MK34" s="318">
        <v>3301</v>
      </c>
      <c r="ML34" s="318">
        <v>1677</v>
      </c>
      <c r="MM34" s="318">
        <v>1624</v>
      </c>
      <c r="MN34" s="14">
        <f t="shared" si="430"/>
        <v>188336</v>
      </c>
      <c r="MO34" s="332">
        <f t="shared" si="431"/>
        <v>103296</v>
      </c>
      <c r="MP34" s="332">
        <f t="shared" si="432"/>
        <v>85040</v>
      </c>
      <c r="MQ34" s="13">
        <f t="shared" si="433"/>
        <v>171463</v>
      </c>
      <c r="MR34" s="136">
        <f t="shared" si="434"/>
        <v>152239</v>
      </c>
      <c r="MS34" s="318">
        <v>83306</v>
      </c>
      <c r="MT34" s="318">
        <v>68933</v>
      </c>
      <c r="MU34" s="318">
        <v>19990</v>
      </c>
      <c r="MV34" s="318">
        <v>16107</v>
      </c>
      <c r="MW34" s="13">
        <f t="shared" si="435"/>
        <v>2299</v>
      </c>
      <c r="MX34" s="136">
        <f t="shared" si="436"/>
        <v>1236</v>
      </c>
      <c r="MY34" s="318">
        <v>324</v>
      </c>
      <c r="MZ34" s="318">
        <v>912</v>
      </c>
      <c r="NA34" s="13">
        <f t="shared" si="437"/>
        <v>28009</v>
      </c>
      <c r="NB34" s="318">
        <v>16078</v>
      </c>
      <c r="NC34" s="318">
        <v>11931</v>
      </c>
      <c r="ND34" s="11">
        <f t="shared" si="438"/>
        <v>14574</v>
      </c>
      <c r="NE34" s="335">
        <f t="shared" si="439"/>
        <v>3588</v>
      </c>
      <c r="NF34" s="335">
        <f t="shared" si="440"/>
        <v>3264</v>
      </c>
      <c r="NG34" s="336">
        <f t="shared" si="441"/>
        <v>129</v>
      </c>
      <c r="NH34" s="336">
        <f t="shared" si="442"/>
        <v>104</v>
      </c>
      <c r="NI34" s="336">
        <f t="shared" si="443"/>
        <v>25</v>
      </c>
      <c r="NJ34" s="337">
        <f t="shared" si="444"/>
        <v>6723</v>
      </c>
      <c r="NK34" s="337">
        <f t="shared" si="445"/>
        <v>3484</v>
      </c>
      <c r="NL34" s="337">
        <f t="shared" si="446"/>
        <v>3239</v>
      </c>
      <c r="NM34" s="318">
        <v>1809</v>
      </c>
      <c r="NN34" s="318">
        <v>1748</v>
      </c>
      <c r="NO34" s="318">
        <v>1675</v>
      </c>
      <c r="NP34" s="318">
        <v>1491</v>
      </c>
      <c r="NQ34" s="338">
        <v>266149</v>
      </c>
      <c r="NR34" s="318">
        <v>134343</v>
      </c>
      <c r="NS34" s="318">
        <v>131806</v>
      </c>
      <c r="NT34" s="7">
        <f t="shared" si="447"/>
        <v>229374</v>
      </c>
      <c r="NU34" s="7">
        <v>116925</v>
      </c>
      <c r="NV34" s="7">
        <v>112449</v>
      </c>
      <c r="NW34" s="125">
        <f t="shared" si="448"/>
        <v>200816</v>
      </c>
      <c r="NX34" s="318">
        <v>102698</v>
      </c>
      <c r="NY34" s="318">
        <v>98118</v>
      </c>
      <c r="NZ34" s="7">
        <f t="shared" si="449"/>
        <v>3626</v>
      </c>
      <c r="OA34" s="318">
        <v>1868</v>
      </c>
      <c r="OB34" s="318">
        <v>1758</v>
      </c>
      <c r="OC34" s="7">
        <f t="shared" si="450"/>
        <v>45326</v>
      </c>
      <c r="OD34" s="318">
        <v>22348</v>
      </c>
      <c r="OE34" s="318">
        <v>22978</v>
      </c>
      <c r="OF34" s="125">
        <f t="shared" si="451"/>
        <v>33149</v>
      </c>
      <c r="OG34" s="125">
        <f t="shared" si="452"/>
        <v>15550</v>
      </c>
      <c r="OH34" s="125">
        <f t="shared" si="453"/>
        <v>17599</v>
      </c>
      <c r="OI34" s="326">
        <v>309011</v>
      </c>
      <c r="OJ34" s="318">
        <v>260726</v>
      </c>
      <c r="OK34" s="318">
        <v>5748</v>
      </c>
      <c r="OL34" s="318">
        <v>42537</v>
      </c>
      <c r="OM34" s="7">
        <v>59816</v>
      </c>
      <c r="ON34" s="12">
        <v>313926</v>
      </c>
      <c r="OO34" s="5">
        <v>266810</v>
      </c>
      <c r="OP34" s="5">
        <v>6305</v>
      </c>
      <c r="OQ34" s="5">
        <v>40811</v>
      </c>
      <c r="OR34" s="5">
        <v>62645</v>
      </c>
      <c r="OS34" s="12">
        <v>318844</v>
      </c>
      <c r="OT34" s="5">
        <v>273063</v>
      </c>
      <c r="OU34" s="5">
        <v>6175</v>
      </c>
      <c r="OV34" s="5">
        <v>39606</v>
      </c>
      <c r="OW34" s="5">
        <v>65292</v>
      </c>
      <c r="OX34" s="12">
        <v>331497</v>
      </c>
      <c r="OY34" s="5">
        <v>285409</v>
      </c>
      <c r="OZ34" s="5">
        <v>6193</v>
      </c>
      <c r="PA34" s="5">
        <v>39895</v>
      </c>
      <c r="PB34" s="5">
        <v>68497</v>
      </c>
      <c r="PC34" s="12">
        <v>339634.06799999997</v>
      </c>
      <c r="PD34" s="5">
        <v>293374.88199999998</v>
      </c>
      <c r="PE34" s="5">
        <v>6221.4359999999997</v>
      </c>
      <c r="PF34" s="5">
        <v>70988.97</v>
      </c>
      <c r="PG34" s="5">
        <v>40037.749999999985</v>
      </c>
      <c r="PH34" s="5">
        <v>347234</v>
      </c>
      <c r="PI34" s="5">
        <v>299069</v>
      </c>
      <c r="PJ34" s="5">
        <v>6674</v>
      </c>
      <c r="PK34" s="5">
        <v>73978</v>
      </c>
      <c r="PL34" s="2">
        <v>41382</v>
      </c>
      <c r="PM34" s="2">
        <v>352766</v>
      </c>
      <c r="PN34" s="2">
        <v>242988</v>
      </c>
      <c r="PO34" s="2">
        <v>6812</v>
      </c>
      <c r="PP34" s="2">
        <v>78320</v>
      </c>
      <c r="PQ34" s="2">
        <v>41128</v>
      </c>
      <c r="PR34" s="2">
        <v>364462</v>
      </c>
      <c r="PS34" s="2">
        <v>246043</v>
      </c>
      <c r="PT34" s="2">
        <v>9019</v>
      </c>
      <c r="PU34" s="2">
        <v>84598</v>
      </c>
      <c r="PV34" s="2">
        <v>35812</v>
      </c>
      <c r="PW34" s="2">
        <v>378233</v>
      </c>
      <c r="PX34" s="2">
        <v>247966</v>
      </c>
      <c r="PY34" s="2">
        <v>7293</v>
      </c>
      <c r="PZ34" s="2">
        <v>92318</v>
      </c>
      <c r="QA34" s="2">
        <v>40773</v>
      </c>
      <c r="QB34" s="12">
        <v>76379</v>
      </c>
      <c r="QC34" s="5">
        <v>69927</v>
      </c>
      <c r="QD34" s="5">
        <v>927</v>
      </c>
      <c r="QE34" s="5">
        <v>10147</v>
      </c>
      <c r="QF34" s="5">
        <v>5525</v>
      </c>
      <c r="QG34" s="12">
        <v>111777</v>
      </c>
      <c r="QH34" s="5">
        <v>97873</v>
      </c>
      <c r="QI34" s="5">
        <v>1262</v>
      </c>
      <c r="QJ34" s="5">
        <v>16479</v>
      </c>
      <c r="QK34" s="5">
        <v>12642</v>
      </c>
      <c r="QL34" s="12">
        <v>141809</v>
      </c>
      <c r="QM34" s="5">
        <v>123569</v>
      </c>
      <c r="QN34" s="5">
        <v>2832</v>
      </c>
      <c r="QO34" s="5">
        <v>25096</v>
      </c>
      <c r="QP34" s="5">
        <v>15408</v>
      </c>
      <c r="QQ34" s="12">
        <v>144411.33600000001</v>
      </c>
      <c r="QR34" s="5">
        <v>126892.25</v>
      </c>
      <c r="QS34" s="5">
        <v>2392.86</v>
      </c>
      <c r="QT34" s="5">
        <v>25665.242999999999</v>
      </c>
      <c r="QU34" s="10">
        <v>15126.22600000001</v>
      </c>
      <c r="QV34" s="1">
        <v>150008</v>
      </c>
      <c r="QW34" s="2">
        <v>131748</v>
      </c>
      <c r="QX34" s="2">
        <v>2730</v>
      </c>
      <c r="QY34" s="2">
        <v>26622</v>
      </c>
      <c r="QZ34" s="69">
        <v>15482</v>
      </c>
      <c r="RA34" s="2">
        <v>152777</v>
      </c>
      <c r="RB34" s="2">
        <v>112625</v>
      </c>
      <c r="RC34" s="2">
        <v>2706</v>
      </c>
      <c r="RD34" s="2">
        <v>26787</v>
      </c>
      <c r="RE34" s="2">
        <v>15916</v>
      </c>
      <c r="RF34" s="2">
        <v>166346</v>
      </c>
      <c r="RG34" s="2">
        <v>118241</v>
      </c>
      <c r="RH34" s="2">
        <v>4210</v>
      </c>
      <c r="RI34" s="2">
        <v>31736</v>
      </c>
      <c r="RJ34" s="2">
        <v>19800</v>
      </c>
      <c r="RK34" s="2">
        <v>162542</v>
      </c>
      <c r="RL34" s="2">
        <v>112852</v>
      </c>
      <c r="RM34" s="2">
        <v>3491</v>
      </c>
      <c r="RN34" s="2">
        <v>32385</v>
      </c>
      <c r="RO34" s="2">
        <v>19670</v>
      </c>
    </row>
    <row r="35" spans="1:483" ht="14.25" x14ac:dyDescent="0.2">
      <c r="A35" s="217" t="s">
        <v>42</v>
      </c>
      <c r="B35" s="258" t="s">
        <v>185</v>
      </c>
      <c r="C35" s="259" t="s">
        <v>185</v>
      </c>
      <c r="D35" s="259" t="s">
        <v>185</v>
      </c>
      <c r="E35" s="259" t="s">
        <v>185</v>
      </c>
      <c r="F35" s="260" t="s">
        <v>185</v>
      </c>
      <c r="G35" s="5">
        <v>114724</v>
      </c>
      <c r="H35" s="5">
        <v>97482</v>
      </c>
      <c r="I35" s="5">
        <v>1741</v>
      </c>
      <c r="J35" s="5">
        <v>15420</v>
      </c>
      <c r="K35" s="10">
        <v>15501</v>
      </c>
      <c r="L35" s="5">
        <v>111705</v>
      </c>
      <c r="M35" s="5">
        <v>69979</v>
      </c>
      <c r="N35" s="5">
        <v>1622</v>
      </c>
      <c r="O35" s="5">
        <v>42174</v>
      </c>
      <c r="P35" s="10">
        <v>40104</v>
      </c>
      <c r="Q35" s="7">
        <v>106453</v>
      </c>
      <c r="R35" s="7">
        <v>66207</v>
      </c>
      <c r="S35" s="7">
        <v>1297</v>
      </c>
      <c r="T35" s="7">
        <v>57258</v>
      </c>
      <c r="U35" s="577">
        <v>38949</v>
      </c>
      <c r="V35" s="7">
        <v>106595</v>
      </c>
      <c r="W35" s="7">
        <v>65020</v>
      </c>
      <c r="X35" s="7">
        <v>1713</v>
      </c>
      <c r="Y35" s="7">
        <v>58497</v>
      </c>
      <c r="Z35" s="7">
        <v>39862</v>
      </c>
      <c r="AA35" s="7">
        <v>108473</v>
      </c>
      <c r="AB35" s="7">
        <v>34594</v>
      </c>
      <c r="AC35" s="7">
        <v>1933</v>
      </c>
      <c r="AD35" s="7">
        <v>59739</v>
      </c>
      <c r="AE35" s="675">
        <v>36696</v>
      </c>
      <c r="AF35" s="560">
        <v>103304</v>
      </c>
      <c r="AG35" s="560">
        <v>32465</v>
      </c>
      <c r="AH35" s="560">
        <v>2443</v>
      </c>
      <c r="AI35" s="560">
        <v>57051</v>
      </c>
      <c r="AJ35" s="560">
        <v>31867</v>
      </c>
      <c r="AK35" s="560">
        <v>106021</v>
      </c>
      <c r="AL35" s="560">
        <v>31508</v>
      </c>
      <c r="AM35" s="560">
        <v>2873</v>
      </c>
      <c r="AN35" s="560">
        <v>59520</v>
      </c>
      <c r="AO35" s="560">
        <v>34030</v>
      </c>
      <c r="AP35" s="12">
        <v>228885</v>
      </c>
      <c r="AQ35" s="5">
        <v>212542</v>
      </c>
      <c r="AR35" s="5">
        <v>4295</v>
      </c>
      <c r="AS35" s="5">
        <v>8126</v>
      </c>
      <c r="AT35" s="10">
        <v>12048</v>
      </c>
      <c r="AU35" s="5">
        <v>223106</v>
      </c>
      <c r="AV35" s="5">
        <v>189071</v>
      </c>
      <c r="AW35" s="5">
        <v>4548</v>
      </c>
      <c r="AX35" s="5">
        <v>21884</v>
      </c>
      <c r="AY35" s="10">
        <v>29487</v>
      </c>
      <c r="AZ35" s="5">
        <v>180491</v>
      </c>
      <c r="BA35" s="5">
        <v>146601</v>
      </c>
      <c r="BB35" s="5">
        <v>4657</v>
      </c>
      <c r="BC35" s="5">
        <v>33853</v>
      </c>
      <c r="BD35" s="10">
        <v>29233</v>
      </c>
      <c r="BE35" s="5">
        <v>178192</v>
      </c>
      <c r="BF35" s="5">
        <v>143777</v>
      </c>
      <c r="BG35" s="5">
        <v>4082</v>
      </c>
      <c r="BH35" s="5">
        <v>35507</v>
      </c>
      <c r="BI35" s="5">
        <v>30333</v>
      </c>
      <c r="BJ35" s="5">
        <v>170171</v>
      </c>
      <c r="BK35" s="5">
        <v>118921</v>
      </c>
      <c r="BL35" s="5">
        <v>3654</v>
      </c>
      <c r="BM35" s="5">
        <v>34311</v>
      </c>
      <c r="BN35" s="53">
        <v>27838</v>
      </c>
      <c r="BO35" s="53">
        <v>176281</v>
      </c>
      <c r="BP35" s="53">
        <v>117446</v>
      </c>
      <c r="BQ35" s="53">
        <v>3705</v>
      </c>
      <c r="BR35" s="53">
        <v>41049</v>
      </c>
      <c r="BS35" s="53">
        <v>27062</v>
      </c>
      <c r="BT35" s="53">
        <v>171461</v>
      </c>
      <c r="BU35" s="53">
        <v>114889</v>
      </c>
      <c r="BV35" s="53">
        <v>3670</v>
      </c>
      <c r="BW35" s="53">
        <v>38343</v>
      </c>
      <c r="BX35" s="53">
        <v>29579</v>
      </c>
      <c r="BY35" s="12">
        <v>287495</v>
      </c>
      <c r="BZ35" s="5">
        <v>209088</v>
      </c>
      <c r="CA35" s="5">
        <v>6340</v>
      </c>
      <c r="CB35" s="5">
        <v>93853</v>
      </c>
      <c r="CC35" s="290">
        <f t="shared" si="398"/>
        <v>72067</v>
      </c>
      <c r="CD35" s="258" t="s">
        <v>185</v>
      </c>
      <c r="CE35" s="259" t="s">
        <v>185</v>
      </c>
      <c r="CF35" s="259" t="s">
        <v>185</v>
      </c>
      <c r="CG35" s="259" t="s">
        <v>185</v>
      </c>
      <c r="CH35" s="258" t="s">
        <v>185</v>
      </c>
      <c r="CI35" s="259" t="s">
        <v>185</v>
      </c>
      <c r="CJ35" s="259" t="s">
        <v>185</v>
      </c>
      <c r="CK35" s="259" t="s">
        <v>185</v>
      </c>
      <c r="CL35" s="260" t="s">
        <v>185</v>
      </c>
      <c r="CM35" s="5">
        <v>1511760</v>
      </c>
      <c r="CN35" s="5">
        <v>1438476</v>
      </c>
      <c r="CO35" s="5">
        <v>18087</v>
      </c>
      <c r="CP35" s="5">
        <v>26558</v>
      </c>
      <c r="CQ35" s="10">
        <v>55197</v>
      </c>
      <c r="CR35" s="5">
        <v>1916187</v>
      </c>
      <c r="CS35" s="5">
        <v>1750346</v>
      </c>
      <c r="CT35" s="5">
        <v>24332</v>
      </c>
      <c r="CU35" s="5">
        <v>61105</v>
      </c>
      <c r="CV35" s="5">
        <v>141509</v>
      </c>
      <c r="CW35" s="195">
        <v>2185793</v>
      </c>
      <c r="CX35" s="5">
        <v>1976825</v>
      </c>
      <c r="CY35" s="5">
        <v>30977</v>
      </c>
      <c r="CZ35" s="5">
        <v>177991</v>
      </c>
      <c r="DA35" s="5">
        <v>100189</v>
      </c>
      <c r="DB35" s="12">
        <v>2235745</v>
      </c>
      <c r="DC35" s="5">
        <v>2024452</v>
      </c>
      <c r="DD35" s="5">
        <v>31630</v>
      </c>
      <c r="DE35" s="5">
        <v>179663</v>
      </c>
      <c r="DF35" s="5">
        <v>106645</v>
      </c>
      <c r="DG35" s="56">
        <v>2264060</v>
      </c>
      <c r="DH35" s="54">
        <v>2047400</v>
      </c>
      <c r="DI35" s="54">
        <v>33228</v>
      </c>
      <c r="DJ35" s="54">
        <v>183432</v>
      </c>
      <c r="DK35" s="54">
        <v>109999</v>
      </c>
      <c r="DL35" s="12">
        <v>2293249</v>
      </c>
      <c r="DM35" s="5">
        <v>2067892</v>
      </c>
      <c r="DN35" s="5">
        <v>34098</v>
      </c>
      <c r="DO35" s="5">
        <v>117671</v>
      </c>
      <c r="DP35" s="5">
        <v>140203</v>
      </c>
      <c r="DQ35" s="12">
        <v>2326092.4299999997</v>
      </c>
      <c r="DR35" s="5">
        <v>2088582.939</v>
      </c>
      <c r="DS35" s="5">
        <v>35411.79</v>
      </c>
      <c r="DT35" s="5">
        <v>122897.25</v>
      </c>
      <c r="DU35" s="530">
        <f t="shared" si="399"/>
        <v>202097.70099999968</v>
      </c>
      <c r="DV35" s="5">
        <v>2359135</v>
      </c>
      <c r="DW35" s="5">
        <v>2113476</v>
      </c>
      <c r="DX35" s="5">
        <v>35953</v>
      </c>
      <c r="DY35" s="5">
        <v>128715</v>
      </c>
      <c r="DZ35" s="5">
        <v>209706</v>
      </c>
      <c r="EA35" s="5">
        <v>2394755</v>
      </c>
      <c r="EB35" s="5">
        <v>2056528</v>
      </c>
      <c r="EC35" s="5">
        <v>37417</v>
      </c>
      <c r="ED35" s="5">
        <v>135103</v>
      </c>
      <c r="EE35" s="5">
        <v>213623</v>
      </c>
      <c r="EF35" s="5">
        <v>2524876</v>
      </c>
      <c r="EG35" s="5">
        <v>2131141</v>
      </c>
      <c r="EH35" s="5">
        <v>43787</v>
      </c>
      <c r="EI35" s="5">
        <v>159098</v>
      </c>
      <c r="EJ35" s="5">
        <v>240529</v>
      </c>
      <c r="EK35" s="5">
        <v>2580470</v>
      </c>
      <c r="EL35" s="5">
        <v>2172370</v>
      </c>
      <c r="EM35" s="5">
        <v>42669</v>
      </c>
      <c r="EN35" s="5">
        <v>166142</v>
      </c>
      <c r="EO35" s="5">
        <v>257063</v>
      </c>
      <c r="EP35" s="258" t="s">
        <v>185</v>
      </c>
      <c r="EQ35" s="259" t="s">
        <v>185</v>
      </c>
      <c r="ER35" s="259" t="s">
        <v>185</v>
      </c>
      <c r="ES35" s="259" t="s">
        <v>185</v>
      </c>
      <c r="ET35" s="260" t="s">
        <v>185</v>
      </c>
      <c r="EU35" s="5">
        <v>592902</v>
      </c>
      <c r="EV35" s="5">
        <v>562581</v>
      </c>
      <c r="EW35" s="5">
        <v>8326</v>
      </c>
      <c r="EX35" s="5">
        <v>11294</v>
      </c>
      <c r="EY35" s="10">
        <v>21995</v>
      </c>
      <c r="EZ35" s="5">
        <v>760392</v>
      </c>
      <c r="FA35" s="5">
        <v>694912</v>
      </c>
      <c r="FB35" s="5">
        <v>10906</v>
      </c>
      <c r="FC35" s="5">
        <v>23437</v>
      </c>
      <c r="FD35" s="10">
        <v>54574</v>
      </c>
      <c r="FE35" s="5">
        <v>909049</v>
      </c>
      <c r="FF35" s="5">
        <v>823136</v>
      </c>
      <c r="FG35" s="5">
        <v>15234</v>
      </c>
      <c r="FH35" s="5">
        <v>46567</v>
      </c>
      <c r="FI35" s="10">
        <v>70679</v>
      </c>
      <c r="FJ35" s="5">
        <v>919982.62400000007</v>
      </c>
      <c r="FK35" s="5">
        <v>829459.23100000003</v>
      </c>
      <c r="FL35" s="5">
        <v>16058.35</v>
      </c>
      <c r="FM35" s="5">
        <v>48768.75</v>
      </c>
      <c r="FN35" s="10">
        <v>74465.043000000034</v>
      </c>
      <c r="FO35" s="5">
        <v>924271</v>
      </c>
      <c r="FP35" s="5">
        <v>830190</v>
      </c>
      <c r="FQ35" s="5">
        <v>16523</v>
      </c>
      <c r="FR35" s="5">
        <v>49926</v>
      </c>
      <c r="FS35" s="618">
        <v>77558</v>
      </c>
      <c r="FT35" s="618">
        <v>933263</v>
      </c>
      <c r="FU35" s="618">
        <v>803474</v>
      </c>
      <c r="FV35" s="618">
        <v>16790</v>
      </c>
      <c r="FW35" s="618">
        <v>52031</v>
      </c>
      <c r="FX35" s="618">
        <v>78480</v>
      </c>
      <c r="FY35" s="618">
        <v>968279</v>
      </c>
      <c r="FZ35" s="618">
        <v>821853</v>
      </c>
      <c r="GA35" s="618">
        <v>18927</v>
      </c>
      <c r="GB35" s="618">
        <v>61185</v>
      </c>
      <c r="GC35" s="618">
        <v>85219</v>
      </c>
      <c r="GD35" s="618">
        <v>990047</v>
      </c>
      <c r="GE35" s="618">
        <v>835202</v>
      </c>
      <c r="GF35" s="618">
        <v>19194</v>
      </c>
      <c r="GG35" s="618">
        <v>65199</v>
      </c>
      <c r="GH35" s="618">
        <v>91267</v>
      </c>
      <c r="GI35" s="12">
        <v>128482</v>
      </c>
      <c r="GJ35" s="5">
        <v>121097</v>
      </c>
      <c r="GK35" s="5">
        <v>1452</v>
      </c>
      <c r="GL35" s="5">
        <v>2576</v>
      </c>
      <c r="GM35" s="10">
        <v>5933</v>
      </c>
      <c r="GN35" s="5">
        <v>149639</v>
      </c>
      <c r="GO35" s="5">
        <v>134843</v>
      </c>
      <c r="GP35" s="5">
        <v>2006</v>
      </c>
      <c r="GQ35" s="5">
        <v>4456</v>
      </c>
      <c r="GR35" s="10">
        <v>12790</v>
      </c>
      <c r="GS35" s="12">
        <v>209217</v>
      </c>
      <c r="GT35" s="5">
        <v>189006</v>
      </c>
      <c r="GU35" s="5">
        <v>2845</v>
      </c>
      <c r="GV35" s="5">
        <v>9263</v>
      </c>
      <c r="GW35" s="5">
        <v>17366</v>
      </c>
      <c r="GX35" s="12"/>
      <c r="GY35" s="5"/>
      <c r="GZ35" s="5"/>
      <c r="HA35" s="5"/>
      <c r="HB35" s="10"/>
      <c r="HC35" s="5">
        <v>212941</v>
      </c>
      <c r="HD35" s="5">
        <v>191079</v>
      </c>
      <c r="HE35" s="5">
        <v>3341</v>
      </c>
      <c r="HF35" s="5">
        <v>10626</v>
      </c>
      <c r="HG35" s="5">
        <v>18521</v>
      </c>
      <c r="HH35" s="5">
        <v>221551</v>
      </c>
      <c r="HI35" s="5">
        <v>190489</v>
      </c>
      <c r="HJ35" s="5">
        <v>3961</v>
      </c>
      <c r="HK35" s="5">
        <v>11461</v>
      </c>
      <c r="HL35" s="5">
        <v>19414</v>
      </c>
      <c r="HM35" s="5">
        <v>245431</v>
      </c>
      <c r="HN35" s="5">
        <v>205615</v>
      </c>
      <c r="HO35" s="5">
        <v>4359</v>
      </c>
      <c r="HP35" s="5">
        <v>15240</v>
      </c>
      <c r="HQ35" s="5">
        <v>24707</v>
      </c>
      <c r="HR35" s="5">
        <v>244515</v>
      </c>
      <c r="HS35" s="5">
        <v>202153</v>
      </c>
      <c r="HT35" s="5">
        <v>4366</v>
      </c>
      <c r="HU35" s="5">
        <v>15976</v>
      </c>
      <c r="HV35" s="5">
        <v>27524</v>
      </c>
      <c r="HW35" s="569">
        <f t="shared" si="454"/>
        <v>510653</v>
      </c>
      <c r="HX35" s="546">
        <f t="shared" si="455"/>
        <v>484228</v>
      </c>
      <c r="HY35" s="546">
        <f t="shared" si="456"/>
        <v>5109</v>
      </c>
      <c r="HZ35" s="546">
        <f t="shared" si="457"/>
        <v>7641</v>
      </c>
      <c r="IA35" s="546">
        <f t="shared" si="458"/>
        <v>21316</v>
      </c>
      <c r="IB35" s="569">
        <f t="shared" si="459"/>
        <v>714205</v>
      </c>
      <c r="IC35" s="546">
        <f t="shared" si="460"/>
        <v>651422</v>
      </c>
      <c r="ID35" s="546">
        <f t="shared" si="461"/>
        <v>7435</v>
      </c>
      <c r="IE35" s="546">
        <f t="shared" si="462"/>
        <v>16506</v>
      </c>
      <c r="IF35" s="546">
        <f t="shared" si="463"/>
        <v>55348</v>
      </c>
      <c r="IG35" s="12">
        <v>820109</v>
      </c>
      <c r="IH35" s="5">
        <v>737706</v>
      </c>
      <c r="II35" s="5">
        <v>11027</v>
      </c>
      <c r="IJ35" s="5">
        <v>28422</v>
      </c>
      <c r="IK35" s="5">
        <v>71376</v>
      </c>
      <c r="IL35" s="565"/>
      <c r="IM35" s="7"/>
      <c r="IN35" s="7"/>
      <c r="IO35" s="7"/>
      <c r="IP35" s="7"/>
      <c r="IQ35" s="7">
        <v>987923</v>
      </c>
      <c r="IR35" s="7">
        <v>885038</v>
      </c>
      <c r="IS35" s="7">
        <v>12993</v>
      </c>
      <c r="IT35" s="7">
        <v>36071</v>
      </c>
      <c r="IU35" s="577">
        <v>89892</v>
      </c>
      <c r="IV35" s="7">
        <v>1023910</v>
      </c>
      <c r="IW35" s="7">
        <v>889206</v>
      </c>
      <c r="IX35" s="7">
        <v>13474</v>
      </c>
      <c r="IY35" s="7">
        <v>39716</v>
      </c>
      <c r="IZ35" s="7">
        <v>93493</v>
      </c>
      <c r="JA35" s="565">
        <v>1147098</v>
      </c>
      <c r="JB35" s="7">
        <v>972732</v>
      </c>
      <c r="JC35" s="7">
        <v>18674</v>
      </c>
      <c r="JD35" s="7">
        <v>54511</v>
      </c>
      <c r="JE35" s="7">
        <v>116458</v>
      </c>
      <c r="JF35" s="565">
        <v>1179045</v>
      </c>
      <c r="JG35" s="7">
        <v>1001641</v>
      </c>
      <c r="JH35" s="7">
        <v>14984</v>
      </c>
      <c r="JI35" s="7">
        <v>52430</v>
      </c>
      <c r="JJ35" s="7">
        <v>126857</v>
      </c>
      <c r="JK35" s="12">
        <v>252626</v>
      </c>
      <c r="JL35" s="5">
        <v>240208</v>
      </c>
      <c r="JM35" s="5">
        <v>2436</v>
      </c>
      <c r="JN35" s="5">
        <v>3482</v>
      </c>
      <c r="JO35" s="5">
        <v>9982</v>
      </c>
      <c r="JP35" s="12">
        <v>369252</v>
      </c>
      <c r="JQ35" s="5">
        <v>337979</v>
      </c>
      <c r="JR35" s="5">
        <v>3640</v>
      </c>
      <c r="JS35" s="5">
        <v>7977</v>
      </c>
      <c r="JT35" s="5">
        <v>27633</v>
      </c>
      <c r="JU35" s="12">
        <v>474140</v>
      </c>
      <c r="JV35" s="5">
        <v>426563</v>
      </c>
      <c r="JW35" s="5">
        <v>6560</v>
      </c>
      <c r="JX35" s="5">
        <v>15502</v>
      </c>
      <c r="JY35" s="5">
        <v>41017</v>
      </c>
      <c r="JZ35" s="12">
        <v>483513.59499999997</v>
      </c>
      <c r="KA35" s="5">
        <v>434259.81899999996</v>
      </c>
      <c r="KB35" s="5">
        <v>6506.76</v>
      </c>
      <c r="KC35" s="5">
        <v>16039.500000000002</v>
      </c>
      <c r="KD35" s="5">
        <v>42747.016000000011</v>
      </c>
      <c r="KE35" s="5">
        <v>502238</v>
      </c>
      <c r="KF35" s="5">
        <v>439187</v>
      </c>
      <c r="KG35" s="5">
        <v>6184</v>
      </c>
      <c r="KH35" s="5">
        <v>17844</v>
      </c>
      <c r="KI35" s="5">
        <v>44712</v>
      </c>
      <c r="KJ35" s="5">
        <v>566244</v>
      </c>
      <c r="KK35" s="5">
        <v>483107</v>
      </c>
      <c r="KL35" s="5">
        <v>9289</v>
      </c>
      <c r="KM35" s="5">
        <v>27341</v>
      </c>
      <c r="KN35" s="5">
        <v>54663</v>
      </c>
      <c r="KO35" s="5">
        <v>572508</v>
      </c>
      <c r="KP35" s="5">
        <v>494082</v>
      </c>
      <c r="KQ35" s="5">
        <v>7027</v>
      </c>
      <c r="KR35" s="5">
        <v>21648</v>
      </c>
      <c r="KS35" s="5">
        <v>56125</v>
      </c>
      <c r="KT35" s="258" t="s">
        <v>185</v>
      </c>
      <c r="KU35" s="259" t="s">
        <v>185</v>
      </c>
      <c r="KV35" s="316">
        <v>84415</v>
      </c>
      <c r="KW35" s="332">
        <f t="shared" si="410"/>
        <v>50061</v>
      </c>
      <c r="KX35" s="332">
        <f t="shared" si="411"/>
        <v>34354</v>
      </c>
      <c r="KY35" s="332">
        <f t="shared" si="412"/>
        <v>83240</v>
      </c>
      <c r="KZ35" s="318">
        <v>49288</v>
      </c>
      <c r="LA35" s="318">
        <v>33952</v>
      </c>
      <c r="LB35" s="332">
        <f t="shared" si="413"/>
        <v>1175</v>
      </c>
      <c r="LC35" s="318">
        <v>773</v>
      </c>
      <c r="LD35" s="318">
        <v>402</v>
      </c>
      <c r="LE35" s="316">
        <v>135501</v>
      </c>
      <c r="LF35" s="332">
        <f t="shared" si="414"/>
        <v>80111</v>
      </c>
      <c r="LG35" s="332">
        <f t="shared" si="415"/>
        <v>55390</v>
      </c>
      <c r="LH35" s="332">
        <f t="shared" si="416"/>
        <v>133310</v>
      </c>
      <c r="LI35" s="318">
        <v>78751</v>
      </c>
      <c r="LJ35" s="318">
        <v>54559</v>
      </c>
      <c r="LK35" s="332">
        <f t="shared" si="417"/>
        <v>829</v>
      </c>
      <c r="LL35" s="318">
        <v>498</v>
      </c>
      <c r="LM35" s="318">
        <v>331</v>
      </c>
      <c r="LN35" s="332">
        <f t="shared" si="418"/>
        <v>1362</v>
      </c>
      <c r="LO35" s="318">
        <v>862</v>
      </c>
      <c r="LP35" s="318">
        <v>500</v>
      </c>
      <c r="LQ35" s="316">
        <v>282036</v>
      </c>
      <c r="LR35" s="332">
        <f t="shared" si="419"/>
        <v>164467</v>
      </c>
      <c r="LS35" s="332">
        <f t="shared" si="420"/>
        <v>117569</v>
      </c>
      <c r="LT35" s="342">
        <f t="shared" si="421"/>
        <v>269598</v>
      </c>
      <c r="LU35" s="318">
        <v>157078</v>
      </c>
      <c r="LV35" s="318">
        <v>112520</v>
      </c>
      <c r="LW35" s="318">
        <v>7389</v>
      </c>
      <c r="LX35" s="318">
        <v>5049</v>
      </c>
      <c r="LY35" s="342">
        <f t="shared" si="422"/>
        <v>2190</v>
      </c>
      <c r="LZ35" s="318">
        <v>1388</v>
      </c>
      <c r="MA35" s="318">
        <v>802</v>
      </c>
      <c r="MB35" s="342">
        <f t="shared" si="423"/>
        <v>3115</v>
      </c>
      <c r="MC35" s="318">
        <v>1923</v>
      </c>
      <c r="MD35" s="318">
        <v>1192</v>
      </c>
      <c r="ME35" s="333">
        <f t="shared" si="424"/>
        <v>7133</v>
      </c>
      <c r="MF35" s="333">
        <f t="shared" si="425"/>
        <v>4078</v>
      </c>
      <c r="MG35" s="333">
        <f t="shared" si="426"/>
        <v>3055</v>
      </c>
      <c r="MH35" s="334">
        <f t="shared" si="427"/>
        <v>198</v>
      </c>
      <c r="MI35" s="334">
        <f t="shared" si="428"/>
        <v>145</v>
      </c>
      <c r="MJ35" s="334">
        <f t="shared" si="429"/>
        <v>53</v>
      </c>
      <c r="MK35" s="318">
        <v>6935</v>
      </c>
      <c r="ML35" s="318">
        <v>3933</v>
      </c>
      <c r="MM35" s="318">
        <v>3002</v>
      </c>
      <c r="MN35" s="14">
        <f t="shared" si="430"/>
        <v>382171</v>
      </c>
      <c r="MO35" s="332">
        <f t="shared" si="431"/>
        <v>209235</v>
      </c>
      <c r="MP35" s="332">
        <f t="shared" si="432"/>
        <v>172936</v>
      </c>
      <c r="MQ35" s="13">
        <f t="shared" si="433"/>
        <v>363131</v>
      </c>
      <c r="MR35" s="136">
        <f t="shared" si="434"/>
        <v>359612</v>
      </c>
      <c r="MS35" s="318">
        <v>196555</v>
      </c>
      <c r="MT35" s="318">
        <v>163057</v>
      </c>
      <c r="MU35" s="318">
        <v>12680</v>
      </c>
      <c r="MV35" s="318">
        <v>9879</v>
      </c>
      <c r="MW35" s="13">
        <f t="shared" si="435"/>
        <v>3657</v>
      </c>
      <c r="MX35" s="136">
        <f t="shared" si="436"/>
        <v>3640</v>
      </c>
      <c r="MY35" s="318">
        <v>2108</v>
      </c>
      <c r="MZ35" s="318">
        <v>1532</v>
      </c>
      <c r="NA35" s="13">
        <f t="shared" si="437"/>
        <v>5065</v>
      </c>
      <c r="NB35" s="318">
        <v>2856</v>
      </c>
      <c r="NC35" s="318">
        <v>2209</v>
      </c>
      <c r="ND35" s="11">
        <f t="shared" si="438"/>
        <v>15383</v>
      </c>
      <c r="NE35" s="335">
        <f t="shared" si="439"/>
        <v>7716</v>
      </c>
      <c r="NF35" s="335">
        <f t="shared" si="440"/>
        <v>6138</v>
      </c>
      <c r="NG35" s="336">
        <f t="shared" si="441"/>
        <v>65</v>
      </c>
      <c r="NH35" s="336">
        <f t="shared" si="442"/>
        <v>36</v>
      </c>
      <c r="NI35" s="336">
        <f t="shared" si="443"/>
        <v>29</v>
      </c>
      <c r="NJ35" s="337">
        <f t="shared" si="444"/>
        <v>13789</v>
      </c>
      <c r="NK35" s="337">
        <f t="shared" si="445"/>
        <v>7680</v>
      </c>
      <c r="NL35" s="337">
        <f t="shared" si="446"/>
        <v>6109</v>
      </c>
      <c r="NM35" s="318">
        <v>907</v>
      </c>
      <c r="NN35" s="318">
        <v>942</v>
      </c>
      <c r="NO35" s="318">
        <v>6773</v>
      </c>
      <c r="NP35" s="318">
        <v>5167</v>
      </c>
      <c r="NQ35" s="338">
        <v>564566</v>
      </c>
      <c r="NR35" s="318">
        <v>293352</v>
      </c>
      <c r="NS35" s="318">
        <v>271214</v>
      </c>
      <c r="NT35" s="7">
        <f t="shared" si="447"/>
        <v>516579</v>
      </c>
      <c r="NU35" s="7">
        <v>268241</v>
      </c>
      <c r="NV35" s="7">
        <v>248338</v>
      </c>
      <c r="NW35" s="125">
        <f t="shared" si="448"/>
        <v>510197</v>
      </c>
      <c r="NX35" s="318">
        <v>265171</v>
      </c>
      <c r="NY35" s="318">
        <v>245026</v>
      </c>
      <c r="NZ35" s="7">
        <f t="shared" si="449"/>
        <v>5429</v>
      </c>
      <c r="OA35" s="318">
        <v>3213</v>
      </c>
      <c r="OB35" s="318">
        <v>2216</v>
      </c>
      <c r="OC35" s="7">
        <f t="shared" si="450"/>
        <v>12050</v>
      </c>
      <c r="OD35" s="318">
        <v>6131</v>
      </c>
      <c r="OE35" s="318">
        <v>5919</v>
      </c>
      <c r="OF35" s="125">
        <f t="shared" si="451"/>
        <v>42558</v>
      </c>
      <c r="OG35" s="125">
        <f t="shared" si="452"/>
        <v>21898</v>
      </c>
      <c r="OH35" s="125">
        <f t="shared" si="453"/>
        <v>20660</v>
      </c>
      <c r="OI35" s="326">
        <v>690103</v>
      </c>
      <c r="OJ35" s="318">
        <v>622041</v>
      </c>
      <c r="OK35" s="318">
        <v>6719</v>
      </c>
      <c r="OL35" s="318">
        <v>61343</v>
      </c>
      <c r="OM35" s="7">
        <v>18659</v>
      </c>
      <c r="ON35" s="12">
        <v>710463</v>
      </c>
      <c r="OO35" s="5">
        <v>640162</v>
      </c>
      <c r="OP35" s="5">
        <v>7233</v>
      </c>
      <c r="OQ35" s="5">
        <v>63068</v>
      </c>
      <c r="OR35" s="5">
        <v>20600</v>
      </c>
      <c r="OS35" s="12">
        <v>731580</v>
      </c>
      <c r="OT35" s="5">
        <v>658488</v>
      </c>
      <c r="OU35" s="5">
        <v>8560</v>
      </c>
      <c r="OV35" s="5">
        <v>64532</v>
      </c>
      <c r="OW35" s="5">
        <v>22008</v>
      </c>
      <c r="OX35" s="12">
        <v>742258</v>
      </c>
      <c r="OY35" s="5">
        <v>666126</v>
      </c>
      <c r="OZ35" s="5">
        <v>9701</v>
      </c>
      <c r="PA35" s="5">
        <v>66431</v>
      </c>
      <c r="PB35" s="5">
        <v>23259</v>
      </c>
      <c r="PC35" s="12">
        <v>760553.81700000004</v>
      </c>
      <c r="PD35" s="5">
        <v>682408.28700000001</v>
      </c>
      <c r="PE35" s="5">
        <v>9718.43</v>
      </c>
      <c r="PF35" s="5">
        <v>24492.75</v>
      </c>
      <c r="PG35" s="5">
        <v>68427.100000000035</v>
      </c>
      <c r="PH35" s="5">
        <v>774982</v>
      </c>
      <c r="PI35" s="5">
        <v>693959</v>
      </c>
      <c r="PJ35" s="5">
        <v>9652</v>
      </c>
      <c r="PK35" s="5">
        <v>25445</v>
      </c>
      <c r="PL35" s="2">
        <v>71371</v>
      </c>
      <c r="PM35" s="2">
        <v>802359</v>
      </c>
      <c r="PN35" s="2">
        <v>698717</v>
      </c>
      <c r="PO35" s="2">
        <v>9513</v>
      </c>
      <c r="PP35" s="2">
        <v>28255</v>
      </c>
      <c r="PQ35" s="2">
        <v>74079</v>
      </c>
      <c r="PR35" s="2">
        <v>901667</v>
      </c>
      <c r="PS35" s="2">
        <v>767117</v>
      </c>
      <c r="PT35" s="2">
        <v>14315</v>
      </c>
      <c r="PU35" s="2">
        <v>39271</v>
      </c>
      <c r="PV35" s="2">
        <v>91751</v>
      </c>
      <c r="PW35" s="2">
        <v>934530</v>
      </c>
      <c r="PX35" s="2">
        <v>799488</v>
      </c>
      <c r="PY35" s="2">
        <v>10618</v>
      </c>
      <c r="PZ35" s="2">
        <v>36454</v>
      </c>
      <c r="QA35" s="2">
        <v>99333</v>
      </c>
      <c r="QB35" s="12">
        <v>129545</v>
      </c>
      <c r="QC35" s="5">
        <v>122923</v>
      </c>
      <c r="QD35" s="5">
        <v>1221</v>
      </c>
      <c r="QE35" s="5">
        <v>1583</v>
      </c>
      <c r="QF35" s="5">
        <v>5401</v>
      </c>
      <c r="QG35" s="12">
        <v>195314</v>
      </c>
      <c r="QH35" s="5">
        <v>178600</v>
      </c>
      <c r="QI35" s="5">
        <v>1789</v>
      </c>
      <c r="QJ35" s="5">
        <v>4073</v>
      </c>
      <c r="QK35" s="5">
        <v>14925</v>
      </c>
      <c r="QL35" s="12">
        <v>268118</v>
      </c>
      <c r="QM35" s="5">
        <v>239563</v>
      </c>
      <c r="QN35" s="5">
        <v>3141</v>
      </c>
      <c r="QO35" s="5">
        <v>7757</v>
      </c>
      <c r="QP35" s="5">
        <v>25414</v>
      </c>
      <c r="QQ35" s="12">
        <v>277040.22200000001</v>
      </c>
      <c r="QR35" s="5">
        <v>248148.46800000002</v>
      </c>
      <c r="QS35" s="5">
        <v>3211.67</v>
      </c>
      <c r="QT35" s="5">
        <v>8453.25</v>
      </c>
      <c r="QU35" s="10">
        <v>25680.083999999988</v>
      </c>
      <c r="QV35" s="1">
        <v>286783</v>
      </c>
      <c r="QW35" s="2">
        <v>254662</v>
      </c>
      <c r="QX35" s="2">
        <v>3494</v>
      </c>
      <c r="QY35" s="2">
        <v>8818</v>
      </c>
      <c r="QZ35" s="69">
        <v>28627</v>
      </c>
      <c r="RA35" s="2">
        <v>300121</v>
      </c>
      <c r="RB35" s="2">
        <v>259530</v>
      </c>
      <c r="RC35" s="2">
        <v>3329</v>
      </c>
      <c r="RD35" s="2">
        <v>10411</v>
      </c>
      <c r="RE35" s="2">
        <v>29367</v>
      </c>
      <c r="RF35" s="2">
        <v>335423</v>
      </c>
      <c r="RG35" s="2">
        <v>284010</v>
      </c>
      <c r="RH35" s="2">
        <v>5026</v>
      </c>
      <c r="RI35" s="2">
        <v>11930</v>
      </c>
      <c r="RJ35" s="2">
        <v>37088</v>
      </c>
      <c r="RK35" s="2">
        <v>362022</v>
      </c>
      <c r="RL35" s="2">
        <v>305406</v>
      </c>
      <c r="RM35" s="2">
        <v>3591</v>
      </c>
      <c r="RN35" s="2">
        <v>14806</v>
      </c>
      <c r="RO35" s="2">
        <v>43208</v>
      </c>
    </row>
    <row r="36" spans="1:483" ht="14.25" x14ac:dyDescent="0.2">
      <c r="A36" s="217" t="s">
        <v>46</v>
      </c>
      <c r="B36" s="258" t="s">
        <v>185</v>
      </c>
      <c r="C36" s="259" t="s">
        <v>185</v>
      </c>
      <c r="D36" s="259" t="s">
        <v>185</v>
      </c>
      <c r="E36" s="259" t="s">
        <v>185</v>
      </c>
      <c r="F36" s="260" t="s">
        <v>185</v>
      </c>
      <c r="G36" s="5">
        <v>30379</v>
      </c>
      <c r="H36" s="5">
        <v>22568</v>
      </c>
      <c r="I36" s="5">
        <v>368</v>
      </c>
      <c r="J36" s="5">
        <v>6544</v>
      </c>
      <c r="K36" s="10">
        <v>7443</v>
      </c>
      <c r="L36" s="5">
        <v>38426</v>
      </c>
      <c r="M36" s="5">
        <v>20405</v>
      </c>
      <c r="N36" s="5">
        <v>450</v>
      </c>
      <c r="O36" s="5">
        <v>20588</v>
      </c>
      <c r="P36" s="10">
        <v>17571</v>
      </c>
      <c r="Q36" s="7">
        <v>49102</v>
      </c>
      <c r="R36" s="7">
        <v>34057</v>
      </c>
      <c r="S36" s="7">
        <v>890</v>
      </c>
      <c r="T36" s="7">
        <v>32279</v>
      </c>
      <c r="U36" s="577">
        <v>14155</v>
      </c>
      <c r="V36" s="7">
        <v>49455</v>
      </c>
      <c r="W36" s="7">
        <v>29439</v>
      </c>
      <c r="X36" s="7">
        <v>1132</v>
      </c>
      <c r="Y36" s="7">
        <v>32793</v>
      </c>
      <c r="Z36" s="7">
        <v>18884</v>
      </c>
      <c r="AA36" s="7">
        <v>50522</v>
      </c>
      <c r="AB36" s="7">
        <v>10959</v>
      </c>
      <c r="AC36" s="7">
        <v>991</v>
      </c>
      <c r="AD36" s="7">
        <v>33369</v>
      </c>
      <c r="AE36" s="675">
        <v>20682</v>
      </c>
      <c r="AF36" s="560">
        <v>49949</v>
      </c>
      <c r="AG36" s="560">
        <v>12114</v>
      </c>
      <c r="AH36" s="560">
        <v>466</v>
      </c>
      <c r="AI36" s="560">
        <v>32345</v>
      </c>
      <c r="AJ36" s="560">
        <v>20270</v>
      </c>
      <c r="AK36" s="560">
        <v>51995</v>
      </c>
      <c r="AL36" s="560">
        <v>11419</v>
      </c>
      <c r="AM36" s="560">
        <v>1979</v>
      </c>
      <c r="AN36" s="560">
        <v>32733</v>
      </c>
      <c r="AO36" s="560">
        <v>25252</v>
      </c>
      <c r="AP36" s="12">
        <v>102936</v>
      </c>
      <c r="AQ36" s="5">
        <v>94304</v>
      </c>
      <c r="AR36" s="5">
        <v>902</v>
      </c>
      <c r="AS36" s="5">
        <v>7918</v>
      </c>
      <c r="AT36" s="10">
        <v>7730</v>
      </c>
      <c r="AU36" s="5">
        <v>108585</v>
      </c>
      <c r="AV36" s="5">
        <v>89602</v>
      </c>
      <c r="AW36" s="5">
        <v>895</v>
      </c>
      <c r="AX36" s="5">
        <v>19294</v>
      </c>
      <c r="AY36" s="10">
        <v>18088</v>
      </c>
      <c r="AZ36" s="5">
        <v>96666</v>
      </c>
      <c r="BA36" s="5">
        <v>80899</v>
      </c>
      <c r="BB36" s="5">
        <v>1358</v>
      </c>
      <c r="BC36" s="5">
        <v>26915</v>
      </c>
      <c r="BD36" s="10">
        <v>14409</v>
      </c>
      <c r="BE36" s="5">
        <v>100807</v>
      </c>
      <c r="BF36" s="5">
        <v>81230</v>
      </c>
      <c r="BG36" s="5">
        <v>926</v>
      </c>
      <c r="BH36" s="5">
        <v>30753</v>
      </c>
      <c r="BI36" s="5">
        <v>18651</v>
      </c>
      <c r="BJ36" s="5">
        <v>97606</v>
      </c>
      <c r="BK36" s="5">
        <v>59456</v>
      </c>
      <c r="BL36" s="5">
        <v>1276</v>
      </c>
      <c r="BM36" s="5">
        <v>30771</v>
      </c>
      <c r="BN36" s="53">
        <v>19653</v>
      </c>
      <c r="BO36" s="53">
        <v>97817</v>
      </c>
      <c r="BP36" s="53">
        <v>57577</v>
      </c>
      <c r="BQ36" s="53">
        <v>1468</v>
      </c>
      <c r="BR36" s="53">
        <v>31983</v>
      </c>
      <c r="BS36" s="53">
        <v>20875</v>
      </c>
      <c r="BT36" s="53">
        <v>95408</v>
      </c>
      <c r="BU36" s="53">
        <v>55337</v>
      </c>
      <c r="BV36" s="53">
        <v>773</v>
      </c>
      <c r="BW36" s="53">
        <v>33323</v>
      </c>
      <c r="BX36" s="53">
        <v>24583</v>
      </c>
      <c r="BY36" s="12">
        <v>150036</v>
      </c>
      <c r="BZ36" s="5">
        <v>112959</v>
      </c>
      <c r="CA36" s="5">
        <v>2337</v>
      </c>
      <c r="CB36" s="5">
        <v>62209</v>
      </c>
      <c r="CC36" s="290">
        <f t="shared" si="398"/>
        <v>34740</v>
      </c>
      <c r="CD36" s="258" t="s">
        <v>185</v>
      </c>
      <c r="CE36" s="259" t="s">
        <v>185</v>
      </c>
      <c r="CF36" s="259" t="s">
        <v>185</v>
      </c>
      <c r="CG36" s="259" t="s">
        <v>185</v>
      </c>
      <c r="CH36" s="258" t="s">
        <v>185</v>
      </c>
      <c r="CI36" s="259" t="s">
        <v>185</v>
      </c>
      <c r="CJ36" s="259" t="s">
        <v>185</v>
      </c>
      <c r="CK36" s="259" t="s">
        <v>185</v>
      </c>
      <c r="CL36" s="260" t="s">
        <v>185</v>
      </c>
      <c r="CM36" s="5">
        <v>764006</v>
      </c>
      <c r="CN36" s="5">
        <v>730612</v>
      </c>
      <c r="CO36" s="5">
        <v>4256</v>
      </c>
      <c r="CP36" s="5">
        <v>22620</v>
      </c>
      <c r="CQ36" s="10">
        <v>29138</v>
      </c>
      <c r="CR36" s="5">
        <v>1050881</v>
      </c>
      <c r="CS36" s="5">
        <v>975302</v>
      </c>
      <c r="CT36" s="5">
        <v>6651</v>
      </c>
      <c r="CU36" s="5">
        <v>51790</v>
      </c>
      <c r="CV36" s="5">
        <v>68928</v>
      </c>
      <c r="CW36" s="195">
        <v>1305002</v>
      </c>
      <c r="CX36" s="5">
        <v>1205239</v>
      </c>
      <c r="CY36" s="5">
        <v>9519</v>
      </c>
      <c r="CZ36" s="5">
        <v>90244</v>
      </c>
      <c r="DA36" s="5">
        <v>89524</v>
      </c>
      <c r="DB36" s="12">
        <v>1362276</v>
      </c>
      <c r="DC36" s="5">
        <v>1261808</v>
      </c>
      <c r="DD36" s="5">
        <v>10192</v>
      </c>
      <c r="DE36" s="5">
        <v>90276</v>
      </c>
      <c r="DF36" s="5">
        <v>93289</v>
      </c>
      <c r="DG36" s="56">
        <v>1388562</v>
      </c>
      <c r="DH36" s="54">
        <v>1288286</v>
      </c>
      <c r="DI36" s="54">
        <v>10734</v>
      </c>
      <c r="DJ36" s="54">
        <v>89542</v>
      </c>
      <c r="DK36" s="54">
        <v>96535</v>
      </c>
      <c r="DL36" s="12">
        <v>1400767</v>
      </c>
      <c r="DM36" s="5">
        <v>1293880</v>
      </c>
      <c r="DN36" s="5">
        <v>11017</v>
      </c>
      <c r="DO36" s="5">
        <v>104224</v>
      </c>
      <c r="DP36" s="5">
        <v>80002</v>
      </c>
      <c r="DQ36" s="12">
        <v>1427711.608</v>
      </c>
      <c r="DR36" s="5">
        <v>1315470.2799999998</v>
      </c>
      <c r="DS36" s="5">
        <v>11477.239999999998</v>
      </c>
      <c r="DT36" s="5">
        <v>108055.79000000001</v>
      </c>
      <c r="DU36" s="530">
        <f t="shared" si="399"/>
        <v>100764.08800000022</v>
      </c>
      <c r="DV36" s="5">
        <v>1462148</v>
      </c>
      <c r="DW36" s="5">
        <v>1343777</v>
      </c>
      <c r="DX36" s="5">
        <v>12608</v>
      </c>
      <c r="DY36" s="5">
        <v>112929</v>
      </c>
      <c r="DZ36" s="5">
        <v>105763</v>
      </c>
      <c r="EA36" s="5">
        <v>1493622</v>
      </c>
      <c r="EB36" s="5">
        <v>1292546</v>
      </c>
      <c r="EC36" s="5">
        <v>13329</v>
      </c>
      <c r="ED36" s="5">
        <v>116471</v>
      </c>
      <c r="EE36" s="5">
        <v>111528</v>
      </c>
      <c r="EF36" s="5">
        <v>1594183</v>
      </c>
      <c r="EG36" s="5">
        <v>1359217</v>
      </c>
      <c r="EH36" s="5">
        <v>15265</v>
      </c>
      <c r="EI36" s="5">
        <v>136844</v>
      </c>
      <c r="EJ36" s="5">
        <v>133175</v>
      </c>
      <c r="EK36" s="5">
        <v>1635841</v>
      </c>
      <c r="EL36" s="5">
        <v>1393386</v>
      </c>
      <c r="EM36" s="5">
        <v>14565</v>
      </c>
      <c r="EN36" s="5">
        <v>140662</v>
      </c>
      <c r="EO36" s="5">
        <v>145128</v>
      </c>
      <c r="EP36" s="258" t="s">
        <v>185</v>
      </c>
      <c r="EQ36" s="259" t="s">
        <v>185</v>
      </c>
      <c r="ER36" s="259" t="s">
        <v>185</v>
      </c>
      <c r="ES36" s="259" t="s">
        <v>185</v>
      </c>
      <c r="ET36" s="260" t="s">
        <v>185</v>
      </c>
      <c r="EU36" s="5">
        <v>320121</v>
      </c>
      <c r="EV36" s="5">
        <v>306612</v>
      </c>
      <c r="EW36" s="5">
        <v>2202</v>
      </c>
      <c r="EX36" s="5">
        <v>9802</v>
      </c>
      <c r="EY36" s="10">
        <v>11307</v>
      </c>
      <c r="EZ36" s="5">
        <v>443492</v>
      </c>
      <c r="FA36" s="5">
        <v>413450</v>
      </c>
      <c r="FB36" s="5">
        <v>3213</v>
      </c>
      <c r="FC36" s="5">
        <v>20101</v>
      </c>
      <c r="FD36" s="10">
        <v>26829</v>
      </c>
      <c r="FE36" s="5">
        <v>571281</v>
      </c>
      <c r="FF36" s="5">
        <v>531960</v>
      </c>
      <c r="FG36" s="5">
        <v>4251</v>
      </c>
      <c r="FH36" s="5">
        <v>38739</v>
      </c>
      <c r="FI36" s="10">
        <v>35070</v>
      </c>
      <c r="FJ36" s="5">
        <v>582771.66299999994</v>
      </c>
      <c r="FK36" s="5">
        <v>540486.70199999993</v>
      </c>
      <c r="FL36" s="5">
        <v>5185.5</v>
      </c>
      <c r="FM36" s="5">
        <v>39881.79</v>
      </c>
      <c r="FN36" s="10">
        <v>37099.46100000001</v>
      </c>
      <c r="FO36" s="5">
        <v>595467</v>
      </c>
      <c r="FP36" s="5">
        <v>550630</v>
      </c>
      <c r="FQ36" s="5">
        <v>5610</v>
      </c>
      <c r="FR36" s="5">
        <v>42644</v>
      </c>
      <c r="FS36" s="618">
        <v>39227</v>
      </c>
      <c r="FT36" s="618">
        <v>608968</v>
      </c>
      <c r="FU36" s="618">
        <v>533584</v>
      </c>
      <c r="FV36" s="618">
        <v>5990</v>
      </c>
      <c r="FW36" s="618">
        <v>45204</v>
      </c>
      <c r="FX36" s="618">
        <v>40217</v>
      </c>
      <c r="FY36" s="618">
        <v>617649</v>
      </c>
      <c r="FZ36" s="618">
        <v>535694</v>
      </c>
      <c r="GA36" s="618">
        <v>7423</v>
      </c>
      <c r="GB36" s="618">
        <v>48905</v>
      </c>
      <c r="GC36" s="618">
        <v>42033</v>
      </c>
      <c r="GD36" s="618">
        <v>650301</v>
      </c>
      <c r="GE36" s="618">
        <v>562442</v>
      </c>
      <c r="GF36" s="618">
        <v>6797</v>
      </c>
      <c r="GG36" s="618">
        <v>51618</v>
      </c>
      <c r="GH36" s="618">
        <v>48764</v>
      </c>
      <c r="GI36" s="12">
        <v>69715</v>
      </c>
      <c r="GJ36" s="5">
        <v>66655</v>
      </c>
      <c r="GK36" s="5">
        <v>465</v>
      </c>
      <c r="GL36" s="5">
        <v>2172</v>
      </c>
      <c r="GM36" s="10">
        <v>2595</v>
      </c>
      <c r="GN36" s="5">
        <v>94812</v>
      </c>
      <c r="GO36" s="5">
        <v>87886</v>
      </c>
      <c r="GP36" s="5">
        <v>576</v>
      </c>
      <c r="GQ36" s="5">
        <v>4206</v>
      </c>
      <c r="GR36" s="10">
        <v>6350</v>
      </c>
      <c r="GS36" s="12">
        <v>143060</v>
      </c>
      <c r="GT36" s="5">
        <v>134013</v>
      </c>
      <c r="GU36" s="5">
        <v>1140</v>
      </c>
      <c r="GV36" s="5">
        <v>8291</v>
      </c>
      <c r="GW36" s="5">
        <v>7907</v>
      </c>
      <c r="GX36" s="12"/>
      <c r="GY36" s="5"/>
      <c r="GZ36" s="5"/>
      <c r="HA36" s="5"/>
      <c r="HB36" s="10"/>
      <c r="HC36" s="5">
        <v>150219</v>
      </c>
      <c r="HD36" s="5">
        <v>139885</v>
      </c>
      <c r="HE36" s="5">
        <v>1234</v>
      </c>
      <c r="HF36" s="5">
        <v>8786</v>
      </c>
      <c r="HG36" s="5">
        <v>9100</v>
      </c>
      <c r="HH36" s="5">
        <v>156278</v>
      </c>
      <c r="HI36" s="5">
        <v>138793</v>
      </c>
      <c r="HJ36" s="5">
        <v>1441</v>
      </c>
      <c r="HK36" s="5">
        <v>9756</v>
      </c>
      <c r="HL36" s="5">
        <v>9970</v>
      </c>
      <c r="HM36" s="5">
        <v>159609</v>
      </c>
      <c r="HN36" s="5">
        <v>139759</v>
      </c>
      <c r="HO36" s="5">
        <v>1651</v>
      </c>
      <c r="HP36" s="5">
        <v>10696</v>
      </c>
      <c r="HQ36" s="5">
        <v>11155</v>
      </c>
      <c r="HR36" s="5">
        <v>178193</v>
      </c>
      <c r="HS36" s="5">
        <v>155007</v>
      </c>
      <c r="HT36" s="5">
        <v>1676</v>
      </c>
      <c r="HU36" s="5">
        <v>14735</v>
      </c>
      <c r="HV36" s="5">
        <v>12591</v>
      </c>
      <c r="HW36" s="569">
        <f t="shared" si="454"/>
        <v>269468</v>
      </c>
      <c r="HX36" s="546">
        <f t="shared" si="455"/>
        <v>258687</v>
      </c>
      <c r="HY36" s="546">
        <f t="shared" si="456"/>
        <v>1344</v>
      </c>
      <c r="HZ36" s="546">
        <f t="shared" si="457"/>
        <v>5554</v>
      </c>
      <c r="IA36" s="546">
        <f t="shared" si="458"/>
        <v>9437</v>
      </c>
      <c r="IB36" s="569">
        <f t="shared" si="459"/>
        <v>407775</v>
      </c>
      <c r="IC36" s="546">
        <f t="shared" si="460"/>
        <v>382015</v>
      </c>
      <c r="ID36" s="546">
        <f t="shared" si="461"/>
        <v>2157</v>
      </c>
      <c r="IE36" s="546">
        <f t="shared" si="462"/>
        <v>13152</v>
      </c>
      <c r="IF36" s="546">
        <f t="shared" si="463"/>
        <v>23603</v>
      </c>
      <c r="IG36" s="12">
        <v>541958</v>
      </c>
      <c r="IH36" s="5">
        <v>507273</v>
      </c>
      <c r="II36" s="5">
        <v>3893</v>
      </c>
      <c r="IJ36" s="5">
        <v>23954</v>
      </c>
      <c r="IK36" s="5">
        <v>30792</v>
      </c>
      <c r="IL36" s="565"/>
      <c r="IM36" s="7"/>
      <c r="IN36" s="7"/>
      <c r="IO36" s="7"/>
      <c r="IP36" s="7"/>
      <c r="IQ36" s="7">
        <v>634980</v>
      </c>
      <c r="IR36" s="7">
        <v>590562</v>
      </c>
      <c r="IS36" s="7">
        <v>4525</v>
      </c>
      <c r="IT36" s="7">
        <v>30621</v>
      </c>
      <c r="IU36" s="577">
        <v>39893</v>
      </c>
      <c r="IV36" s="7">
        <v>661137</v>
      </c>
      <c r="IW36" s="7">
        <v>590026</v>
      </c>
      <c r="IX36" s="7">
        <v>4946</v>
      </c>
      <c r="IY36" s="7">
        <v>32799</v>
      </c>
      <c r="IZ36" s="7">
        <v>44062</v>
      </c>
      <c r="JA36" s="565">
        <v>714321</v>
      </c>
      <c r="JB36" s="7">
        <v>633462</v>
      </c>
      <c r="JC36" s="7">
        <v>6089</v>
      </c>
      <c r="JD36" s="7">
        <v>33776</v>
      </c>
      <c r="JE36" s="7">
        <v>51055</v>
      </c>
      <c r="JF36" s="565">
        <v>759128</v>
      </c>
      <c r="JG36" s="7">
        <v>671093</v>
      </c>
      <c r="JH36" s="7">
        <v>5548</v>
      </c>
      <c r="JI36" s="7">
        <v>41803</v>
      </c>
      <c r="JJ36" s="7">
        <v>57086</v>
      </c>
      <c r="JK36" s="12">
        <v>138534</v>
      </c>
      <c r="JL36" s="5">
        <v>133665</v>
      </c>
      <c r="JM36" s="5">
        <v>585</v>
      </c>
      <c r="JN36" s="5">
        <v>2361</v>
      </c>
      <c r="JO36" s="5">
        <v>4284</v>
      </c>
      <c r="JP36" s="12">
        <v>213959</v>
      </c>
      <c r="JQ36" s="5">
        <v>201514</v>
      </c>
      <c r="JR36" s="5">
        <v>1194</v>
      </c>
      <c r="JS36" s="5">
        <v>6107</v>
      </c>
      <c r="JT36" s="5">
        <v>11251</v>
      </c>
      <c r="JU36" s="12">
        <v>306538</v>
      </c>
      <c r="JV36" s="5">
        <v>286965</v>
      </c>
      <c r="JW36" s="5">
        <v>2187</v>
      </c>
      <c r="JX36" s="5">
        <v>13166</v>
      </c>
      <c r="JY36" s="5">
        <v>17386</v>
      </c>
      <c r="JZ36" s="12">
        <v>314286.07299999997</v>
      </c>
      <c r="KA36" s="5">
        <v>293121.09499999997</v>
      </c>
      <c r="KB36" s="5">
        <v>2018.8879999999999</v>
      </c>
      <c r="KC36" s="5">
        <v>14657.409999999998</v>
      </c>
      <c r="KD36" s="5">
        <v>19146.090000000004</v>
      </c>
      <c r="KE36" s="5">
        <v>336832</v>
      </c>
      <c r="KF36" s="5">
        <v>301311</v>
      </c>
      <c r="KG36" s="5">
        <v>2521</v>
      </c>
      <c r="KH36" s="5">
        <v>16997</v>
      </c>
      <c r="KI36" s="5">
        <v>21487</v>
      </c>
      <c r="KJ36" s="5">
        <v>368302</v>
      </c>
      <c r="KK36" s="5">
        <v>327937</v>
      </c>
      <c r="KL36" s="5">
        <v>2978</v>
      </c>
      <c r="KM36" s="5">
        <v>17018</v>
      </c>
      <c r="KN36" s="5">
        <v>25280</v>
      </c>
      <c r="KO36" s="5">
        <v>381130</v>
      </c>
      <c r="KP36" s="5">
        <v>338632</v>
      </c>
      <c r="KQ36" s="5">
        <v>2232</v>
      </c>
      <c r="KR36" s="5">
        <v>19731</v>
      </c>
      <c r="KS36" s="5">
        <v>27683</v>
      </c>
      <c r="KT36" s="258" t="s">
        <v>185</v>
      </c>
      <c r="KU36" s="259" t="s">
        <v>185</v>
      </c>
      <c r="KV36" s="316">
        <v>42738</v>
      </c>
      <c r="KW36" s="332">
        <f t="shared" si="410"/>
        <v>27816</v>
      </c>
      <c r="KX36" s="332">
        <f t="shared" si="411"/>
        <v>14922</v>
      </c>
      <c r="KY36" s="332">
        <f t="shared" si="412"/>
        <v>42202</v>
      </c>
      <c r="KZ36" s="318">
        <v>27469</v>
      </c>
      <c r="LA36" s="318">
        <v>14733</v>
      </c>
      <c r="LB36" s="332">
        <f t="shared" si="413"/>
        <v>536</v>
      </c>
      <c r="LC36" s="318">
        <v>347</v>
      </c>
      <c r="LD36" s="318">
        <v>189</v>
      </c>
      <c r="LE36" s="316">
        <v>68836</v>
      </c>
      <c r="LF36" s="332">
        <f t="shared" si="414"/>
        <v>44498</v>
      </c>
      <c r="LG36" s="332">
        <f t="shared" si="415"/>
        <v>24338</v>
      </c>
      <c r="LH36" s="332">
        <f t="shared" si="416"/>
        <v>67723</v>
      </c>
      <c r="LI36" s="318">
        <v>43769</v>
      </c>
      <c r="LJ36" s="318">
        <v>23954</v>
      </c>
      <c r="LK36" s="332">
        <f t="shared" si="417"/>
        <v>196</v>
      </c>
      <c r="LL36" s="318">
        <v>110</v>
      </c>
      <c r="LM36" s="318">
        <v>86</v>
      </c>
      <c r="LN36" s="332">
        <f t="shared" si="418"/>
        <v>917</v>
      </c>
      <c r="LO36" s="318">
        <v>619</v>
      </c>
      <c r="LP36" s="318">
        <v>298</v>
      </c>
      <c r="LQ36" s="316">
        <v>140102</v>
      </c>
      <c r="LR36" s="332">
        <f t="shared" si="419"/>
        <v>87735</v>
      </c>
      <c r="LS36" s="332">
        <f t="shared" si="420"/>
        <v>52367</v>
      </c>
      <c r="LT36" s="342">
        <f t="shared" si="421"/>
        <v>134664</v>
      </c>
      <c r="LU36" s="318">
        <v>84312</v>
      </c>
      <c r="LV36" s="318">
        <v>50352</v>
      </c>
      <c r="LW36" s="318">
        <v>3423</v>
      </c>
      <c r="LX36" s="318">
        <v>2015</v>
      </c>
      <c r="LY36" s="342">
        <f t="shared" si="422"/>
        <v>567</v>
      </c>
      <c r="LZ36" s="318">
        <v>363</v>
      </c>
      <c r="MA36" s="318">
        <v>204</v>
      </c>
      <c r="MB36" s="342">
        <f t="shared" si="423"/>
        <v>1855</v>
      </c>
      <c r="MC36" s="318">
        <v>1192</v>
      </c>
      <c r="MD36" s="318">
        <v>663</v>
      </c>
      <c r="ME36" s="333">
        <f t="shared" si="424"/>
        <v>3016</v>
      </c>
      <c r="MF36" s="333">
        <f t="shared" si="425"/>
        <v>1868</v>
      </c>
      <c r="MG36" s="333">
        <f t="shared" si="426"/>
        <v>1148</v>
      </c>
      <c r="MH36" s="334">
        <f t="shared" si="427"/>
        <v>70</v>
      </c>
      <c r="MI36" s="334">
        <f t="shared" si="428"/>
        <v>44</v>
      </c>
      <c r="MJ36" s="334">
        <f t="shared" si="429"/>
        <v>26</v>
      </c>
      <c r="MK36" s="318">
        <v>2946</v>
      </c>
      <c r="ML36" s="318">
        <v>1824</v>
      </c>
      <c r="MM36" s="318">
        <v>1122</v>
      </c>
      <c r="MN36" s="14">
        <f t="shared" si="430"/>
        <v>199753</v>
      </c>
      <c r="MO36" s="332">
        <f t="shared" si="431"/>
        <v>119563</v>
      </c>
      <c r="MP36" s="332">
        <f t="shared" si="432"/>
        <v>80190</v>
      </c>
      <c r="MQ36" s="13">
        <f t="shared" si="433"/>
        <v>192032</v>
      </c>
      <c r="MR36" s="136">
        <f t="shared" si="434"/>
        <v>189898</v>
      </c>
      <c r="MS36" s="318">
        <v>113836</v>
      </c>
      <c r="MT36" s="318">
        <v>76062</v>
      </c>
      <c r="MU36" s="318">
        <v>5727</v>
      </c>
      <c r="MV36" s="318">
        <v>4128</v>
      </c>
      <c r="MW36" s="13">
        <f t="shared" si="435"/>
        <v>879</v>
      </c>
      <c r="MX36" s="136">
        <f t="shared" si="436"/>
        <v>840</v>
      </c>
      <c r="MY36" s="318">
        <v>546</v>
      </c>
      <c r="MZ36" s="318">
        <v>294</v>
      </c>
      <c r="NA36" s="13">
        <f t="shared" si="437"/>
        <v>3382</v>
      </c>
      <c r="NB36" s="318">
        <v>2061</v>
      </c>
      <c r="NC36" s="318">
        <v>1321</v>
      </c>
      <c r="ND36" s="11">
        <f t="shared" si="438"/>
        <v>6842</v>
      </c>
      <c r="NE36" s="335">
        <f t="shared" si="439"/>
        <v>3120</v>
      </c>
      <c r="NF36" s="335">
        <f t="shared" si="440"/>
        <v>2513</v>
      </c>
      <c r="NG36" s="336">
        <f t="shared" si="441"/>
        <v>38</v>
      </c>
      <c r="NH36" s="336">
        <f t="shared" si="442"/>
        <v>25</v>
      </c>
      <c r="NI36" s="336">
        <f t="shared" si="443"/>
        <v>13</v>
      </c>
      <c r="NJ36" s="337">
        <f t="shared" si="444"/>
        <v>5595</v>
      </c>
      <c r="NK36" s="337">
        <f t="shared" si="445"/>
        <v>3095</v>
      </c>
      <c r="NL36" s="337">
        <f t="shared" si="446"/>
        <v>2500</v>
      </c>
      <c r="NM36" s="318">
        <v>314</v>
      </c>
      <c r="NN36" s="318">
        <v>316</v>
      </c>
      <c r="NO36" s="318">
        <v>2781</v>
      </c>
      <c r="NP36" s="318">
        <v>2184</v>
      </c>
      <c r="NQ36" s="338">
        <v>312963</v>
      </c>
      <c r="NR36" s="318">
        <v>177724</v>
      </c>
      <c r="NS36" s="318">
        <v>135239</v>
      </c>
      <c r="NT36" s="7">
        <f t="shared" si="447"/>
        <v>294129</v>
      </c>
      <c r="NU36" s="7">
        <v>167616</v>
      </c>
      <c r="NV36" s="7">
        <v>126513</v>
      </c>
      <c r="NW36" s="125">
        <f t="shared" si="448"/>
        <v>289266</v>
      </c>
      <c r="NX36" s="318">
        <v>165109</v>
      </c>
      <c r="NY36" s="318">
        <v>124157</v>
      </c>
      <c r="NZ36" s="7">
        <f t="shared" si="449"/>
        <v>1581</v>
      </c>
      <c r="OA36" s="318">
        <v>965</v>
      </c>
      <c r="OB36" s="318">
        <v>616</v>
      </c>
      <c r="OC36" s="7">
        <f t="shared" si="450"/>
        <v>8946</v>
      </c>
      <c r="OD36" s="318">
        <v>4706</v>
      </c>
      <c r="OE36" s="318">
        <v>4240</v>
      </c>
      <c r="OF36" s="125">
        <f t="shared" si="451"/>
        <v>17253</v>
      </c>
      <c r="OG36" s="125">
        <f t="shared" si="452"/>
        <v>9143</v>
      </c>
      <c r="OH36" s="125">
        <f t="shared" si="453"/>
        <v>8110</v>
      </c>
      <c r="OI36" s="326">
        <v>409232</v>
      </c>
      <c r="OJ36" s="318">
        <v>384142</v>
      </c>
      <c r="OK36" s="318">
        <v>2359</v>
      </c>
      <c r="OL36" s="318">
        <v>22731</v>
      </c>
      <c r="OM36" s="7">
        <v>15425</v>
      </c>
      <c r="ON36" s="12">
        <v>434984</v>
      </c>
      <c r="OO36" s="5">
        <v>406961</v>
      </c>
      <c r="OP36" s="5">
        <v>2949</v>
      </c>
      <c r="OQ36" s="5">
        <v>25074</v>
      </c>
      <c r="OR36" s="5">
        <v>16745</v>
      </c>
      <c r="OS36" s="12">
        <v>442561</v>
      </c>
      <c r="OT36" s="5">
        <v>414750</v>
      </c>
      <c r="OU36" s="5">
        <v>3062</v>
      </c>
      <c r="OV36" s="5">
        <v>24749</v>
      </c>
      <c r="OW36" s="5">
        <v>16912</v>
      </c>
      <c r="OX36" s="12">
        <v>452016</v>
      </c>
      <c r="OY36" s="5">
        <v>421825</v>
      </c>
      <c r="OZ36" s="5">
        <v>3214</v>
      </c>
      <c r="PA36" s="5">
        <v>26977</v>
      </c>
      <c r="PB36" s="5">
        <v>18113</v>
      </c>
      <c r="PC36" s="12">
        <v>464322.13799999998</v>
      </c>
      <c r="PD36" s="5">
        <v>433247.277</v>
      </c>
      <c r="PE36" s="5">
        <v>2613.4919999999997</v>
      </c>
      <c r="PF36" s="5">
        <v>19600.024999999998</v>
      </c>
      <c r="PG36" s="5">
        <v>28461.368999999977</v>
      </c>
      <c r="PH36" s="5">
        <v>484761</v>
      </c>
      <c r="PI36" s="5">
        <v>450677</v>
      </c>
      <c r="PJ36" s="5">
        <v>3291</v>
      </c>
      <c r="PK36" s="5">
        <v>21835</v>
      </c>
      <c r="PL36" s="2">
        <v>30793</v>
      </c>
      <c r="PM36" s="2">
        <v>504859</v>
      </c>
      <c r="PN36" s="2">
        <v>451233</v>
      </c>
      <c r="PO36" s="2">
        <v>3505</v>
      </c>
      <c r="PP36" s="2">
        <v>23043</v>
      </c>
      <c r="PQ36" s="2">
        <v>34092</v>
      </c>
      <c r="PR36" s="2">
        <v>554712</v>
      </c>
      <c r="PS36" s="2">
        <v>493703</v>
      </c>
      <c r="PT36" s="2">
        <v>4438</v>
      </c>
      <c r="PU36" s="2">
        <v>23080</v>
      </c>
      <c r="PV36" s="2">
        <v>39900</v>
      </c>
      <c r="PW36" s="2">
        <v>580935</v>
      </c>
      <c r="PX36" s="2">
        <v>516086</v>
      </c>
      <c r="PY36" s="2">
        <v>3872</v>
      </c>
      <c r="PZ36" s="2">
        <v>27068</v>
      </c>
      <c r="QA36" s="2">
        <v>44495</v>
      </c>
      <c r="QB36" s="12">
        <v>61219</v>
      </c>
      <c r="QC36" s="5">
        <v>58367</v>
      </c>
      <c r="QD36" s="5">
        <v>294</v>
      </c>
      <c r="QE36" s="5">
        <v>1021</v>
      </c>
      <c r="QF36" s="5">
        <v>2558</v>
      </c>
      <c r="QG36" s="12">
        <v>99004</v>
      </c>
      <c r="QH36" s="5">
        <v>92615</v>
      </c>
      <c r="QI36" s="5">
        <v>387</v>
      </c>
      <c r="QJ36" s="5">
        <v>2839</v>
      </c>
      <c r="QK36" s="5">
        <v>6002</v>
      </c>
      <c r="QL36" s="12">
        <v>145478</v>
      </c>
      <c r="QM36" s="5">
        <v>134860</v>
      </c>
      <c r="QN36" s="5">
        <v>1027</v>
      </c>
      <c r="QO36" s="5">
        <v>4947</v>
      </c>
      <c r="QP36" s="5">
        <v>9591</v>
      </c>
      <c r="QQ36" s="12">
        <v>150036.065</v>
      </c>
      <c r="QR36" s="5">
        <v>140126.182</v>
      </c>
      <c r="QS36" s="5">
        <v>594.60399999999993</v>
      </c>
      <c r="QT36" s="5">
        <v>4942.6149999999998</v>
      </c>
      <c r="QU36" s="10">
        <v>9315.2790000000023</v>
      </c>
      <c r="QV36" s="1">
        <v>159577</v>
      </c>
      <c r="QW36" s="2">
        <v>147757</v>
      </c>
      <c r="QX36" s="2">
        <v>908</v>
      </c>
      <c r="QY36" s="2">
        <v>5592</v>
      </c>
      <c r="QZ36" s="69">
        <v>10912</v>
      </c>
      <c r="RA36" s="2">
        <v>168027</v>
      </c>
      <c r="RB36" s="2">
        <v>149922</v>
      </c>
      <c r="RC36" s="2">
        <v>984</v>
      </c>
      <c r="RD36" s="2">
        <v>6046</v>
      </c>
      <c r="RE36" s="2">
        <v>12605</v>
      </c>
      <c r="RF36" s="2">
        <v>186410</v>
      </c>
      <c r="RG36" s="2">
        <v>165766</v>
      </c>
      <c r="RH36" s="2">
        <v>1460</v>
      </c>
      <c r="RI36" s="2">
        <v>6062</v>
      </c>
      <c r="RJ36" s="2">
        <v>14620</v>
      </c>
      <c r="RK36" s="2">
        <v>199805</v>
      </c>
      <c r="RL36" s="2">
        <v>177454</v>
      </c>
      <c r="RM36" s="2">
        <v>1640</v>
      </c>
      <c r="RN36" s="2">
        <v>7337</v>
      </c>
      <c r="RO36" s="2">
        <v>16812</v>
      </c>
    </row>
    <row r="37" spans="1:483" ht="14.25" x14ac:dyDescent="0.2">
      <c r="A37" s="217" t="s">
        <v>48</v>
      </c>
      <c r="B37" s="258" t="s">
        <v>185</v>
      </c>
      <c r="C37" s="259" t="s">
        <v>185</v>
      </c>
      <c r="D37" s="259" t="s">
        <v>185</v>
      </c>
      <c r="E37" s="259" t="s">
        <v>185</v>
      </c>
      <c r="F37" s="260" t="s">
        <v>185</v>
      </c>
      <c r="G37" s="5">
        <v>171311</v>
      </c>
      <c r="H37" s="5">
        <v>127886</v>
      </c>
      <c r="I37" s="5">
        <v>4446</v>
      </c>
      <c r="J37" s="5">
        <v>27002</v>
      </c>
      <c r="K37" s="10">
        <v>38979</v>
      </c>
      <c r="L37" s="5">
        <v>165205</v>
      </c>
      <c r="M37" s="5">
        <v>89311</v>
      </c>
      <c r="N37" s="5">
        <v>4559</v>
      </c>
      <c r="O37" s="5">
        <v>60802</v>
      </c>
      <c r="P37" s="10">
        <v>71335</v>
      </c>
      <c r="Q37" s="7">
        <v>181423</v>
      </c>
      <c r="R37" s="7">
        <v>97548</v>
      </c>
      <c r="S37" s="7">
        <v>6255</v>
      </c>
      <c r="T37" s="7">
        <v>91762</v>
      </c>
      <c r="U37" s="577">
        <v>77620</v>
      </c>
      <c r="V37" s="7">
        <v>189474</v>
      </c>
      <c r="W37" s="7">
        <v>99655</v>
      </c>
      <c r="X37" s="7">
        <v>7059</v>
      </c>
      <c r="Y37" s="7">
        <v>96543</v>
      </c>
      <c r="Z37" s="7">
        <v>82760</v>
      </c>
      <c r="AA37" s="7">
        <v>188876</v>
      </c>
      <c r="AB37" s="7">
        <v>50390</v>
      </c>
      <c r="AC37" s="7">
        <v>6842</v>
      </c>
      <c r="AD37" s="7">
        <v>96188</v>
      </c>
      <c r="AE37" s="675">
        <v>80774</v>
      </c>
      <c r="AF37" s="560">
        <v>191853</v>
      </c>
      <c r="AG37" s="560">
        <v>47981</v>
      </c>
      <c r="AH37" s="560">
        <v>6080</v>
      </c>
      <c r="AI37" s="560">
        <v>101287</v>
      </c>
      <c r="AJ37" s="560">
        <v>80420</v>
      </c>
      <c r="AK37" s="560">
        <v>192181</v>
      </c>
      <c r="AL37" s="560">
        <v>43703</v>
      </c>
      <c r="AM37" s="560">
        <v>12070</v>
      </c>
      <c r="AN37" s="560">
        <v>99189</v>
      </c>
      <c r="AO37" s="560">
        <v>95860</v>
      </c>
      <c r="AP37" s="12">
        <v>334472</v>
      </c>
      <c r="AQ37" s="5">
        <v>296444</v>
      </c>
      <c r="AR37" s="5">
        <v>10317</v>
      </c>
      <c r="AS37" s="5">
        <v>13217</v>
      </c>
      <c r="AT37" s="10">
        <v>27711</v>
      </c>
      <c r="AU37" s="5">
        <v>329131</v>
      </c>
      <c r="AV37" s="5">
        <v>259623</v>
      </c>
      <c r="AW37" s="5">
        <v>12711</v>
      </c>
      <c r="AX37" s="5">
        <v>33501</v>
      </c>
      <c r="AY37" s="10">
        <v>56797</v>
      </c>
      <c r="AZ37" s="5">
        <v>275615</v>
      </c>
      <c r="BA37" s="5">
        <v>205176</v>
      </c>
      <c r="BB37" s="5">
        <v>11090</v>
      </c>
      <c r="BC37" s="5">
        <v>51181</v>
      </c>
      <c r="BD37" s="10">
        <v>59349</v>
      </c>
      <c r="BE37" s="5">
        <v>264907</v>
      </c>
      <c r="BF37" s="5">
        <v>194582</v>
      </c>
      <c r="BG37" s="5">
        <v>10679</v>
      </c>
      <c r="BH37" s="5">
        <v>51432</v>
      </c>
      <c r="BI37" s="5">
        <v>59646</v>
      </c>
      <c r="BJ37" s="5">
        <v>264465</v>
      </c>
      <c r="BK37" s="5">
        <v>164455</v>
      </c>
      <c r="BL37" s="5">
        <v>12368</v>
      </c>
      <c r="BM37" s="5">
        <v>52714</v>
      </c>
      <c r="BN37" s="53">
        <v>59873</v>
      </c>
      <c r="BO37" s="53">
        <v>256378</v>
      </c>
      <c r="BP37" s="53">
        <v>157771</v>
      </c>
      <c r="BQ37" s="53">
        <v>9719</v>
      </c>
      <c r="BR37" s="53">
        <v>54291</v>
      </c>
      <c r="BS37" s="53">
        <v>59675</v>
      </c>
      <c r="BT37" s="53">
        <v>266656</v>
      </c>
      <c r="BU37" s="53">
        <v>153509</v>
      </c>
      <c r="BV37" s="53">
        <v>11884</v>
      </c>
      <c r="BW37" s="53">
        <v>59691</v>
      </c>
      <c r="BX37" s="53">
        <v>72198</v>
      </c>
      <c r="BY37" s="12">
        <v>460215</v>
      </c>
      <c r="BZ37" s="5">
        <v>299863</v>
      </c>
      <c r="CA37" s="5">
        <v>18142</v>
      </c>
      <c r="CB37" s="5">
        <v>148865</v>
      </c>
      <c r="CC37" s="290">
        <f t="shared" si="398"/>
        <v>142210</v>
      </c>
      <c r="CD37" s="258" t="s">
        <v>185</v>
      </c>
      <c r="CE37" s="259" t="s">
        <v>185</v>
      </c>
      <c r="CF37" s="259" t="s">
        <v>185</v>
      </c>
      <c r="CG37" s="259" t="s">
        <v>185</v>
      </c>
      <c r="CH37" s="258" t="s">
        <v>185</v>
      </c>
      <c r="CI37" s="259" t="s">
        <v>185</v>
      </c>
      <c r="CJ37" s="259" t="s">
        <v>185</v>
      </c>
      <c r="CK37" s="259" t="s">
        <v>185</v>
      </c>
      <c r="CL37" s="260" t="s">
        <v>185</v>
      </c>
      <c r="CM37" s="5">
        <v>2620607</v>
      </c>
      <c r="CN37" s="5">
        <v>2409323</v>
      </c>
      <c r="CO37" s="5">
        <v>63835</v>
      </c>
      <c r="CP37" s="5">
        <v>52718</v>
      </c>
      <c r="CQ37" s="10">
        <v>147449</v>
      </c>
      <c r="CR37" s="5">
        <v>3333171</v>
      </c>
      <c r="CS37" s="5">
        <v>2899559</v>
      </c>
      <c r="CT37" s="5">
        <v>90342</v>
      </c>
      <c r="CU37" s="5">
        <v>106397</v>
      </c>
      <c r="CV37" s="5">
        <v>343270</v>
      </c>
      <c r="CW37" s="195">
        <v>3773176</v>
      </c>
      <c r="CX37" s="5">
        <v>3222021</v>
      </c>
      <c r="CY37" s="5">
        <v>109719</v>
      </c>
      <c r="CZ37" s="5">
        <v>441436</v>
      </c>
      <c r="DA37" s="5">
        <v>164749</v>
      </c>
      <c r="DB37" s="12">
        <v>3853679</v>
      </c>
      <c r="DC37" s="5">
        <v>3284547</v>
      </c>
      <c r="DD37" s="5">
        <v>112390</v>
      </c>
      <c r="DE37" s="5">
        <v>456742</v>
      </c>
      <c r="DF37" s="5">
        <v>173642</v>
      </c>
      <c r="DG37" s="56">
        <v>3916215</v>
      </c>
      <c r="DH37" s="54">
        <v>3328013</v>
      </c>
      <c r="DI37" s="54">
        <v>115812</v>
      </c>
      <c r="DJ37" s="54">
        <v>472390</v>
      </c>
      <c r="DK37" s="54">
        <v>180377</v>
      </c>
      <c r="DL37" s="12">
        <v>3979945</v>
      </c>
      <c r="DM37" s="5">
        <v>3350182</v>
      </c>
      <c r="DN37" s="5">
        <v>125182</v>
      </c>
      <c r="DO37" s="5">
        <v>203484</v>
      </c>
      <c r="DP37" s="5">
        <v>404324</v>
      </c>
      <c r="DQ37" s="12">
        <v>4051693.3840000001</v>
      </c>
      <c r="DR37" s="5">
        <v>3405846.44</v>
      </c>
      <c r="DS37" s="5">
        <v>128167.56</v>
      </c>
      <c r="DT37" s="5">
        <v>214583.23499999999</v>
      </c>
      <c r="DU37" s="530">
        <f t="shared" si="399"/>
        <v>517679.38400000014</v>
      </c>
      <c r="DV37" s="5">
        <v>4122790</v>
      </c>
      <c r="DW37" s="5">
        <v>3446325</v>
      </c>
      <c r="DX37" s="5">
        <v>132481</v>
      </c>
      <c r="DY37" s="5">
        <v>228122</v>
      </c>
      <c r="DZ37" s="5">
        <v>543984</v>
      </c>
      <c r="EA37" s="5">
        <v>4186862</v>
      </c>
      <c r="EB37" s="5">
        <v>3338713</v>
      </c>
      <c r="EC37" s="5">
        <v>136194</v>
      </c>
      <c r="ED37" s="5">
        <v>240501</v>
      </c>
      <c r="EE37" s="5">
        <v>563706</v>
      </c>
      <c r="EF37" s="5">
        <v>4441083</v>
      </c>
      <c r="EG37" s="5">
        <v>3455355</v>
      </c>
      <c r="EH37" s="5">
        <v>149061</v>
      </c>
      <c r="EI37" s="5">
        <v>281622</v>
      </c>
      <c r="EJ37" s="5">
        <v>666614</v>
      </c>
      <c r="EK37" s="5">
        <v>4537718</v>
      </c>
      <c r="EL37" s="5">
        <v>3523553</v>
      </c>
      <c r="EM37" s="5">
        <v>145542</v>
      </c>
      <c r="EN37" s="5">
        <v>291134</v>
      </c>
      <c r="EO37" s="5">
        <v>704903</v>
      </c>
      <c r="EP37" s="258" t="s">
        <v>185</v>
      </c>
      <c r="EQ37" s="259" t="s">
        <v>185</v>
      </c>
      <c r="ER37" s="259" t="s">
        <v>185</v>
      </c>
      <c r="ES37" s="259" t="s">
        <v>185</v>
      </c>
      <c r="ET37" s="260" t="s">
        <v>185</v>
      </c>
      <c r="EU37" s="5">
        <v>1030488</v>
      </c>
      <c r="EV37" s="5">
        <v>942785</v>
      </c>
      <c r="EW37" s="5">
        <v>30712</v>
      </c>
      <c r="EX37" s="5">
        <v>23607</v>
      </c>
      <c r="EY37" s="10">
        <v>56991</v>
      </c>
      <c r="EZ37" s="5">
        <v>1318202</v>
      </c>
      <c r="FA37" s="5">
        <v>1145625</v>
      </c>
      <c r="FB37" s="5">
        <v>43348</v>
      </c>
      <c r="FC37" s="5">
        <v>43470</v>
      </c>
      <c r="FD37" s="10">
        <v>129229</v>
      </c>
      <c r="FE37" s="5">
        <v>1549631</v>
      </c>
      <c r="FF37" s="5">
        <v>1315137</v>
      </c>
      <c r="FG37" s="5">
        <v>61152</v>
      </c>
      <c r="FH37" s="5">
        <v>81891</v>
      </c>
      <c r="FI37" s="10">
        <v>173342</v>
      </c>
      <c r="FJ37" s="5">
        <v>1565632.0760000001</v>
      </c>
      <c r="FK37" s="5">
        <v>1325318.5060000001</v>
      </c>
      <c r="FL37" s="5">
        <v>60572.34</v>
      </c>
      <c r="FM37" s="5">
        <v>86777.315000000002</v>
      </c>
      <c r="FN37" s="10">
        <v>179741.23000000007</v>
      </c>
      <c r="FO37" s="5">
        <v>1591450</v>
      </c>
      <c r="FP37" s="5">
        <v>1342724</v>
      </c>
      <c r="FQ37" s="5">
        <v>62597</v>
      </c>
      <c r="FR37" s="5">
        <v>90730</v>
      </c>
      <c r="FS37" s="618">
        <v>186129</v>
      </c>
      <c r="FT37" s="618">
        <v>1602494</v>
      </c>
      <c r="FU37" s="618">
        <v>1289696</v>
      </c>
      <c r="FV37" s="618">
        <v>64709</v>
      </c>
      <c r="FW37" s="618">
        <v>92739</v>
      </c>
      <c r="FX37" s="618">
        <v>191595</v>
      </c>
      <c r="FY37" s="618">
        <v>1642541</v>
      </c>
      <c r="FZ37" s="618">
        <v>1293761</v>
      </c>
      <c r="GA37" s="618">
        <v>66950</v>
      </c>
      <c r="GB37" s="618">
        <v>106851</v>
      </c>
      <c r="GC37" s="618">
        <v>215165</v>
      </c>
      <c r="GD37" s="618">
        <v>1670222</v>
      </c>
      <c r="GE37" s="618">
        <v>1317594</v>
      </c>
      <c r="GF37" s="618">
        <v>64139</v>
      </c>
      <c r="GG37" s="618">
        <v>111515</v>
      </c>
      <c r="GH37" s="618">
        <v>224999</v>
      </c>
      <c r="GI37" s="12">
        <v>248478</v>
      </c>
      <c r="GJ37" s="5">
        <v>225237</v>
      </c>
      <c r="GK37" s="5">
        <v>7086</v>
      </c>
      <c r="GL37" s="5">
        <v>6085</v>
      </c>
      <c r="GM37" s="10">
        <v>16155</v>
      </c>
      <c r="GN37" s="5">
        <v>307401</v>
      </c>
      <c r="GO37" s="5">
        <v>263329</v>
      </c>
      <c r="GP37" s="5">
        <v>9731</v>
      </c>
      <c r="GQ37" s="5">
        <v>9901</v>
      </c>
      <c r="GR37" s="10">
        <v>34341</v>
      </c>
      <c r="GS37" s="12">
        <v>414327</v>
      </c>
      <c r="GT37" s="5">
        <v>351365</v>
      </c>
      <c r="GU37" s="5">
        <v>15388</v>
      </c>
      <c r="GV37" s="5">
        <v>20520</v>
      </c>
      <c r="GW37" s="5">
        <v>47574</v>
      </c>
      <c r="GX37" s="12"/>
      <c r="GY37" s="5"/>
      <c r="GZ37" s="5"/>
      <c r="HA37" s="5"/>
      <c r="HB37" s="10"/>
      <c r="HC37" s="5">
        <v>438650</v>
      </c>
      <c r="HD37" s="5">
        <v>368809</v>
      </c>
      <c r="HE37" s="5">
        <v>15934</v>
      </c>
      <c r="HF37" s="5">
        <v>23739</v>
      </c>
      <c r="HG37" s="5">
        <v>53907</v>
      </c>
      <c r="HH37" s="5">
        <v>446574</v>
      </c>
      <c r="HI37" s="5">
        <v>357582</v>
      </c>
      <c r="HJ37" s="5">
        <v>16543</v>
      </c>
      <c r="HK37" s="5">
        <v>23648</v>
      </c>
      <c r="HL37" s="5">
        <v>57106</v>
      </c>
      <c r="HM37" s="5">
        <v>471400</v>
      </c>
      <c r="HN37" s="5">
        <v>368539</v>
      </c>
      <c r="HO37" s="5">
        <v>18759</v>
      </c>
      <c r="HP37" s="5">
        <v>28235</v>
      </c>
      <c r="HQ37" s="5">
        <v>64999</v>
      </c>
      <c r="HR37" s="5">
        <v>491450</v>
      </c>
      <c r="HS37" s="5">
        <v>386945</v>
      </c>
      <c r="HT37" s="5">
        <v>19348</v>
      </c>
      <c r="HU37" s="5">
        <v>31482</v>
      </c>
      <c r="HV37" s="5">
        <v>64290</v>
      </c>
      <c r="HW37" s="569">
        <f t="shared" si="454"/>
        <v>965447</v>
      </c>
      <c r="HX37" s="546">
        <f t="shared" si="455"/>
        <v>886422</v>
      </c>
      <c r="HY37" s="546">
        <f t="shared" si="456"/>
        <v>19195</v>
      </c>
      <c r="HZ37" s="546">
        <f t="shared" si="457"/>
        <v>16333</v>
      </c>
      <c r="IA37" s="546">
        <f t="shared" si="458"/>
        <v>59830</v>
      </c>
      <c r="IB37" s="569">
        <f t="shared" si="459"/>
        <v>1368826</v>
      </c>
      <c r="IC37" s="546">
        <f t="shared" si="460"/>
        <v>1190713</v>
      </c>
      <c r="ID37" s="546">
        <f t="shared" si="461"/>
        <v>30579</v>
      </c>
      <c r="IE37" s="546">
        <f t="shared" si="462"/>
        <v>32236</v>
      </c>
      <c r="IF37" s="546">
        <f t="shared" si="463"/>
        <v>147534</v>
      </c>
      <c r="IG37" s="12">
        <v>1554874</v>
      </c>
      <c r="IH37" s="5">
        <v>1303580</v>
      </c>
      <c r="II37" s="5">
        <v>39901</v>
      </c>
      <c r="IJ37" s="5">
        <v>55622</v>
      </c>
      <c r="IK37" s="5">
        <v>211393</v>
      </c>
      <c r="IL37" s="565"/>
      <c r="IM37" s="7"/>
      <c r="IN37" s="7"/>
      <c r="IO37" s="7"/>
      <c r="IP37" s="7"/>
      <c r="IQ37" s="7">
        <v>1880342</v>
      </c>
      <c r="IR37" s="7">
        <v>1570020</v>
      </c>
      <c r="IS37" s="7">
        <v>46228</v>
      </c>
      <c r="IT37" s="7">
        <v>69876</v>
      </c>
      <c r="IU37" s="577">
        <v>264094</v>
      </c>
      <c r="IV37" s="7">
        <v>1934579</v>
      </c>
      <c r="IW37" s="7">
        <v>1556112</v>
      </c>
      <c r="IX37" s="7">
        <v>48183</v>
      </c>
      <c r="IY37" s="7">
        <v>74945</v>
      </c>
      <c r="IZ37" s="7">
        <v>279372</v>
      </c>
      <c r="JA37" s="565">
        <v>2142293</v>
      </c>
      <c r="JB37" s="7">
        <v>1679311</v>
      </c>
      <c r="JC37" s="7">
        <v>57053</v>
      </c>
      <c r="JD37" s="7">
        <v>88504</v>
      </c>
      <c r="JE37" s="7">
        <v>346445</v>
      </c>
      <c r="JF37" s="565">
        <v>2247160</v>
      </c>
      <c r="JG37" s="7">
        <v>1752049</v>
      </c>
      <c r="JH37" s="7">
        <v>62047</v>
      </c>
      <c r="JI37" s="7">
        <v>100191</v>
      </c>
      <c r="JJ37" s="7">
        <v>369734</v>
      </c>
      <c r="JK37" s="12">
        <v>496866</v>
      </c>
      <c r="JL37" s="5">
        <v>457663</v>
      </c>
      <c r="JM37" s="5">
        <v>8733</v>
      </c>
      <c r="JN37" s="5">
        <v>7075</v>
      </c>
      <c r="JO37" s="5">
        <v>30470</v>
      </c>
      <c r="JP37" s="12">
        <v>704826</v>
      </c>
      <c r="JQ37" s="5">
        <v>613805</v>
      </c>
      <c r="JR37" s="5">
        <v>14220</v>
      </c>
      <c r="JS37" s="5">
        <v>14687</v>
      </c>
      <c r="JT37" s="5">
        <v>76801</v>
      </c>
      <c r="JU37" s="12">
        <v>884596</v>
      </c>
      <c r="JV37" s="5">
        <v>738044</v>
      </c>
      <c r="JW37" s="5">
        <v>18889</v>
      </c>
      <c r="JX37" s="5">
        <v>28843</v>
      </c>
      <c r="JY37" s="5">
        <v>127663</v>
      </c>
      <c r="JZ37" s="12">
        <v>902381.60000000009</v>
      </c>
      <c r="KA37" s="5">
        <v>755209.42799999996</v>
      </c>
      <c r="KB37" s="5">
        <v>19751.850000000002</v>
      </c>
      <c r="KC37" s="5">
        <v>29772.969999999998</v>
      </c>
      <c r="KD37" s="5">
        <v>127420.32200000013</v>
      </c>
      <c r="KE37" s="5">
        <v>949110</v>
      </c>
      <c r="KF37" s="5">
        <v>768673</v>
      </c>
      <c r="KG37" s="5">
        <v>20983</v>
      </c>
      <c r="KH37" s="5">
        <v>33873</v>
      </c>
      <c r="KI37" s="5">
        <v>136247</v>
      </c>
      <c r="KJ37" s="5">
        <v>1059707</v>
      </c>
      <c r="KK37" s="5">
        <v>833269</v>
      </c>
      <c r="KL37" s="5">
        <v>24332</v>
      </c>
      <c r="KM37" s="5">
        <v>42099</v>
      </c>
      <c r="KN37" s="5">
        <v>174650</v>
      </c>
      <c r="KO37" s="5">
        <v>1098509</v>
      </c>
      <c r="KP37" s="5">
        <v>861044</v>
      </c>
      <c r="KQ37" s="5">
        <v>27321</v>
      </c>
      <c r="KR37" s="5">
        <v>46091</v>
      </c>
      <c r="KS37" s="5">
        <v>182560</v>
      </c>
      <c r="KT37" s="258" t="s">
        <v>185</v>
      </c>
      <c r="KU37" s="259" t="s">
        <v>185</v>
      </c>
      <c r="KV37" s="316">
        <v>146852</v>
      </c>
      <c r="KW37" s="332">
        <f t="shared" si="410"/>
        <v>89209</v>
      </c>
      <c r="KX37" s="332">
        <f t="shared" si="411"/>
        <v>57643</v>
      </c>
      <c r="KY37" s="332">
        <f t="shared" si="412"/>
        <v>143493</v>
      </c>
      <c r="KZ37" s="318">
        <v>86982</v>
      </c>
      <c r="LA37" s="318">
        <v>56511</v>
      </c>
      <c r="LB37" s="332">
        <f t="shared" si="413"/>
        <v>3359</v>
      </c>
      <c r="LC37" s="318">
        <v>2227</v>
      </c>
      <c r="LD37" s="318">
        <v>1132</v>
      </c>
      <c r="LE37" s="316">
        <v>229638</v>
      </c>
      <c r="LF37" s="332">
        <f t="shared" si="414"/>
        <v>138185</v>
      </c>
      <c r="LG37" s="332">
        <f t="shared" si="415"/>
        <v>91453</v>
      </c>
      <c r="LH37" s="332">
        <f t="shared" si="416"/>
        <v>225346</v>
      </c>
      <c r="LI37" s="318">
        <v>135543</v>
      </c>
      <c r="LJ37" s="318">
        <v>89803</v>
      </c>
      <c r="LK37" s="332">
        <f t="shared" si="417"/>
        <v>1770</v>
      </c>
      <c r="LL37" s="318">
        <v>900</v>
      </c>
      <c r="LM37" s="318">
        <v>870</v>
      </c>
      <c r="LN37" s="332">
        <f t="shared" si="418"/>
        <v>2522</v>
      </c>
      <c r="LO37" s="318">
        <v>1742</v>
      </c>
      <c r="LP37" s="318">
        <v>780</v>
      </c>
      <c r="LQ37" s="316">
        <v>462318</v>
      </c>
      <c r="LR37" s="332">
        <f t="shared" si="419"/>
        <v>274704</v>
      </c>
      <c r="LS37" s="332">
        <f t="shared" si="420"/>
        <v>187614</v>
      </c>
      <c r="LT37" s="342">
        <f t="shared" si="421"/>
        <v>432085</v>
      </c>
      <c r="LU37" s="318">
        <v>257366</v>
      </c>
      <c r="LV37" s="318">
        <v>174719</v>
      </c>
      <c r="LW37" s="318">
        <v>17338</v>
      </c>
      <c r="LX37" s="318">
        <v>12895</v>
      </c>
      <c r="LY37" s="342">
        <f t="shared" si="422"/>
        <v>6204</v>
      </c>
      <c r="LZ37" s="318">
        <v>3493</v>
      </c>
      <c r="MA37" s="318">
        <v>2711</v>
      </c>
      <c r="MB37" s="342">
        <f t="shared" si="423"/>
        <v>5213</v>
      </c>
      <c r="MC37" s="318">
        <v>3079</v>
      </c>
      <c r="MD37" s="318">
        <v>2134</v>
      </c>
      <c r="ME37" s="333">
        <f t="shared" si="424"/>
        <v>18816</v>
      </c>
      <c r="MF37" s="333">
        <f t="shared" si="425"/>
        <v>10766</v>
      </c>
      <c r="MG37" s="333">
        <f t="shared" si="426"/>
        <v>8050</v>
      </c>
      <c r="MH37" s="334">
        <f t="shared" si="427"/>
        <v>512</v>
      </c>
      <c r="MI37" s="334">
        <f t="shared" si="428"/>
        <v>377</v>
      </c>
      <c r="MJ37" s="334">
        <f t="shared" si="429"/>
        <v>135</v>
      </c>
      <c r="MK37" s="318">
        <v>18304</v>
      </c>
      <c r="ML37" s="318">
        <v>10389</v>
      </c>
      <c r="MM37" s="318">
        <v>7915</v>
      </c>
      <c r="MN37" s="14">
        <f t="shared" si="430"/>
        <v>716969</v>
      </c>
      <c r="MO37" s="332">
        <f t="shared" si="431"/>
        <v>400544</v>
      </c>
      <c r="MP37" s="332">
        <f t="shared" si="432"/>
        <v>316425</v>
      </c>
      <c r="MQ37" s="13">
        <f t="shared" si="433"/>
        <v>661185</v>
      </c>
      <c r="MR37" s="136">
        <f t="shared" si="434"/>
        <v>654838</v>
      </c>
      <c r="MS37" s="318">
        <v>366920</v>
      </c>
      <c r="MT37" s="318">
        <v>287918</v>
      </c>
      <c r="MU37" s="318">
        <v>33624</v>
      </c>
      <c r="MV37" s="318">
        <v>28507</v>
      </c>
      <c r="MW37" s="13">
        <f t="shared" si="435"/>
        <v>12109</v>
      </c>
      <c r="MX37" s="136">
        <f t="shared" si="436"/>
        <v>11953</v>
      </c>
      <c r="MY37" s="318">
        <v>6786</v>
      </c>
      <c r="MZ37" s="318">
        <v>5167</v>
      </c>
      <c r="NA37" s="13">
        <f t="shared" si="437"/>
        <v>10248</v>
      </c>
      <c r="NB37" s="318">
        <v>5753</v>
      </c>
      <c r="NC37" s="318">
        <v>4495</v>
      </c>
      <c r="ND37" s="11">
        <f t="shared" si="438"/>
        <v>43675</v>
      </c>
      <c r="NE37" s="335">
        <f t="shared" si="439"/>
        <v>21085</v>
      </c>
      <c r="NF37" s="335">
        <f t="shared" si="440"/>
        <v>18845</v>
      </c>
      <c r="NG37" s="336">
        <f t="shared" si="441"/>
        <v>321</v>
      </c>
      <c r="NH37" s="336">
        <f t="shared" si="442"/>
        <v>185</v>
      </c>
      <c r="NI37" s="336">
        <f t="shared" si="443"/>
        <v>136</v>
      </c>
      <c r="NJ37" s="337">
        <f t="shared" si="444"/>
        <v>39609</v>
      </c>
      <c r="NK37" s="337">
        <f t="shared" si="445"/>
        <v>20900</v>
      </c>
      <c r="NL37" s="337">
        <f t="shared" si="446"/>
        <v>18709</v>
      </c>
      <c r="NM37" s="318">
        <v>2097</v>
      </c>
      <c r="NN37" s="318">
        <v>1766</v>
      </c>
      <c r="NO37" s="318">
        <v>18803</v>
      </c>
      <c r="NP37" s="318">
        <v>16943</v>
      </c>
      <c r="NQ37" s="338">
        <v>1061425</v>
      </c>
      <c r="NR37" s="318">
        <v>555712</v>
      </c>
      <c r="NS37" s="318">
        <v>505713</v>
      </c>
      <c r="NT37" s="7">
        <f t="shared" si="447"/>
        <v>927384</v>
      </c>
      <c r="NU37" s="7">
        <v>487922</v>
      </c>
      <c r="NV37" s="7">
        <v>439462</v>
      </c>
      <c r="NW37" s="125">
        <f t="shared" si="448"/>
        <v>914522</v>
      </c>
      <c r="NX37" s="318">
        <v>481427</v>
      </c>
      <c r="NY37" s="318">
        <v>433095</v>
      </c>
      <c r="NZ37" s="7">
        <f t="shared" si="449"/>
        <v>20848</v>
      </c>
      <c r="OA37" s="318">
        <v>11361</v>
      </c>
      <c r="OB37" s="318">
        <v>9487</v>
      </c>
      <c r="OC37" s="7">
        <f t="shared" si="450"/>
        <v>22335</v>
      </c>
      <c r="OD37" s="318">
        <v>11460</v>
      </c>
      <c r="OE37" s="318">
        <v>10875</v>
      </c>
      <c r="OF37" s="125">
        <f t="shared" si="451"/>
        <v>113193</v>
      </c>
      <c r="OG37" s="125">
        <f t="shared" si="452"/>
        <v>56429</v>
      </c>
      <c r="OH37" s="125">
        <f t="shared" si="453"/>
        <v>56764</v>
      </c>
      <c r="OI37" s="326">
        <v>1274296</v>
      </c>
      <c r="OJ37" s="318">
        <v>1088523</v>
      </c>
      <c r="OK37" s="318">
        <v>24869</v>
      </c>
      <c r="OL37" s="318">
        <v>160904</v>
      </c>
      <c r="OM37" s="7">
        <v>33578</v>
      </c>
      <c r="ON37" s="12">
        <v>1315791</v>
      </c>
      <c r="OO37" s="5">
        <v>1119171</v>
      </c>
      <c r="OP37" s="5">
        <v>25852</v>
      </c>
      <c r="OQ37" s="5">
        <v>170768</v>
      </c>
      <c r="OR37" s="5">
        <v>35977</v>
      </c>
      <c r="OS37" s="12">
        <v>1349362</v>
      </c>
      <c r="OT37" s="5">
        <v>1137442</v>
      </c>
      <c r="OU37" s="5">
        <v>26504</v>
      </c>
      <c r="OV37" s="5">
        <v>185416</v>
      </c>
      <c r="OW37" s="5">
        <v>38420</v>
      </c>
      <c r="OX37" s="12">
        <v>1376488</v>
      </c>
      <c r="OY37" s="5">
        <v>1148688</v>
      </c>
      <c r="OZ37" s="5">
        <v>28947</v>
      </c>
      <c r="PA37" s="5">
        <v>198853</v>
      </c>
      <c r="PB37" s="5">
        <v>41991</v>
      </c>
      <c r="PC37" s="12">
        <v>1412227.2040000001</v>
      </c>
      <c r="PD37" s="5">
        <v>1180940.233</v>
      </c>
      <c r="PE37" s="5">
        <v>30432.480000000003</v>
      </c>
      <c r="PF37" s="5">
        <v>44659.454999999994</v>
      </c>
      <c r="PG37" s="5">
        <v>200854.49100000013</v>
      </c>
      <c r="PH37" s="5">
        <v>1441692</v>
      </c>
      <c r="PI37" s="5">
        <v>1201211</v>
      </c>
      <c r="PJ37" s="5">
        <v>30294</v>
      </c>
      <c r="PK37" s="5">
        <v>46137</v>
      </c>
      <c r="PL37" s="2">
        <v>210187</v>
      </c>
      <c r="PM37" s="2">
        <v>1488005</v>
      </c>
      <c r="PN37" s="2">
        <v>1198530</v>
      </c>
      <c r="PO37" s="2">
        <v>31640</v>
      </c>
      <c r="PP37" s="2">
        <v>51297</v>
      </c>
      <c r="PQ37" s="2">
        <v>222266</v>
      </c>
      <c r="PR37" s="2">
        <v>1670893</v>
      </c>
      <c r="PS37" s="2">
        <v>1310772</v>
      </c>
      <c r="PT37" s="2">
        <v>38294</v>
      </c>
      <c r="PU37" s="2">
        <v>60269</v>
      </c>
      <c r="PV37" s="2">
        <v>281446</v>
      </c>
      <c r="PW37" s="2">
        <v>1755710</v>
      </c>
      <c r="PX37" s="2">
        <v>1365104</v>
      </c>
      <c r="PY37" s="2">
        <v>42699</v>
      </c>
      <c r="PZ37" s="2">
        <v>68709</v>
      </c>
      <c r="QA37" s="2">
        <v>305444</v>
      </c>
      <c r="QB37" s="12">
        <v>220103</v>
      </c>
      <c r="QC37" s="5">
        <v>203522</v>
      </c>
      <c r="QD37" s="5">
        <v>3376</v>
      </c>
      <c r="QE37" s="5">
        <v>3173</v>
      </c>
      <c r="QF37" s="5">
        <v>13205</v>
      </c>
      <c r="QG37" s="12">
        <v>356599</v>
      </c>
      <c r="QH37" s="5">
        <v>313579</v>
      </c>
      <c r="QI37" s="5">
        <v>6628</v>
      </c>
      <c r="QJ37" s="5">
        <v>7648</v>
      </c>
      <c r="QK37" s="5">
        <v>36392</v>
      </c>
      <c r="QL37" s="12">
        <v>491892</v>
      </c>
      <c r="QM37" s="5">
        <v>410644</v>
      </c>
      <c r="QN37" s="5">
        <v>10058</v>
      </c>
      <c r="QO37" s="5">
        <v>13148</v>
      </c>
      <c r="QP37" s="5">
        <v>71190</v>
      </c>
      <c r="QQ37" s="12">
        <v>509845.60399999999</v>
      </c>
      <c r="QR37" s="5">
        <v>425730.80499999999</v>
      </c>
      <c r="QS37" s="5">
        <v>10680.63</v>
      </c>
      <c r="QT37" s="5">
        <v>14886.484999999999</v>
      </c>
      <c r="QU37" s="10">
        <v>73434.168999999994</v>
      </c>
      <c r="QV37" s="1">
        <v>521602</v>
      </c>
      <c r="QW37" s="2">
        <v>432053</v>
      </c>
      <c r="QX37" s="2">
        <v>10405</v>
      </c>
      <c r="QY37" s="2">
        <v>15860</v>
      </c>
      <c r="QZ37" s="69">
        <v>79144</v>
      </c>
      <c r="RA37" s="2">
        <v>538895</v>
      </c>
      <c r="RB37" s="2">
        <v>429857</v>
      </c>
      <c r="RC37" s="2">
        <v>10657</v>
      </c>
      <c r="RD37" s="2">
        <v>17424</v>
      </c>
      <c r="RE37" s="2">
        <v>86019</v>
      </c>
      <c r="RF37" s="2">
        <v>611186</v>
      </c>
      <c r="RG37" s="2">
        <v>477503</v>
      </c>
      <c r="RH37" s="2">
        <v>13962</v>
      </c>
      <c r="RI37" s="2">
        <v>18170</v>
      </c>
      <c r="RJ37" s="2">
        <v>106796</v>
      </c>
      <c r="RK37" s="2">
        <v>657201</v>
      </c>
      <c r="RL37" s="2">
        <v>504060</v>
      </c>
      <c r="RM37" s="2">
        <v>15378</v>
      </c>
      <c r="RN37" s="2">
        <v>22618</v>
      </c>
      <c r="RO37" s="2">
        <v>122884</v>
      </c>
    </row>
    <row r="38" spans="1:483" ht="14.25" x14ac:dyDescent="0.2">
      <c r="A38" s="219" t="s">
        <v>50</v>
      </c>
      <c r="B38" s="261" t="s">
        <v>185</v>
      </c>
      <c r="C38" s="262" t="s">
        <v>185</v>
      </c>
      <c r="D38" s="262" t="s">
        <v>185</v>
      </c>
      <c r="E38" s="262" t="s">
        <v>185</v>
      </c>
      <c r="F38" s="263" t="s">
        <v>185</v>
      </c>
      <c r="G38" s="242">
        <v>15919</v>
      </c>
      <c r="H38" s="242">
        <v>13963</v>
      </c>
      <c r="I38" s="242">
        <v>98</v>
      </c>
      <c r="J38" s="242">
        <v>2571</v>
      </c>
      <c r="K38" s="243">
        <v>1858</v>
      </c>
      <c r="L38" s="242">
        <v>10614</v>
      </c>
      <c r="M38" s="242">
        <v>8579</v>
      </c>
      <c r="N38" s="242">
        <v>82</v>
      </c>
      <c r="O38" s="242">
        <v>2485</v>
      </c>
      <c r="P38" s="243">
        <v>1953</v>
      </c>
      <c r="Q38" s="251">
        <v>9415</v>
      </c>
      <c r="R38" s="251">
        <v>7411</v>
      </c>
      <c r="S38" s="251">
        <v>115</v>
      </c>
      <c r="T38" s="251">
        <v>3174</v>
      </c>
      <c r="U38" s="578">
        <v>1889</v>
      </c>
      <c r="V38" s="251">
        <v>8796</v>
      </c>
      <c r="W38" s="251">
        <v>6806</v>
      </c>
      <c r="X38" s="251">
        <v>121</v>
      </c>
      <c r="Y38" s="251">
        <v>3281</v>
      </c>
      <c r="Z38" s="251">
        <v>1867</v>
      </c>
      <c r="AA38" s="251">
        <v>7519</v>
      </c>
      <c r="AB38" s="251">
        <v>3686</v>
      </c>
      <c r="AC38" s="251">
        <v>59</v>
      </c>
      <c r="AD38" s="251">
        <v>3379</v>
      </c>
      <c r="AE38" s="457">
        <v>1909</v>
      </c>
      <c r="AF38" s="562">
        <v>7773</v>
      </c>
      <c r="AG38" s="562">
        <v>3372</v>
      </c>
      <c r="AH38" s="562">
        <v>0</v>
      </c>
      <c r="AI38" s="562">
        <v>3877</v>
      </c>
      <c r="AJ38" s="562">
        <v>408</v>
      </c>
      <c r="AK38" s="562">
        <v>5751</v>
      </c>
      <c r="AL38" s="562">
        <v>2551</v>
      </c>
      <c r="AM38" s="562">
        <v>0</v>
      </c>
      <c r="AN38" s="562">
        <v>2725</v>
      </c>
      <c r="AO38" s="562">
        <v>398</v>
      </c>
      <c r="AP38" s="241">
        <v>31194</v>
      </c>
      <c r="AQ38" s="242">
        <v>28570</v>
      </c>
      <c r="AR38" s="242">
        <v>216</v>
      </c>
      <c r="AS38" s="242">
        <v>2452</v>
      </c>
      <c r="AT38" s="243">
        <v>2408</v>
      </c>
      <c r="AU38" s="242">
        <v>27703</v>
      </c>
      <c r="AV38" s="242">
        <v>24568</v>
      </c>
      <c r="AW38" s="242">
        <v>155</v>
      </c>
      <c r="AX38" s="242">
        <v>2887</v>
      </c>
      <c r="AY38" s="243">
        <v>2980</v>
      </c>
      <c r="AZ38" s="242">
        <v>19819</v>
      </c>
      <c r="BA38" s="242">
        <v>17639</v>
      </c>
      <c r="BB38" s="242">
        <v>144</v>
      </c>
      <c r="BC38" s="242">
        <v>2593</v>
      </c>
      <c r="BD38" s="243">
        <v>2036</v>
      </c>
      <c r="BE38" s="242">
        <v>21457</v>
      </c>
      <c r="BF38" s="242">
        <v>18694</v>
      </c>
      <c r="BG38" s="242">
        <v>287</v>
      </c>
      <c r="BH38" s="242">
        <v>3236</v>
      </c>
      <c r="BI38" s="242">
        <v>2476</v>
      </c>
      <c r="BJ38" s="242">
        <v>21750</v>
      </c>
      <c r="BK38" s="242">
        <v>16477</v>
      </c>
      <c r="BL38" s="242">
        <v>249</v>
      </c>
      <c r="BM38" s="242">
        <v>3690</v>
      </c>
      <c r="BN38" s="53">
        <v>2516</v>
      </c>
      <c r="BO38" s="53">
        <v>22652</v>
      </c>
      <c r="BP38" s="53">
        <v>15914</v>
      </c>
      <c r="BQ38" s="53">
        <v>0</v>
      </c>
      <c r="BR38" s="53">
        <v>5104</v>
      </c>
      <c r="BS38" s="53">
        <v>1387</v>
      </c>
      <c r="BT38" s="53">
        <v>20940</v>
      </c>
      <c r="BU38" s="53">
        <v>15040</v>
      </c>
      <c r="BV38" s="53">
        <v>0</v>
      </c>
      <c r="BW38" s="53">
        <v>4713</v>
      </c>
      <c r="BX38" s="53">
        <v>1130</v>
      </c>
      <c r="BY38" s="241">
        <v>28930</v>
      </c>
      <c r="BZ38" s="242">
        <v>24474</v>
      </c>
      <c r="CA38" s="242"/>
      <c r="CB38" s="242">
        <v>5930</v>
      </c>
      <c r="CC38" s="456">
        <f t="shared" si="398"/>
        <v>4456</v>
      </c>
      <c r="CD38" s="261" t="s">
        <v>185</v>
      </c>
      <c r="CE38" s="262" t="s">
        <v>185</v>
      </c>
      <c r="CF38" s="262" t="s">
        <v>185</v>
      </c>
      <c r="CG38" s="262" t="s">
        <v>185</v>
      </c>
      <c r="CH38" s="261" t="s">
        <v>185</v>
      </c>
      <c r="CI38" s="262" t="s">
        <v>185</v>
      </c>
      <c r="CJ38" s="262" t="s">
        <v>185</v>
      </c>
      <c r="CK38" s="262" t="s">
        <v>185</v>
      </c>
      <c r="CL38" s="263" t="s">
        <v>185</v>
      </c>
      <c r="CM38" s="242">
        <v>230656</v>
      </c>
      <c r="CN38" s="242">
        <v>222033</v>
      </c>
      <c r="CO38" s="242">
        <v>1358</v>
      </c>
      <c r="CP38" s="242">
        <v>7317</v>
      </c>
      <c r="CQ38" s="243">
        <v>7265</v>
      </c>
      <c r="CR38" s="242">
        <v>277346</v>
      </c>
      <c r="CS38" s="242">
        <v>261889</v>
      </c>
      <c r="CT38" s="242">
        <v>1539</v>
      </c>
      <c r="CU38" s="242">
        <v>10566</v>
      </c>
      <c r="CV38" s="242">
        <v>13918</v>
      </c>
      <c r="CW38" s="244">
        <v>304553</v>
      </c>
      <c r="CX38" s="242">
        <v>287319</v>
      </c>
      <c r="CY38" s="242">
        <v>1514</v>
      </c>
      <c r="CZ38" s="242">
        <v>15720</v>
      </c>
      <c r="DA38" s="242">
        <v>14296</v>
      </c>
      <c r="DB38" s="241">
        <v>311935</v>
      </c>
      <c r="DC38" s="242">
        <v>293430</v>
      </c>
      <c r="DD38" s="242">
        <v>2221</v>
      </c>
      <c r="DE38" s="242">
        <v>16284</v>
      </c>
      <c r="DF38" s="242">
        <v>15406</v>
      </c>
      <c r="DG38" s="245">
        <v>316816</v>
      </c>
      <c r="DH38" s="246">
        <v>297922</v>
      </c>
      <c r="DI38" s="246">
        <v>2641</v>
      </c>
      <c r="DJ38" s="246">
        <v>16253</v>
      </c>
      <c r="DK38" s="246">
        <v>15992</v>
      </c>
      <c r="DL38" s="241">
        <v>334646</v>
      </c>
      <c r="DM38" s="242">
        <v>314342</v>
      </c>
      <c r="DN38" s="242">
        <v>2046</v>
      </c>
      <c r="DO38" s="242">
        <v>18371</v>
      </c>
      <c r="DP38" s="242">
        <v>13136</v>
      </c>
      <c r="DQ38" s="241">
        <v>341967.03399999999</v>
      </c>
      <c r="DR38" s="242">
        <v>319882.52799999999</v>
      </c>
      <c r="DS38" s="242"/>
      <c r="DT38" s="242">
        <v>18855.599999999999</v>
      </c>
      <c r="DU38" s="583">
        <f t="shared" si="399"/>
        <v>22084.505999999994</v>
      </c>
      <c r="DV38" s="242">
        <v>346621</v>
      </c>
      <c r="DW38" s="242">
        <v>324386</v>
      </c>
      <c r="DX38" s="242">
        <v>2491</v>
      </c>
      <c r="DY38" s="242">
        <v>21258</v>
      </c>
      <c r="DZ38" s="242">
        <v>19624</v>
      </c>
      <c r="EA38" s="242">
        <v>351698</v>
      </c>
      <c r="EB38" s="242">
        <v>314164</v>
      </c>
      <c r="EC38" s="242">
        <v>2767</v>
      </c>
      <c r="ED38" s="242">
        <v>21693</v>
      </c>
      <c r="EE38" s="242">
        <v>20423</v>
      </c>
      <c r="EF38" s="242">
        <v>358322</v>
      </c>
      <c r="EG38" s="242">
        <v>320645</v>
      </c>
      <c r="EH38" s="242">
        <v>0</v>
      </c>
      <c r="EI38" s="242">
        <v>21789</v>
      </c>
      <c r="EJ38" s="242">
        <v>11720</v>
      </c>
      <c r="EK38" s="242">
        <v>364103</v>
      </c>
      <c r="EL38" s="242">
        <v>324388</v>
      </c>
      <c r="EM38" s="242">
        <v>0</v>
      </c>
      <c r="EN38" s="242">
        <v>22977</v>
      </c>
      <c r="EO38" s="242">
        <v>12954</v>
      </c>
      <c r="EP38" s="261" t="s">
        <v>185</v>
      </c>
      <c r="EQ38" s="262" t="s">
        <v>185</v>
      </c>
      <c r="ER38" s="262" t="s">
        <v>185</v>
      </c>
      <c r="ES38" s="262" t="s">
        <v>185</v>
      </c>
      <c r="ET38" s="263" t="s">
        <v>185</v>
      </c>
      <c r="EU38" s="242">
        <v>86380</v>
      </c>
      <c r="EV38" s="242">
        <v>82731</v>
      </c>
      <c r="EW38" s="242">
        <v>708</v>
      </c>
      <c r="EX38" s="242">
        <v>2769</v>
      </c>
      <c r="EY38" s="243">
        <v>2941</v>
      </c>
      <c r="EZ38" s="242">
        <v>110405</v>
      </c>
      <c r="FA38" s="242">
        <v>103499</v>
      </c>
      <c r="FB38" s="242">
        <v>839</v>
      </c>
      <c r="FC38" s="242">
        <v>4198</v>
      </c>
      <c r="FD38" s="243">
        <v>6067</v>
      </c>
      <c r="FE38" s="242">
        <v>137473</v>
      </c>
      <c r="FF38" s="242">
        <v>128628</v>
      </c>
      <c r="FG38" s="242">
        <v>757</v>
      </c>
      <c r="FH38" s="242">
        <v>7190</v>
      </c>
      <c r="FI38" s="243">
        <v>8088</v>
      </c>
      <c r="FJ38" s="242">
        <v>139828.16899999999</v>
      </c>
      <c r="FK38" s="242">
        <v>130641.679</v>
      </c>
      <c r="FL38" s="242"/>
      <c r="FM38" s="242">
        <v>7517.4299999999994</v>
      </c>
      <c r="FN38" s="243">
        <v>9186.4899999999907</v>
      </c>
      <c r="FO38" s="242">
        <v>140147</v>
      </c>
      <c r="FP38" s="242">
        <v>130775</v>
      </c>
      <c r="FQ38" s="242">
        <v>850</v>
      </c>
      <c r="FR38" s="242">
        <v>8270</v>
      </c>
      <c r="FS38" s="619">
        <v>8500</v>
      </c>
      <c r="FT38" s="668">
        <v>140748</v>
      </c>
      <c r="FU38" s="668">
        <v>125771</v>
      </c>
      <c r="FV38" s="668">
        <v>1130</v>
      </c>
      <c r="FW38" s="668">
        <v>8288</v>
      </c>
      <c r="FX38" s="668">
        <v>8795</v>
      </c>
      <c r="FY38" s="668">
        <v>144458</v>
      </c>
      <c r="FZ38" s="668">
        <v>127792</v>
      </c>
      <c r="GA38" s="668">
        <v>0</v>
      </c>
      <c r="GB38" s="668">
        <v>8663</v>
      </c>
      <c r="GC38" s="668">
        <v>6535</v>
      </c>
      <c r="GD38" s="668">
        <v>143562</v>
      </c>
      <c r="GE38" s="668">
        <v>126724</v>
      </c>
      <c r="GF38" s="668">
        <v>0</v>
      </c>
      <c r="GG38" s="668">
        <v>10684</v>
      </c>
      <c r="GH38" s="668">
        <v>5566</v>
      </c>
      <c r="GI38" s="241">
        <v>19149</v>
      </c>
      <c r="GJ38" s="242">
        <v>18280</v>
      </c>
      <c r="GK38" s="242">
        <v>176</v>
      </c>
      <c r="GL38" s="242">
        <v>605</v>
      </c>
      <c r="GM38" s="243">
        <v>693</v>
      </c>
      <c r="GN38" s="242">
        <v>25221</v>
      </c>
      <c r="GO38" s="242">
        <v>23729</v>
      </c>
      <c r="GP38" s="242">
        <v>162</v>
      </c>
      <c r="GQ38" s="242">
        <v>851</v>
      </c>
      <c r="GR38" s="243">
        <v>1330</v>
      </c>
      <c r="GS38" s="241">
        <v>36824</v>
      </c>
      <c r="GT38" s="242">
        <v>34650</v>
      </c>
      <c r="GU38" s="242">
        <v>113</v>
      </c>
      <c r="GV38" s="242">
        <v>1534</v>
      </c>
      <c r="GW38" s="242">
        <v>2061</v>
      </c>
      <c r="GX38" s="241"/>
      <c r="GY38" s="242"/>
      <c r="GZ38" s="242"/>
      <c r="HA38" s="242"/>
      <c r="HB38" s="243"/>
      <c r="HC38" s="241">
        <v>38476</v>
      </c>
      <c r="HD38" s="242">
        <v>36031</v>
      </c>
      <c r="HE38" s="242">
        <v>197</v>
      </c>
      <c r="HF38" s="242">
        <v>2021</v>
      </c>
      <c r="HG38" s="243">
        <v>2248</v>
      </c>
      <c r="HH38" s="5">
        <v>38294</v>
      </c>
      <c r="HI38" s="5">
        <v>34680</v>
      </c>
      <c r="HJ38" s="5">
        <v>248</v>
      </c>
      <c r="HK38" s="5">
        <v>2146</v>
      </c>
      <c r="HL38" s="5">
        <v>2123</v>
      </c>
      <c r="HM38" s="5">
        <v>42212</v>
      </c>
      <c r="HN38" s="5">
        <v>36151</v>
      </c>
      <c r="HO38" s="5">
        <v>0</v>
      </c>
      <c r="HP38" s="5">
        <v>2786</v>
      </c>
      <c r="HQ38" s="5">
        <v>1897</v>
      </c>
      <c r="HR38" s="5">
        <v>45601</v>
      </c>
      <c r="HS38" s="5">
        <v>40637</v>
      </c>
      <c r="HT38" s="5">
        <v>0</v>
      </c>
      <c r="HU38" s="5">
        <v>3403</v>
      </c>
      <c r="HV38" s="5">
        <v>1433</v>
      </c>
      <c r="HW38" s="569">
        <f t="shared" si="454"/>
        <v>71344</v>
      </c>
      <c r="HX38" s="546">
        <f t="shared" si="455"/>
        <v>69385</v>
      </c>
      <c r="HY38" s="546">
        <f t="shared" si="456"/>
        <v>335</v>
      </c>
      <c r="HZ38" s="546">
        <f t="shared" si="457"/>
        <v>1196</v>
      </c>
      <c r="IA38" s="546">
        <f t="shared" si="458"/>
        <v>1624</v>
      </c>
      <c r="IB38" s="569">
        <f t="shared" si="459"/>
        <v>94383</v>
      </c>
      <c r="IC38" s="546">
        <f t="shared" si="460"/>
        <v>90371</v>
      </c>
      <c r="ID38" s="546">
        <f t="shared" si="461"/>
        <v>493</v>
      </c>
      <c r="IE38" s="546">
        <f t="shared" si="462"/>
        <v>2087</v>
      </c>
      <c r="IF38" s="546">
        <f t="shared" si="463"/>
        <v>3519</v>
      </c>
      <c r="IG38" s="241">
        <v>109591</v>
      </c>
      <c r="IH38" s="242">
        <v>104668</v>
      </c>
      <c r="II38" s="242">
        <v>438</v>
      </c>
      <c r="IJ38" s="242">
        <v>3324</v>
      </c>
      <c r="IK38" s="242">
        <v>4485</v>
      </c>
      <c r="IL38" s="566"/>
      <c r="IM38" s="251"/>
      <c r="IN38" s="251"/>
      <c r="IO38" s="251"/>
      <c r="IP38" s="251"/>
      <c r="IQ38" s="251">
        <v>130932</v>
      </c>
      <c r="IR38" s="251">
        <v>124268</v>
      </c>
      <c r="IS38" s="251">
        <v>548</v>
      </c>
      <c r="IT38" s="251">
        <v>5503</v>
      </c>
      <c r="IU38" s="578">
        <v>6113</v>
      </c>
      <c r="IV38" s="251">
        <v>134601</v>
      </c>
      <c r="IW38" s="251">
        <v>123797</v>
      </c>
      <c r="IX38" s="251">
        <v>715</v>
      </c>
      <c r="IY38" s="251">
        <v>5437</v>
      </c>
      <c r="IZ38" s="251">
        <v>6394</v>
      </c>
      <c r="JA38" s="566">
        <v>144246</v>
      </c>
      <c r="JB38" s="251">
        <v>130995</v>
      </c>
      <c r="JC38" s="251">
        <v>0</v>
      </c>
      <c r="JD38" s="251">
        <v>6731</v>
      </c>
      <c r="JE38" s="251">
        <v>3666</v>
      </c>
      <c r="JF38" s="566">
        <v>151518</v>
      </c>
      <c r="JG38" s="251">
        <v>138052</v>
      </c>
      <c r="JH38" s="251">
        <v>0</v>
      </c>
      <c r="JI38" s="251">
        <v>6757</v>
      </c>
      <c r="JJ38" s="251">
        <v>3873</v>
      </c>
      <c r="JK38" s="241">
        <v>36354</v>
      </c>
      <c r="JL38" s="242">
        <v>35645</v>
      </c>
      <c r="JM38" s="242">
        <v>99</v>
      </c>
      <c r="JN38" s="242">
        <v>367</v>
      </c>
      <c r="JO38" s="242">
        <v>610</v>
      </c>
      <c r="JP38" s="241">
        <v>47066</v>
      </c>
      <c r="JQ38" s="242">
        <v>45464</v>
      </c>
      <c r="JR38" s="242">
        <v>193</v>
      </c>
      <c r="JS38" s="242">
        <v>822</v>
      </c>
      <c r="JT38" s="242">
        <v>1409</v>
      </c>
      <c r="JU38" s="241">
        <v>56840</v>
      </c>
      <c r="JV38" s="242">
        <v>54784</v>
      </c>
      <c r="JW38" s="242">
        <v>213</v>
      </c>
      <c r="JX38" s="242">
        <v>1299</v>
      </c>
      <c r="JY38" s="242">
        <v>1843</v>
      </c>
      <c r="JZ38" s="241">
        <v>59714.417000000001</v>
      </c>
      <c r="KA38" s="242">
        <v>57220.366000000002</v>
      </c>
      <c r="KB38" s="242"/>
      <c r="KC38" s="242">
        <v>1786.3200000000002</v>
      </c>
      <c r="KD38" s="242">
        <v>2494.0509999999995</v>
      </c>
      <c r="KE38" s="242">
        <v>64705</v>
      </c>
      <c r="KF38" s="242">
        <v>59593</v>
      </c>
      <c r="KG38" s="242">
        <v>365</v>
      </c>
      <c r="KH38" s="242">
        <v>2514</v>
      </c>
      <c r="KI38" s="242">
        <v>2839</v>
      </c>
      <c r="KJ38" s="242">
        <v>67108</v>
      </c>
      <c r="KK38" s="242">
        <v>62786</v>
      </c>
      <c r="KL38" s="242">
        <v>0</v>
      </c>
      <c r="KM38" s="242">
        <v>2120</v>
      </c>
      <c r="KN38" s="242">
        <v>1342</v>
      </c>
      <c r="KO38" s="242">
        <v>67845</v>
      </c>
      <c r="KP38" s="242">
        <v>62818</v>
      </c>
      <c r="KQ38" s="242">
        <v>0</v>
      </c>
      <c r="KR38" s="242">
        <v>2278</v>
      </c>
      <c r="KS38" s="242">
        <v>1385</v>
      </c>
      <c r="KT38" s="261" t="s">
        <v>185</v>
      </c>
      <c r="KU38" s="262" t="s">
        <v>185</v>
      </c>
      <c r="KV38" s="349">
        <v>15084</v>
      </c>
      <c r="KW38" s="350">
        <f t="shared" si="410"/>
        <v>9157</v>
      </c>
      <c r="KX38" s="350">
        <f t="shared" si="411"/>
        <v>5927</v>
      </c>
      <c r="KY38" s="350">
        <f t="shared" si="412"/>
        <v>15037</v>
      </c>
      <c r="KZ38" s="351">
        <v>9127</v>
      </c>
      <c r="LA38" s="351">
        <v>5910</v>
      </c>
      <c r="LB38" s="350">
        <f t="shared" si="413"/>
        <v>47</v>
      </c>
      <c r="LC38" s="351">
        <v>30</v>
      </c>
      <c r="LD38" s="351">
        <v>17</v>
      </c>
      <c r="LE38" s="349">
        <v>20776</v>
      </c>
      <c r="LF38" s="350">
        <f t="shared" si="414"/>
        <v>12037</v>
      </c>
      <c r="LG38" s="350">
        <f t="shared" si="415"/>
        <v>8739</v>
      </c>
      <c r="LH38" s="350">
        <f t="shared" si="416"/>
        <v>20525</v>
      </c>
      <c r="LI38" s="351">
        <v>11893</v>
      </c>
      <c r="LJ38" s="351">
        <v>8632</v>
      </c>
      <c r="LK38" s="350">
        <f t="shared" si="417"/>
        <v>43</v>
      </c>
      <c r="LL38" s="351">
        <v>23</v>
      </c>
      <c r="LM38" s="351">
        <v>20</v>
      </c>
      <c r="LN38" s="350">
        <f t="shared" si="418"/>
        <v>208</v>
      </c>
      <c r="LO38" s="351">
        <v>121</v>
      </c>
      <c r="LP38" s="351">
        <v>87</v>
      </c>
      <c r="LQ38" s="349">
        <v>43767</v>
      </c>
      <c r="LR38" s="350">
        <f t="shared" si="419"/>
        <v>26280</v>
      </c>
      <c r="LS38" s="350">
        <f t="shared" si="420"/>
        <v>17487</v>
      </c>
      <c r="LT38" s="365">
        <f t="shared" si="421"/>
        <v>42720</v>
      </c>
      <c r="LU38" s="351">
        <v>25644</v>
      </c>
      <c r="LV38" s="351">
        <v>17076</v>
      </c>
      <c r="LW38" s="351">
        <v>636</v>
      </c>
      <c r="LX38" s="351">
        <v>411</v>
      </c>
      <c r="LY38" s="365">
        <f t="shared" si="422"/>
        <v>133</v>
      </c>
      <c r="LZ38" s="351">
        <v>98</v>
      </c>
      <c r="MA38" s="351">
        <v>35</v>
      </c>
      <c r="MB38" s="365">
        <f t="shared" si="423"/>
        <v>404</v>
      </c>
      <c r="MC38" s="351">
        <v>282</v>
      </c>
      <c r="MD38" s="351">
        <v>122</v>
      </c>
      <c r="ME38" s="352">
        <f t="shared" si="424"/>
        <v>510</v>
      </c>
      <c r="MF38" s="352">
        <f t="shared" si="425"/>
        <v>256</v>
      </c>
      <c r="MG38" s="352">
        <f t="shared" si="426"/>
        <v>254</v>
      </c>
      <c r="MH38" s="353">
        <f t="shared" si="427"/>
        <v>55</v>
      </c>
      <c r="MI38" s="353">
        <f t="shared" si="428"/>
        <v>22</v>
      </c>
      <c r="MJ38" s="353">
        <f t="shared" si="429"/>
        <v>33</v>
      </c>
      <c r="MK38" s="351">
        <v>455</v>
      </c>
      <c r="ML38" s="351">
        <v>234</v>
      </c>
      <c r="MM38" s="351">
        <v>221</v>
      </c>
      <c r="MN38" s="247">
        <f t="shared" si="430"/>
        <v>52195</v>
      </c>
      <c r="MO38" s="350">
        <f t="shared" si="431"/>
        <v>28963</v>
      </c>
      <c r="MP38" s="350">
        <f t="shared" si="432"/>
        <v>23232</v>
      </c>
      <c r="MQ38" s="248">
        <f t="shared" si="433"/>
        <v>51105</v>
      </c>
      <c r="MR38" s="249">
        <f t="shared" si="434"/>
        <v>50710</v>
      </c>
      <c r="MS38" s="351">
        <v>28089</v>
      </c>
      <c r="MT38" s="351">
        <v>22621</v>
      </c>
      <c r="MU38" s="351">
        <v>874</v>
      </c>
      <c r="MV38" s="351">
        <v>611</v>
      </c>
      <c r="MW38" s="248">
        <f t="shared" si="435"/>
        <v>159</v>
      </c>
      <c r="MX38" s="249">
        <f t="shared" si="436"/>
        <v>147</v>
      </c>
      <c r="MY38" s="351">
        <v>90</v>
      </c>
      <c r="MZ38" s="351">
        <v>57</v>
      </c>
      <c r="NA38" s="248">
        <f t="shared" si="437"/>
        <v>591</v>
      </c>
      <c r="NB38" s="351">
        <v>371</v>
      </c>
      <c r="NC38" s="351">
        <v>220</v>
      </c>
      <c r="ND38" s="250">
        <f t="shared" si="438"/>
        <v>931</v>
      </c>
      <c r="NE38" s="354">
        <f t="shared" si="439"/>
        <v>413</v>
      </c>
      <c r="NF38" s="354">
        <f t="shared" si="440"/>
        <v>334</v>
      </c>
      <c r="NG38" s="355">
        <f t="shared" si="441"/>
        <v>27</v>
      </c>
      <c r="NH38" s="355">
        <f t="shared" si="442"/>
        <v>2</v>
      </c>
      <c r="NI38" s="355">
        <f t="shared" si="443"/>
        <v>25</v>
      </c>
      <c r="NJ38" s="356">
        <f t="shared" si="444"/>
        <v>720</v>
      </c>
      <c r="NK38" s="356">
        <f t="shared" si="445"/>
        <v>411</v>
      </c>
      <c r="NL38" s="356">
        <f t="shared" si="446"/>
        <v>309</v>
      </c>
      <c r="NM38" s="351">
        <v>150</v>
      </c>
      <c r="NN38" s="351">
        <v>134</v>
      </c>
      <c r="NO38" s="351">
        <v>261</v>
      </c>
      <c r="NP38" s="351">
        <v>175</v>
      </c>
      <c r="NQ38" s="357">
        <v>69162</v>
      </c>
      <c r="NR38" s="351">
        <v>35983</v>
      </c>
      <c r="NS38" s="351">
        <v>33179</v>
      </c>
      <c r="NT38" s="251">
        <f t="shared" si="447"/>
        <v>66642</v>
      </c>
      <c r="NU38" s="251">
        <v>34795</v>
      </c>
      <c r="NV38" s="251">
        <v>31847</v>
      </c>
      <c r="NW38" s="252">
        <f t="shared" si="448"/>
        <v>65839</v>
      </c>
      <c r="NX38" s="351">
        <v>34342</v>
      </c>
      <c r="NY38" s="351">
        <v>31497</v>
      </c>
      <c r="NZ38" s="251">
        <f t="shared" si="449"/>
        <v>331</v>
      </c>
      <c r="OA38" s="351">
        <v>222</v>
      </c>
      <c r="OB38" s="351">
        <v>109</v>
      </c>
      <c r="OC38" s="251">
        <f t="shared" si="450"/>
        <v>1236</v>
      </c>
      <c r="OD38" s="351">
        <v>628</v>
      </c>
      <c r="OE38" s="351">
        <v>608</v>
      </c>
      <c r="OF38" s="252">
        <f t="shared" si="451"/>
        <v>2189</v>
      </c>
      <c r="OG38" s="252">
        <f t="shared" si="452"/>
        <v>966</v>
      </c>
      <c r="OH38" s="252">
        <f t="shared" si="453"/>
        <v>1223</v>
      </c>
      <c r="OI38" s="358">
        <v>77839</v>
      </c>
      <c r="OJ38" s="351">
        <v>75021</v>
      </c>
      <c r="OK38" s="351">
        <v>336</v>
      </c>
      <c r="OL38" s="351">
        <v>2482</v>
      </c>
      <c r="OM38" s="251">
        <v>1728</v>
      </c>
      <c r="ON38" s="241">
        <v>79817</v>
      </c>
      <c r="OO38" s="242">
        <v>76773</v>
      </c>
      <c r="OP38" s="242">
        <v>207</v>
      </c>
      <c r="OQ38" s="242">
        <v>2837</v>
      </c>
      <c r="OR38" s="242">
        <v>1870</v>
      </c>
      <c r="OS38" s="241">
        <v>81632</v>
      </c>
      <c r="OT38" s="242">
        <v>78494</v>
      </c>
      <c r="OU38" s="242">
        <v>457</v>
      </c>
      <c r="OV38" s="242">
        <v>2681</v>
      </c>
      <c r="OW38" s="242">
        <v>2266</v>
      </c>
      <c r="OX38" s="241">
        <v>86060</v>
      </c>
      <c r="OY38" s="242">
        <v>82524</v>
      </c>
      <c r="OZ38" s="242">
        <v>405</v>
      </c>
      <c r="PA38" s="242">
        <v>3131</v>
      </c>
      <c r="PB38" s="242">
        <v>2296</v>
      </c>
      <c r="PC38" s="241">
        <v>90127.97099999999</v>
      </c>
      <c r="PD38" s="242">
        <v>85830.548999999999</v>
      </c>
      <c r="PE38" s="242"/>
      <c r="PF38" s="242">
        <v>2828.34</v>
      </c>
      <c r="PG38" s="242">
        <v>4297.4219999999914</v>
      </c>
      <c r="PH38" s="242">
        <v>92456</v>
      </c>
      <c r="PI38" s="242">
        <v>88237</v>
      </c>
      <c r="PJ38" s="242">
        <v>351</v>
      </c>
      <c r="PK38" s="242">
        <v>3482</v>
      </c>
      <c r="PL38" s="2">
        <v>3865</v>
      </c>
      <c r="PM38" s="2">
        <v>96307</v>
      </c>
      <c r="PN38" s="2">
        <v>89117</v>
      </c>
      <c r="PO38" s="2">
        <v>467</v>
      </c>
      <c r="PP38" s="2">
        <v>3291</v>
      </c>
      <c r="PQ38" s="2">
        <v>4271</v>
      </c>
      <c r="PR38" s="2">
        <v>102034</v>
      </c>
      <c r="PS38" s="2">
        <v>94844</v>
      </c>
      <c r="PT38" s="2">
        <v>0</v>
      </c>
      <c r="PU38" s="2">
        <v>3945</v>
      </c>
      <c r="PV38" s="2">
        <v>1769</v>
      </c>
      <c r="PW38" s="2">
        <v>105917</v>
      </c>
      <c r="PX38" s="2">
        <v>97415</v>
      </c>
      <c r="PY38" s="2"/>
      <c r="PZ38" s="2">
        <v>3354</v>
      </c>
      <c r="QA38" s="2">
        <v>2440</v>
      </c>
      <c r="QB38" s="241">
        <v>15841</v>
      </c>
      <c r="QC38" s="242">
        <v>15460</v>
      </c>
      <c r="QD38" s="242">
        <v>60</v>
      </c>
      <c r="QE38" s="242">
        <v>224</v>
      </c>
      <c r="QF38" s="242">
        <v>321</v>
      </c>
      <c r="QG38" s="241">
        <v>22096</v>
      </c>
      <c r="QH38" s="242">
        <v>21178</v>
      </c>
      <c r="QI38" s="242">
        <v>138</v>
      </c>
      <c r="QJ38" s="242">
        <v>414</v>
      </c>
      <c r="QK38" s="242">
        <v>780</v>
      </c>
      <c r="QL38" s="241">
        <v>29220</v>
      </c>
      <c r="QM38" s="242">
        <v>27740</v>
      </c>
      <c r="QN38" s="242">
        <v>192</v>
      </c>
      <c r="QO38" s="242">
        <v>997</v>
      </c>
      <c r="QP38" s="242">
        <v>1288</v>
      </c>
      <c r="QQ38" s="241">
        <v>30413.553999999996</v>
      </c>
      <c r="QR38" s="242">
        <v>28610.183000000001</v>
      </c>
      <c r="QS38" s="242"/>
      <c r="QT38" s="242">
        <v>1042.02</v>
      </c>
      <c r="QU38" s="243">
        <v>1803.3709999999955</v>
      </c>
      <c r="QV38" s="3">
        <v>31009</v>
      </c>
      <c r="QW38" s="3">
        <v>29240</v>
      </c>
      <c r="QX38" s="3">
        <v>169</v>
      </c>
      <c r="QY38" s="3">
        <v>932</v>
      </c>
      <c r="QZ38" s="213">
        <v>1600</v>
      </c>
      <c r="RA38" s="2">
        <v>31602</v>
      </c>
      <c r="RB38" s="2">
        <v>29524</v>
      </c>
      <c r="RC38" s="2">
        <v>102</v>
      </c>
      <c r="RD38" s="2">
        <v>777</v>
      </c>
      <c r="RE38" s="2">
        <v>1432</v>
      </c>
      <c r="RF38" s="2">
        <v>34926</v>
      </c>
      <c r="RG38" s="2">
        <v>32058</v>
      </c>
      <c r="RH38" s="2">
        <v>0</v>
      </c>
      <c r="RI38" s="2">
        <v>1825</v>
      </c>
      <c r="RJ38" s="2">
        <v>427</v>
      </c>
      <c r="RK38" s="2">
        <v>38072</v>
      </c>
      <c r="RL38" s="2">
        <v>34597</v>
      </c>
      <c r="RN38" s="2">
        <v>1076</v>
      </c>
      <c r="RO38" s="2">
        <v>1055</v>
      </c>
    </row>
    <row r="39" spans="1:483" x14ac:dyDescent="0.2">
      <c r="A39" s="224" t="s">
        <v>183</v>
      </c>
      <c r="B39" s="258" t="s">
        <v>185</v>
      </c>
      <c r="C39" s="259" t="s">
        <v>185</v>
      </c>
      <c r="D39" s="259" t="s">
        <v>185</v>
      </c>
      <c r="E39" s="259" t="s">
        <v>185</v>
      </c>
      <c r="F39" s="260" t="s">
        <v>185</v>
      </c>
      <c r="G39" s="265">
        <f>SUM(G41:G52)</f>
        <v>3444271</v>
      </c>
      <c r="H39" s="265">
        <f t="shared" ref="H39:BD39" si="464">SUM(H41:H52)</f>
        <v>2915659</v>
      </c>
      <c r="I39" s="265">
        <f t="shared" si="464"/>
        <v>331537</v>
      </c>
      <c r="J39" s="265">
        <f t="shared" si="464"/>
        <v>225404</v>
      </c>
      <c r="K39" s="266">
        <f t="shared" si="464"/>
        <v>197075</v>
      </c>
      <c r="L39" s="265">
        <f>SUM(L41:L52)</f>
        <v>2340643</v>
      </c>
      <c r="M39" s="265">
        <f t="shared" si="464"/>
        <v>1775927</v>
      </c>
      <c r="N39" s="265">
        <f t="shared" si="464"/>
        <v>213373</v>
      </c>
      <c r="O39" s="265">
        <f t="shared" si="464"/>
        <v>389575</v>
      </c>
      <c r="P39" s="266">
        <f t="shared" si="464"/>
        <v>327727</v>
      </c>
      <c r="Q39" s="362">
        <f>SUM(Q41:Q52)</f>
        <v>1858873</v>
      </c>
      <c r="R39" s="362">
        <f t="shared" ref="R39:W39" si="465">SUM(R41:R52)</f>
        <v>1343525</v>
      </c>
      <c r="S39" s="362">
        <f t="shared" si="465"/>
        <v>176604</v>
      </c>
      <c r="T39" s="362">
        <f t="shared" si="465"/>
        <v>525308</v>
      </c>
      <c r="U39" s="563">
        <f t="shared" si="465"/>
        <v>338744</v>
      </c>
      <c r="V39" s="362">
        <f>SUM(V41:V52)</f>
        <v>1771314</v>
      </c>
      <c r="W39" s="362">
        <f t="shared" si="465"/>
        <v>1263873</v>
      </c>
      <c r="X39" s="362">
        <f t="shared" ref="X39" si="466">SUM(X41:X52)</f>
        <v>165541</v>
      </c>
      <c r="Y39" s="362">
        <f t="shared" ref="Y39" si="467">SUM(Y41:Y52)</f>
        <v>529842</v>
      </c>
      <c r="Z39" s="563">
        <f t="shared" ref="Z39:AF39" si="468">SUM(Z41:Z52)</f>
        <v>341686</v>
      </c>
      <c r="AA39" s="563">
        <f t="shared" si="468"/>
        <v>1750012</v>
      </c>
      <c r="AB39" s="563">
        <f t="shared" si="468"/>
        <v>925479</v>
      </c>
      <c r="AC39" s="563">
        <f t="shared" si="468"/>
        <v>162261</v>
      </c>
      <c r="AD39" s="563">
        <f t="shared" si="468"/>
        <v>541648</v>
      </c>
      <c r="AE39" s="563">
        <f t="shared" si="468"/>
        <v>350764</v>
      </c>
      <c r="AF39" s="563">
        <f t="shared" si="468"/>
        <v>1654332</v>
      </c>
      <c r="AG39" s="563">
        <f t="shared" ref="AG39:AK39" si="469">SUM(AG41:AG52)</f>
        <v>815686</v>
      </c>
      <c r="AH39" s="563">
        <f t="shared" si="469"/>
        <v>152677</v>
      </c>
      <c r="AI39" s="563">
        <f t="shared" si="469"/>
        <v>552431</v>
      </c>
      <c r="AJ39" s="563">
        <f t="shared" si="469"/>
        <v>357848</v>
      </c>
      <c r="AK39" s="362">
        <f t="shared" si="469"/>
        <v>1594288</v>
      </c>
      <c r="AL39" s="362">
        <f t="shared" ref="AL39:AO39" si="470">SUM(AL41:AL52)</f>
        <v>779160</v>
      </c>
      <c r="AM39" s="362">
        <f t="shared" si="470"/>
        <v>142997</v>
      </c>
      <c r="AN39" s="362">
        <f t="shared" si="470"/>
        <v>523993</v>
      </c>
      <c r="AO39" s="362">
        <f t="shared" si="470"/>
        <v>386406</v>
      </c>
      <c r="AP39" s="265">
        <f>SUM(AP41:AP52)</f>
        <v>5211675</v>
      </c>
      <c r="AQ39" s="265">
        <f t="shared" si="464"/>
        <v>4304556</v>
      </c>
      <c r="AR39" s="265">
        <f t="shared" si="464"/>
        <v>760854</v>
      </c>
      <c r="AS39" s="265">
        <f t="shared" si="464"/>
        <v>145935</v>
      </c>
      <c r="AT39" s="266">
        <f t="shared" si="464"/>
        <v>146265</v>
      </c>
      <c r="AU39" s="265">
        <f>SUM(AU41:AU52)</f>
        <v>4526647</v>
      </c>
      <c r="AV39" s="265">
        <f t="shared" si="464"/>
        <v>3494876</v>
      </c>
      <c r="AW39" s="265">
        <f t="shared" si="464"/>
        <v>722698</v>
      </c>
      <c r="AX39" s="265">
        <f t="shared" si="464"/>
        <v>265201</v>
      </c>
      <c r="AY39" s="266">
        <f t="shared" si="464"/>
        <v>278166</v>
      </c>
      <c r="AZ39" s="265">
        <f>SUM(AZ41:AZ52)</f>
        <v>3339080</v>
      </c>
      <c r="BA39" s="265">
        <f t="shared" si="464"/>
        <v>2512740</v>
      </c>
      <c r="BB39" s="265">
        <f t="shared" si="464"/>
        <v>558424</v>
      </c>
      <c r="BC39" s="265">
        <f t="shared" si="464"/>
        <v>351861</v>
      </c>
      <c r="BD39" s="266">
        <f t="shared" si="464"/>
        <v>267916</v>
      </c>
      <c r="BE39" s="266">
        <f t="shared" ref="BE39:BX39" si="471">SUM(BE41:BE52)</f>
        <v>3204925</v>
      </c>
      <c r="BF39" s="266">
        <f t="shared" si="471"/>
        <v>2388933</v>
      </c>
      <c r="BG39" s="266">
        <f t="shared" si="471"/>
        <v>545139</v>
      </c>
      <c r="BH39" s="266">
        <f t="shared" si="471"/>
        <v>364255</v>
      </c>
      <c r="BI39" s="266">
        <f t="shared" si="471"/>
        <v>270133</v>
      </c>
      <c r="BJ39" s="266">
        <f t="shared" si="471"/>
        <v>3128539</v>
      </c>
      <c r="BK39" s="266">
        <f t="shared" si="471"/>
        <v>2115030</v>
      </c>
      <c r="BL39" s="266">
        <f t="shared" si="471"/>
        <v>528958</v>
      </c>
      <c r="BM39" s="266">
        <f t="shared" si="471"/>
        <v>362530</v>
      </c>
      <c r="BN39" s="266">
        <f t="shared" si="471"/>
        <v>268398</v>
      </c>
      <c r="BO39" s="266">
        <f t="shared" si="471"/>
        <v>2937109</v>
      </c>
      <c r="BP39" s="266">
        <f t="shared" si="471"/>
        <v>1948235</v>
      </c>
      <c r="BQ39" s="266">
        <f t="shared" si="471"/>
        <v>493566</v>
      </c>
      <c r="BR39" s="266">
        <f t="shared" si="471"/>
        <v>364083</v>
      </c>
      <c r="BS39" s="266">
        <f t="shared" si="471"/>
        <v>277166</v>
      </c>
      <c r="BT39" s="265">
        <f t="shared" si="471"/>
        <v>2885475</v>
      </c>
      <c r="BU39" s="265">
        <f t="shared" si="471"/>
        <v>1901046</v>
      </c>
      <c r="BV39" s="265">
        <f t="shared" si="471"/>
        <v>488283</v>
      </c>
      <c r="BW39" s="265">
        <f t="shared" si="471"/>
        <v>363718</v>
      </c>
      <c r="BX39" s="265">
        <f t="shared" si="471"/>
        <v>283357</v>
      </c>
      <c r="BY39" s="541">
        <f t="shared" ref="BY39:CC39" si="472">SUM(BY41:BY52)</f>
        <v>5099626</v>
      </c>
      <c r="BZ39" s="265">
        <f t="shared" si="472"/>
        <v>3756367</v>
      </c>
      <c r="CA39" s="265">
        <f t="shared" si="472"/>
        <v>724134</v>
      </c>
      <c r="CB39" s="265">
        <f t="shared" si="472"/>
        <v>888134</v>
      </c>
      <c r="CC39" s="265">
        <f t="shared" si="472"/>
        <v>619125</v>
      </c>
      <c r="CD39" s="258" t="s">
        <v>185</v>
      </c>
      <c r="CE39" s="259" t="s">
        <v>185</v>
      </c>
      <c r="CF39" s="259" t="s">
        <v>185</v>
      </c>
      <c r="CG39" s="259" t="s">
        <v>185</v>
      </c>
      <c r="CH39" s="258" t="s">
        <v>185</v>
      </c>
      <c r="CI39" s="259" t="s">
        <v>185</v>
      </c>
      <c r="CJ39" s="259" t="s">
        <v>185</v>
      </c>
      <c r="CK39" s="259" t="s">
        <v>185</v>
      </c>
      <c r="CL39" s="260" t="s">
        <v>185</v>
      </c>
      <c r="CM39" s="265">
        <f>SUM(CM41:CM52)</f>
        <v>29217060</v>
      </c>
      <c r="CN39" s="265">
        <f t="shared" ref="CN39:CQ39" si="473">SUM(CN41:CN52)</f>
        <v>26531485</v>
      </c>
      <c r="CO39" s="265">
        <f t="shared" si="473"/>
        <v>2055289</v>
      </c>
      <c r="CP39" s="265">
        <f t="shared" si="473"/>
        <v>417900</v>
      </c>
      <c r="CQ39" s="266">
        <f t="shared" si="473"/>
        <v>630286</v>
      </c>
      <c r="CR39" s="265">
        <f>SUM(CR41:CR52)</f>
        <v>34669717</v>
      </c>
      <c r="CS39" s="265">
        <f t="shared" ref="CS39:DK39" si="474">SUM(CS41:CS52)</f>
        <v>30518701</v>
      </c>
      <c r="CT39" s="265">
        <f t="shared" si="474"/>
        <v>2629733</v>
      </c>
      <c r="CU39" s="265">
        <f t="shared" si="474"/>
        <v>760434</v>
      </c>
      <c r="CV39" s="265">
        <f t="shared" si="474"/>
        <v>1382507</v>
      </c>
      <c r="CW39" s="265">
        <f>SUM(CW41:CW52)</f>
        <v>37635918</v>
      </c>
      <c r="CX39" s="265">
        <f t="shared" si="474"/>
        <v>32537608</v>
      </c>
      <c r="CY39" s="265">
        <f t="shared" si="474"/>
        <v>3129694</v>
      </c>
      <c r="CZ39" s="265">
        <f t="shared" si="474"/>
        <v>1968616</v>
      </c>
      <c r="DA39" s="266">
        <f t="shared" si="474"/>
        <v>1238631</v>
      </c>
      <c r="DB39" s="265">
        <f>SUM(DB41:DB52)</f>
        <v>38114025</v>
      </c>
      <c r="DC39" s="265">
        <f t="shared" si="474"/>
        <v>32956290</v>
      </c>
      <c r="DD39" s="265">
        <f t="shared" si="474"/>
        <v>3177469</v>
      </c>
      <c r="DE39" s="265">
        <f t="shared" si="474"/>
        <v>1980266</v>
      </c>
      <c r="DF39" s="266">
        <f t="shared" si="474"/>
        <v>1289202</v>
      </c>
      <c r="DG39" s="265">
        <f>SUM(DG41:DG52)</f>
        <v>38433854</v>
      </c>
      <c r="DH39" s="265">
        <f t="shared" si="474"/>
        <v>33271372</v>
      </c>
      <c r="DI39" s="265">
        <f t="shared" si="474"/>
        <v>3213683</v>
      </c>
      <c r="DJ39" s="265">
        <f t="shared" si="474"/>
        <v>1948799</v>
      </c>
      <c r="DK39" s="265">
        <f t="shared" si="474"/>
        <v>1299955</v>
      </c>
      <c r="DL39" s="265">
        <f t="shared" ref="DL39:EO39" si="475">SUM(DL41:DL52)</f>
        <v>38828865</v>
      </c>
      <c r="DM39" s="265">
        <f t="shared" si="475"/>
        <v>33526244</v>
      </c>
      <c r="DN39" s="265">
        <f t="shared" si="475"/>
        <v>3313942</v>
      </c>
      <c r="DO39" s="265">
        <f t="shared" si="475"/>
        <v>1388337</v>
      </c>
      <c r="DP39" s="265">
        <f t="shared" si="475"/>
        <v>1582544</v>
      </c>
      <c r="DQ39" s="265">
        <f t="shared" si="475"/>
        <v>39222225.849000014</v>
      </c>
      <c r="DR39" s="265">
        <f t="shared" si="475"/>
        <v>33799445.516999997</v>
      </c>
      <c r="DS39" s="265">
        <f t="shared" si="475"/>
        <v>3362475.1729999995</v>
      </c>
      <c r="DT39" s="265">
        <f t="shared" si="475"/>
        <v>1445444.8739999998</v>
      </c>
      <c r="DU39" s="266">
        <f t="shared" si="475"/>
        <v>2060305.1589999991</v>
      </c>
      <c r="DV39" s="266">
        <f t="shared" si="475"/>
        <v>39597575</v>
      </c>
      <c r="DW39" s="265">
        <f t="shared" si="475"/>
        <v>34091272</v>
      </c>
      <c r="DX39" s="265">
        <f t="shared" si="475"/>
        <v>3420636</v>
      </c>
      <c r="DY39" s="265">
        <f t="shared" si="475"/>
        <v>1508055</v>
      </c>
      <c r="DZ39" s="265">
        <f t="shared" si="475"/>
        <v>2079511</v>
      </c>
      <c r="EA39" s="265">
        <f t="shared" si="475"/>
        <v>39944318</v>
      </c>
      <c r="EB39" s="265">
        <f t="shared" si="475"/>
        <v>33307019</v>
      </c>
      <c r="EC39" s="265">
        <f t="shared" si="475"/>
        <v>3460389</v>
      </c>
      <c r="ED39" s="265">
        <f t="shared" si="475"/>
        <v>1563079</v>
      </c>
      <c r="EE39" s="265">
        <f t="shared" si="475"/>
        <v>2146177</v>
      </c>
      <c r="EF39" s="265">
        <f>SUM(EF41:EF52)</f>
        <v>41026722</v>
      </c>
      <c r="EG39" s="265">
        <f t="shared" si="475"/>
        <v>33797892</v>
      </c>
      <c r="EH39" s="265">
        <f t="shared" si="475"/>
        <v>3652989</v>
      </c>
      <c r="EI39" s="265">
        <f t="shared" si="475"/>
        <v>1755022</v>
      </c>
      <c r="EJ39" s="265">
        <f t="shared" si="475"/>
        <v>2390048</v>
      </c>
      <c r="EK39" s="265">
        <f>SUM(EK41:EK52)</f>
        <v>41323806</v>
      </c>
      <c r="EL39" s="265">
        <f t="shared" si="475"/>
        <v>33903815</v>
      </c>
      <c r="EM39" s="265">
        <f t="shared" si="475"/>
        <v>3700609</v>
      </c>
      <c r="EN39" s="265">
        <f t="shared" si="475"/>
        <v>1833623</v>
      </c>
      <c r="EO39" s="265">
        <f t="shared" si="475"/>
        <v>2483676</v>
      </c>
      <c r="EP39" s="258" t="s">
        <v>185</v>
      </c>
      <c r="EQ39" s="259" t="s">
        <v>185</v>
      </c>
      <c r="ER39" s="259" t="s">
        <v>185</v>
      </c>
      <c r="ES39" s="259" t="s">
        <v>185</v>
      </c>
      <c r="ET39" s="260" t="s">
        <v>185</v>
      </c>
      <c r="EU39" s="265">
        <f>SUM(EU41:EU52)</f>
        <v>9370163</v>
      </c>
      <c r="EV39" s="265">
        <f t="shared" ref="EV39:EY39" si="476">SUM(EV41:EV52)</f>
        <v>8331046</v>
      </c>
      <c r="EW39" s="265">
        <f t="shared" si="476"/>
        <v>849498</v>
      </c>
      <c r="EX39" s="265">
        <f t="shared" si="476"/>
        <v>151968</v>
      </c>
      <c r="EY39" s="266">
        <f t="shared" si="476"/>
        <v>189619</v>
      </c>
      <c r="EZ39" s="265">
        <f>SUM(EZ41:EZ52)</f>
        <v>11702335</v>
      </c>
      <c r="FA39" s="265">
        <f t="shared" ref="FA39:KI39" si="477">SUM(FA41:FA52)</f>
        <v>10121535</v>
      </c>
      <c r="FB39" s="265">
        <f t="shared" si="477"/>
        <v>1104960</v>
      </c>
      <c r="FC39" s="265">
        <f t="shared" si="477"/>
        <v>268853</v>
      </c>
      <c r="FD39" s="266">
        <f t="shared" si="477"/>
        <v>422811</v>
      </c>
      <c r="FE39" s="265">
        <f t="shared" si="477"/>
        <v>13267333</v>
      </c>
      <c r="FF39" s="265">
        <f t="shared" si="477"/>
        <v>11276426</v>
      </c>
      <c r="FG39" s="265">
        <f t="shared" si="477"/>
        <v>1409840</v>
      </c>
      <c r="FH39" s="265">
        <f t="shared" si="477"/>
        <v>470267</v>
      </c>
      <c r="FI39" s="266">
        <f t="shared" si="477"/>
        <v>581067</v>
      </c>
      <c r="FJ39" s="265">
        <f t="shared" si="477"/>
        <v>13419633.461000001</v>
      </c>
      <c r="FK39" s="265">
        <f t="shared" si="477"/>
        <v>11384398.817000002</v>
      </c>
      <c r="FL39" s="265">
        <f t="shared" si="477"/>
        <v>1435375.1670000001</v>
      </c>
      <c r="FM39" s="265">
        <f t="shared" si="477"/>
        <v>492608.99799999991</v>
      </c>
      <c r="FN39" s="266">
        <f t="shared" si="477"/>
        <v>599859.47700000019</v>
      </c>
      <c r="FO39" s="266">
        <f t="shared" si="477"/>
        <v>13571490</v>
      </c>
      <c r="FP39" s="266">
        <f t="shared" si="477"/>
        <v>11495189</v>
      </c>
      <c r="FQ39" s="266">
        <f t="shared" si="477"/>
        <v>1465968</v>
      </c>
      <c r="FR39" s="266">
        <f t="shared" si="477"/>
        <v>517566</v>
      </c>
      <c r="FS39" s="266">
        <f t="shared" si="477"/>
        <v>608023</v>
      </c>
      <c r="FT39" s="266">
        <f t="shared" si="477"/>
        <v>13705205</v>
      </c>
      <c r="FU39" s="266">
        <f t="shared" si="477"/>
        <v>11231214</v>
      </c>
      <c r="FV39" s="266">
        <f t="shared" si="477"/>
        <v>1489521</v>
      </c>
      <c r="FW39" s="266">
        <f t="shared" si="477"/>
        <v>540259</v>
      </c>
      <c r="FX39" s="266">
        <f t="shared" si="477"/>
        <v>628784</v>
      </c>
      <c r="FY39" s="266">
        <f t="shared" si="477"/>
        <v>14036219</v>
      </c>
      <c r="FZ39" s="266">
        <f t="shared" si="477"/>
        <v>11387098</v>
      </c>
      <c r="GA39" s="266">
        <f t="shared" si="477"/>
        <v>1545586</v>
      </c>
      <c r="GB39" s="266">
        <f t="shared" si="477"/>
        <v>606909</v>
      </c>
      <c r="GC39" s="266">
        <f t="shared" si="477"/>
        <v>698351</v>
      </c>
      <c r="GD39" s="265">
        <f t="shared" si="477"/>
        <v>14074374</v>
      </c>
      <c r="GE39" s="265">
        <f t="shared" si="477"/>
        <v>11364279</v>
      </c>
      <c r="GF39" s="265">
        <f t="shared" si="477"/>
        <v>1573393</v>
      </c>
      <c r="GG39" s="265">
        <f t="shared" si="477"/>
        <v>628579</v>
      </c>
      <c r="GH39" s="265">
        <f t="shared" si="477"/>
        <v>722653</v>
      </c>
      <c r="GI39" s="360">
        <f>SUM(GI41:GI52)</f>
        <v>2338864</v>
      </c>
      <c r="GJ39" s="265">
        <f t="shared" si="477"/>
        <v>2110422</v>
      </c>
      <c r="GK39" s="265">
        <f t="shared" si="477"/>
        <v>174450</v>
      </c>
      <c r="GL39" s="265">
        <f t="shared" si="477"/>
        <v>37464</v>
      </c>
      <c r="GM39" s="266">
        <f t="shared" si="477"/>
        <v>53992</v>
      </c>
      <c r="GN39" s="265">
        <f>SUM(GN41:GN52)</f>
        <v>2675987</v>
      </c>
      <c r="GO39" s="265">
        <f t="shared" si="477"/>
        <v>2351187</v>
      </c>
      <c r="GP39" s="265">
        <f t="shared" si="477"/>
        <v>210586</v>
      </c>
      <c r="GQ39" s="265">
        <f t="shared" si="477"/>
        <v>57623</v>
      </c>
      <c r="GR39" s="266">
        <f t="shared" si="477"/>
        <v>103754</v>
      </c>
      <c r="GS39" s="265">
        <f>SUM(GS41:GS52)</f>
        <v>3530258</v>
      </c>
      <c r="GT39" s="265">
        <f t="shared" si="477"/>
        <v>3078765</v>
      </c>
      <c r="GU39" s="265">
        <f t="shared" si="477"/>
        <v>297716</v>
      </c>
      <c r="GV39" s="265">
        <f t="shared" si="477"/>
        <v>113114</v>
      </c>
      <c r="GW39" s="265">
        <f t="shared" si="477"/>
        <v>153777</v>
      </c>
      <c r="GX39" s="265">
        <f>SUM(GX41:GX52)</f>
        <v>0</v>
      </c>
      <c r="GY39" s="265">
        <f t="shared" si="477"/>
        <v>0</v>
      </c>
      <c r="GZ39" s="265">
        <f t="shared" si="477"/>
        <v>0</v>
      </c>
      <c r="HA39" s="265">
        <f t="shared" si="477"/>
        <v>0</v>
      </c>
      <c r="HB39" s="266">
        <f t="shared" si="477"/>
        <v>0</v>
      </c>
      <c r="HC39" s="266">
        <f t="shared" si="477"/>
        <v>3728650</v>
      </c>
      <c r="HD39" s="266">
        <f t="shared" si="477"/>
        <v>3249727</v>
      </c>
      <c r="HE39" s="266">
        <f t="shared" si="477"/>
        <v>312639</v>
      </c>
      <c r="HF39" s="266">
        <f t="shared" si="477"/>
        <v>124629</v>
      </c>
      <c r="HG39" s="266">
        <f t="shared" si="477"/>
        <v>165615</v>
      </c>
      <c r="HH39" s="266">
        <f t="shared" si="477"/>
        <v>3837505</v>
      </c>
      <c r="HI39" s="266">
        <f t="shared" si="477"/>
        <v>3252255</v>
      </c>
      <c r="HJ39" s="266">
        <f t="shared" si="477"/>
        <v>322743</v>
      </c>
      <c r="HK39" s="266">
        <f t="shared" si="477"/>
        <v>131911</v>
      </c>
      <c r="HL39" s="266">
        <f t="shared" si="477"/>
        <v>175763</v>
      </c>
      <c r="HM39" s="266">
        <f t="shared" si="477"/>
        <v>4152371</v>
      </c>
      <c r="HN39" s="266">
        <f t="shared" si="477"/>
        <v>3483036</v>
      </c>
      <c r="HO39" s="266">
        <f t="shared" si="477"/>
        <v>358307</v>
      </c>
      <c r="HP39" s="266">
        <f t="shared" si="477"/>
        <v>153576</v>
      </c>
      <c r="HQ39" s="266">
        <f t="shared" si="477"/>
        <v>205709</v>
      </c>
      <c r="HR39" s="265">
        <f t="shared" si="477"/>
        <v>4194705</v>
      </c>
      <c r="HS39" s="265">
        <f t="shared" si="477"/>
        <v>3517768</v>
      </c>
      <c r="HT39" s="265">
        <f t="shared" si="477"/>
        <v>357579</v>
      </c>
      <c r="HU39" s="265">
        <f t="shared" si="477"/>
        <v>161610</v>
      </c>
      <c r="HV39" s="265">
        <f t="shared" si="477"/>
        <v>205208</v>
      </c>
      <c r="HW39" s="541">
        <f t="shared" si="477"/>
        <v>9309460</v>
      </c>
      <c r="HX39" s="518">
        <f t="shared" si="477"/>
        <v>8512869</v>
      </c>
      <c r="HY39" s="518">
        <f t="shared" si="477"/>
        <v>503166</v>
      </c>
      <c r="HZ39" s="518">
        <f t="shared" si="477"/>
        <v>116888</v>
      </c>
      <c r="IA39" s="518">
        <f t="shared" si="477"/>
        <v>293425</v>
      </c>
      <c r="IB39" s="541">
        <f t="shared" si="477"/>
        <v>12192334</v>
      </c>
      <c r="IC39" s="518">
        <f t="shared" si="477"/>
        <v>10828408</v>
      </c>
      <c r="ID39" s="518">
        <f t="shared" si="477"/>
        <v>682370</v>
      </c>
      <c r="IE39" s="518">
        <f t="shared" si="477"/>
        <v>210579</v>
      </c>
      <c r="IF39" s="518">
        <f t="shared" si="477"/>
        <v>637632</v>
      </c>
      <c r="IG39" s="265">
        <f>SUM(IG41:IG52)</f>
        <v>13173966</v>
      </c>
      <c r="IH39" s="265">
        <f t="shared" si="477"/>
        <v>11541500</v>
      </c>
      <c r="II39" s="265">
        <f t="shared" si="477"/>
        <v>806753</v>
      </c>
      <c r="IJ39" s="265">
        <f t="shared" si="477"/>
        <v>355033</v>
      </c>
      <c r="IK39" s="266">
        <f t="shared" si="477"/>
        <v>825713</v>
      </c>
      <c r="IL39" s="362">
        <f>SUM(IL41:IL52)</f>
        <v>0</v>
      </c>
      <c r="IM39" s="362">
        <f t="shared" si="477"/>
        <v>0</v>
      </c>
      <c r="IN39" s="362">
        <f t="shared" si="477"/>
        <v>0</v>
      </c>
      <c r="IO39" s="362">
        <f t="shared" si="477"/>
        <v>0</v>
      </c>
      <c r="IP39" s="563">
        <f t="shared" si="477"/>
        <v>0</v>
      </c>
      <c r="IQ39" s="563">
        <f t="shared" si="477"/>
        <v>15903489</v>
      </c>
      <c r="IR39" s="563">
        <f t="shared" si="477"/>
        <v>13857011</v>
      </c>
      <c r="IS39" s="563">
        <f t="shared" si="477"/>
        <v>994064</v>
      </c>
      <c r="IT39" s="563">
        <f t="shared" si="477"/>
        <v>442541</v>
      </c>
      <c r="IU39" s="563">
        <f t="shared" si="477"/>
        <v>1050421</v>
      </c>
      <c r="IV39" s="563">
        <f t="shared" si="477"/>
        <v>16277694</v>
      </c>
      <c r="IW39" s="563">
        <f t="shared" si="477"/>
        <v>13837058</v>
      </c>
      <c r="IX39" s="563">
        <f t="shared" si="477"/>
        <v>1022591</v>
      </c>
      <c r="IY39" s="563">
        <f t="shared" si="477"/>
        <v>458746</v>
      </c>
      <c r="IZ39" s="362">
        <f t="shared" si="477"/>
        <v>1092534</v>
      </c>
      <c r="JA39" s="837">
        <f t="shared" si="477"/>
        <v>17443175</v>
      </c>
      <c r="JB39" s="563">
        <f t="shared" si="477"/>
        <v>14683233</v>
      </c>
      <c r="JC39" s="563">
        <f t="shared" si="477"/>
        <v>1122002</v>
      </c>
      <c r="JD39" s="563">
        <f t="shared" si="477"/>
        <v>529826</v>
      </c>
      <c r="JE39" s="362">
        <f t="shared" si="477"/>
        <v>1252741</v>
      </c>
      <c r="JF39" s="840">
        <f t="shared" si="477"/>
        <v>17896300</v>
      </c>
      <c r="JG39" s="362">
        <f t="shared" si="477"/>
        <v>15015876</v>
      </c>
      <c r="JH39" s="362">
        <f t="shared" si="477"/>
        <v>1152579</v>
      </c>
      <c r="JI39" s="362">
        <f t="shared" si="477"/>
        <v>573575</v>
      </c>
      <c r="JJ39" s="362">
        <f t="shared" si="477"/>
        <v>1302569</v>
      </c>
      <c r="JK39" s="265">
        <f>SUM(JK41:JK52)</f>
        <v>4572727</v>
      </c>
      <c r="JL39" s="265">
        <f t="shared" si="477"/>
        <v>4228274</v>
      </c>
      <c r="JM39" s="265">
        <f t="shared" si="477"/>
        <v>213581</v>
      </c>
      <c r="JN39" s="265">
        <f t="shared" si="477"/>
        <v>48600</v>
      </c>
      <c r="JO39" s="266">
        <f t="shared" si="477"/>
        <v>130872</v>
      </c>
      <c r="JP39" s="265">
        <f>SUM(JP41:JP52)</f>
        <v>6219651</v>
      </c>
      <c r="JQ39" s="265">
        <f t="shared" si="477"/>
        <v>5591979</v>
      </c>
      <c r="JR39" s="265">
        <f t="shared" si="477"/>
        <v>309118</v>
      </c>
      <c r="JS39" s="265">
        <f t="shared" si="477"/>
        <v>96321</v>
      </c>
      <c r="JT39" s="265">
        <f t="shared" si="477"/>
        <v>298489</v>
      </c>
      <c r="JU39" s="265">
        <f>SUM(JU41:JU52)</f>
        <v>7539944</v>
      </c>
      <c r="JV39" s="265">
        <f t="shared" si="477"/>
        <v>6650878</v>
      </c>
      <c r="JW39" s="265">
        <f t="shared" si="477"/>
        <v>419813</v>
      </c>
      <c r="JX39" s="265">
        <f t="shared" si="477"/>
        <v>194453</v>
      </c>
      <c r="JY39" s="265">
        <f t="shared" si="477"/>
        <v>469253</v>
      </c>
      <c r="JZ39" s="265">
        <f>SUM(JZ41:JZ52)</f>
        <v>7647443.5760000004</v>
      </c>
      <c r="KA39" s="265">
        <f t="shared" si="477"/>
        <v>6741098.199000001</v>
      </c>
      <c r="KB39" s="265">
        <f t="shared" si="477"/>
        <v>416744.28200000001</v>
      </c>
      <c r="KC39" s="265">
        <f t="shared" si="477"/>
        <v>200074.359</v>
      </c>
      <c r="KD39" s="265">
        <f t="shared" si="477"/>
        <v>489601.0949999998</v>
      </c>
      <c r="KE39" s="265">
        <f t="shared" si="477"/>
        <v>7943311</v>
      </c>
      <c r="KF39" s="265">
        <f t="shared" si="477"/>
        <v>6845354</v>
      </c>
      <c r="KG39" s="265">
        <f t="shared" si="477"/>
        <v>438336</v>
      </c>
      <c r="KH39" s="265">
        <f t="shared" si="477"/>
        <v>218458</v>
      </c>
      <c r="KI39" s="265">
        <f t="shared" si="477"/>
        <v>502690</v>
      </c>
      <c r="KJ39" s="265">
        <f t="shared" ref="KJ39:KS39" si="478">SUM(KJ41:KJ52)</f>
        <v>8448798</v>
      </c>
      <c r="KK39" s="265">
        <f t="shared" si="478"/>
        <v>7218778</v>
      </c>
      <c r="KL39" s="265">
        <f t="shared" si="478"/>
        <v>477396</v>
      </c>
      <c r="KM39" s="265">
        <f t="shared" si="478"/>
        <v>253421</v>
      </c>
      <c r="KN39" s="265">
        <f t="shared" si="478"/>
        <v>575532</v>
      </c>
      <c r="KO39" s="265">
        <f t="shared" si="478"/>
        <v>8672828</v>
      </c>
      <c r="KP39" s="265">
        <f t="shared" si="478"/>
        <v>7386634</v>
      </c>
      <c r="KQ39" s="265">
        <f t="shared" si="478"/>
        <v>485625</v>
      </c>
      <c r="KR39" s="265">
        <f t="shared" si="478"/>
        <v>276776</v>
      </c>
      <c r="KS39" s="265">
        <f t="shared" si="478"/>
        <v>604491</v>
      </c>
      <c r="KT39" s="258" t="s">
        <v>185</v>
      </c>
      <c r="KU39" s="259" t="s">
        <v>185</v>
      </c>
      <c r="KV39" s="284">
        <f t="shared" ref="KV39:NG39" si="479">SUM(KV41:KV52)</f>
        <v>1974548</v>
      </c>
      <c r="KW39" s="257">
        <f t="shared" si="479"/>
        <v>1212766</v>
      </c>
      <c r="KX39" s="257">
        <f t="shared" si="479"/>
        <v>761782</v>
      </c>
      <c r="KY39" s="257">
        <f t="shared" si="479"/>
        <v>1913397</v>
      </c>
      <c r="KZ39" s="257">
        <f t="shared" si="479"/>
        <v>1180978</v>
      </c>
      <c r="LA39" s="257">
        <f t="shared" si="479"/>
        <v>732419</v>
      </c>
      <c r="LB39" s="257">
        <f t="shared" si="479"/>
        <v>61151</v>
      </c>
      <c r="LC39" s="257">
        <f t="shared" si="479"/>
        <v>31788</v>
      </c>
      <c r="LD39" s="257">
        <f t="shared" si="479"/>
        <v>29363</v>
      </c>
      <c r="LE39" s="284">
        <f t="shared" si="479"/>
        <v>2722443</v>
      </c>
      <c r="LF39" s="257">
        <f t="shared" si="479"/>
        <v>1629488</v>
      </c>
      <c r="LG39" s="257">
        <f t="shared" si="479"/>
        <v>1092955</v>
      </c>
      <c r="LH39" s="257">
        <f t="shared" si="479"/>
        <v>2612258</v>
      </c>
      <c r="LI39" s="257">
        <f t="shared" si="479"/>
        <v>1573662</v>
      </c>
      <c r="LJ39" s="257">
        <f t="shared" si="479"/>
        <v>1038596</v>
      </c>
      <c r="LK39" s="257">
        <f t="shared" si="479"/>
        <v>82879</v>
      </c>
      <c r="LL39" s="257">
        <f t="shared" si="479"/>
        <v>38353</v>
      </c>
      <c r="LM39" s="257">
        <f t="shared" si="479"/>
        <v>44526</v>
      </c>
      <c r="LN39" s="257">
        <f t="shared" si="479"/>
        <v>27306</v>
      </c>
      <c r="LO39" s="257">
        <f t="shared" si="479"/>
        <v>17473</v>
      </c>
      <c r="LP39" s="257">
        <f t="shared" si="479"/>
        <v>9833</v>
      </c>
      <c r="LQ39" s="284">
        <f t="shared" si="479"/>
        <v>5020587</v>
      </c>
      <c r="LR39" s="257">
        <f t="shared" si="479"/>
        <v>2909158</v>
      </c>
      <c r="LS39" s="257">
        <f t="shared" si="479"/>
        <v>2111429</v>
      </c>
      <c r="LT39" s="265">
        <f t="shared" si="479"/>
        <v>4650609</v>
      </c>
      <c r="LU39" s="257">
        <f t="shared" si="479"/>
        <v>2717742</v>
      </c>
      <c r="LV39" s="257">
        <f t="shared" si="479"/>
        <v>1932867</v>
      </c>
      <c r="LW39" s="257">
        <f t="shared" si="479"/>
        <v>191416</v>
      </c>
      <c r="LX39" s="257">
        <f t="shared" si="479"/>
        <v>178562</v>
      </c>
      <c r="LY39" s="265">
        <f t="shared" si="479"/>
        <v>205422</v>
      </c>
      <c r="LZ39" s="257">
        <f t="shared" si="479"/>
        <v>95921</v>
      </c>
      <c r="MA39" s="257">
        <f t="shared" si="479"/>
        <v>109501</v>
      </c>
      <c r="MB39" s="265">
        <f t="shared" si="479"/>
        <v>44580</v>
      </c>
      <c r="MC39" s="257">
        <f t="shared" si="479"/>
        <v>26360</v>
      </c>
      <c r="MD39" s="257">
        <f t="shared" si="479"/>
        <v>18220</v>
      </c>
      <c r="ME39" s="257">
        <f t="shared" si="479"/>
        <v>119976</v>
      </c>
      <c r="MF39" s="257">
        <f t="shared" si="479"/>
        <v>69135</v>
      </c>
      <c r="MG39" s="257">
        <f t="shared" si="479"/>
        <v>50841</v>
      </c>
      <c r="MH39" s="257">
        <f t="shared" si="479"/>
        <v>3777</v>
      </c>
      <c r="MI39" s="257">
        <f t="shared" si="479"/>
        <v>2427</v>
      </c>
      <c r="MJ39" s="257">
        <f t="shared" si="479"/>
        <v>1350</v>
      </c>
      <c r="MK39" s="257">
        <f t="shared" si="479"/>
        <v>116199</v>
      </c>
      <c r="ML39" s="257">
        <f t="shared" si="479"/>
        <v>66708</v>
      </c>
      <c r="MM39" s="257">
        <f t="shared" si="479"/>
        <v>49491</v>
      </c>
      <c r="MN39" s="360">
        <f t="shared" si="479"/>
        <v>6970596</v>
      </c>
      <c r="MO39" s="257">
        <f t="shared" si="479"/>
        <v>3766435</v>
      </c>
      <c r="MP39" s="257">
        <f t="shared" si="479"/>
        <v>3204161</v>
      </c>
      <c r="MQ39" s="265">
        <f t="shared" si="479"/>
        <v>6402447</v>
      </c>
      <c r="MR39" s="265">
        <f t="shared" si="479"/>
        <v>6351440</v>
      </c>
      <c r="MS39" s="257">
        <f t="shared" si="479"/>
        <v>3462583</v>
      </c>
      <c r="MT39" s="257">
        <f t="shared" si="479"/>
        <v>2888857</v>
      </c>
      <c r="MU39" s="257">
        <f t="shared" si="479"/>
        <v>303852</v>
      </c>
      <c r="MV39" s="257">
        <f t="shared" si="479"/>
        <v>315304</v>
      </c>
      <c r="MW39" s="265">
        <f t="shared" si="479"/>
        <v>328716</v>
      </c>
      <c r="MX39" s="265">
        <f t="shared" si="479"/>
        <v>326703</v>
      </c>
      <c r="MY39" s="257">
        <f t="shared" si="479"/>
        <v>142445</v>
      </c>
      <c r="MZ39" s="257">
        <f t="shared" si="479"/>
        <v>184258</v>
      </c>
      <c r="NA39" s="265">
        <f t="shared" si="479"/>
        <v>79424</v>
      </c>
      <c r="NB39" s="257">
        <f t="shared" si="479"/>
        <v>43023</v>
      </c>
      <c r="NC39" s="257">
        <f t="shared" si="479"/>
        <v>36401</v>
      </c>
      <c r="ND39" s="266">
        <f t="shared" si="479"/>
        <v>239433</v>
      </c>
      <c r="NE39" s="361">
        <f t="shared" si="479"/>
        <v>118384</v>
      </c>
      <c r="NF39" s="361">
        <f t="shared" si="479"/>
        <v>94645</v>
      </c>
      <c r="NG39" s="361">
        <f t="shared" si="479"/>
        <v>1507</v>
      </c>
      <c r="NH39" s="361">
        <f t="shared" ref="NH39:PB39" si="480">SUM(NH41:NH52)</f>
        <v>845</v>
      </c>
      <c r="NI39" s="361">
        <f t="shared" si="480"/>
        <v>662</v>
      </c>
      <c r="NJ39" s="361">
        <f t="shared" si="480"/>
        <v>211522</v>
      </c>
      <c r="NK39" s="361">
        <f t="shared" si="480"/>
        <v>117539</v>
      </c>
      <c r="NL39" s="361">
        <f t="shared" si="480"/>
        <v>93983</v>
      </c>
      <c r="NM39" s="257">
        <f t="shared" si="480"/>
        <v>7348</v>
      </c>
      <c r="NN39" s="257">
        <f t="shared" si="480"/>
        <v>7538</v>
      </c>
      <c r="NO39" s="257">
        <f t="shared" si="480"/>
        <v>110191</v>
      </c>
      <c r="NP39" s="257">
        <f t="shared" si="480"/>
        <v>86445</v>
      </c>
      <c r="NQ39" s="309">
        <f t="shared" si="480"/>
        <v>9516347</v>
      </c>
      <c r="NR39" s="257">
        <f t="shared" si="480"/>
        <v>4843037</v>
      </c>
      <c r="NS39" s="257">
        <f t="shared" si="480"/>
        <v>4673310</v>
      </c>
      <c r="NT39" s="362">
        <f t="shared" si="480"/>
        <v>8477221</v>
      </c>
      <c r="NU39" s="362">
        <f t="shared" si="480"/>
        <v>4350037</v>
      </c>
      <c r="NV39" s="362">
        <f t="shared" si="480"/>
        <v>4127184</v>
      </c>
      <c r="NW39" s="362">
        <f t="shared" si="480"/>
        <v>8378937</v>
      </c>
      <c r="NX39" s="257">
        <f t="shared" si="480"/>
        <v>4299845</v>
      </c>
      <c r="NY39" s="257">
        <f t="shared" si="480"/>
        <v>4079092</v>
      </c>
      <c r="NZ39" s="362">
        <f t="shared" si="480"/>
        <v>484189</v>
      </c>
      <c r="OA39" s="257">
        <f t="shared" si="480"/>
        <v>202974</v>
      </c>
      <c r="OB39" s="257">
        <f t="shared" si="480"/>
        <v>281215</v>
      </c>
      <c r="OC39" s="362">
        <f t="shared" si="480"/>
        <v>161313</v>
      </c>
      <c r="OD39" s="257">
        <f t="shared" si="480"/>
        <v>80854</v>
      </c>
      <c r="OE39" s="257">
        <f t="shared" si="480"/>
        <v>80459</v>
      </c>
      <c r="OF39" s="362">
        <f t="shared" si="480"/>
        <v>554937</v>
      </c>
      <c r="OG39" s="257">
        <f t="shared" si="480"/>
        <v>290026</v>
      </c>
      <c r="OH39" s="257">
        <f t="shared" si="480"/>
        <v>264911</v>
      </c>
      <c r="OI39" s="310">
        <f t="shared" si="480"/>
        <v>11085281</v>
      </c>
      <c r="OJ39" s="257">
        <f t="shared" si="480"/>
        <v>9710908</v>
      </c>
      <c r="OK39" s="257">
        <f t="shared" si="480"/>
        <v>1648366</v>
      </c>
      <c r="OL39" s="257">
        <f t="shared" si="480"/>
        <v>772354</v>
      </c>
      <c r="OM39" s="362">
        <f t="shared" si="480"/>
        <v>246803</v>
      </c>
      <c r="ON39" s="360">
        <f t="shared" si="480"/>
        <v>11345945</v>
      </c>
      <c r="OO39" s="265">
        <f t="shared" si="480"/>
        <v>9934526</v>
      </c>
      <c r="OP39" s="265">
        <f t="shared" si="480"/>
        <v>620493</v>
      </c>
      <c r="OQ39" s="265">
        <f t="shared" si="480"/>
        <v>790926</v>
      </c>
      <c r="OR39" s="265">
        <f t="shared" si="480"/>
        <v>261546</v>
      </c>
      <c r="OS39" s="360">
        <f t="shared" si="480"/>
        <v>11514761</v>
      </c>
      <c r="OT39" s="265">
        <f t="shared" si="480"/>
        <v>10100339</v>
      </c>
      <c r="OU39" s="265">
        <f t="shared" si="480"/>
        <v>626095</v>
      </c>
      <c r="OV39" s="265">
        <f t="shared" si="480"/>
        <v>788327</v>
      </c>
      <c r="OW39" s="265">
        <f t="shared" si="480"/>
        <v>264201</v>
      </c>
      <c r="OX39" s="360">
        <f t="shared" si="480"/>
        <v>11731716</v>
      </c>
      <c r="OY39" s="265">
        <f t="shared" si="480"/>
        <v>10236189</v>
      </c>
      <c r="OZ39" s="265">
        <f t="shared" si="480"/>
        <v>656970</v>
      </c>
      <c r="PA39" s="265">
        <f>SUM(PA41:PA52)</f>
        <v>838557</v>
      </c>
      <c r="PB39" s="265">
        <f t="shared" si="480"/>
        <v>291519</v>
      </c>
      <c r="PC39" s="265">
        <f>SUM(PC41:PC52)</f>
        <v>11935110.729999999</v>
      </c>
      <c r="PD39" s="265">
        <f>SUM(PD41:PD52)</f>
        <v>10393355.336999999</v>
      </c>
      <c r="PE39" s="265">
        <f>SUM(PE41:PE52)</f>
        <v>661650.13300000003</v>
      </c>
      <c r="PF39" s="265">
        <f>SUM(PF41:PF52)</f>
        <v>299417.15300000005</v>
      </c>
      <c r="PG39" s="265">
        <f>SUM(PG41:PG52)</f>
        <v>880105.25999999978</v>
      </c>
      <c r="PH39" s="265">
        <f t="shared" ref="PH39:QA39" si="481">SUM(PH41:PH52)</f>
        <v>12174839</v>
      </c>
      <c r="PI39" s="265">
        <f t="shared" si="481"/>
        <v>10607284</v>
      </c>
      <c r="PJ39" s="265">
        <f t="shared" si="481"/>
        <v>681425</v>
      </c>
      <c r="PK39" s="265">
        <f t="shared" si="481"/>
        <v>317912</v>
      </c>
      <c r="PL39" s="265">
        <f t="shared" si="481"/>
        <v>884806</v>
      </c>
      <c r="PM39" s="265">
        <f t="shared" si="481"/>
        <v>12440189</v>
      </c>
      <c r="PN39" s="265">
        <f t="shared" si="481"/>
        <v>10584803</v>
      </c>
      <c r="PO39" s="265">
        <f t="shared" si="481"/>
        <v>699848</v>
      </c>
      <c r="PP39" s="265">
        <f t="shared" si="481"/>
        <v>326835</v>
      </c>
      <c r="PQ39" s="265">
        <f t="shared" si="481"/>
        <v>916771</v>
      </c>
      <c r="PR39" s="265">
        <f t="shared" si="481"/>
        <v>13290804</v>
      </c>
      <c r="PS39" s="265">
        <f t="shared" si="481"/>
        <v>11200197</v>
      </c>
      <c r="PT39" s="265">
        <f t="shared" si="481"/>
        <v>763695</v>
      </c>
      <c r="PU39" s="265">
        <f t="shared" si="481"/>
        <v>376250</v>
      </c>
      <c r="PV39" s="265">
        <f t="shared" si="481"/>
        <v>1050355</v>
      </c>
      <c r="PW39" s="265">
        <f t="shared" si="481"/>
        <v>13701595</v>
      </c>
      <c r="PX39" s="265">
        <f t="shared" si="481"/>
        <v>11498108</v>
      </c>
      <c r="PY39" s="265">
        <f t="shared" si="481"/>
        <v>795000</v>
      </c>
      <c r="PZ39" s="265">
        <f t="shared" si="481"/>
        <v>411965</v>
      </c>
      <c r="QA39" s="265">
        <f t="shared" si="481"/>
        <v>1100483</v>
      </c>
      <c r="QB39" s="360">
        <f t="shared" ref="QB39:RO39" si="482">SUM(QB41:QB52)</f>
        <v>2397869</v>
      </c>
      <c r="QC39" s="265">
        <f t="shared" si="482"/>
        <v>2174173</v>
      </c>
      <c r="QD39" s="265">
        <f t="shared" si="482"/>
        <v>115135</v>
      </c>
      <c r="QE39" s="265">
        <f t="shared" si="482"/>
        <v>30824</v>
      </c>
      <c r="QF39" s="266">
        <f t="shared" si="482"/>
        <v>108561</v>
      </c>
      <c r="QG39" s="265">
        <f t="shared" si="482"/>
        <v>3296696</v>
      </c>
      <c r="QH39" s="265">
        <f t="shared" si="482"/>
        <v>2885242</v>
      </c>
      <c r="QI39" s="265">
        <f t="shared" si="482"/>
        <v>162666</v>
      </c>
      <c r="QJ39" s="265">
        <f t="shared" si="482"/>
        <v>56635</v>
      </c>
      <c r="QK39" s="265">
        <f t="shared" si="482"/>
        <v>235389</v>
      </c>
      <c r="QL39" s="360">
        <f t="shared" si="482"/>
        <v>4191772</v>
      </c>
      <c r="QM39" s="265">
        <f t="shared" si="482"/>
        <v>3585311</v>
      </c>
      <c r="QN39" s="265">
        <f t="shared" si="482"/>
        <v>237157</v>
      </c>
      <c r="QO39" s="265">
        <f t="shared" si="482"/>
        <v>97066</v>
      </c>
      <c r="QP39" s="265">
        <f t="shared" si="482"/>
        <v>369304</v>
      </c>
      <c r="QQ39" s="360">
        <f t="shared" si="482"/>
        <v>4287667.1539999992</v>
      </c>
      <c r="QR39" s="265">
        <f t="shared" si="482"/>
        <v>3652257.1379999993</v>
      </c>
      <c r="QS39" s="265">
        <f t="shared" si="482"/>
        <v>244905.85100000002</v>
      </c>
      <c r="QT39" s="265">
        <f t="shared" si="482"/>
        <v>99342.793999999994</v>
      </c>
      <c r="QU39" s="266">
        <f t="shared" si="482"/>
        <v>390504.16499999992</v>
      </c>
      <c r="QV39" s="265">
        <f t="shared" si="482"/>
        <v>4378505</v>
      </c>
      <c r="QW39" s="265">
        <f t="shared" si="482"/>
        <v>3728618</v>
      </c>
      <c r="QX39" s="265">
        <f t="shared" si="482"/>
        <v>252292</v>
      </c>
      <c r="QY39" s="265">
        <f t="shared" si="482"/>
        <v>105768</v>
      </c>
      <c r="QZ39" s="517">
        <f t="shared" si="482"/>
        <v>397133</v>
      </c>
      <c r="RA39" s="517">
        <f t="shared" si="482"/>
        <v>4496878</v>
      </c>
      <c r="RB39" s="517">
        <f t="shared" si="482"/>
        <v>3739449</v>
      </c>
      <c r="RC39" s="517">
        <f t="shared" si="482"/>
        <v>261512</v>
      </c>
      <c r="RD39" s="517">
        <f t="shared" si="482"/>
        <v>108377</v>
      </c>
      <c r="RE39" s="517">
        <f t="shared" si="482"/>
        <v>414081</v>
      </c>
      <c r="RF39" s="517">
        <f t="shared" si="482"/>
        <v>4842006</v>
      </c>
      <c r="RG39" s="517">
        <f t="shared" si="482"/>
        <v>3981419</v>
      </c>
      <c r="RH39" s="517">
        <f t="shared" si="482"/>
        <v>286299</v>
      </c>
      <c r="RI39" s="517">
        <f t="shared" si="482"/>
        <v>122829</v>
      </c>
      <c r="RJ39" s="517">
        <f t="shared" si="482"/>
        <v>483130</v>
      </c>
      <c r="RK39" s="517">
        <f t="shared" si="482"/>
        <v>5028767</v>
      </c>
      <c r="RL39" s="517">
        <f t="shared" si="482"/>
        <v>4111474</v>
      </c>
      <c r="RM39" s="517">
        <f t="shared" si="482"/>
        <v>309375</v>
      </c>
      <c r="RN39" s="517">
        <f t="shared" si="482"/>
        <v>135189</v>
      </c>
      <c r="RO39" s="517">
        <f t="shared" si="482"/>
        <v>505826</v>
      </c>
    </row>
    <row r="40" spans="1:483" ht="15" x14ac:dyDescent="0.2">
      <c r="A40" s="224" t="s">
        <v>181</v>
      </c>
      <c r="B40" s="258" t="s">
        <v>185</v>
      </c>
      <c r="C40" s="259" t="s">
        <v>185</v>
      </c>
      <c r="D40" s="259" t="s">
        <v>185</v>
      </c>
      <c r="E40" s="259" t="s">
        <v>185</v>
      </c>
      <c r="F40" s="260" t="s">
        <v>185</v>
      </c>
      <c r="G40" s="228"/>
      <c r="H40" s="228"/>
      <c r="I40" s="228"/>
      <c r="J40" s="228"/>
      <c r="K40" s="312"/>
      <c r="L40" s="228"/>
      <c r="M40" s="228"/>
      <c r="N40" s="228"/>
      <c r="O40" s="228"/>
      <c r="P40" s="312"/>
      <c r="Q40" s="325"/>
      <c r="R40" s="325"/>
      <c r="S40" s="325"/>
      <c r="T40" s="325"/>
      <c r="U40" s="574"/>
      <c r="V40" s="325"/>
      <c r="W40" s="325"/>
      <c r="X40" s="325"/>
      <c r="Y40" s="325"/>
      <c r="Z40" s="325"/>
      <c r="AA40" s="325">
        <v>0</v>
      </c>
      <c r="AB40" s="325">
        <v>0</v>
      </c>
      <c r="AC40" s="325"/>
      <c r="AD40" s="325"/>
      <c r="AE40" s="560">
        <v>0</v>
      </c>
      <c r="AF40" s="560">
        <v>0</v>
      </c>
      <c r="AG40" s="560">
        <v>0</v>
      </c>
      <c r="AH40" s="560">
        <v>0</v>
      </c>
      <c r="AI40" s="560">
        <v>0</v>
      </c>
      <c r="AJ40" s="560">
        <v>0</v>
      </c>
      <c r="AK40" s="560">
        <v>0</v>
      </c>
      <c r="AL40" s="560">
        <v>0</v>
      </c>
      <c r="AM40" s="560">
        <v>0</v>
      </c>
      <c r="AN40" s="560">
        <v>0</v>
      </c>
      <c r="AO40" s="560">
        <v>0</v>
      </c>
      <c r="AP40" s="226"/>
      <c r="AQ40" s="228"/>
      <c r="AR40" s="228"/>
      <c r="AS40" s="228"/>
      <c r="AT40" s="312"/>
      <c r="AU40" s="228"/>
      <c r="AV40" s="228"/>
      <c r="AW40" s="228"/>
      <c r="AX40" s="228"/>
      <c r="AY40" s="312"/>
      <c r="AZ40" s="228"/>
      <c r="BA40" s="228"/>
      <c r="BB40" s="228"/>
      <c r="BC40" s="228"/>
      <c r="BD40" s="312"/>
      <c r="BE40" s="228"/>
      <c r="BF40" s="228"/>
      <c r="BG40" s="228"/>
      <c r="BH40" s="228"/>
      <c r="BI40" s="228"/>
      <c r="BJ40" s="228">
        <v>0</v>
      </c>
      <c r="BK40" s="228">
        <v>0</v>
      </c>
      <c r="BL40" s="228"/>
      <c r="BM40" s="228"/>
      <c r="BN40" s="228">
        <v>0</v>
      </c>
      <c r="BO40" s="228">
        <v>0</v>
      </c>
      <c r="BP40" s="228">
        <v>0</v>
      </c>
      <c r="BQ40" s="228">
        <v>0</v>
      </c>
      <c r="BR40" s="228">
        <v>0</v>
      </c>
      <c r="BS40" s="228">
        <v>0</v>
      </c>
      <c r="BT40" s="228"/>
      <c r="BU40" s="228"/>
      <c r="BV40" s="228"/>
      <c r="BW40" s="228"/>
      <c r="BX40" s="228"/>
      <c r="BY40" s="226"/>
      <c r="BZ40" s="228"/>
      <c r="CA40" s="228"/>
      <c r="CB40" s="228"/>
      <c r="CC40" s="265"/>
      <c r="CD40" s="258" t="s">
        <v>185</v>
      </c>
      <c r="CE40" s="259" t="s">
        <v>185</v>
      </c>
      <c r="CF40" s="259" t="s">
        <v>185</v>
      </c>
      <c r="CG40" s="259" t="s">
        <v>185</v>
      </c>
      <c r="CH40" s="258" t="s">
        <v>185</v>
      </c>
      <c r="CI40" s="259" t="s">
        <v>185</v>
      </c>
      <c r="CJ40" s="259" t="s">
        <v>185</v>
      </c>
      <c r="CK40" s="259" t="s">
        <v>185</v>
      </c>
      <c r="CL40" s="260" t="s">
        <v>185</v>
      </c>
      <c r="CM40" s="228"/>
      <c r="CN40" s="228"/>
      <c r="CO40" s="228"/>
      <c r="CP40" s="228"/>
      <c r="CQ40" s="312"/>
      <c r="CR40" s="228"/>
      <c r="CS40" s="228"/>
      <c r="CT40" s="228"/>
      <c r="CU40" s="228"/>
      <c r="CV40" s="228"/>
      <c r="CW40" s="313"/>
      <c r="CX40" s="228"/>
      <c r="CY40" s="228"/>
      <c r="CZ40" s="228"/>
      <c r="DA40" s="228"/>
      <c r="DB40" s="226"/>
      <c r="DC40" s="228"/>
      <c r="DD40" s="228"/>
      <c r="DE40" s="228"/>
      <c r="DF40" s="228"/>
      <c r="DG40" s="226"/>
      <c r="DH40" s="228"/>
      <c r="DI40" s="228"/>
      <c r="DJ40" s="228"/>
      <c r="DK40" s="228"/>
      <c r="DL40" s="226"/>
      <c r="DM40" s="228"/>
      <c r="DN40" s="228"/>
      <c r="DO40" s="228"/>
      <c r="DP40" s="228"/>
      <c r="DQ40" s="226"/>
      <c r="DR40" s="228"/>
      <c r="DS40" s="228"/>
      <c r="DT40" s="228"/>
      <c r="DU40" s="266"/>
      <c r="DV40" s="228"/>
      <c r="DW40" s="228"/>
      <c r="DX40" s="228"/>
      <c r="DY40" s="228"/>
      <c r="DZ40" s="265"/>
      <c r="EA40" s="265">
        <v>0</v>
      </c>
      <c r="EB40" s="265">
        <v>0</v>
      </c>
      <c r="EC40" s="265"/>
      <c r="ED40" s="265"/>
      <c r="EE40" s="265">
        <v>0</v>
      </c>
      <c r="EF40" s="265">
        <v>0</v>
      </c>
      <c r="EG40" s="265">
        <v>0</v>
      </c>
      <c r="EH40" s="265">
        <v>0</v>
      </c>
      <c r="EI40" s="265">
        <v>0</v>
      </c>
      <c r="EJ40" s="265">
        <v>0</v>
      </c>
      <c r="EK40" s="265"/>
      <c r="EL40" s="265"/>
      <c r="EM40" s="265"/>
      <c r="EN40" s="265"/>
      <c r="EO40" s="265"/>
      <c r="EP40" s="258" t="s">
        <v>185</v>
      </c>
      <c r="EQ40" s="259" t="s">
        <v>185</v>
      </c>
      <c r="ER40" s="259" t="s">
        <v>185</v>
      </c>
      <c r="ES40" s="259" t="s">
        <v>185</v>
      </c>
      <c r="ET40" s="260" t="s">
        <v>185</v>
      </c>
      <c r="EU40" s="228"/>
      <c r="EV40" s="228"/>
      <c r="EW40" s="228"/>
      <c r="EX40" s="228"/>
      <c r="EY40" s="312"/>
      <c r="EZ40" s="228"/>
      <c r="FA40" s="228"/>
      <c r="FB40" s="228"/>
      <c r="FC40" s="228"/>
      <c r="FD40" s="312"/>
      <c r="FE40" s="228"/>
      <c r="FF40" s="228"/>
      <c r="FG40" s="228"/>
      <c r="FH40" s="228"/>
      <c r="FI40" s="312"/>
      <c r="FJ40" s="228"/>
      <c r="FK40" s="228"/>
      <c r="FL40" s="228"/>
      <c r="FM40" s="228"/>
      <c r="FN40" s="312"/>
      <c r="FO40" s="228"/>
      <c r="FP40" s="228"/>
      <c r="FQ40" s="228"/>
      <c r="FR40" s="228"/>
      <c r="FS40" s="618"/>
      <c r="FT40" s="618">
        <v>0</v>
      </c>
      <c r="FU40" s="618"/>
      <c r="FV40" s="618"/>
      <c r="FW40" s="618"/>
      <c r="FX40" s="618">
        <v>0</v>
      </c>
      <c r="FY40" s="618">
        <v>0</v>
      </c>
      <c r="FZ40" s="618"/>
      <c r="GA40" s="618"/>
      <c r="GB40" s="618"/>
      <c r="GC40" s="618">
        <v>0</v>
      </c>
      <c r="GD40" s="618"/>
      <c r="GE40" s="618"/>
      <c r="GF40" s="618"/>
      <c r="GG40" s="618"/>
      <c r="GH40" s="618"/>
      <c r="GI40" s="226"/>
      <c r="GJ40" s="228"/>
      <c r="GK40" s="228"/>
      <c r="GL40" s="228"/>
      <c r="GM40" s="312"/>
      <c r="GN40" s="228"/>
      <c r="GO40" s="228"/>
      <c r="GP40" s="228"/>
      <c r="GQ40" s="228"/>
      <c r="GR40" s="312"/>
      <c r="GS40" s="226"/>
      <c r="GT40" s="228"/>
      <c r="GU40" s="228"/>
      <c r="GV40" s="228"/>
      <c r="GW40" s="228"/>
      <c r="GX40" s="226"/>
      <c r="GY40" s="228"/>
      <c r="GZ40" s="228"/>
      <c r="HA40" s="228"/>
      <c r="HB40" s="312"/>
      <c r="HC40" s="228"/>
      <c r="HD40" s="228"/>
      <c r="HE40" s="228"/>
      <c r="HF40" s="228"/>
      <c r="HG40" s="228"/>
      <c r="HH40" s="228"/>
      <c r="HI40" s="228">
        <v>0</v>
      </c>
      <c r="HJ40" s="228"/>
      <c r="HK40" s="228"/>
      <c r="HL40" s="228">
        <v>0</v>
      </c>
      <c r="HM40" s="228">
        <v>0</v>
      </c>
      <c r="HN40" s="228"/>
      <c r="HO40" s="228"/>
      <c r="HP40" s="228"/>
      <c r="HQ40" s="228">
        <v>0</v>
      </c>
      <c r="HR40" s="228"/>
      <c r="HS40" s="228"/>
      <c r="HT40" s="228"/>
      <c r="HU40" s="228"/>
      <c r="HV40" s="228"/>
      <c r="HW40" s="360"/>
      <c r="HX40" s="265"/>
      <c r="HY40" s="265"/>
      <c r="HZ40" s="265"/>
      <c r="IA40" s="265"/>
      <c r="IB40" s="360"/>
      <c r="IC40" s="265"/>
      <c r="ID40" s="265"/>
      <c r="IE40" s="265"/>
      <c r="IF40" s="265"/>
      <c r="IG40" s="226"/>
      <c r="IH40" s="228"/>
      <c r="II40" s="228"/>
      <c r="IJ40" s="228"/>
      <c r="IK40" s="228"/>
      <c r="IL40" s="564"/>
      <c r="IM40" s="325"/>
      <c r="IN40" s="325"/>
      <c r="IO40" s="325"/>
      <c r="IP40" s="325"/>
      <c r="IQ40" s="325"/>
      <c r="IR40" s="325"/>
      <c r="IS40" s="325"/>
      <c r="IT40" s="325"/>
      <c r="IU40" s="574"/>
      <c r="IV40" s="325"/>
      <c r="IW40" s="325">
        <v>0</v>
      </c>
      <c r="IX40" s="325"/>
      <c r="IY40" s="325"/>
      <c r="IZ40" s="325">
        <v>0</v>
      </c>
      <c r="JA40" s="564">
        <v>0</v>
      </c>
      <c r="JB40" s="325"/>
      <c r="JC40" s="325"/>
      <c r="JD40" s="325"/>
      <c r="JE40" s="325">
        <v>0</v>
      </c>
      <c r="JF40" s="564"/>
      <c r="JG40" s="325"/>
      <c r="JH40" s="325"/>
      <c r="JI40" s="325"/>
      <c r="JJ40" s="325"/>
      <c r="JK40" s="226"/>
      <c r="JL40" s="228"/>
      <c r="JM40" s="228"/>
      <c r="JN40" s="228"/>
      <c r="JO40" s="228"/>
      <c r="JP40" s="226"/>
      <c r="JQ40" s="228"/>
      <c r="JR40" s="228"/>
      <c r="JS40" s="228"/>
      <c r="JT40" s="228"/>
      <c r="JU40" s="226"/>
      <c r="JV40" s="228"/>
      <c r="JW40" s="228"/>
      <c r="JX40" s="228"/>
      <c r="JY40" s="228"/>
      <c r="JZ40" s="226"/>
      <c r="KA40" s="228"/>
      <c r="KB40" s="228"/>
      <c r="KC40" s="228"/>
      <c r="KD40" s="228"/>
      <c r="KE40" s="228"/>
      <c r="KF40" s="228">
        <v>0</v>
      </c>
      <c r="KG40" s="228"/>
      <c r="KH40" s="228"/>
      <c r="KI40" s="228">
        <v>0</v>
      </c>
      <c r="KJ40" s="228">
        <v>0</v>
      </c>
      <c r="KK40" s="228"/>
      <c r="KL40" s="228"/>
      <c r="KM40" s="228"/>
      <c r="KN40" s="228">
        <v>0</v>
      </c>
      <c r="KO40" s="228"/>
      <c r="KP40" s="228"/>
      <c r="KQ40" s="228"/>
      <c r="KR40" s="228"/>
      <c r="KS40" s="228"/>
      <c r="KT40" s="258" t="s">
        <v>185</v>
      </c>
      <c r="KU40" s="259" t="s">
        <v>185</v>
      </c>
      <c r="KV40" s="316"/>
      <c r="KW40" s="318"/>
      <c r="KX40" s="318"/>
      <c r="KY40" s="318"/>
      <c r="KZ40" s="318"/>
      <c r="LA40" s="318"/>
      <c r="LB40" s="318"/>
      <c r="LC40" s="318"/>
      <c r="LD40" s="318"/>
      <c r="LE40" s="316"/>
      <c r="LF40" s="318"/>
      <c r="LG40" s="318"/>
      <c r="LH40" s="318"/>
      <c r="LI40" s="318"/>
      <c r="LJ40" s="318"/>
      <c r="LK40" s="318"/>
      <c r="LL40" s="318"/>
      <c r="LM40" s="318"/>
      <c r="LN40" s="318"/>
      <c r="LO40" s="318"/>
      <c r="LP40" s="318"/>
      <c r="LQ40" s="316"/>
      <c r="LR40" s="318"/>
      <c r="LS40" s="318"/>
      <c r="LT40" s="228"/>
      <c r="LU40" s="318"/>
      <c r="LV40" s="318"/>
      <c r="LW40" s="318"/>
      <c r="LX40" s="318"/>
      <c r="LY40" s="228"/>
      <c r="LZ40" s="318"/>
      <c r="MA40" s="318"/>
      <c r="MB40" s="228"/>
      <c r="MC40" s="318"/>
      <c r="MD40" s="318"/>
      <c r="ME40" s="318"/>
      <c r="MF40" s="318"/>
      <c r="MG40" s="318"/>
      <c r="MH40" s="334"/>
      <c r="MI40" s="334"/>
      <c r="MJ40" s="334"/>
      <c r="MK40" s="318"/>
      <c r="ML40" s="318"/>
      <c r="MM40" s="318"/>
      <c r="MN40" s="226"/>
      <c r="MO40" s="318"/>
      <c r="MP40" s="318"/>
      <c r="MQ40" s="228"/>
      <c r="MR40" s="228"/>
      <c r="MS40" s="318"/>
      <c r="MT40" s="318"/>
      <c r="MU40" s="318"/>
      <c r="MV40" s="318"/>
      <c r="MW40" s="228"/>
      <c r="MX40" s="228"/>
      <c r="MY40" s="318"/>
      <c r="MZ40" s="318"/>
      <c r="NA40" s="228"/>
      <c r="NB40" s="318"/>
      <c r="NC40" s="318"/>
      <c r="ND40" s="312"/>
      <c r="NE40" s="363"/>
      <c r="NF40" s="363"/>
      <c r="NG40" s="336"/>
      <c r="NH40" s="336"/>
      <c r="NI40" s="336"/>
      <c r="NJ40" s="363"/>
      <c r="NK40" s="363"/>
      <c r="NL40" s="363"/>
      <c r="NM40" s="318"/>
      <c r="NN40" s="318"/>
      <c r="NO40" s="318"/>
      <c r="NP40" s="318"/>
      <c r="NQ40" s="338"/>
      <c r="NR40" s="318"/>
      <c r="NS40" s="318"/>
      <c r="NT40" s="325"/>
      <c r="NU40" s="325"/>
      <c r="NV40" s="325"/>
      <c r="NW40" s="364"/>
      <c r="NX40" s="318"/>
      <c r="NY40" s="318"/>
      <c r="NZ40" s="325"/>
      <c r="OA40" s="318"/>
      <c r="OB40" s="318"/>
      <c r="OC40" s="325"/>
      <c r="OD40" s="318"/>
      <c r="OE40" s="318"/>
      <c r="OF40" s="325"/>
      <c r="OG40" s="54"/>
      <c r="OH40" s="54"/>
      <c r="OI40" s="326"/>
      <c r="OJ40" s="318"/>
      <c r="OK40" s="318"/>
      <c r="OL40" s="318"/>
      <c r="OM40" s="325"/>
      <c r="ON40" s="226"/>
      <c r="OO40" s="228"/>
      <c r="OP40" s="228"/>
      <c r="OQ40" s="228"/>
      <c r="OR40" s="228"/>
      <c r="OS40" s="226"/>
      <c r="OT40" s="228"/>
      <c r="OU40" s="228"/>
      <c r="OV40" s="228"/>
      <c r="OW40" s="228"/>
      <c r="OX40" s="226"/>
      <c r="OY40" s="228"/>
      <c r="OZ40" s="228"/>
      <c r="PA40" s="228"/>
      <c r="PB40" s="228"/>
      <c r="PC40" s="226"/>
      <c r="PD40" s="228"/>
      <c r="PE40" s="228"/>
      <c r="PF40" s="228"/>
      <c r="PG40" s="228"/>
      <c r="PH40" s="228"/>
      <c r="PI40" s="228"/>
      <c r="PJ40" s="228"/>
      <c r="PK40" s="228"/>
      <c r="PL40" s="2"/>
      <c r="PM40" s="2">
        <v>0</v>
      </c>
      <c r="PN40" s="2">
        <v>0</v>
      </c>
      <c r="PO40" s="2"/>
      <c r="PP40" s="2"/>
      <c r="PQ40" s="2">
        <v>0</v>
      </c>
      <c r="PR40" s="2">
        <v>0</v>
      </c>
      <c r="PS40" s="2"/>
      <c r="PT40" s="2"/>
      <c r="PU40" s="2"/>
      <c r="PV40" s="2">
        <v>0</v>
      </c>
      <c r="PW40" s="2"/>
      <c r="PX40" s="2"/>
      <c r="PY40" s="2"/>
      <c r="PZ40" s="2"/>
      <c r="QA40" s="2"/>
      <c r="QB40" s="226"/>
      <c r="QC40" s="228"/>
      <c r="QD40" s="228"/>
      <c r="QE40" s="228"/>
      <c r="QF40" s="228"/>
      <c r="QG40" s="226"/>
      <c r="QH40" s="228"/>
      <c r="QI40" s="228"/>
      <c r="QJ40" s="228"/>
      <c r="QK40" s="228"/>
      <c r="QL40" s="226"/>
      <c r="QM40" s="228"/>
      <c r="QN40" s="228"/>
      <c r="QO40" s="228"/>
      <c r="QP40" s="228"/>
      <c r="QQ40" s="226"/>
      <c r="QR40" s="228"/>
      <c r="QS40" s="228"/>
      <c r="QT40" s="228"/>
      <c r="QU40" s="312"/>
      <c r="QV40" s="532"/>
      <c r="QZ40" s="69"/>
      <c r="RB40" s="2">
        <v>0</v>
      </c>
      <c r="RE40" s="2">
        <v>0</v>
      </c>
      <c r="RF40" s="2">
        <v>0</v>
      </c>
      <c r="RJ40" s="2">
        <v>0</v>
      </c>
    </row>
    <row r="41" spans="1:483" ht="12.75" customHeight="1" x14ac:dyDescent="0.2">
      <c r="A41" s="217" t="s">
        <v>24</v>
      </c>
      <c r="B41" s="258" t="s">
        <v>185</v>
      </c>
      <c r="C41" s="259" t="s">
        <v>185</v>
      </c>
      <c r="D41" s="259" t="s">
        <v>185</v>
      </c>
      <c r="E41" s="259" t="s">
        <v>185</v>
      </c>
      <c r="F41" s="260" t="s">
        <v>185</v>
      </c>
      <c r="G41" s="5">
        <v>750932</v>
      </c>
      <c r="H41" s="5">
        <v>539206</v>
      </c>
      <c r="I41" s="5">
        <v>103669</v>
      </c>
      <c r="J41" s="5">
        <v>152491</v>
      </c>
      <c r="K41" s="10">
        <v>108057</v>
      </c>
      <c r="L41" s="5">
        <v>597684</v>
      </c>
      <c r="M41" s="5">
        <v>364573</v>
      </c>
      <c r="N41" s="5">
        <v>68666</v>
      </c>
      <c r="O41" s="5">
        <v>246009</v>
      </c>
      <c r="P41" s="10">
        <v>164445</v>
      </c>
      <c r="Q41" s="7">
        <v>499820</v>
      </c>
      <c r="R41" s="7">
        <v>292349</v>
      </c>
      <c r="S41" s="7">
        <v>52074</v>
      </c>
      <c r="T41" s="7">
        <v>265638</v>
      </c>
      <c r="U41" s="577">
        <v>155397</v>
      </c>
      <c r="V41" s="7">
        <v>477011</v>
      </c>
      <c r="W41" s="7">
        <v>280979</v>
      </c>
      <c r="X41" s="7">
        <v>46868</v>
      </c>
      <c r="Y41" s="7">
        <v>265592</v>
      </c>
      <c r="Z41" s="7">
        <v>149164</v>
      </c>
      <c r="AA41" s="7">
        <v>478438</v>
      </c>
      <c r="AB41" s="7">
        <v>135012</v>
      </c>
      <c r="AC41" s="7">
        <v>43898</v>
      </c>
      <c r="AD41" s="7">
        <v>272386</v>
      </c>
      <c r="AE41" s="675">
        <v>151920</v>
      </c>
      <c r="AF41" s="560">
        <v>456567</v>
      </c>
      <c r="AG41" s="560">
        <v>115513</v>
      </c>
      <c r="AH41" s="560">
        <v>37987</v>
      </c>
      <c r="AI41" s="560">
        <v>275688</v>
      </c>
      <c r="AJ41" s="560">
        <v>152909</v>
      </c>
      <c r="AK41" s="560">
        <v>429910</v>
      </c>
      <c r="AL41" s="560">
        <v>108765</v>
      </c>
      <c r="AM41" s="560">
        <v>36482</v>
      </c>
      <c r="AN41" s="560">
        <v>252800</v>
      </c>
      <c r="AO41" s="560">
        <v>161947</v>
      </c>
      <c r="AP41" s="12">
        <v>984857</v>
      </c>
      <c r="AQ41" s="5">
        <v>702792</v>
      </c>
      <c r="AR41" s="5">
        <v>223285</v>
      </c>
      <c r="AS41" s="5">
        <v>80735</v>
      </c>
      <c r="AT41" s="10">
        <v>58780</v>
      </c>
      <c r="AU41" s="5">
        <v>882759</v>
      </c>
      <c r="AV41" s="5">
        <v>559297</v>
      </c>
      <c r="AW41" s="5">
        <v>218567</v>
      </c>
      <c r="AX41" s="5">
        <v>142841</v>
      </c>
      <c r="AY41" s="10">
        <v>104895</v>
      </c>
      <c r="AZ41" s="5">
        <v>633143</v>
      </c>
      <c r="BA41" s="5">
        <v>389124</v>
      </c>
      <c r="BB41" s="5">
        <v>148099</v>
      </c>
      <c r="BC41" s="5">
        <v>154364</v>
      </c>
      <c r="BD41" s="10">
        <v>95920</v>
      </c>
      <c r="BE41" s="5">
        <v>608597</v>
      </c>
      <c r="BF41" s="5">
        <v>370506</v>
      </c>
      <c r="BG41" s="5">
        <v>144374</v>
      </c>
      <c r="BH41" s="5">
        <v>158644</v>
      </c>
      <c r="BI41" s="5">
        <v>93717</v>
      </c>
      <c r="BJ41" s="5">
        <v>586595</v>
      </c>
      <c r="BK41" s="5">
        <v>271680</v>
      </c>
      <c r="BL41" s="5">
        <v>137112</v>
      </c>
      <c r="BM41" s="5">
        <v>156009</v>
      </c>
      <c r="BN41" s="53">
        <v>91175</v>
      </c>
      <c r="BO41" s="53">
        <v>535035</v>
      </c>
      <c r="BP41" s="53">
        <v>241485</v>
      </c>
      <c r="BQ41" s="53">
        <v>124290</v>
      </c>
      <c r="BR41" s="53">
        <v>147363</v>
      </c>
      <c r="BS41" s="53">
        <v>86656</v>
      </c>
      <c r="BT41" s="53">
        <v>536517</v>
      </c>
      <c r="BU41" s="53">
        <v>246697</v>
      </c>
      <c r="BV41" s="53">
        <v>122622</v>
      </c>
      <c r="BW41" s="53">
        <v>146065</v>
      </c>
      <c r="BX41" s="53">
        <v>87742</v>
      </c>
      <c r="BY41" s="12">
        <v>1109013</v>
      </c>
      <c r="BZ41" s="5">
        <v>665401</v>
      </c>
      <c r="CA41" s="5">
        <v>194800</v>
      </c>
      <c r="CB41" s="5">
        <v>420877</v>
      </c>
      <c r="CC41" s="290">
        <f t="shared" ref="CC41:CC52" si="483">BY41-BZ41-CA41</f>
        <v>248812</v>
      </c>
      <c r="CD41" s="258" t="s">
        <v>185</v>
      </c>
      <c r="CE41" s="259" t="s">
        <v>185</v>
      </c>
      <c r="CF41" s="259" t="s">
        <v>185</v>
      </c>
      <c r="CG41" s="259" t="s">
        <v>185</v>
      </c>
      <c r="CH41" s="258" t="s">
        <v>185</v>
      </c>
      <c r="CI41" s="259" t="s">
        <v>185</v>
      </c>
      <c r="CJ41" s="259" t="s">
        <v>185</v>
      </c>
      <c r="CK41" s="259" t="s">
        <v>185</v>
      </c>
      <c r="CL41" s="260" t="s">
        <v>185</v>
      </c>
      <c r="CM41" s="5">
        <v>5558141</v>
      </c>
      <c r="CN41" s="5">
        <v>4707893</v>
      </c>
      <c r="CO41" s="5">
        <v>611424</v>
      </c>
      <c r="CP41" s="5">
        <v>190594</v>
      </c>
      <c r="CQ41" s="10">
        <v>238824</v>
      </c>
      <c r="CR41" s="5">
        <v>6493228</v>
      </c>
      <c r="CS41" s="5">
        <v>5220174</v>
      </c>
      <c r="CT41" s="5">
        <v>777283</v>
      </c>
      <c r="CU41" s="5">
        <v>365798</v>
      </c>
      <c r="CV41" s="5">
        <v>495771</v>
      </c>
      <c r="CW41" s="195">
        <v>7066217</v>
      </c>
      <c r="CX41" s="5">
        <v>5463151</v>
      </c>
      <c r="CY41" s="5">
        <v>885850</v>
      </c>
      <c r="CZ41" s="5">
        <v>717216</v>
      </c>
      <c r="DA41" s="5">
        <v>576921</v>
      </c>
      <c r="DB41" s="12">
        <v>7133717</v>
      </c>
      <c r="DC41" s="5">
        <v>5522069</v>
      </c>
      <c r="DD41" s="5">
        <v>898135</v>
      </c>
      <c r="DE41" s="5">
        <v>713513</v>
      </c>
      <c r="DF41" s="5">
        <v>597653</v>
      </c>
      <c r="DG41" s="56">
        <v>7207343</v>
      </c>
      <c r="DH41" s="54">
        <v>5610421</v>
      </c>
      <c r="DI41" s="54">
        <v>912763</v>
      </c>
      <c r="DJ41" s="54">
        <v>684159</v>
      </c>
      <c r="DK41" s="54">
        <v>593871</v>
      </c>
      <c r="DL41" s="12">
        <v>7274223</v>
      </c>
      <c r="DM41" s="5">
        <v>5673645</v>
      </c>
      <c r="DN41" s="5">
        <v>917125</v>
      </c>
      <c r="DO41" s="5">
        <v>621803</v>
      </c>
      <c r="DP41" s="5">
        <v>615040</v>
      </c>
      <c r="DQ41" s="12">
        <v>7356736.75</v>
      </c>
      <c r="DR41" s="5">
        <v>5739084.9360000007</v>
      </c>
      <c r="DS41" s="5">
        <v>930086.7379999999</v>
      </c>
      <c r="DT41" s="5">
        <v>651127.26399999997</v>
      </c>
      <c r="DU41" s="530">
        <f t="shared" ref="DU41:DU52" si="484">DQ41-DR41-DS41</f>
        <v>687565.07599999942</v>
      </c>
      <c r="DV41" s="5">
        <v>7429553</v>
      </c>
      <c r="DW41" s="5">
        <v>5786962</v>
      </c>
      <c r="DX41" s="5">
        <v>943091</v>
      </c>
      <c r="DY41" s="5">
        <v>670638</v>
      </c>
      <c r="DZ41" s="5">
        <v>699500</v>
      </c>
      <c r="EA41" s="5">
        <v>7491755</v>
      </c>
      <c r="EB41" s="5">
        <v>5385240</v>
      </c>
      <c r="EC41" s="5">
        <v>954121</v>
      </c>
      <c r="ED41" s="5">
        <v>689327</v>
      </c>
      <c r="EE41" s="5">
        <v>713146</v>
      </c>
      <c r="EF41" s="5">
        <v>7670336</v>
      </c>
      <c r="EG41" s="5">
        <v>5391468</v>
      </c>
      <c r="EH41" s="5">
        <v>996040</v>
      </c>
      <c r="EI41" s="5">
        <v>771827</v>
      </c>
      <c r="EJ41" s="5">
        <v>799553</v>
      </c>
      <c r="EK41" s="5">
        <v>7698792</v>
      </c>
      <c r="EL41" s="5">
        <v>5369059</v>
      </c>
      <c r="EM41" s="5">
        <v>995224</v>
      </c>
      <c r="EN41" s="5">
        <v>806186</v>
      </c>
      <c r="EO41" s="5">
        <v>836740</v>
      </c>
      <c r="EP41" s="258" t="s">
        <v>185</v>
      </c>
      <c r="EQ41" s="259" t="s">
        <v>185</v>
      </c>
      <c r="ER41" s="259" t="s">
        <v>185</v>
      </c>
      <c r="ES41" s="259" t="s">
        <v>185</v>
      </c>
      <c r="ET41" s="260" t="s">
        <v>185</v>
      </c>
      <c r="EU41" s="5">
        <v>1835803</v>
      </c>
      <c r="EV41" s="5">
        <v>1502548</v>
      </c>
      <c r="EW41" s="5">
        <v>262635</v>
      </c>
      <c r="EX41" s="5">
        <v>69968</v>
      </c>
      <c r="EY41" s="10">
        <v>70620</v>
      </c>
      <c r="EZ41" s="5">
        <v>2202888</v>
      </c>
      <c r="FA41" s="5">
        <v>1719292</v>
      </c>
      <c r="FB41" s="5">
        <v>343052</v>
      </c>
      <c r="FC41" s="5">
        <v>128919</v>
      </c>
      <c r="FD41" s="10">
        <v>140544</v>
      </c>
      <c r="FE41" s="5">
        <v>2406161</v>
      </c>
      <c r="FF41" s="5">
        <v>1830272</v>
      </c>
      <c r="FG41" s="5">
        <v>398817</v>
      </c>
      <c r="FH41" s="5">
        <v>203180</v>
      </c>
      <c r="FI41" s="10">
        <v>177072</v>
      </c>
      <c r="FJ41" s="5">
        <v>2421204.5000000005</v>
      </c>
      <c r="FK41" s="5">
        <v>1842649.3440000003</v>
      </c>
      <c r="FL41" s="5">
        <v>404238.66699999996</v>
      </c>
      <c r="FM41" s="5">
        <v>212044.734</v>
      </c>
      <c r="FN41" s="10">
        <v>174316.48900000023</v>
      </c>
      <c r="FO41" s="5">
        <v>2445190</v>
      </c>
      <c r="FP41" s="5">
        <v>1862701</v>
      </c>
      <c r="FQ41" s="5">
        <v>404943</v>
      </c>
      <c r="FR41" s="5">
        <v>221800</v>
      </c>
      <c r="FS41" s="618">
        <v>177546</v>
      </c>
      <c r="FT41" s="618">
        <v>2458427</v>
      </c>
      <c r="FU41" s="618">
        <v>1726776</v>
      </c>
      <c r="FV41" s="618">
        <v>403498</v>
      </c>
      <c r="FW41" s="618">
        <v>229571</v>
      </c>
      <c r="FX41" s="618">
        <v>180140</v>
      </c>
      <c r="FY41" s="618">
        <v>2502604</v>
      </c>
      <c r="FZ41" s="618">
        <v>1720128</v>
      </c>
      <c r="GA41" s="618">
        <v>416852</v>
      </c>
      <c r="GB41" s="618">
        <v>256228</v>
      </c>
      <c r="GC41" s="618">
        <v>203137</v>
      </c>
      <c r="GD41" s="618">
        <v>2506115</v>
      </c>
      <c r="GE41" s="618">
        <v>1710745</v>
      </c>
      <c r="GF41" s="618">
        <v>423174</v>
      </c>
      <c r="GG41" s="618">
        <v>264872</v>
      </c>
      <c r="GH41" s="618">
        <v>207594</v>
      </c>
      <c r="GI41" s="12">
        <v>421248</v>
      </c>
      <c r="GJ41" s="5">
        <v>346104</v>
      </c>
      <c r="GK41" s="5">
        <v>53929</v>
      </c>
      <c r="GL41" s="5">
        <v>17312</v>
      </c>
      <c r="GM41" s="10">
        <v>21215</v>
      </c>
      <c r="GN41" s="5">
        <v>482502</v>
      </c>
      <c r="GO41" s="5">
        <v>380880</v>
      </c>
      <c r="GP41" s="5">
        <v>64934</v>
      </c>
      <c r="GQ41" s="5">
        <v>28486</v>
      </c>
      <c r="GR41" s="10">
        <v>36688</v>
      </c>
      <c r="GS41" s="12">
        <v>611882</v>
      </c>
      <c r="GT41" s="5">
        <v>478258</v>
      </c>
      <c r="GU41" s="5">
        <v>81957</v>
      </c>
      <c r="GV41" s="5">
        <v>50786</v>
      </c>
      <c r="GW41" s="5">
        <v>51667</v>
      </c>
      <c r="GX41" s="12"/>
      <c r="GY41" s="5"/>
      <c r="GZ41" s="5"/>
      <c r="HA41" s="5"/>
      <c r="HB41" s="10"/>
      <c r="HC41" s="5">
        <v>627680</v>
      </c>
      <c r="HD41" s="5">
        <v>494331</v>
      </c>
      <c r="HE41" s="5">
        <v>82489</v>
      </c>
      <c r="HF41" s="5">
        <v>54601</v>
      </c>
      <c r="HG41" s="5">
        <v>50860</v>
      </c>
      <c r="HH41" s="5">
        <v>641045</v>
      </c>
      <c r="HI41" s="5">
        <v>465940</v>
      </c>
      <c r="HJ41" s="5">
        <v>85909</v>
      </c>
      <c r="HK41" s="5">
        <v>56979</v>
      </c>
      <c r="HL41" s="5">
        <v>52292</v>
      </c>
      <c r="HM41" s="5">
        <v>698002</v>
      </c>
      <c r="HN41" s="5">
        <v>497508</v>
      </c>
      <c r="HO41" s="5">
        <v>95904</v>
      </c>
      <c r="HP41" s="5">
        <v>65386</v>
      </c>
      <c r="HQ41" s="5">
        <v>61445</v>
      </c>
      <c r="HR41" s="5">
        <v>682989</v>
      </c>
      <c r="HS41" s="5">
        <v>486351</v>
      </c>
      <c r="HT41" s="5">
        <v>89976</v>
      </c>
      <c r="HU41" s="5">
        <v>69990</v>
      </c>
      <c r="HV41" s="5">
        <v>60318</v>
      </c>
      <c r="HW41" s="569">
        <f t="shared" ref="HW41" si="485">GI41+JK41+QB41</f>
        <v>1956244</v>
      </c>
      <c r="HX41" s="546">
        <f t="shared" ref="HX41" si="486">GJ41+JL41+QC41</f>
        <v>1676377</v>
      </c>
      <c r="HY41" s="546">
        <f t="shared" ref="HY41" si="487">GK41+JM41+QD41</f>
        <v>160510</v>
      </c>
      <c r="HZ41" s="546">
        <f t="shared" ref="HZ41" si="488">GL41+JN41+QE41</f>
        <v>51022</v>
      </c>
      <c r="IA41" s="546">
        <f t="shared" ref="IA41" si="489">GM41+JO41+QF41</f>
        <v>119357</v>
      </c>
      <c r="IB41" s="569">
        <f t="shared" ref="IB41" si="490">GN41+JP41+QG41</f>
        <v>2560551</v>
      </c>
      <c r="IC41" s="546">
        <f t="shared" ref="IC41" si="491">GO41+JQ41+QH41</f>
        <v>2090313</v>
      </c>
      <c r="ID41" s="546">
        <f t="shared" ref="ID41" si="492">GP41+JR41+QI41</f>
        <v>221262</v>
      </c>
      <c r="IE41" s="546">
        <f t="shared" ref="IE41" si="493">GQ41+JS41+QJ41</f>
        <v>96793</v>
      </c>
      <c r="IF41" s="546">
        <f t="shared" ref="IF41" si="494">GR41+JT41+QK41</f>
        <v>248976</v>
      </c>
      <c r="IG41" s="12">
        <v>2695373</v>
      </c>
      <c r="IH41" s="5">
        <v>2141846</v>
      </c>
      <c r="II41" s="5">
        <v>242298</v>
      </c>
      <c r="IJ41" s="5">
        <v>156548</v>
      </c>
      <c r="IK41" s="5">
        <v>311229</v>
      </c>
      <c r="IL41" s="565"/>
      <c r="IM41" s="7"/>
      <c r="IN41" s="7"/>
      <c r="IO41" s="7"/>
      <c r="IP41" s="7"/>
      <c r="IQ41" s="7">
        <v>3283807</v>
      </c>
      <c r="IR41" s="7">
        <v>2608529</v>
      </c>
      <c r="IS41" s="7">
        <v>294777</v>
      </c>
      <c r="IT41" s="7">
        <v>190055</v>
      </c>
      <c r="IU41" s="577">
        <v>380501</v>
      </c>
      <c r="IV41" s="7">
        <v>3349990</v>
      </c>
      <c r="IW41" s="7">
        <v>2518253</v>
      </c>
      <c r="IX41" s="7">
        <v>304287</v>
      </c>
      <c r="IY41" s="7">
        <v>196394</v>
      </c>
      <c r="IZ41" s="7">
        <v>392129</v>
      </c>
      <c r="JA41" s="565">
        <v>3551542</v>
      </c>
      <c r="JB41" s="7">
        <v>2627113</v>
      </c>
      <c r="JC41" s="7">
        <v>329264</v>
      </c>
      <c r="JD41" s="7">
        <v>226178</v>
      </c>
      <c r="JE41" s="7">
        <v>444681</v>
      </c>
      <c r="JF41" s="565">
        <v>3625274</v>
      </c>
      <c r="JG41" s="7">
        <v>2650851</v>
      </c>
      <c r="JH41" s="7">
        <v>339774</v>
      </c>
      <c r="JI41" s="7">
        <v>244697</v>
      </c>
      <c r="JJ41" s="7">
        <v>468322</v>
      </c>
      <c r="JK41" s="12">
        <v>989808</v>
      </c>
      <c r="JL41" s="5">
        <v>858913</v>
      </c>
      <c r="JM41" s="5">
        <v>70016</v>
      </c>
      <c r="JN41" s="5">
        <v>21338</v>
      </c>
      <c r="JO41" s="5">
        <v>60879</v>
      </c>
      <c r="JP41" s="12">
        <v>1317182</v>
      </c>
      <c r="JQ41" s="5">
        <v>1086485</v>
      </c>
      <c r="JR41" s="5">
        <v>102489</v>
      </c>
      <c r="JS41" s="5">
        <v>43974</v>
      </c>
      <c r="JT41" s="5">
        <v>128208</v>
      </c>
      <c r="JU41" s="12">
        <v>1600229</v>
      </c>
      <c r="JV41" s="5">
        <v>1273990</v>
      </c>
      <c r="JW41" s="5">
        <v>132493</v>
      </c>
      <c r="JX41" s="5">
        <v>87751</v>
      </c>
      <c r="JY41" s="5">
        <v>193746</v>
      </c>
      <c r="JZ41" s="12">
        <v>1625424</v>
      </c>
      <c r="KA41" s="5">
        <v>1298811.8640000001</v>
      </c>
      <c r="KB41" s="5">
        <v>129491.49500000001</v>
      </c>
      <c r="KC41" s="5">
        <v>89958.372000000003</v>
      </c>
      <c r="KD41" s="5">
        <v>197120.64099999995</v>
      </c>
      <c r="KE41" s="5">
        <v>1678096</v>
      </c>
      <c r="KF41" s="5">
        <v>1273389</v>
      </c>
      <c r="KG41" s="5">
        <v>135413</v>
      </c>
      <c r="KH41" s="5">
        <v>96257</v>
      </c>
      <c r="KI41" s="5">
        <v>202270</v>
      </c>
      <c r="KJ41" s="5">
        <v>1757697</v>
      </c>
      <c r="KK41" s="5">
        <v>1311704</v>
      </c>
      <c r="KL41" s="5">
        <v>144889</v>
      </c>
      <c r="KM41" s="5">
        <v>110200</v>
      </c>
      <c r="KN41" s="5">
        <v>230189</v>
      </c>
      <c r="KO41" s="5">
        <v>1813840</v>
      </c>
      <c r="KP41" s="5">
        <v>1343570</v>
      </c>
      <c r="KQ41" s="5">
        <v>149770</v>
      </c>
      <c r="KR41" s="5">
        <v>119623</v>
      </c>
      <c r="KS41" s="5">
        <v>239794</v>
      </c>
      <c r="KT41" s="258" t="s">
        <v>185</v>
      </c>
      <c r="KU41" s="259" t="s">
        <v>185</v>
      </c>
      <c r="KV41" s="316">
        <v>424562</v>
      </c>
      <c r="KW41" s="332">
        <f t="shared" ref="KW41:KW52" si="495">+KZ41+LC41</f>
        <v>265368</v>
      </c>
      <c r="KX41" s="332">
        <f t="shared" ref="KX41:KX52" si="496">+LA41+LD41</f>
        <v>159194</v>
      </c>
      <c r="KY41" s="332">
        <f t="shared" ref="KY41:KY52" si="497">+KZ41+LA41</f>
        <v>405412</v>
      </c>
      <c r="KZ41" s="318">
        <v>255296</v>
      </c>
      <c r="LA41" s="318">
        <v>150116</v>
      </c>
      <c r="LB41" s="332">
        <f t="shared" ref="LB41:LB52" si="498">+LC41+LD41</f>
        <v>19150</v>
      </c>
      <c r="LC41" s="318">
        <v>10072</v>
      </c>
      <c r="LD41" s="318">
        <v>9078</v>
      </c>
      <c r="LE41" s="316">
        <v>625155</v>
      </c>
      <c r="LF41" s="332">
        <f t="shared" ref="LF41:LF52" si="499">+LI41+LL41+LO41</f>
        <v>381580</v>
      </c>
      <c r="LG41" s="332">
        <f t="shared" ref="LG41:LG52" si="500">+LJ41+LM41+LP41</f>
        <v>243575</v>
      </c>
      <c r="LH41" s="332">
        <f t="shared" ref="LH41:LH52" si="501">+LI41+LJ41</f>
        <v>589408</v>
      </c>
      <c r="LI41" s="318">
        <v>363207</v>
      </c>
      <c r="LJ41" s="318">
        <v>226201</v>
      </c>
      <c r="LK41" s="332">
        <f t="shared" ref="LK41:LK52" si="502">+LL41+LM41</f>
        <v>26512</v>
      </c>
      <c r="LL41" s="318">
        <v>12573</v>
      </c>
      <c r="LM41" s="318">
        <v>13939</v>
      </c>
      <c r="LN41" s="332">
        <f t="shared" ref="LN41:LN52" si="503">+LO41+LP41</f>
        <v>9235</v>
      </c>
      <c r="LO41" s="318">
        <v>5800</v>
      </c>
      <c r="LP41" s="318">
        <v>3435</v>
      </c>
      <c r="LQ41" s="316">
        <v>1082285</v>
      </c>
      <c r="LR41" s="332">
        <f t="shared" ref="LR41:LR52" si="504">+LU41+LZ41+MC41+MF41</f>
        <v>628768</v>
      </c>
      <c r="LS41" s="332">
        <f t="shared" ref="LS41:LS52" si="505">+LV41+MA41+MD41+MG41</f>
        <v>453517</v>
      </c>
      <c r="LT41" s="342">
        <f t="shared" ref="LT41:LT52" si="506">+LU41+LV41</f>
        <v>945698</v>
      </c>
      <c r="LU41" s="318">
        <v>560108</v>
      </c>
      <c r="LV41" s="318">
        <v>385590</v>
      </c>
      <c r="LW41" s="318">
        <v>68660</v>
      </c>
      <c r="LX41" s="318">
        <v>67927</v>
      </c>
      <c r="LY41" s="342">
        <f t="shared" ref="LY41:LY52" si="507">+LZ41+MA41</f>
        <v>66991</v>
      </c>
      <c r="LZ41" s="318">
        <v>29582</v>
      </c>
      <c r="MA41" s="318">
        <v>37409</v>
      </c>
      <c r="MB41" s="342">
        <f t="shared" ref="MB41:MB52" si="508">+MC41+MD41</f>
        <v>17711</v>
      </c>
      <c r="MC41" s="318">
        <v>10304</v>
      </c>
      <c r="MD41" s="318">
        <v>7407</v>
      </c>
      <c r="ME41" s="333">
        <f t="shared" ref="ME41:ME52" si="509">+MF41+MG41</f>
        <v>51885</v>
      </c>
      <c r="MF41" s="333">
        <f t="shared" ref="MF41:MF52" si="510">+MI41+ML41</f>
        <v>28774</v>
      </c>
      <c r="MG41" s="333">
        <f t="shared" ref="MG41:MG52" si="511">+MJ41+MM41</f>
        <v>23111</v>
      </c>
      <c r="MH41" s="334">
        <f t="shared" ref="MH41:MH52" si="512">+MI41+MJ41</f>
        <v>1160</v>
      </c>
      <c r="MI41" s="334">
        <f t="shared" ref="MI41:MI52" si="513">+LW41-LZ41-MC41-ML41</f>
        <v>678</v>
      </c>
      <c r="MJ41" s="334">
        <f t="shared" ref="MJ41:MJ52" si="514">+LX41-MA41-MD41-MM41</f>
        <v>482</v>
      </c>
      <c r="MK41" s="318">
        <v>50725</v>
      </c>
      <c r="ML41" s="318">
        <v>28096</v>
      </c>
      <c r="MM41" s="318">
        <v>22629</v>
      </c>
      <c r="MN41" s="14">
        <f t="shared" ref="MN41:MN52" si="515">+JK41+QB41</f>
        <v>1534996</v>
      </c>
      <c r="MO41" s="332">
        <f t="shared" ref="MO41:MO52" si="516">+MS41+MY41+NB41+NE41</f>
        <v>826520</v>
      </c>
      <c r="MP41" s="332">
        <f t="shared" ref="MP41:MP52" si="517">+MT41+MZ41+NC41+NF41</f>
        <v>708476</v>
      </c>
      <c r="MQ41" s="13">
        <f t="shared" ref="MQ41:MQ52" si="518">+JL41+QC41</f>
        <v>1330273</v>
      </c>
      <c r="MR41" s="136">
        <f t="shared" ref="MR41:MR52" si="519">+MS41+MT41</f>
        <v>1309749</v>
      </c>
      <c r="MS41" s="318">
        <v>718491</v>
      </c>
      <c r="MT41" s="318">
        <v>591258</v>
      </c>
      <c r="MU41" s="318">
        <v>108029</v>
      </c>
      <c r="MV41" s="318">
        <v>117218</v>
      </c>
      <c r="MW41" s="13">
        <f t="shared" ref="MW41:MW52" si="520">+JM41+QD41</f>
        <v>106581</v>
      </c>
      <c r="MX41" s="136">
        <f t="shared" ref="MX41:MX52" si="521">+MY41+MZ41</f>
        <v>105791</v>
      </c>
      <c r="MY41" s="318">
        <v>43836</v>
      </c>
      <c r="MZ41" s="318">
        <v>61955</v>
      </c>
      <c r="NA41" s="13">
        <f t="shared" ref="NA41:NA52" si="522">+NB41+NC41</f>
        <v>33710</v>
      </c>
      <c r="NB41" s="318">
        <v>17611</v>
      </c>
      <c r="NC41" s="318">
        <v>16099</v>
      </c>
      <c r="ND41" s="11">
        <f t="shared" ref="ND41:ND52" si="523">+JO41+QF41</f>
        <v>98142</v>
      </c>
      <c r="NE41" s="335">
        <f t="shared" ref="NE41:NE52" si="524">+NH41+NK41</f>
        <v>46582</v>
      </c>
      <c r="NF41" s="335">
        <f t="shared" ref="NF41:NF52" si="525">+NI41+NL41</f>
        <v>39164</v>
      </c>
      <c r="NG41" s="336">
        <f t="shared" ref="NG41:NG52" si="526">+NH41+NI41</f>
        <v>478</v>
      </c>
      <c r="NH41" s="336">
        <f t="shared" ref="NH41:NH52" si="527">+MU41-MY41-NB41-NK41</f>
        <v>261</v>
      </c>
      <c r="NI41" s="336">
        <f t="shared" ref="NI41:NI52" si="528">+MV41-MZ41-NC41-NL41</f>
        <v>217</v>
      </c>
      <c r="NJ41" s="337">
        <f t="shared" ref="NJ41:NJ52" si="529">+NK41+NL41</f>
        <v>85268</v>
      </c>
      <c r="NK41" s="337">
        <f t="shared" ref="NK41:NK52" si="530">+NM41+NO41</f>
        <v>46321</v>
      </c>
      <c r="NL41" s="337">
        <f t="shared" ref="NL41:NL52" si="531">+NN41+NP41</f>
        <v>38947</v>
      </c>
      <c r="NM41" s="318">
        <v>977</v>
      </c>
      <c r="NN41" s="318">
        <v>866</v>
      </c>
      <c r="NO41" s="318">
        <v>45344</v>
      </c>
      <c r="NP41" s="318">
        <v>38081</v>
      </c>
      <c r="NQ41" s="338">
        <v>2078049</v>
      </c>
      <c r="NR41" s="318">
        <v>1054577</v>
      </c>
      <c r="NS41" s="318">
        <v>1023472</v>
      </c>
      <c r="NT41" s="7">
        <f t="shared" ref="NT41:NT52" si="532">+JQ41+QH41</f>
        <v>1709433</v>
      </c>
      <c r="NU41" s="7">
        <v>883770</v>
      </c>
      <c r="NV41" s="7">
        <v>825663</v>
      </c>
      <c r="NW41" s="125">
        <f t="shared" ref="NW41:NW52" si="533">+NX41+NY41</f>
        <v>1669279</v>
      </c>
      <c r="NX41" s="318">
        <v>863292</v>
      </c>
      <c r="NY41" s="318">
        <v>805987</v>
      </c>
      <c r="NZ41" s="7">
        <f t="shared" ref="NZ41:NZ52" si="534">+OA41+OB41</f>
        <v>156328</v>
      </c>
      <c r="OA41" s="318">
        <v>62626</v>
      </c>
      <c r="OB41" s="318">
        <v>93702</v>
      </c>
      <c r="OC41" s="7">
        <f t="shared" ref="OC41:OC52" si="535">+OD41+OE41</f>
        <v>68307</v>
      </c>
      <c r="OD41" s="318">
        <v>33806</v>
      </c>
      <c r="OE41" s="318">
        <v>34501</v>
      </c>
      <c r="OF41" s="125">
        <f t="shared" ref="OF41:OF52" si="536">+NQ41-NT41-NZ41</f>
        <v>212288</v>
      </c>
      <c r="OG41" s="125">
        <f t="shared" ref="OG41:OG52" si="537">+NR41-NU41-OA41</f>
        <v>108181</v>
      </c>
      <c r="OH41" s="125">
        <f t="shared" ref="OH41:OH52" si="538">+NS41-NV41-OB41</f>
        <v>104107</v>
      </c>
      <c r="OI41" s="326">
        <v>2407235</v>
      </c>
      <c r="OJ41" s="318">
        <v>1921125</v>
      </c>
      <c r="OK41" s="318">
        <v>195366</v>
      </c>
      <c r="OL41" s="318">
        <v>290744</v>
      </c>
      <c r="OM41" s="7">
        <v>107267</v>
      </c>
      <c r="ON41" s="12">
        <v>2461724</v>
      </c>
      <c r="OO41" s="5">
        <v>1959614</v>
      </c>
      <c r="OP41" s="5">
        <v>203821</v>
      </c>
      <c r="OQ41" s="5">
        <v>298289</v>
      </c>
      <c r="OR41" s="5">
        <v>113567</v>
      </c>
      <c r="OS41" s="12">
        <v>2530044</v>
      </c>
      <c r="OT41" s="5">
        <v>2026667</v>
      </c>
      <c r="OU41" s="5">
        <v>206809</v>
      </c>
      <c r="OV41" s="5">
        <v>296568</v>
      </c>
      <c r="OW41" s="5">
        <v>116786</v>
      </c>
      <c r="OX41" s="12">
        <v>2571670</v>
      </c>
      <c r="OY41" s="5">
        <v>2045120</v>
      </c>
      <c r="OZ41" s="5">
        <v>209940</v>
      </c>
      <c r="PA41" s="5">
        <v>316610</v>
      </c>
      <c r="PB41" s="5">
        <v>127183</v>
      </c>
      <c r="PC41" s="12">
        <v>2615916.75</v>
      </c>
      <c r="PD41" s="5">
        <v>2085776.6880000001</v>
      </c>
      <c r="PE41" s="5">
        <v>208312.40500000003</v>
      </c>
      <c r="PF41" s="5">
        <v>131724.75900000002</v>
      </c>
      <c r="PG41" s="5">
        <v>321827.65699999989</v>
      </c>
      <c r="PH41" s="5">
        <v>2656127</v>
      </c>
      <c r="PI41" s="5">
        <v>2114198</v>
      </c>
      <c r="PJ41" s="5">
        <v>212288</v>
      </c>
      <c r="PK41" s="5">
        <v>135454</v>
      </c>
      <c r="PL41" s="2">
        <v>329641</v>
      </c>
      <c r="PM41" s="2">
        <v>2708945</v>
      </c>
      <c r="PN41" s="2">
        <v>2052313</v>
      </c>
      <c r="PO41" s="2">
        <v>218378</v>
      </c>
      <c r="PP41" s="2">
        <v>139415</v>
      </c>
      <c r="PQ41" s="2">
        <v>339837</v>
      </c>
      <c r="PR41" s="2">
        <v>2853540</v>
      </c>
      <c r="PS41" s="2">
        <v>2129605</v>
      </c>
      <c r="PT41" s="2">
        <v>233360</v>
      </c>
      <c r="PU41" s="2">
        <v>160792</v>
      </c>
      <c r="PV41" s="2">
        <v>383236</v>
      </c>
      <c r="PW41" s="2">
        <v>2942285</v>
      </c>
      <c r="PX41" s="2">
        <v>2164500</v>
      </c>
      <c r="PY41" s="2">
        <v>249798</v>
      </c>
      <c r="PZ41" s="2">
        <v>174707</v>
      </c>
      <c r="QA41" s="2">
        <v>408004</v>
      </c>
      <c r="QB41" s="12">
        <v>545188</v>
      </c>
      <c r="QC41" s="5">
        <v>471360</v>
      </c>
      <c r="QD41" s="5">
        <v>36565</v>
      </c>
      <c r="QE41" s="5">
        <v>12372</v>
      </c>
      <c r="QF41" s="5">
        <v>37263</v>
      </c>
      <c r="QG41" s="12">
        <v>760867</v>
      </c>
      <c r="QH41" s="5">
        <v>622948</v>
      </c>
      <c r="QI41" s="5">
        <v>53839</v>
      </c>
      <c r="QJ41" s="5">
        <v>24333</v>
      </c>
      <c r="QK41" s="5">
        <v>84080</v>
      </c>
      <c r="QL41" s="12">
        <v>971441</v>
      </c>
      <c r="QM41" s="5">
        <v>771130</v>
      </c>
      <c r="QN41" s="5">
        <v>77447</v>
      </c>
      <c r="QO41" s="5">
        <v>39432</v>
      </c>
      <c r="QP41" s="5">
        <v>122864</v>
      </c>
      <c r="QQ41" s="12">
        <v>990492.74999999988</v>
      </c>
      <c r="QR41" s="5">
        <v>786964.82400000002</v>
      </c>
      <c r="QS41" s="5">
        <v>78820.91</v>
      </c>
      <c r="QT41" s="5">
        <v>41766.387000000002</v>
      </c>
      <c r="QU41" s="10">
        <v>124707.01599999986</v>
      </c>
      <c r="QV41" s="1">
        <v>1001136</v>
      </c>
      <c r="QW41" s="2">
        <v>792991</v>
      </c>
      <c r="QX41" s="2">
        <v>78757</v>
      </c>
      <c r="QY41" s="2">
        <v>41610</v>
      </c>
      <c r="QZ41" s="69">
        <v>129388</v>
      </c>
      <c r="RA41" s="2">
        <v>1030849</v>
      </c>
      <c r="RB41" s="2">
        <v>778924</v>
      </c>
      <c r="RC41" s="2">
        <v>82965</v>
      </c>
      <c r="RD41" s="2">
        <v>43158</v>
      </c>
      <c r="RE41" s="2">
        <v>137567</v>
      </c>
      <c r="RF41" s="2">
        <v>1095843</v>
      </c>
      <c r="RG41" s="2">
        <v>817901</v>
      </c>
      <c r="RH41" s="2">
        <v>88471</v>
      </c>
      <c r="RI41" s="2">
        <v>50592</v>
      </c>
      <c r="RJ41" s="2">
        <v>153047</v>
      </c>
      <c r="RK41" s="2">
        <v>1128445</v>
      </c>
      <c r="RL41" s="2">
        <v>820930</v>
      </c>
      <c r="RM41" s="2">
        <v>100028</v>
      </c>
      <c r="RN41" s="2">
        <v>55084</v>
      </c>
      <c r="RO41" s="2">
        <v>168210</v>
      </c>
    </row>
    <row r="42" spans="1:483" ht="14.25" x14ac:dyDescent="0.2">
      <c r="A42" s="217" t="s">
        <v>25</v>
      </c>
      <c r="B42" s="258" t="s">
        <v>185</v>
      </c>
      <c r="C42" s="259" t="s">
        <v>185</v>
      </c>
      <c r="D42" s="259" t="s">
        <v>185</v>
      </c>
      <c r="E42" s="259" t="s">
        <v>185</v>
      </c>
      <c r="F42" s="260" t="s">
        <v>185</v>
      </c>
      <c r="G42" s="5">
        <v>297423</v>
      </c>
      <c r="H42" s="5">
        <v>265490</v>
      </c>
      <c r="I42" s="5">
        <v>24730</v>
      </c>
      <c r="J42" s="5">
        <v>9315</v>
      </c>
      <c r="K42" s="10">
        <v>7203</v>
      </c>
      <c r="L42" s="5">
        <v>206540</v>
      </c>
      <c r="M42" s="5">
        <v>170986</v>
      </c>
      <c r="N42" s="5">
        <v>16536</v>
      </c>
      <c r="O42" s="5">
        <v>23589</v>
      </c>
      <c r="P42" s="10">
        <v>19018</v>
      </c>
      <c r="Q42" s="7">
        <v>180571</v>
      </c>
      <c r="R42" s="7">
        <v>143378</v>
      </c>
      <c r="S42" s="7">
        <v>12941</v>
      </c>
      <c r="T42" s="7">
        <v>39708</v>
      </c>
      <c r="U42" s="577">
        <v>24252</v>
      </c>
      <c r="V42" s="7">
        <v>174429</v>
      </c>
      <c r="W42" s="7">
        <v>134103</v>
      </c>
      <c r="X42" s="7">
        <v>11718</v>
      </c>
      <c r="Y42" s="7">
        <v>42918</v>
      </c>
      <c r="Z42" s="7">
        <v>28524</v>
      </c>
      <c r="AA42" s="7">
        <v>175348</v>
      </c>
      <c r="AB42" s="7">
        <v>113399</v>
      </c>
      <c r="AC42" s="7">
        <v>11095</v>
      </c>
      <c r="AD42" s="7">
        <v>43921</v>
      </c>
      <c r="AE42" s="675">
        <v>29435</v>
      </c>
      <c r="AF42" s="560">
        <v>164941</v>
      </c>
      <c r="AG42" s="560">
        <v>100262</v>
      </c>
      <c r="AH42" s="560">
        <v>8147</v>
      </c>
      <c r="AI42" s="560">
        <v>47706</v>
      </c>
      <c r="AJ42" s="560">
        <v>27583</v>
      </c>
      <c r="AK42" s="560">
        <v>164742</v>
      </c>
      <c r="AL42" s="560">
        <v>101168</v>
      </c>
      <c r="AM42" s="560">
        <v>10423</v>
      </c>
      <c r="AN42" s="560">
        <v>40826</v>
      </c>
      <c r="AO42" s="560">
        <v>30687</v>
      </c>
      <c r="AP42" s="12">
        <v>552591</v>
      </c>
      <c r="AQ42" s="5">
        <v>487581</v>
      </c>
      <c r="AR42" s="5">
        <v>57794</v>
      </c>
      <c r="AS42" s="5">
        <v>8055</v>
      </c>
      <c r="AT42" s="10">
        <v>7216</v>
      </c>
      <c r="AU42" s="5">
        <v>489000</v>
      </c>
      <c r="AV42" s="5">
        <v>414615</v>
      </c>
      <c r="AW42" s="5">
        <v>55164</v>
      </c>
      <c r="AX42" s="5">
        <v>19015</v>
      </c>
      <c r="AY42" s="10">
        <v>19221</v>
      </c>
      <c r="AZ42" s="5">
        <v>380749</v>
      </c>
      <c r="BA42" s="5">
        <v>314356</v>
      </c>
      <c r="BB42" s="5">
        <v>44098</v>
      </c>
      <c r="BC42" s="5">
        <v>31000</v>
      </c>
      <c r="BD42" s="10">
        <v>22295</v>
      </c>
      <c r="BE42" s="5">
        <v>366014</v>
      </c>
      <c r="BF42" s="5">
        <v>301080</v>
      </c>
      <c r="BG42" s="5">
        <v>43981</v>
      </c>
      <c r="BH42" s="5">
        <v>31209</v>
      </c>
      <c r="BI42" s="5">
        <v>20860</v>
      </c>
      <c r="BJ42" s="5">
        <v>361740</v>
      </c>
      <c r="BK42" s="5">
        <v>280263</v>
      </c>
      <c r="BL42" s="5">
        <v>42796</v>
      </c>
      <c r="BM42" s="5">
        <v>30536</v>
      </c>
      <c r="BN42" s="53">
        <v>22428</v>
      </c>
      <c r="BO42" s="53">
        <v>349195</v>
      </c>
      <c r="BP42" s="53">
        <v>263327</v>
      </c>
      <c r="BQ42" s="53">
        <v>44903</v>
      </c>
      <c r="BR42" s="53">
        <v>31983</v>
      </c>
      <c r="BS42" s="53">
        <v>20511</v>
      </c>
      <c r="BT42" s="53">
        <v>346757</v>
      </c>
      <c r="BU42" s="53">
        <v>259234</v>
      </c>
      <c r="BV42" s="53">
        <v>43104</v>
      </c>
      <c r="BW42" s="53">
        <v>33598</v>
      </c>
      <c r="BX42" s="53">
        <v>25942</v>
      </c>
      <c r="BY42" s="12">
        <v>549810</v>
      </c>
      <c r="BZ42" s="5">
        <v>443623</v>
      </c>
      <c r="CA42" s="5">
        <v>56507</v>
      </c>
      <c r="CB42" s="5">
        <v>73397</v>
      </c>
      <c r="CC42" s="290">
        <f t="shared" si="483"/>
        <v>49680</v>
      </c>
      <c r="CD42" s="258" t="s">
        <v>185</v>
      </c>
      <c r="CE42" s="259" t="s">
        <v>185</v>
      </c>
      <c r="CF42" s="259" t="s">
        <v>185</v>
      </c>
      <c r="CG42" s="259" t="s">
        <v>185</v>
      </c>
      <c r="CH42" s="258" t="s">
        <v>185</v>
      </c>
      <c r="CI42" s="259" t="s">
        <v>185</v>
      </c>
      <c r="CJ42" s="259" t="s">
        <v>185</v>
      </c>
      <c r="CK42" s="259" t="s">
        <v>185</v>
      </c>
      <c r="CL42" s="260" t="s">
        <v>185</v>
      </c>
      <c r="CM42" s="5">
        <v>2639456</v>
      </c>
      <c r="CN42" s="5">
        <v>2449249</v>
      </c>
      <c r="CO42" s="5">
        <v>155763</v>
      </c>
      <c r="CP42" s="5">
        <v>29033</v>
      </c>
      <c r="CQ42" s="10">
        <v>34444</v>
      </c>
      <c r="CR42" s="5">
        <v>3197738</v>
      </c>
      <c r="CS42" s="5">
        <v>2893300</v>
      </c>
      <c r="CT42" s="5">
        <v>214394</v>
      </c>
      <c r="CU42" s="5">
        <v>58657</v>
      </c>
      <c r="CV42" s="5">
        <v>90044</v>
      </c>
      <c r="CW42" s="195">
        <v>3500473</v>
      </c>
      <c r="CX42" s="5">
        <v>3114446</v>
      </c>
      <c r="CY42" s="5">
        <v>257069</v>
      </c>
      <c r="CZ42" s="5">
        <v>128958</v>
      </c>
      <c r="DA42" s="5">
        <v>92140</v>
      </c>
      <c r="DB42" s="12">
        <v>3554779</v>
      </c>
      <c r="DC42" s="5">
        <v>3161278</v>
      </c>
      <c r="DD42" s="5">
        <v>263049</v>
      </c>
      <c r="DE42" s="5">
        <v>130452</v>
      </c>
      <c r="DF42" s="5">
        <v>96026</v>
      </c>
      <c r="DG42" s="56">
        <v>3579477</v>
      </c>
      <c r="DH42" s="54">
        <v>3177281</v>
      </c>
      <c r="DI42" s="54">
        <v>268417</v>
      </c>
      <c r="DJ42" s="54">
        <v>133779</v>
      </c>
      <c r="DK42" s="54">
        <v>101776</v>
      </c>
      <c r="DL42" s="12">
        <v>3639111</v>
      </c>
      <c r="DM42" s="5">
        <v>3219699</v>
      </c>
      <c r="DN42" s="5">
        <v>281058</v>
      </c>
      <c r="DO42" s="5">
        <v>112614</v>
      </c>
      <c r="DP42" s="5">
        <v>101511</v>
      </c>
      <c r="DQ42" s="12">
        <v>3679496.2200000007</v>
      </c>
      <c r="DR42" s="5">
        <v>3249538.1820000005</v>
      </c>
      <c r="DS42" s="5">
        <v>285958.27500000002</v>
      </c>
      <c r="DT42" s="5">
        <v>115770.204</v>
      </c>
      <c r="DU42" s="530">
        <f t="shared" si="484"/>
        <v>143999.76300000015</v>
      </c>
      <c r="DV42" s="5">
        <v>3715899</v>
      </c>
      <c r="DW42" s="5">
        <v>3279742</v>
      </c>
      <c r="DX42" s="5">
        <v>290174</v>
      </c>
      <c r="DY42" s="5">
        <v>121017</v>
      </c>
      <c r="DZ42" s="5">
        <v>145361</v>
      </c>
      <c r="EA42" s="5">
        <v>3750083</v>
      </c>
      <c r="EB42" s="5">
        <v>3224242</v>
      </c>
      <c r="EC42" s="5">
        <v>297606</v>
      </c>
      <c r="ED42" s="5">
        <v>126821</v>
      </c>
      <c r="EE42" s="5">
        <v>153225</v>
      </c>
      <c r="EF42" s="5">
        <v>3849437</v>
      </c>
      <c r="EG42" s="5">
        <v>3288581</v>
      </c>
      <c r="EH42" s="5">
        <v>311392</v>
      </c>
      <c r="EI42" s="5">
        <v>134491</v>
      </c>
      <c r="EJ42" s="5">
        <v>165415</v>
      </c>
      <c r="EK42" s="5">
        <v>3881077</v>
      </c>
      <c r="EL42" s="5">
        <v>3296102</v>
      </c>
      <c r="EM42" s="5">
        <v>316669</v>
      </c>
      <c r="EN42" s="5">
        <v>149640</v>
      </c>
      <c r="EO42" s="5">
        <v>174628</v>
      </c>
      <c r="EP42" s="258" t="s">
        <v>185</v>
      </c>
      <c r="EQ42" s="259" t="s">
        <v>185</v>
      </c>
      <c r="ER42" s="259" t="s">
        <v>185</v>
      </c>
      <c r="ES42" s="259" t="s">
        <v>185</v>
      </c>
      <c r="ET42" s="260" t="s">
        <v>185</v>
      </c>
      <c r="EU42" s="5">
        <v>763422</v>
      </c>
      <c r="EV42" s="5">
        <v>695298</v>
      </c>
      <c r="EW42" s="5">
        <v>59119</v>
      </c>
      <c r="EX42" s="5">
        <v>9819</v>
      </c>
      <c r="EY42" s="10">
        <v>9005</v>
      </c>
      <c r="EZ42" s="5">
        <v>994391</v>
      </c>
      <c r="FA42" s="5">
        <v>882193</v>
      </c>
      <c r="FB42" s="5">
        <v>85078</v>
      </c>
      <c r="FC42" s="5">
        <v>19182</v>
      </c>
      <c r="FD42" s="10">
        <v>27120</v>
      </c>
      <c r="FE42" s="5">
        <v>1191030</v>
      </c>
      <c r="FF42" s="5">
        <v>1036420</v>
      </c>
      <c r="FG42" s="5">
        <v>115256</v>
      </c>
      <c r="FH42" s="5">
        <v>36661</v>
      </c>
      <c r="FI42" s="10">
        <v>39354</v>
      </c>
      <c r="FJ42" s="5">
        <v>1209581.5160000001</v>
      </c>
      <c r="FK42" s="5">
        <v>1049907.672</v>
      </c>
      <c r="FL42" s="5">
        <v>119862.74999999999</v>
      </c>
      <c r="FM42" s="5">
        <v>36698.397999999994</v>
      </c>
      <c r="FN42" s="10">
        <v>39811.094000000056</v>
      </c>
      <c r="FO42" s="5">
        <v>1222194</v>
      </c>
      <c r="FP42" s="5">
        <v>1061244</v>
      </c>
      <c r="FQ42" s="5">
        <v>119683</v>
      </c>
      <c r="FR42" s="5">
        <v>38627</v>
      </c>
      <c r="FS42" s="618">
        <v>40987</v>
      </c>
      <c r="FT42" s="618">
        <v>1242493</v>
      </c>
      <c r="FU42" s="618">
        <v>1048923</v>
      </c>
      <c r="FV42" s="618">
        <v>125740</v>
      </c>
      <c r="FW42" s="618">
        <v>40632</v>
      </c>
      <c r="FX42" s="618">
        <v>44222</v>
      </c>
      <c r="FY42" s="618">
        <v>1264542</v>
      </c>
      <c r="FZ42" s="618">
        <v>1064935</v>
      </c>
      <c r="GA42" s="618">
        <v>127982</v>
      </c>
      <c r="GB42" s="618">
        <v>44041</v>
      </c>
      <c r="GC42" s="618">
        <v>44695</v>
      </c>
      <c r="GD42" s="618">
        <v>1274349</v>
      </c>
      <c r="GE42" s="618">
        <v>1056348</v>
      </c>
      <c r="GF42" s="618">
        <v>134854</v>
      </c>
      <c r="GG42" s="618">
        <v>52773</v>
      </c>
      <c r="GH42" s="618">
        <v>51612</v>
      </c>
      <c r="GI42" s="12">
        <v>184717</v>
      </c>
      <c r="GJ42" s="5">
        <v>170127</v>
      </c>
      <c r="GK42" s="5">
        <v>12019</v>
      </c>
      <c r="GL42" s="5">
        <v>2260</v>
      </c>
      <c r="GM42" s="10">
        <v>2571</v>
      </c>
      <c r="GN42" s="5">
        <v>225535</v>
      </c>
      <c r="GO42" s="5">
        <v>203358</v>
      </c>
      <c r="GP42" s="5">
        <v>15884</v>
      </c>
      <c r="GQ42" s="5">
        <v>3830</v>
      </c>
      <c r="GR42" s="10">
        <v>6293</v>
      </c>
      <c r="GS42" s="12">
        <v>313558</v>
      </c>
      <c r="GT42" s="5">
        <v>277851</v>
      </c>
      <c r="GU42" s="5">
        <v>25990</v>
      </c>
      <c r="GV42" s="5">
        <v>9779</v>
      </c>
      <c r="GW42" s="5">
        <v>9717</v>
      </c>
      <c r="GX42" s="12"/>
      <c r="GY42" s="5"/>
      <c r="GZ42" s="5"/>
      <c r="HA42" s="5"/>
      <c r="HB42" s="10"/>
      <c r="HC42" s="5">
        <v>334180</v>
      </c>
      <c r="HD42" s="5">
        <v>296533</v>
      </c>
      <c r="HE42" s="5">
        <v>27047</v>
      </c>
      <c r="HF42" s="5">
        <v>9593</v>
      </c>
      <c r="HG42" s="5">
        <v>10563</v>
      </c>
      <c r="HH42" s="5">
        <v>345182</v>
      </c>
      <c r="HI42" s="5">
        <v>299300</v>
      </c>
      <c r="HJ42" s="5">
        <v>28409</v>
      </c>
      <c r="HK42" s="5">
        <v>9834</v>
      </c>
      <c r="HL42" s="5">
        <v>11765</v>
      </c>
      <c r="HM42" s="5">
        <v>364142</v>
      </c>
      <c r="HN42" s="5">
        <v>311234</v>
      </c>
      <c r="HO42" s="5">
        <v>33818</v>
      </c>
      <c r="HP42" s="5">
        <v>10906</v>
      </c>
      <c r="HQ42" s="5">
        <v>12317</v>
      </c>
      <c r="HR42" s="5">
        <v>374136</v>
      </c>
      <c r="HS42" s="5">
        <v>312779</v>
      </c>
      <c r="HT42" s="5">
        <v>38589</v>
      </c>
      <c r="HU42" s="5">
        <v>14064</v>
      </c>
      <c r="HV42" s="5">
        <v>14105</v>
      </c>
      <c r="HW42" s="569">
        <f t="shared" ref="HW42:HW52" si="539">GI42+JK42+QB42</f>
        <v>727658</v>
      </c>
      <c r="HX42" s="546">
        <f t="shared" ref="HX42:HX52" si="540">GJ42+JL42+QC42</f>
        <v>677549</v>
      </c>
      <c r="HY42" s="546">
        <f t="shared" ref="HY42:HY52" si="541">GK42+JM42+QD42</f>
        <v>34222</v>
      </c>
      <c r="HZ42" s="546">
        <f t="shared" ref="HZ42:HZ52" si="542">GL42+JN42+QE42</f>
        <v>7292</v>
      </c>
      <c r="IA42" s="546">
        <f t="shared" ref="IA42:IA52" si="543">GM42+JO42+QF42</f>
        <v>15887</v>
      </c>
      <c r="IB42" s="569">
        <f t="shared" ref="IB42:IB52" si="544">GN42+JP42+QG42</f>
        <v>981148</v>
      </c>
      <c r="IC42" s="546">
        <f t="shared" ref="IC42:IC52" si="545">GO42+JQ42+QH42</f>
        <v>892541</v>
      </c>
      <c r="ID42" s="546">
        <f t="shared" ref="ID42:ID52" si="546">GP42+JR42+QI42</f>
        <v>50470</v>
      </c>
      <c r="IE42" s="546">
        <f t="shared" ref="IE42:IE52" si="547">GQ42+JS42+QJ42</f>
        <v>15228</v>
      </c>
      <c r="IF42" s="546">
        <f t="shared" ref="IF42:IF52" si="548">GR42+JT42+QK42</f>
        <v>38137</v>
      </c>
      <c r="IG42" s="12">
        <v>1094854</v>
      </c>
      <c r="IH42" s="5">
        <v>977767</v>
      </c>
      <c r="II42" s="5">
        <v>66083</v>
      </c>
      <c r="IJ42" s="5">
        <v>27725</v>
      </c>
      <c r="IK42" s="5">
        <v>51004</v>
      </c>
      <c r="IL42" s="565"/>
      <c r="IM42" s="7"/>
      <c r="IN42" s="7"/>
      <c r="IO42" s="7"/>
      <c r="IP42" s="7"/>
      <c r="IQ42" s="7">
        <v>1317183</v>
      </c>
      <c r="IR42" s="7">
        <v>1170593</v>
      </c>
      <c r="IS42" s="7">
        <v>79665</v>
      </c>
      <c r="IT42" s="7">
        <v>34262</v>
      </c>
      <c r="IU42" s="577">
        <v>66791</v>
      </c>
      <c r="IV42" s="7">
        <v>1351461</v>
      </c>
      <c r="IW42" s="7">
        <v>1175591</v>
      </c>
      <c r="IX42" s="7">
        <v>83744</v>
      </c>
      <c r="IY42" s="7">
        <v>34155</v>
      </c>
      <c r="IZ42" s="7">
        <v>69439</v>
      </c>
      <c r="JA42" s="565">
        <v>1452262</v>
      </c>
      <c r="JB42" s="7">
        <v>1249428</v>
      </c>
      <c r="JC42" s="7">
        <v>95375</v>
      </c>
      <c r="JD42" s="7">
        <v>36486</v>
      </c>
      <c r="JE42" s="7">
        <v>83147</v>
      </c>
      <c r="JF42" s="565">
        <v>1498982</v>
      </c>
      <c r="JG42" s="7">
        <v>1291303</v>
      </c>
      <c r="JH42" s="7">
        <v>96889</v>
      </c>
      <c r="JI42" s="7">
        <v>43805</v>
      </c>
      <c r="JJ42" s="7">
        <v>81293</v>
      </c>
      <c r="JK42" s="12">
        <v>321278</v>
      </c>
      <c r="JL42" s="5">
        <v>301685</v>
      </c>
      <c r="JM42" s="5">
        <v>13525</v>
      </c>
      <c r="JN42" s="5">
        <v>3021</v>
      </c>
      <c r="JO42" s="5">
        <v>6068</v>
      </c>
      <c r="JP42" s="12">
        <v>475247</v>
      </c>
      <c r="JQ42" s="5">
        <v>435202</v>
      </c>
      <c r="JR42" s="5">
        <v>23137</v>
      </c>
      <c r="JS42" s="5">
        <v>7146</v>
      </c>
      <c r="JT42" s="5">
        <v>16908</v>
      </c>
      <c r="JU42" s="12">
        <v>612297</v>
      </c>
      <c r="JV42" s="5">
        <v>550122</v>
      </c>
      <c r="JW42" s="5">
        <v>34321</v>
      </c>
      <c r="JX42" s="5">
        <v>14243</v>
      </c>
      <c r="JY42" s="5">
        <v>27854</v>
      </c>
      <c r="JZ42" s="12">
        <v>617478.67599999998</v>
      </c>
      <c r="KA42" s="5">
        <v>554528.69999999995</v>
      </c>
      <c r="KB42" s="5">
        <v>33219.104999999996</v>
      </c>
      <c r="KC42" s="5">
        <v>15511.693999999998</v>
      </c>
      <c r="KD42" s="5">
        <v>29730.871000000028</v>
      </c>
      <c r="KE42" s="5">
        <v>643815</v>
      </c>
      <c r="KF42" s="5">
        <v>565780</v>
      </c>
      <c r="KG42" s="5">
        <v>36220</v>
      </c>
      <c r="KH42" s="5">
        <v>16711</v>
      </c>
      <c r="KI42" s="5">
        <v>30288</v>
      </c>
      <c r="KJ42" s="5">
        <v>697223</v>
      </c>
      <c r="KK42" s="5">
        <v>611766</v>
      </c>
      <c r="KL42" s="5">
        <v>39553</v>
      </c>
      <c r="KM42" s="5">
        <v>17127</v>
      </c>
      <c r="KN42" s="5">
        <v>34250</v>
      </c>
      <c r="KO42" s="5">
        <v>716293</v>
      </c>
      <c r="KP42" s="5">
        <v>627832</v>
      </c>
      <c r="KQ42" s="5">
        <v>36526</v>
      </c>
      <c r="KR42" s="5">
        <v>21784</v>
      </c>
      <c r="KS42" s="5">
        <v>36897</v>
      </c>
      <c r="KT42" s="258" t="s">
        <v>185</v>
      </c>
      <c r="KU42" s="259" t="s">
        <v>185</v>
      </c>
      <c r="KV42" s="316">
        <v>159850</v>
      </c>
      <c r="KW42" s="332">
        <f t="shared" si="495"/>
        <v>97823</v>
      </c>
      <c r="KX42" s="332">
        <f t="shared" si="496"/>
        <v>62027</v>
      </c>
      <c r="KY42" s="332">
        <f t="shared" si="497"/>
        <v>155656</v>
      </c>
      <c r="KZ42" s="318">
        <v>95715</v>
      </c>
      <c r="LA42" s="318">
        <v>59941</v>
      </c>
      <c r="LB42" s="332">
        <f t="shared" si="498"/>
        <v>4194</v>
      </c>
      <c r="LC42" s="318">
        <v>2108</v>
      </c>
      <c r="LD42" s="318">
        <v>2086</v>
      </c>
      <c r="LE42" s="316">
        <v>229388</v>
      </c>
      <c r="LF42" s="332">
        <f t="shared" si="499"/>
        <v>137021</v>
      </c>
      <c r="LG42" s="332">
        <f t="shared" si="500"/>
        <v>92367</v>
      </c>
      <c r="LH42" s="332">
        <f t="shared" si="501"/>
        <v>220724</v>
      </c>
      <c r="LI42" s="318">
        <v>132752</v>
      </c>
      <c r="LJ42" s="318">
        <v>87972</v>
      </c>
      <c r="LK42" s="332">
        <f t="shared" si="502"/>
        <v>6306</v>
      </c>
      <c r="LL42" s="318">
        <v>2732</v>
      </c>
      <c r="LM42" s="318">
        <v>3574</v>
      </c>
      <c r="LN42" s="332">
        <f t="shared" si="503"/>
        <v>2358</v>
      </c>
      <c r="LO42" s="318">
        <v>1537</v>
      </c>
      <c r="LP42" s="318">
        <v>821</v>
      </c>
      <c r="LQ42" s="316">
        <v>392590</v>
      </c>
      <c r="LR42" s="332">
        <f t="shared" si="504"/>
        <v>227260</v>
      </c>
      <c r="LS42" s="332">
        <f t="shared" si="505"/>
        <v>165330</v>
      </c>
      <c r="LT42" s="342">
        <f t="shared" si="506"/>
        <v>369242</v>
      </c>
      <c r="LU42" s="318">
        <v>215540</v>
      </c>
      <c r="LV42" s="318">
        <v>153702</v>
      </c>
      <c r="LW42" s="318">
        <v>11720</v>
      </c>
      <c r="LX42" s="318">
        <v>11628</v>
      </c>
      <c r="LY42" s="342">
        <f t="shared" si="507"/>
        <v>14074</v>
      </c>
      <c r="LZ42" s="318">
        <v>6396</v>
      </c>
      <c r="MA42" s="318">
        <v>7678</v>
      </c>
      <c r="MB42" s="342">
        <f t="shared" si="508"/>
        <v>2935</v>
      </c>
      <c r="MC42" s="318">
        <v>1631</v>
      </c>
      <c r="MD42" s="318">
        <v>1304</v>
      </c>
      <c r="ME42" s="333">
        <f t="shared" si="509"/>
        <v>6339</v>
      </c>
      <c r="MF42" s="333">
        <f t="shared" si="510"/>
        <v>3693</v>
      </c>
      <c r="MG42" s="333">
        <f t="shared" si="511"/>
        <v>2646</v>
      </c>
      <c r="MH42" s="334">
        <f t="shared" si="512"/>
        <v>203</v>
      </c>
      <c r="MI42" s="334">
        <f t="shared" si="513"/>
        <v>128</v>
      </c>
      <c r="MJ42" s="334">
        <f t="shared" si="514"/>
        <v>75</v>
      </c>
      <c r="MK42" s="318">
        <v>6136</v>
      </c>
      <c r="ML42" s="318">
        <v>3565</v>
      </c>
      <c r="MM42" s="318">
        <v>2571</v>
      </c>
      <c r="MN42" s="14">
        <f t="shared" si="515"/>
        <v>542941</v>
      </c>
      <c r="MO42" s="332">
        <f t="shared" si="516"/>
        <v>297039</v>
      </c>
      <c r="MP42" s="332">
        <f t="shared" si="517"/>
        <v>245902</v>
      </c>
      <c r="MQ42" s="13">
        <f t="shared" si="518"/>
        <v>507422</v>
      </c>
      <c r="MR42" s="136">
        <f t="shared" si="519"/>
        <v>503928</v>
      </c>
      <c r="MS42" s="318">
        <v>277782</v>
      </c>
      <c r="MT42" s="318">
        <v>226146</v>
      </c>
      <c r="MU42" s="318">
        <v>19257</v>
      </c>
      <c r="MV42" s="318">
        <v>19756</v>
      </c>
      <c r="MW42" s="13">
        <f t="shared" si="520"/>
        <v>22203</v>
      </c>
      <c r="MX42" s="136">
        <f t="shared" si="521"/>
        <v>22144</v>
      </c>
      <c r="MY42" s="318">
        <v>9664</v>
      </c>
      <c r="MZ42" s="318">
        <v>12480</v>
      </c>
      <c r="NA42" s="13">
        <f t="shared" si="522"/>
        <v>5032</v>
      </c>
      <c r="NB42" s="318">
        <v>2865</v>
      </c>
      <c r="NC42" s="318">
        <v>2167</v>
      </c>
      <c r="ND42" s="11">
        <f t="shared" si="523"/>
        <v>13316</v>
      </c>
      <c r="NE42" s="335">
        <f t="shared" si="524"/>
        <v>6728</v>
      </c>
      <c r="NF42" s="335">
        <f t="shared" si="525"/>
        <v>5109</v>
      </c>
      <c r="NG42" s="336">
        <f t="shared" si="526"/>
        <v>119</v>
      </c>
      <c r="NH42" s="336">
        <f t="shared" si="527"/>
        <v>80</v>
      </c>
      <c r="NI42" s="336">
        <f t="shared" si="528"/>
        <v>39</v>
      </c>
      <c r="NJ42" s="337">
        <f t="shared" si="529"/>
        <v>11718</v>
      </c>
      <c r="NK42" s="337">
        <f t="shared" si="530"/>
        <v>6648</v>
      </c>
      <c r="NL42" s="337">
        <f t="shared" si="531"/>
        <v>5070</v>
      </c>
      <c r="NM42" s="318">
        <v>360</v>
      </c>
      <c r="NN42" s="318">
        <v>342</v>
      </c>
      <c r="NO42" s="318">
        <v>6288</v>
      </c>
      <c r="NP42" s="318">
        <v>4728</v>
      </c>
      <c r="NQ42" s="338">
        <v>755613</v>
      </c>
      <c r="NR42" s="318">
        <v>388215</v>
      </c>
      <c r="NS42" s="318">
        <v>367398</v>
      </c>
      <c r="NT42" s="7">
        <f t="shared" si="532"/>
        <v>689183</v>
      </c>
      <c r="NU42" s="7">
        <v>355976</v>
      </c>
      <c r="NV42" s="7">
        <v>333207</v>
      </c>
      <c r="NW42" s="125">
        <f t="shared" si="533"/>
        <v>682256</v>
      </c>
      <c r="NX42" s="318">
        <v>352470</v>
      </c>
      <c r="NY42" s="318">
        <v>329786</v>
      </c>
      <c r="NZ42" s="7">
        <f t="shared" si="534"/>
        <v>34586</v>
      </c>
      <c r="OA42" s="318">
        <v>15261</v>
      </c>
      <c r="OB42" s="318">
        <v>19325</v>
      </c>
      <c r="OC42" s="7">
        <f t="shared" si="535"/>
        <v>11398</v>
      </c>
      <c r="OD42" s="318">
        <v>5730</v>
      </c>
      <c r="OE42" s="318">
        <v>5668</v>
      </c>
      <c r="OF42" s="125">
        <f t="shared" si="536"/>
        <v>31844</v>
      </c>
      <c r="OG42" s="125">
        <f t="shared" si="537"/>
        <v>16978</v>
      </c>
      <c r="OH42" s="125">
        <f t="shared" si="538"/>
        <v>14866</v>
      </c>
      <c r="OI42" s="326">
        <v>888572</v>
      </c>
      <c r="OJ42" s="318">
        <v>796240</v>
      </c>
      <c r="OK42" s="318">
        <v>44949</v>
      </c>
      <c r="OL42" s="318">
        <v>47383</v>
      </c>
      <c r="OM42" s="7">
        <v>17945</v>
      </c>
      <c r="ON42" s="12">
        <v>924303</v>
      </c>
      <c r="OO42" s="5">
        <v>827233</v>
      </c>
      <c r="OP42" s="5">
        <v>47972</v>
      </c>
      <c r="OQ42" s="5">
        <v>49098</v>
      </c>
      <c r="OR42" s="5">
        <v>18276</v>
      </c>
      <c r="OS42" s="12">
        <v>929917</v>
      </c>
      <c r="OT42" s="5">
        <v>835083</v>
      </c>
      <c r="OU42" s="5">
        <v>47927</v>
      </c>
      <c r="OV42" s="5">
        <v>46907</v>
      </c>
      <c r="OW42" s="5">
        <v>19021</v>
      </c>
      <c r="OX42" s="12">
        <v>953574</v>
      </c>
      <c r="OY42" s="5">
        <v>851892</v>
      </c>
      <c r="OZ42" s="5">
        <v>50038</v>
      </c>
      <c r="PA42" s="5">
        <v>51644</v>
      </c>
      <c r="PB42" s="5">
        <v>21302</v>
      </c>
      <c r="PC42" s="12">
        <v>964281.76799999992</v>
      </c>
      <c r="PD42" s="5">
        <v>857671.05599999987</v>
      </c>
      <c r="PE42" s="5">
        <v>48972.494999999995</v>
      </c>
      <c r="PF42" s="5">
        <v>22700.039999999997</v>
      </c>
      <c r="PG42" s="5">
        <v>57638.217000000062</v>
      </c>
      <c r="PH42" s="5">
        <v>983003</v>
      </c>
      <c r="PI42" s="5">
        <v>874060</v>
      </c>
      <c r="PJ42" s="5">
        <v>52618</v>
      </c>
      <c r="PK42" s="5">
        <v>24669</v>
      </c>
      <c r="PL42" s="2">
        <v>56228</v>
      </c>
      <c r="PM42" s="2">
        <v>1006279</v>
      </c>
      <c r="PN42" s="2">
        <v>876291</v>
      </c>
      <c r="PO42" s="2">
        <v>55335</v>
      </c>
      <c r="PP42" s="2">
        <v>24321</v>
      </c>
      <c r="PQ42" s="2">
        <v>57674</v>
      </c>
      <c r="PR42" s="2">
        <v>1088120</v>
      </c>
      <c r="PS42" s="2">
        <v>938194</v>
      </c>
      <c r="PT42" s="2">
        <v>61557</v>
      </c>
      <c r="PU42" s="2">
        <v>25580</v>
      </c>
      <c r="PV42" s="2">
        <v>70830</v>
      </c>
      <c r="PW42" s="2">
        <v>1124846</v>
      </c>
      <c r="PX42" s="2">
        <v>978524</v>
      </c>
      <c r="PY42" s="2">
        <v>58300</v>
      </c>
      <c r="PZ42" s="2">
        <v>29741</v>
      </c>
      <c r="QA42" s="2">
        <v>67188</v>
      </c>
      <c r="QB42" s="12">
        <v>221663</v>
      </c>
      <c r="QC42" s="5">
        <v>205737</v>
      </c>
      <c r="QD42" s="5">
        <v>8678</v>
      </c>
      <c r="QE42" s="5">
        <v>2011</v>
      </c>
      <c r="QF42" s="5">
        <v>7248</v>
      </c>
      <c r="QG42" s="12">
        <v>280366</v>
      </c>
      <c r="QH42" s="5">
        <v>253981</v>
      </c>
      <c r="QI42" s="5">
        <v>11449</v>
      </c>
      <c r="QJ42" s="5">
        <v>4252</v>
      </c>
      <c r="QK42" s="5">
        <v>14936</v>
      </c>
      <c r="QL42" s="12">
        <v>341277</v>
      </c>
      <c r="QM42" s="5">
        <v>301770</v>
      </c>
      <c r="QN42" s="5">
        <v>15717</v>
      </c>
      <c r="QO42" s="5">
        <v>7059</v>
      </c>
      <c r="QP42" s="5">
        <v>23790</v>
      </c>
      <c r="QQ42" s="12">
        <v>346803.09199999995</v>
      </c>
      <c r="QR42" s="5">
        <v>303142.35599999997</v>
      </c>
      <c r="QS42" s="5">
        <v>15753.39</v>
      </c>
      <c r="QT42" s="5">
        <v>7188.3459999999995</v>
      </c>
      <c r="QU42" s="10">
        <v>27907.345999999976</v>
      </c>
      <c r="QV42" s="1">
        <v>353264</v>
      </c>
      <c r="QW42" s="2">
        <v>308324</v>
      </c>
      <c r="QX42" s="2">
        <v>18251</v>
      </c>
      <c r="QY42" s="2">
        <v>7916</v>
      </c>
      <c r="QZ42" s="69">
        <v>26634</v>
      </c>
      <c r="RA42" s="2">
        <v>362464</v>
      </c>
      <c r="RB42" s="2">
        <v>310511</v>
      </c>
      <c r="RC42" s="2">
        <v>19115</v>
      </c>
      <c r="RD42" s="2">
        <v>7610</v>
      </c>
      <c r="RE42" s="2">
        <v>27386</v>
      </c>
      <c r="RF42" s="2">
        <v>390897</v>
      </c>
      <c r="RG42" s="2">
        <v>326428</v>
      </c>
      <c r="RH42" s="2">
        <v>22004</v>
      </c>
      <c r="RI42" s="2">
        <v>8453</v>
      </c>
      <c r="RJ42" s="2">
        <v>36580</v>
      </c>
      <c r="RK42" s="2">
        <v>408553</v>
      </c>
      <c r="RL42" s="2">
        <v>350692</v>
      </c>
      <c r="RM42" s="2">
        <v>21774</v>
      </c>
      <c r="RN42" s="2">
        <v>7957</v>
      </c>
      <c r="RO42" s="2">
        <v>30291</v>
      </c>
    </row>
    <row r="43" spans="1:483" ht="14.25" x14ac:dyDescent="0.2">
      <c r="A43" s="217" t="s">
        <v>26</v>
      </c>
      <c r="B43" s="258" t="s">
        <v>185</v>
      </c>
      <c r="C43" s="259" t="s">
        <v>185</v>
      </c>
      <c r="D43" s="259" t="s">
        <v>185</v>
      </c>
      <c r="E43" s="259" t="s">
        <v>185</v>
      </c>
      <c r="F43" s="260" t="s">
        <v>185</v>
      </c>
      <c r="G43" s="5">
        <v>163335</v>
      </c>
      <c r="H43" s="5">
        <v>157596</v>
      </c>
      <c r="I43" s="5">
        <v>2276</v>
      </c>
      <c r="J43" s="5">
        <v>2513</v>
      </c>
      <c r="K43" s="10">
        <v>3463</v>
      </c>
      <c r="L43" s="5">
        <v>105424</v>
      </c>
      <c r="M43" s="5">
        <v>92569</v>
      </c>
      <c r="N43" s="5">
        <v>2024</v>
      </c>
      <c r="O43" s="5">
        <v>10983</v>
      </c>
      <c r="P43" s="10">
        <v>10831</v>
      </c>
      <c r="Q43" s="7">
        <v>77567</v>
      </c>
      <c r="R43" s="7">
        <v>63081</v>
      </c>
      <c r="S43" s="7">
        <v>2337</v>
      </c>
      <c r="T43" s="7">
        <v>17830</v>
      </c>
      <c r="U43" s="577">
        <v>12149</v>
      </c>
      <c r="V43" s="7">
        <v>73747</v>
      </c>
      <c r="W43" s="7">
        <v>58151</v>
      </c>
      <c r="X43" s="7">
        <v>2283</v>
      </c>
      <c r="Y43" s="7">
        <v>20708</v>
      </c>
      <c r="Z43" s="7">
        <v>13259</v>
      </c>
      <c r="AA43" s="7">
        <v>69737</v>
      </c>
      <c r="AB43" s="7">
        <v>42882</v>
      </c>
      <c r="AC43" s="7">
        <v>2433</v>
      </c>
      <c r="AD43" s="7">
        <v>19977</v>
      </c>
      <c r="AE43" s="675">
        <v>11874</v>
      </c>
      <c r="AF43" s="560">
        <v>66506</v>
      </c>
      <c r="AG43" s="560">
        <v>38163</v>
      </c>
      <c r="AH43" s="560">
        <v>2689</v>
      </c>
      <c r="AI43" s="560">
        <v>20213</v>
      </c>
      <c r="AJ43" s="560">
        <v>13002</v>
      </c>
      <c r="AK43" s="560">
        <v>66242</v>
      </c>
      <c r="AL43" s="560">
        <v>37511</v>
      </c>
      <c r="AM43" s="560">
        <v>3057</v>
      </c>
      <c r="AN43" s="560">
        <v>19246</v>
      </c>
      <c r="AO43" s="560">
        <v>12621</v>
      </c>
      <c r="AP43" s="12">
        <v>190465</v>
      </c>
      <c r="AQ43" s="5">
        <v>183122</v>
      </c>
      <c r="AR43" s="5">
        <v>4690</v>
      </c>
      <c r="AS43" s="5">
        <v>2259</v>
      </c>
      <c r="AT43" s="10">
        <v>2653</v>
      </c>
      <c r="AU43" s="5">
        <v>158012</v>
      </c>
      <c r="AV43" s="5">
        <v>144851</v>
      </c>
      <c r="AW43" s="5">
        <v>5030</v>
      </c>
      <c r="AX43" s="5">
        <v>6800</v>
      </c>
      <c r="AY43" s="10">
        <v>8131</v>
      </c>
      <c r="AZ43" s="5">
        <v>115125</v>
      </c>
      <c r="BA43" s="5">
        <v>99932</v>
      </c>
      <c r="BB43" s="5">
        <v>5887</v>
      </c>
      <c r="BC43" s="5">
        <v>10764</v>
      </c>
      <c r="BD43" s="10">
        <v>9306</v>
      </c>
      <c r="BE43" s="5">
        <v>109737</v>
      </c>
      <c r="BF43" s="5">
        <v>95100</v>
      </c>
      <c r="BG43" s="5">
        <v>5794</v>
      </c>
      <c r="BH43" s="5">
        <v>11102</v>
      </c>
      <c r="BI43" s="5">
        <v>8817</v>
      </c>
      <c r="BJ43" s="5">
        <v>109584</v>
      </c>
      <c r="BK43" s="5">
        <v>87721</v>
      </c>
      <c r="BL43" s="5">
        <v>5854</v>
      </c>
      <c r="BM43" s="5">
        <v>12354</v>
      </c>
      <c r="BN43" s="53">
        <v>8434</v>
      </c>
      <c r="BO43" s="53">
        <v>105159</v>
      </c>
      <c r="BP43" s="53">
        <v>80956</v>
      </c>
      <c r="BQ43" s="53">
        <v>6680</v>
      </c>
      <c r="BR43" s="53">
        <v>13904</v>
      </c>
      <c r="BS43" s="53">
        <v>8951</v>
      </c>
      <c r="BT43" s="53">
        <v>105856</v>
      </c>
      <c r="BU43" s="53">
        <v>80191</v>
      </c>
      <c r="BV43" s="53">
        <v>7466</v>
      </c>
      <c r="BW43" s="53">
        <v>14211</v>
      </c>
      <c r="BX43" s="53">
        <v>8951</v>
      </c>
      <c r="BY43" s="12">
        <v>189304</v>
      </c>
      <c r="BZ43" s="5">
        <v>158757</v>
      </c>
      <c r="CA43" s="5">
        <v>8114</v>
      </c>
      <c r="CB43" s="5">
        <v>30332</v>
      </c>
      <c r="CC43" s="290">
        <f t="shared" si="483"/>
        <v>22433</v>
      </c>
      <c r="CD43" s="258" t="s">
        <v>185</v>
      </c>
      <c r="CE43" s="259" t="s">
        <v>185</v>
      </c>
      <c r="CF43" s="259" t="s">
        <v>185</v>
      </c>
      <c r="CG43" s="259" t="s">
        <v>185</v>
      </c>
      <c r="CH43" s="258" t="s">
        <v>185</v>
      </c>
      <c r="CI43" s="259" t="s">
        <v>185</v>
      </c>
      <c r="CJ43" s="259" t="s">
        <v>185</v>
      </c>
      <c r="CK43" s="259" t="s">
        <v>185</v>
      </c>
      <c r="CL43" s="260" t="s">
        <v>185</v>
      </c>
      <c r="CM43" s="5">
        <v>1422998</v>
      </c>
      <c r="CN43" s="5">
        <v>1392034</v>
      </c>
      <c r="CO43" s="5">
        <v>16334</v>
      </c>
      <c r="CP43" s="5">
        <v>8563</v>
      </c>
      <c r="CQ43" s="10">
        <v>14630</v>
      </c>
      <c r="CR43" s="5">
        <v>1632420</v>
      </c>
      <c r="CS43" s="5">
        <v>1572873</v>
      </c>
      <c r="CT43" s="5">
        <v>23969</v>
      </c>
      <c r="CU43" s="5">
        <v>19501</v>
      </c>
      <c r="CV43" s="5">
        <v>35578</v>
      </c>
      <c r="CW43" s="195">
        <v>1740807</v>
      </c>
      <c r="CX43" s="5">
        <v>1661339</v>
      </c>
      <c r="CY43" s="5">
        <v>29716</v>
      </c>
      <c r="CZ43" s="5">
        <v>49752</v>
      </c>
      <c r="DA43" s="5">
        <v>29646</v>
      </c>
      <c r="DB43" s="12">
        <v>1761844</v>
      </c>
      <c r="DC43" s="5">
        <v>1680510</v>
      </c>
      <c r="DD43" s="5">
        <v>29832</v>
      </c>
      <c r="DE43" s="5">
        <v>51502</v>
      </c>
      <c r="DF43" s="5">
        <v>31731</v>
      </c>
      <c r="DG43" s="56">
        <v>1771625</v>
      </c>
      <c r="DH43" s="54">
        <v>1688401</v>
      </c>
      <c r="DI43" s="54">
        <v>31164</v>
      </c>
      <c r="DJ43" s="54">
        <v>52060</v>
      </c>
      <c r="DK43" s="54">
        <v>34203</v>
      </c>
      <c r="DL43" s="12">
        <v>1808000</v>
      </c>
      <c r="DM43" s="5">
        <v>1718595</v>
      </c>
      <c r="DN43" s="5">
        <v>35296</v>
      </c>
      <c r="DO43" s="5">
        <v>36433</v>
      </c>
      <c r="DP43" s="5">
        <v>38851</v>
      </c>
      <c r="DQ43" s="12">
        <v>1824572.5619999999</v>
      </c>
      <c r="DR43" s="5">
        <v>1731203.36</v>
      </c>
      <c r="DS43" s="5">
        <v>37471.692000000003</v>
      </c>
      <c r="DT43" s="5">
        <v>37154.699999999997</v>
      </c>
      <c r="DU43" s="530">
        <f t="shared" si="484"/>
        <v>55897.509999999813</v>
      </c>
      <c r="DV43" s="5">
        <v>1844278</v>
      </c>
      <c r="DW43" s="5">
        <v>1748133</v>
      </c>
      <c r="DX43" s="5">
        <v>38721</v>
      </c>
      <c r="DY43" s="5">
        <v>38704</v>
      </c>
      <c r="DZ43" s="5">
        <v>56626</v>
      </c>
      <c r="EA43" s="5">
        <v>1859050</v>
      </c>
      <c r="EB43" s="5">
        <v>1729595</v>
      </c>
      <c r="EC43" s="5">
        <v>40263</v>
      </c>
      <c r="ED43" s="5">
        <v>41429</v>
      </c>
      <c r="EE43" s="5">
        <v>58633</v>
      </c>
      <c r="EF43" s="5">
        <v>1902839</v>
      </c>
      <c r="EG43" s="5">
        <v>1754861</v>
      </c>
      <c r="EH43" s="5">
        <v>47420</v>
      </c>
      <c r="EI43" s="5">
        <v>46522</v>
      </c>
      <c r="EJ43" s="5">
        <v>67247</v>
      </c>
      <c r="EK43" s="5">
        <v>1914922</v>
      </c>
      <c r="EL43" s="5">
        <v>1755784</v>
      </c>
      <c r="EM43" s="5">
        <v>49027</v>
      </c>
      <c r="EN43" s="5">
        <v>52108</v>
      </c>
      <c r="EO43" s="5">
        <v>70450</v>
      </c>
      <c r="EP43" s="258" t="s">
        <v>185</v>
      </c>
      <c r="EQ43" s="259" t="s">
        <v>185</v>
      </c>
      <c r="ER43" s="259" t="s">
        <v>185</v>
      </c>
      <c r="ES43" s="259" t="s">
        <v>185</v>
      </c>
      <c r="ET43" s="260" t="s">
        <v>185</v>
      </c>
      <c r="EU43" s="5">
        <v>439238</v>
      </c>
      <c r="EV43" s="5">
        <v>429188</v>
      </c>
      <c r="EW43" s="5">
        <v>6182</v>
      </c>
      <c r="EX43" s="5">
        <v>2951</v>
      </c>
      <c r="EY43" s="10">
        <v>3868</v>
      </c>
      <c r="EZ43" s="5">
        <v>546388</v>
      </c>
      <c r="FA43" s="5">
        <v>525754</v>
      </c>
      <c r="FB43" s="5">
        <v>9660</v>
      </c>
      <c r="FC43" s="5">
        <v>6658</v>
      </c>
      <c r="FD43" s="10">
        <v>10974</v>
      </c>
      <c r="FE43" s="5">
        <v>640921</v>
      </c>
      <c r="FF43" s="5">
        <v>607912</v>
      </c>
      <c r="FG43" s="5">
        <v>15851</v>
      </c>
      <c r="FH43" s="5">
        <v>12709</v>
      </c>
      <c r="FI43" s="10">
        <v>17158</v>
      </c>
      <c r="FJ43" s="5">
        <v>644440.64</v>
      </c>
      <c r="FK43" s="5">
        <v>610457.07999999996</v>
      </c>
      <c r="FL43" s="5">
        <v>16730.062000000002</v>
      </c>
      <c r="FM43" s="5">
        <v>13308.137999999999</v>
      </c>
      <c r="FN43" s="10">
        <v>17253.498000000054</v>
      </c>
      <c r="FO43" s="5">
        <v>653140</v>
      </c>
      <c r="FP43" s="5">
        <v>619969</v>
      </c>
      <c r="FQ43" s="5">
        <v>16736</v>
      </c>
      <c r="FR43" s="5">
        <v>13969</v>
      </c>
      <c r="FS43" s="618">
        <v>16274</v>
      </c>
      <c r="FT43" s="618">
        <v>661299</v>
      </c>
      <c r="FU43" s="618">
        <v>615231</v>
      </c>
      <c r="FV43" s="618">
        <v>17607</v>
      </c>
      <c r="FW43" s="618">
        <v>14619</v>
      </c>
      <c r="FX43" s="618">
        <v>18052</v>
      </c>
      <c r="FY43" s="618">
        <v>681336</v>
      </c>
      <c r="FZ43" s="618">
        <v>628850</v>
      </c>
      <c r="GA43" s="618">
        <v>19379</v>
      </c>
      <c r="GB43" s="618">
        <v>16054</v>
      </c>
      <c r="GC43" s="618">
        <v>21351</v>
      </c>
      <c r="GD43" s="618">
        <v>672228</v>
      </c>
      <c r="GE43" s="618">
        <v>619652</v>
      </c>
      <c r="GF43" s="618">
        <v>19831</v>
      </c>
      <c r="GG43" s="618">
        <v>18473</v>
      </c>
      <c r="GH43" s="618">
        <v>18497</v>
      </c>
      <c r="GI43" s="12">
        <v>136638</v>
      </c>
      <c r="GJ43" s="5">
        <v>134223</v>
      </c>
      <c r="GK43" s="5">
        <v>1382</v>
      </c>
      <c r="GL43" s="5">
        <v>905</v>
      </c>
      <c r="GM43" s="10">
        <v>1033</v>
      </c>
      <c r="GN43" s="5">
        <v>140640</v>
      </c>
      <c r="GO43" s="5">
        <v>136163</v>
      </c>
      <c r="GP43" s="5">
        <v>1797</v>
      </c>
      <c r="GQ43" s="5">
        <v>1443</v>
      </c>
      <c r="GR43" s="10">
        <v>2680</v>
      </c>
      <c r="GS43" s="12">
        <v>198740</v>
      </c>
      <c r="GT43" s="5">
        <v>191308</v>
      </c>
      <c r="GU43" s="5">
        <v>3385</v>
      </c>
      <c r="GV43" s="5">
        <v>3111</v>
      </c>
      <c r="GW43" s="5">
        <v>4047</v>
      </c>
      <c r="GX43" s="12"/>
      <c r="GY43" s="5"/>
      <c r="GZ43" s="5"/>
      <c r="HA43" s="5"/>
      <c r="HB43" s="10"/>
      <c r="HC43" s="5">
        <v>214003</v>
      </c>
      <c r="HD43" s="5">
        <v>205216</v>
      </c>
      <c r="HE43" s="5">
        <v>4241</v>
      </c>
      <c r="HF43" s="5">
        <v>3861</v>
      </c>
      <c r="HG43" s="5">
        <v>4502</v>
      </c>
      <c r="HH43" s="5">
        <v>222140</v>
      </c>
      <c r="HI43" s="5">
        <v>209397</v>
      </c>
      <c r="HJ43" s="5">
        <v>4697</v>
      </c>
      <c r="HK43" s="5">
        <v>3911</v>
      </c>
      <c r="HL43" s="5">
        <v>5018</v>
      </c>
      <c r="HM43" s="5">
        <v>236728</v>
      </c>
      <c r="HN43" s="5">
        <v>222872</v>
      </c>
      <c r="HO43" s="5">
        <v>3496</v>
      </c>
      <c r="HP43" s="5">
        <v>4530</v>
      </c>
      <c r="HQ43" s="5">
        <v>6906</v>
      </c>
      <c r="HR43" s="5">
        <v>234055</v>
      </c>
      <c r="HS43" s="5">
        <v>218266</v>
      </c>
      <c r="HT43" s="5">
        <v>5397</v>
      </c>
      <c r="HU43" s="5">
        <v>5060</v>
      </c>
      <c r="HV43" s="5">
        <v>6238</v>
      </c>
      <c r="HW43" s="569">
        <f t="shared" si="539"/>
        <v>436030</v>
      </c>
      <c r="HX43" s="546">
        <f t="shared" si="540"/>
        <v>424309</v>
      </c>
      <c r="HY43" s="546">
        <f t="shared" si="541"/>
        <v>4355</v>
      </c>
      <c r="HZ43" s="546">
        <f t="shared" si="542"/>
        <v>2733</v>
      </c>
      <c r="IA43" s="546">
        <f t="shared" si="543"/>
        <v>7366</v>
      </c>
      <c r="IB43" s="569">
        <f t="shared" si="544"/>
        <v>542730</v>
      </c>
      <c r="IC43" s="546">
        <f t="shared" si="545"/>
        <v>521106</v>
      </c>
      <c r="ID43" s="546">
        <f t="shared" si="546"/>
        <v>6356</v>
      </c>
      <c r="IE43" s="546">
        <f t="shared" si="547"/>
        <v>5535</v>
      </c>
      <c r="IF43" s="546">
        <f t="shared" si="548"/>
        <v>15268</v>
      </c>
      <c r="IG43" s="12">
        <v>621130</v>
      </c>
      <c r="IH43" s="5">
        <v>591555</v>
      </c>
      <c r="II43" s="5">
        <v>9591</v>
      </c>
      <c r="IJ43" s="5">
        <v>9061</v>
      </c>
      <c r="IK43" s="5">
        <v>19984</v>
      </c>
      <c r="IL43" s="565"/>
      <c r="IM43" s="7"/>
      <c r="IN43" s="7"/>
      <c r="IO43" s="7"/>
      <c r="IP43" s="7"/>
      <c r="IQ43" s="7">
        <v>736257</v>
      </c>
      <c r="IR43" s="7">
        <v>697691</v>
      </c>
      <c r="IS43" s="7">
        <v>12764</v>
      </c>
      <c r="IT43" s="7">
        <v>11239</v>
      </c>
      <c r="IU43" s="577">
        <v>25596</v>
      </c>
      <c r="IV43" s="7">
        <v>754322</v>
      </c>
      <c r="IW43" s="7">
        <v>703815</v>
      </c>
      <c r="IX43" s="7">
        <v>12897</v>
      </c>
      <c r="IY43" s="7">
        <v>12193</v>
      </c>
      <c r="IZ43" s="7">
        <v>27775</v>
      </c>
      <c r="JA43" s="565">
        <v>793319</v>
      </c>
      <c r="JB43" s="7">
        <v>739717</v>
      </c>
      <c r="JC43" s="7">
        <v>11557</v>
      </c>
      <c r="JD43" s="7">
        <v>13251</v>
      </c>
      <c r="JE43" s="7">
        <v>31563</v>
      </c>
      <c r="JF43" s="565">
        <v>827217</v>
      </c>
      <c r="JG43" s="7">
        <v>757892</v>
      </c>
      <c r="JH43" s="7">
        <v>17228</v>
      </c>
      <c r="JI43" s="7">
        <v>15698</v>
      </c>
      <c r="JJ43" s="7">
        <v>39945</v>
      </c>
      <c r="JK43" s="12">
        <v>207269</v>
      </c>
      <c r="JL43" s="5">
        <v>202561</v>
      </c>
      <c r="JM43" s="5">
        <v>1941</v>
      </c>
      <c r="JN43" s="5">
        <v>991</v>
      </c>
      <c r="JO43" s="5">
        <v>2767</v>
      </c>
      <c r="JP43" s="12">
        <v>278350</v>
      </c>
      <c r="JQ43" s="5">
        <v>269072</v>
      </c>
      <c r="JR43" s="5">
        <v>2989</v>
      </c>
      <c r="JS43" s="5">
        <v>2565</v>
      </c>
      <c r="JT43" s="5">
        <v>6289</v>
      </c>
      <c r="JU43" s="12">
        <v>344306</v>
      </c>
      <c r="JV43" s="5">
        <v>328990</v>
      </c>
      <c r="JW43" s="5">
        <v>4871</v>
      </c>
      <c r="JX43" s="5">
        <v>4504</v>
      </c>
      <c r="JY43" s="5">
        <v>10445</v>
      </c>
      <c r="JZ43" s="12">
        <v>352428.47499999998</v>
      </c>
      <c r="KA43" s="5">
        <v>336412.88000000006</v>
      </c>
      <c r="KB43" s="5">
        <v>5105.6319999999996</v>
      </c>
      <c r="KC43" s="5">
        <v>4661.2260000000006</v>
      </c>
      <c r="KD43" s="5">
        <v>10909.962999999914</v>
      </c>
      <c r="KE43" s="5">
        <v>365280</v>
      </c>
      <c r="KF43" s="5">
        <v>344587</v>
      </c>
      <c r="KG43" s="5">
        <v>5046</v>
      </c>
      <c r="KH43" s="5">
        <v>5527</v>
      </c>
      <c r="KI43" s="5">
        <v>11066</v>
      </c>
      <c r="KJ43" s="5">
        <v>377035</v>
      </c>
      <c r="KK43" s="5">
        <v>355318</v>
      </c>
      <c r="KL43" s="5">
        <v>5786</v>
      </c>
      <c r="KM43" s="5">
        <v>5821</v>
      </c>
      <c r="KN43" s="5">
        <v>11545</v>
      </c>
      <c r="KO43" s="5">
        <v>398242</v>
      </c>
      <c r="KP43" s="5">
        <v>367881</v>
      </c>
      <c r="KQ43" s="5">
        <v>7892</v>
      </c>
      <c r="KR43" s="5">
        <v>7425</v>
      </c>
      <c r="KS43" s="5">
        <v>16997</v>
      </c>
      <c r="KT43" s="258" t="s">
        <v>185</v>
      </c>
      <c r="KU43" s="259" t="s">
        <v>185</v>
      </c>
      <c r="KV43" s="316">
        <v>98550</v>
      </c>
      <c r="KW43" s="332">
        <f t="shared" si="495"/>
        <v>58941</v>
      </c>
      <c r="KX43" s="332">
        <f t="shared" si="496"/>
        <v>39609</v>
      </c>
      <c r="KY43" s="332">
        <f t="shared" si="497"/>
        <v>97759</v>
      </c>
      <c r="KZ43" s="318">
        <v>58472</v>
      </c>
      <c r="LA43" s="318">
        <v>39287</v>
      </c>
      <c r="LB43" s="332">
        <f t="shared" si="498"/>
        <v>791</v>
      </c>
      <c r="LC43" s="318">
        <v>469</v>
      </c>
      <c r="LD43" s="318">
        <v>322</v>
      </c>
      <c r="LE43" s="316">
        <v>139996</v>
      </c>
      <c r="LF43" s="332">
        <f t="shared" si="499"/>
        <v>79338</v>
      </c>
      <c r="LG43" s="332">
        <f t="shared" si="500"/>
        <v>60658</v>
      </c>
      <c r="LH43" s="332">
        <f t="shared" si="501"/>
        <v>138514</v>
      </c>
      <c r="LI43" s="318">
        <v>78404</v>
      </c>
      <c r="LJ43" s="318">
        <v>60110</v>
      </c>
      <c r="LK43" s="332">
        <f t="shared" si="502"/>
        <v>608</v>
      </c>
      <c r="LL43" s="318">
        <v>351</v>
      </c>
      <c r="LM43" s="318">
        <v>257</v>
      </c>
      <c r="LN43" s="332">
        <f t="shared" si="503"/>
        <v>874</v>
      </c>
      <c r="LO43" s="318">
        <v>583</v>
      </c>
      <c r="LP43" s="318">
        <v>291</v>
      </c>
      <c r="LQ43" s="316">
        <v>237055</v>
      </c>
      <c r="LR43" s="332">
        <f t="shared" si="504"/>
        <v>134641</v>
      </c>
      <c r="LS43" s="332">
        <f t="shared" si="505"/>
        <v>102414</v>
      </c>
      <c r="LT43" s="342">
        <f t="shared" si="506"/>
        <v>230807</v>
      </c>
      <c r="LU43" s="318">
        <v>130821</v>
      </c>
      <c r="LV43" s="318">
        <v>99986</v>
      </c>
      <c r="LW43" s="318">
        <v>3820</v>
      </c>
      <c r="LX43" s="318">
        <v>2428</v>
      </c>
      <c r="LY43" s="342">
        <f t="shared" si="507"/>
        <v>2268</v>
      </c>
      <c r="LZ43" s="318">
        <v>1345</v>
      </c>
      <c r="MA43" s="318">
        <v>923</v>
      </c>
      <c r="MB43" s="342">
        <f t="shared" si="508"/>
        <v>1197</v>
      </c>
      <c r="MC43" s="318">
        <v>702</v>
      </c>
      <c r="MD43" s="318">
        <v>495</v>
      </c>
      <c r="ME43" s="333">
        <f t="shared" si="509"/>
        <v>2783</v>
      </c>
      <c r="MF43" s="333">
        <f t="shared" si="510"/>
        <v>1773</v>
      </c>
      <c r="MG43" s="333">
        <f t="shared" si="511"/>
        <v>1010</v>
      </c>
      <c r="MH43" s="334">
        <f t="shared" si="512"/>
        <v>158</v>
      </c>
      <c r="MI43" s="334">
        <f t="shared" si="513"/>
        <v>119</v>
      </c>
      <c r="MJ43" s="334">
        <f t="shared" si="514"/>
        <v>39</v>
      </c>
      <c r="MK43" s="318">
        <v>2625</v>
      </c>
      <c r="ML43" s="318">
        <v>1654</v>
      </c>
      <c r="MM43" s="318">
        <v>971</v>
      </c>
      <c r="MN43" s="14">
        <f t="shared" si="515"/>
        <v>299392</v>
      </c>
      <c r="MO43" s="332">
        <f t="shared" si="516"/>
        <v>159200</v>
      </c>
      <c r="MP43" s="332">
        <f t="shared" si="517"/>
        <v>140192</v>
      </c>
      <c r="MQ43" s="13">
        <f t="shared" si="518"/>
        <v>290086</v>
      </c>
      <c r="MR43" s="136">
        <f t="shared" si="519"/>
        <v>288894</v>
      </c>
      <c r="MS43" s="318">
        <v>153289</v>
      </c>
      <c r="MT43" s="318">
        <v>135605</v>
      </c>
      <c r="MU43" s="318">
        <v>5911</v>
      </c>
      <c r="MV43" s="318">
        <v>4587</v>
      </c>
      <c r="MW43" s="13">
        <f t="shared" si="520"/>
        <v>2973</v>
      </c>
      <c r="MX43" s="136">
        <f t="shared" si="521"/>
        <v>2949</v>
      </c>
      <c r="MY43" s="318">
        <v>1661</v>
      </c>
      <c r="MZ43" s="318">
        <v>1288</v>
      </c>
      <c r="NA43" s="13">
        <f t="shared" si="522"/>
        <v>1828</v>
      </c>
      <c r="NB43" s="318">
        <v>986</v>
      </c>
      <c r="NC43" s="318">
        <v>842</v>
      </c>
      <c r="ND43" s="11">
        <f t="shared" si="523"/>
        <v>6333</v>
      </c>
      <c r="NE43" s="335">
        <f t="shared" si="524"/>
        <v>3264</v>
      </c>
      <c r="NF43" s="335">
        <f t="shared" si="525"/>
        <v>2457</v>
      </c>
      <c r="NG43" s="336">
        <f t="shared" si="526"/>
        <v>9</v>
      </c>
      <c r="NH43" s="336">
        <f t="shared" si="527"/>
        <v>9</v>
      </c>
      <c r="NI43" s="336">
        <f t="shared" si="528"/>
        <v>0</v>
      </c>
      <c r="NJ43" s="337">
        <f t="shared" si="529"/>
        <v>5712</v>
      </c>
      <c r="NK43" s="337">
        <f t="shared" si="530"/>
        <v>3255</v>
      </c>
      <c r="NL43" s="337">
        <f t="shared" si="531"/>
        <v>2457</v>
      </c>
      <c r="NM43" s="318">
        <v>177</v>
      </c>
      <c r="NN43" s="318">
        <v>189</v>
      </c>
      <c r="NO43" s="318">
        <v>3078</v>
      </c>
      <c r="NP43" s="318">
        <v>2268</v>
      </c>
      <c r="NQ43" s="338">
        <v>402090</v>
      </c>
      <c r="NR43" s="318">
        <v>200944</v>
      </c>
      <c r="NS43" s="318">
        <v>201146</v>
      </c>
      <c r="NT43" s="7">
        <f t="shared" si="532"/>
        <v>384943</v>
      </c>
      <c r="NU43" s="7">
        <v>191661</v>
      </c>
      <c r="NV43" s="7">
        <v>193282</v>
      </c>
      <c r="NW43" s="125">
        <f t="shared" si="533"/>
        <v>382565</v>
      </c>
      <c r="NX43" s="318">
        <v>190441</v>
      </c>
      <c r="NY43" s="318">
        <v>192124</v>
      </c>
      <c r="NZ43" s="7">
        <f t="shared" si="534"/>
        <v>4559</v>
      </c>
      <c r="OA43" s="318">
        <v>2406</v>
      </c>
      <c r="OB43" s="318">
        <v>2153</v>
      </c>
      <c r="OC43" s="7">
        <f t="shared" si="535"/>
        <v>4092</v>
      </c>
      <c r="OD43" s="318">
        <v>2121</v>
      </c>
      <c r="OE43" s="318">
        <v>1971</v>
      </c>
      <c r="OF43" s="125">
        <f t="shared" si="536"/>
        <v>12588</v>
      </c>
      <c r="OG43" s="125">
        <f t="shared" si="537"/>
        <v>6877</v>
      </c>
      <c r="OH43" s="125">
        <f t="shared" si="538"/>
        <v>5711</v>
      </c>
      <c r="OI43" s="326">
        <v>468955</v>
      </c>
      <c r="OJ43" s="318">
        <v>442826</v>
      </c>
      <c r="OK43" s="318">
        <v>6359</v>
      </c>
      <c r="OL43" s="318">
        <v>19770</v>
      </c>
      <c r="OM43" s="7">
        <v>5866</v>
      </c>
      <c r="ON43" s="12">
        <v>476217</v>
      </c>
      <c r="OO43" s="5">
        <v>449986</v>
      </c>
      <c r="OP43" s="5">
        <v>6274</v>
      </c>
      <c r="OQ43" s="5">
        <v>19957</v>
      </c>
      <c r="OR43" s="5">
        <v>6372</v>
      </c>
      <c r="OS43" s="12">
        <v>482132</v>
      </c>
      <c r="OT43" s="5">
        <v>456097</v>
      </c>
      <c r="OU43" s="5">
        <v>6696</v>
      </c>
      <c r="OV43" s="5">
        <v>19339</v>
      </c>
      <c r="OW43" s="5">
        <v>7100</v>
      </c>
      <c r="OX43" s="12">
        <v>495409</v>
      </c>
      <c r="OY43" s="5">
        <v>468084</v>
      </c>
      <c r="OZ43" s="5">
        <v>7103</v>
      </c>
      <c r="PA43" s="5">
        <v>20222</v>
      </c>
      <c r="PB43" s="5">
        <v>7191</v>
      </c>
      <c r="PC43" s="12">
        <v>509510.88099999994</v>
      </c>
      <c r="PD43" s="5">
        <v>480049.84000000008</v>
      </c>
      <c r="PE43" s="5">
        <v>7567.2759999999998</v>
      </c>
      <c r="PF43" s="5">
        <v>7160.7240000000011</v>
      </c>
      <c r="PG43" s="5">
        <v>21893.764999999854</v>
      </c>
      <c r="PH43" s="5">
        <v>522254</v>
      </c>
      <c r="PI43" s="5">
        <v>492475</v>
      </c>
      <c r="PJ43" s="5">
        <v>8523</v>
      </c>
      <c r="PK43" s="5">
        <v>7378</v>
      </c>
      <c r="PL43" s="2">
        <v>21094</v>
      </c>
      <c r="PM43" s="2">
        <v>532182</v>
      </c>
      <c r="PN43" s="2">
        <v>494418</v>
      </c>
      <c r="PO43" s="2">
        <v>8200</v>
      </c>
      <c r="PP43" s="2">
        <v>8282</v>
      </c>
      <c r="PQ43" s="2">
        <v>22757</v>
      </c>
      <c r="PR43" s="2">
        <v>556591</v>
      </c>
      <c r="PS43" s="2">
        <v>516845</v>
      </c>
      <c r="PT43" s="2">
        <v>8061</v>
      </c>
      <c r="PU43" s="2">
        <v>8721</v>
      </c>
      <c r="PV43" s="2">
        <v>24657</v>
      </c>
      <c r="PW43" s="2">
        <v>593162</v>
      </c>
      <c r="PX43" s="2">
        <v>539626</v>
      </c>
      <c r="PY43" s="2">
        <v>11831</v>
      </c>
      <c r="PZ43" s="2">
        <v>10638</v>
      </c>
      <c r="QA43" s="2">
        <v>33707</v>
      </c>
      <c r="QB43" s="12">
        <v>92123</v>
      </c>
      <c r="QC43" s="5">
        <v>87525</v>
      </c>
      <c r="QD43" s="5">
        <v>1032</v>
      </c>
      <c r="QE43" s="5">
        <v>837</v>
      </c>
      <c r="QF43" s="5">
        <v>3566</v>
      </c>
      <c r="QG43" s="12">
        <v>123740</v>
      </c>
      <c r="QH43" s="5">
        <v>115871</v>
      </c>
      <c r="QI43" s="5">
        <v>1570</v>
      </c>
      <c r="QJ43" s="5">
        <v>1527</v>
      </c>
      <c r="QK43" s="5">
        <v>6299</v>
      </c>
      <c r="QL43" s="12">
        <v>151103</v>
      </c>
      <c r="QM43" s="5">
        <v>139094</v>
      </c>
      <c r="QN43" s="5">
        <v>2232</v>
      </c>
      <c r="QO43" s="5">
        <v>2687</v>
      </c>
      <c r="QP43" s="5">
        <v>9777</v>
      </c>
      <c r="QQ43" s="12">
        <v>157082.40599999999</v>
      </c>
      <c r="QR43" s="5">
        <v>143636.96</v>
      </c>
      <c r="QS43" s="5">
        <v>2461.6440000000002</v>
      </c>
      <c r="QT43" s="5">
        <v>2499.4980000000005</v>
      </c>
      <c r="QU43" s="10">
        <v>10983.801999999996</v>
      </c>
      <c r="QV43" s="1">
        <v>163704</v>
      </c>
      <c r="QW43" s="2">
        <v>149353</v>
      </c>
      <c r="QX43" s="2">
        <v>3140</v>
      </c>
      <c r="QY43" s="2">
        <v>2587</v>
      </c>
      <c r="QZ43" s="69">
        <v>11138</v>
      </c>
      <c r="RA43" s="2">
        <v>166902</v>
      </c>
      <c r="RB43" s="2">
        <v>149831</v>
      </c>
      <c r="RC43" s="2">
        <v>3154</v>
      </c>
      <c r="RD43" s="2">
        <v>2755</v>
      </c>
      <c r="RE43" s="2">
        <v>11691</v>
      </c>
      <c r="RF43" s="2">
        <v>179556</v>
      </c>
      <c r="RG43" s="2">
        <v>161527</v>
      </c>
      <c r="RH43" s="2">
        <v>2275</v>
      </c>
      <c r="RI43" s="2">
        <v>2900</v>
      </c>
      <c r="RJ43" s="2">
        <v>13112</v>
      </c>
      <c r="RK43" s="2">
        <v>194920</v>
      </c>
      <c r="RL43" s="2">
        <v>171745</v>
      </c>
      <c r="RM43" s="2">
        <v>3939</v>
      </c>
      <c r="RN43" s="2">
        <v>3213</v>
      </c>
      <c r="RO43" s="2">
        <v>16710</v>
      </c>
    </row>
    <row r="44" spans="1:483" ht="14.25" x14ac:dyDescent="0.2">
      <c r="A44" s="217" t="s">
        <v>27</v>
      </c>
      <c r="B44" s="258" t="s">
        <v>185</v>
      </c>
      <c r="C44" s="259" t="s">
        <v>185</v>
      </c>
      <c r="D44" s="259" t="s">
        <v>185</v>
      </c>
      <c r="E44" s="259" t="s">
        <v>185</v>
      </c>
      <c r="F44" s="260" t="s">
        <v>185</v>
      </c>
      <c r="G44" s="5">
        <v>120951</v>
      </c>
      <c r="H44" s="5">
        <v>104943</v>
      </c>
      <c r="I44" s="5">
        <v>6534</v>
      </c>
      <c r="J44" s="5">
        <v>9912</v>
      </c>
      <c r="K44" s="10">
        <v>9474</v>
      </c>
      <c r="L44" s="5">
        <v>88124</v>
      </c>
      <c r="M44" s="5">
        <v>64508</v>
      </c>
      <c r="N44" s="5"/>
      <c r="O44" s="5"/>
      <c r="P44" s="10"/>
      <c r="Q44" s="7">
        <v>77505</v>
      </c>
      <c r="R44" s="7">
        <v>58108</v>
      </c>
      <c r="S44" s="7">
        <v>3539</v>
      </c>
      <c r="T44" s="7">
        <v>33678</v>
      </c>
      <c r="U44" s="577">
        <v>15858</v>
      </c>
      <c r="V44" s="7">
        <v>75738</v>
      </c>
      <c r="W44" s="7">
        <v>56572</v>
      </c>
      <c r="X44" s="7">
        <v>3201</v>
      </c>
      <c r="Y44" s="7">
        <v>34964</v>
      </c>
      <c r="Z44" s="7">
        <v>15963</v>
      </c>
      <c r="AA44" s="7">
        <v>72957</v>
      </c>
      <c r="AB44" s="7">
        <v>30072</v>
      </c>
      <c r="AC44" s="7">
        <v>3088</v>
      </c>
      <c r="AD44" s="7">
        <v>35124</v>
      </c>
      <c r="AE44" s="675">
        <v>14633</v>
      </c>
      <c r="AF44" s="560">
        <v>71948</v>
      </c>
      <c r="AG44" s="560">
        <v>27546</v>
      </c>
      <c r="AH44" s="560">
        <v>3846</v>
      </c>
      <c r="AI44" s="560">
        <v>34543</v>
      </c>
      <c r="AJ44" s="560">
        <v>16199</v>
      </c>
      <c r="AK44" s="560">
        <v>68491</v>
      </c>
      <c r="AL44" s="560">
        <v>26856</v>
      </c>
      <c r="AM44" s="560">
        <v>2487</v>
      </c>
      <c r="AN44" s="560">
        <v>33248</v>
      </c>
      <c r="AO44" s="560">
        <v>15315</v>
      </c>
      <c r="AP44" s="12">
        <v>172321</v>
      </c>
      <c r="AQ44" s="5">
        <v>148375</v>
      </c>
      <c r="AR44" s="5">
        <v>15556</v>
      </c>
      <c r="AS44" s="5">
        <v>7574</v>
      </c>
      <c r="AT44" s="10">
        <v>8390</v>
      </c>
      <c r="AU44" s="5">
        <v>149675</v>
      </c>
      <c r="AV44" s="5">
        <v>118768</v>
      </c>
      <c r="AW44" s="5"/>
      <c r="AX44" s="5"/>
      <c r="AY44" s="10"/>
      <c r="AZ44" s="5">
        <v>114811</v>
      </c>
      <c r="BA44" s="5">
        <v>92886</v>
      </c>
      <c r="BB44" s="5">
        <v>9419</v>
      </c>
      <c r="BC44" s="5">
        <v>22354</v>
      </c>
      <c r="BD44" s="10">
        <v>12506</v>
      </c>
      <c r="BE44" s="5">
        <v>113515</v>
      </c>
      <c r="BF44" s="5">
        <v>90457</v>
      </c>
      <c r="BG44" s="5">
        <v>9635</v>
      </c>
      <c r="BH44" s="5">
        <v>23559</v>
      </c>
      <c r="BI44" s="5">
        <v>13265</v>
      </c>
      <c r="BJ44" s="5">
        <v>111857</v>
      </c>
      <c r="BK44" s="5">
        <v>71014</v>
      </c>
      <c r="BL44" s="5">
        <v>9440</v>
      </c>
      <c r="BM44" s="5">
        <v>24519</v>
      </c>
      <c r="BN44" s="53">
        <v>13887</v>
      </c>
      <c r="BO44" s="53">
        <v>111806</v>
      </c>
      <c r="BP44" s="53">
        <v>68291</v>
      </c>
      <c r="BQ44" s="53">
        <v>10119</v>
      </c>
      <c r="BR44" s="53">
        <v>26490</v>
      </c>
      <c r="BS44" s="53">
        <v>15892</v>
      </c>
      <c r="BT44" s="53">
        <v>110352</v>
      </c>
      <c r="BU44" s="53">
        <v>67519</v>
      </c>
      <c r="BV44" s="53">
        <v>9655</v>
      </c>
      <c r="BW44" s="53">
        <v>26293</v>
      </c>
      <c r="BX44" s="53">
        <v>14283</v>
      </c>
      <c r="BY44" s="12">
        <v>191550</v>
      </c>
      <c r="BZ44" s="5">
        <v>148943</v>
      </c>
      <c r="CA44" s="5">
        <v>13553</v>
      </c>
      <c r="CB44" s="5">
        <v>57285</v>
      </c>
      <c r="CC44" s="290">
        <f t="shared" si="483"/>
        <v>29054</v>
      </c>
      <c r="CD44" s="258" t="s">
        <v>185</v>
      </c>
      <c r="CE44" s="259" t="s">
        <v>185</v>
      </c>
      <c r="CF44" s="259" t="s">
        <v>185</v>
      </c>
      <c r="CG44" s="259" t="s">
        <v>185</v>
      </c>
      <c r="CH44" s="258" t="s">
        <v>185</v>
      </c>
      <c r="CI44" s="259" t="s">
        <v>185</v>
      </c>
      <c r="CJ44" s="259" t="s">
        <v>185</v>
      </c>
      <c r="CK44" s="259" t="s">
        <v>185</v>
      </c>
      <c r="CL44" s="260" t="s">
        <v>185</v>
      </c>
      <c r="CM44" s="5">
        <v>1272664</v>
      </c>
      <c r="CN44" s="5">
        <v>1186280</v>
      </c>
      <c r="CO44" s="5">
        <v>54033</v>
      </c>
      <c r="CP44" s="5">
        <v>24277</v>
      </c>
      <c r="CQ44" s="10">
        <v>32351</v>
      </c>
      <c r="CR44" s="5">
        <v>1463408</v>
      </c>
      <c r="CS44" s="5">
        <v>1324632</v>
      </c>
      <c r="CT44" s="5">
        <v>0</v>
      </c>
      <c r="CU44" s="5"/>
      <c r="CV44" s="5"/>
      <c r="CW44" s="195">
        <v>1570242</v>
      </c>
      <c r="CX44" s="5">
        <v>1399642</v>
      </c>
      <c r="CY44" s="5">
        <v>75926</v>
      </c>
      <c r="CZ44" s="5">
        <v>94674</v>
      </c>
      <c r="DA44" s="5">
        <v>68759</v>
      </c>
      <c r="DB44" s="12">
        <v>1594455</v>
      </c>
      <c r="DC44" s="5">
        <v>1423988</v>
      </c>
      <c r="DD44" s="5">
        <v>76557</v>
      </c>
      <c r="DE44" s="5">
        <v>93910</v>
      </c>
      <c r="DF44" s="5">
        <v>71810</v>
      </c>
      <c r="DG44" s="56">
        <v>1605700</v>
      </c>
      <c r="DH44" s="54">
        <v>1435302</v>
      </c>
      <c r="DI44" s="54">
        <v>77974</v>
      </c>
      <c r="DJ44" s="54">
        <v>92424</v>
      </c>
      <c r="DK44" s="54">
        <v>72246</v>
      </c>
      <c r="DL44" s="12">
        <v>1631713</v>
      </c>
      <c r="DM44" s="5">
        <v>1453770</v>
      </c>
      <c r="DN44" s="5">
        <v>81473</v>
      </c>
      <c r="DO44" s="5">
        <v>79831</v>
      </c>
      <c r="DP44" s="5">
        <v>68860</v>
      </c>
      <c r="DQ44" s="12">
        <v>1648431.5850000002</v>
      </c>
      <c r="DR44" s="5">
        <v>1470000.2439999999</v>
      </c>
      <c r="DS44" s="5">
        <v>82565.362000000023</v>
      </c>
      <c r="DT44" s="5">
        <v>84301.22</v>
      </c>
      <c r="DU44" s="530">
        <f t="shared" si="484"/>
        <v>95865.979000000225</v>
      </c>
      <c r="DV44" s="5">
        <v>1664897</v>
      </c>
      <c r="DW44" s="5">
        <v>1482117</v>
      </c>
      <c r="DX44" s="5">
        <v>84372</v>
      </c>
      <c r="DY44" s="5">
        <v>87388</v>
      </c>
      <c r="DZ44" s="5">
        <v>97503</v>
      </c>
      <c r="EA44" s="5">
        <v>1676212</v>
      </c>
      <c r="EB44" s="5">
        <v>1426394</v>
      </c>
      <c r="EC44" s="5">
        <v>85741</v>
      </c>
      <c r="ED44" s="5">
        <v>90229</v>
      </c>
      <c r="EE44" s="5">
        <v>97883</v>
      </c>
      <c r="EF44" s="5">
        <v>1704725</v>
      </c>
      <c r="EG44" s="5">
        <v>1436236</v>
      </c>
      <c r="EH44" s="5">
        <v>88915</v>
      </c>
      <c r="EI44" s="5">
        <v>102172</v>
      </c>
      <c r="EJ44" s="5">
        <v>76729</v>
      </c>
      <c r="EK44" s="5">
        <v>1713093</v>
      </c>
      <c r="EL44" s="5">
        <v>1438021</v>
      </c>
      <c r="EM44" s="5">
        <v>89977</v>
      </c>
      <c r="EN44" s="5">
        <v>103820</v>
      </c>
      <c r="EO44" s="5">
        <v>79033</v>
      </c>
      <c r="EP44" s="258" t="s">
        <v>185</v>
      </c>
      <c r="EQ44" s="259" t="s">
        <v>185</v>
      </c>
      <c r="ER44" s="259" t="s">
        <v>185</v>
      </c>
      <c r="ES44" s="259" t="s">
        <v>185</v>
      </c>
      <c r="ET44" s="260" t="s">
        <v>185</v>
      </c>
      <c r="EU44" s="5">
        <v>428110</v>
      </c>
      <c r="EV44" s="5">
        <v>395610</v>
      </c>
      <c r="EW44" s="5">
        <v>21798</v>
      </c>
      <c r="EX44" s="5">
        <v>8791</v>
      </c>
      <c r="EY44" s="10">
        <v>10702</v>
      </c>
      <c r="EZ44" s="5">
        <v>516818</v>
      </c>
      <c r="FA44" s="5">
        <v>463789</v>
      </c>
      <c r="FB44" s="5">
        <v>0</v>
      </c>
      <c r="FC44" s="5"/>
      <c r="FD44" s="10"/>
      <c r="FE44" s="5">
        <v>578801</v>
      </c>
      <c r="FF44" s="5">
        <v>512381</v>
      </c>
      <c r="FG44" s="5">
        <v>35525</v>
      </c>
      <c r="FH44" s="5">
        <v>27748</v>
      </c>
      <c r="FI44" s="10">
        <v>30895</v>
      </c>
      <c r="FJ44" s="5">
        <v>585699.71400000004</v>
      </c>
      <c r="FK44" s="5">
        <v>518061.76</v>
      </c>
      <c r="FL44" s="5">
        <v>35755.896000000008</v>
      </c>
      <c r="FM44" s="5">
        <v>29986.34</v>
      </c>
      <c r="FN44" s="10">
        <v>31882.058000000019</v>
      </c>
      <c r="FO44" s="5">
        <v>594835</v>
      </c>
      <c r="FP44" s="5">
        <v>523018</v>
      </c>
      <c r="FQ44" s="5">
        <v>38199</v>
      </c>
      <c r="FR44" s="5">
        <v>30868</v>
      </c>
      <c r="FS44" s="618">
        <v>33299</v>
      </c>
      <c r="FT44" s="618">
        <v>600189</v>
      </c>
      <c r="FU44" s="618">
        <v>503707</v>
      </c>
      <c r="FV44" s="618">
        <v>39420</v>
      </c>
      <c r="FW44" s="618">
        <v>32770</v>
      </c>
      <c r="FX44" s="618">
        <v>33458</v>
      </c>
      <c r="FY44" s="618">
        <v>604384</v>
      </c>
      <c r="FZ44" s="618">
        <v>504049</v>
      </c>
      <c r="GA44" s="618">
        <v>37277</v>
      </c>
      <c r="GB44" s="618">
        <v>38970</v>
      </c>
      <c r="GC44" s="618">
        <v>35369</v>
      </c>
      <c r="GD44" s="618">
        <v>595373</v>
      </c>
      <c r="GE44" s="618">
        <v>498978</v>
      </c>
      <c r="GF44" s="618">
        <v>38961</v>
      </c>
      <c r="GG44" s="618">
        <v>33015</v>
      </c>
      <c r="GH44" s="618">
        <v>31505</v>
      </c>
      <c r="GI44" s="12">
        <v>85146</v>
      </c>
      <c r="GJ44" s="5">
        <v>78373</v>
      </c>
      <c r="GK44" s="5">
        <v>4333</v>
      </c>
      <c r="GL44" s="5">
        <v>1898</v>
      </c>
      <c r="GM44" s="10">
        <v>2440</v>
      </c>
      <c r="GN44" s="5">
        <v>99096</v>
      </c>
      <c r="GO44" s="5">
        <v>88636</v>
      </c>
      <c r="GP44" s="5"/>
      <c r="GQ44" s="5"/>
      <c r="GR44" s="10"/>
      <c r="GS44" s="12">
        <v>134058</v>
      </c>
      <c r="GT44" s="5">
        <v>119495</v>
      </c>
      <c r="GU44" s="5">
        <v>7862</v>
      </c>
      <c r="GV44" s="5">
        <v>5887</v>
      </c>
      <c r="GW44" s="5">
        <v>6701</v>
      </c>
      <c r="GX44" s="12"/>
      <c r="GY44" s="5"/>
      <c r="GZ44" s="5"/>
      <c r="HA44" s="5"/>
      <c r="HB44" s="10"/>
      <c r="HC44" s="5">
        <v>142705</v>
      </c>
      <c r="HD44" s="5">
        <v>125189</v>
      </c>
      <c r="HE44" s="5">
        <v>8929</v>
      </c>
      <c r="HF44" s="5">
        <v>6851</v>
      </c>
      <c r="HG44" s="5">
        <v>8425</v>
      </c>
      <c r="HH44" s="5">
        <v>144606</v>
      </c>
      <c r="HI44" s="5">
        <v>122226</v>
      </c>
      <c r="HJ44" s="5">
        <v>8706</v>
      </c>
      <c r="HK44" s="5">
        <v>7165</v>
      </c>
      <c r="HL44" s="5">
        <v>8874</v>
      </c>
      <c r="HM44" s="5">
        <v>158308</v>
      </c>
      <c r="HN44" s="5">
        <v>133338</v>
      </c>
      <c r="HO44" s="5">
        <v>8252</v>
      </c>
      <c r="HP44" s="5">
        <v>10721</v>
      </c>
      <c r="HQ44" s="5">
        <v>8902</v>
      </c>
      <c r="HR44" s="5">
        <v>157030</v>
      </c>
      <c r="HS44" s="5">
        <v>133944</v>
      </c>
      <c r="HT44" s="5">
        <v>8541</v>
      </c>
      <c r="HU44" s="5">
        <v>8296</v>
      </c>
      <c r="HV44" s="5">
        <v>8184</v>
      </c>
      <c r="HW44" s="569">
        <f t="shared" si="539"/>
        <v>415523</v>
      </c>
      <c r="HX44" s="546">
        <f t="shared" si="540"/>
        <v>390901</v>
      </c>
      <c r="HY44" s="546">
        <f t="shared" si="541"/>
        <v>13201</v>
      </c>
      <c r="HZ44" s="546">
        <f t="shared" si="542"/>
        <v>6111</v>
      </c>
      <c r="IA44" s="546">
        <f t="shared" si="543"/>
        <v>11421</v>
      </c>
      <c r="IB44" s="569">
        <f t="shared" si="544"/>
        <v>538074</v>
      </c>
      <c r="IC44" s="546">
        <f t="shared" si="545"/>
        <v>494150</v>
      </c>
      <c r="ID44" s="546">
        <f t="shared" si="546"/>
        <v>0</v>
      </c>
      <c r="IE44" s="546">
        <f t="shared" si="547"/>
        <v>0</v>
      </c>
      <c r="IF44" s="546">
        <f t="shared" si="548"/>
        <v>0</v>
      </c>
      <c r="IG44" s="12">
        <v>581959</v>
      </c>
      <c r="IH44" s="5">
        <v>525031</v>
      </c>
      <c r="II44" s="5">
        <v>21779</v>
      </c>
      <c r="IJ44" s="5">
        <v>19131</v>
      </c>
      <c r="IK44" s="5">
        <v>35149</v>
      </c>
      <c r="IL44" s="565"/>
      <c r="IM44" s="7"/>
      <c r="IN44" s="7"/>
      <c r="IO44" s="7"/>
      <c r="IP44" s="7"/>
      <c r="IQ44" s="7">
        <v>701062</v>
      </c>
      <c r="IR44" s="7">
        <v>631442</v>
      </c>
      <c r="IS44" s="7">
        <v>27004</v>
      </c>
      <c r="IT44" s="7">
        <v>24117</v>
      </c>
      <c r="IU44" s="577">
        <v>42179</v>
      </c>
      <c r="IV44" s="7">
        <v>712155</v>
      </c>
      <c r="IW44" s="7">
        <v>623538</v>
      </c>
      <c r="IX44" s="7">
        <v>26423</v>
      </c>
      <c r="IY44" s="7">
        <v>24519</v>
      </c>
      <c r="IZ44" s="7">
        <v>43449</v>
      </c>
      <c r="JA44" s="565">
        <v>757371</v>
      </c>
      <c r="JB44" s="7">
        <v>658523</v>
      </c>
      <c r="JC44" s="7">
        <v>28083</v>
      </c>
      <c r="JD44" s="7">
        <v>31521</v>
      </c>
      <c r="JE44" s="7">
        <v>35200</v>
      </c>
      <c r="JF44" s="565">
        <v>778456</v>
      </c>
      <c r="JG44" s="7">
        <v>673466</v>
      </c>
      <c r="JH44" s="7">
        <v>29394</v>
      </c>
      <c r="JI44" s="7">
        <v>31050</v>
      </c>
      <c r="JJ44" s="7">
        <v>37910</v>
      </c>
      <c r="JK44" s="12">
        <v>221016</v>
      </c>
      <c r="JL44" s="5">
        <v>210410</v>
      </c>
      <c r="JM44" s="5">
        <v>5643</v>
      </c>
      <c r="JN44" s="5">
        <v>2741</v>
      </c>
      <c r="JO44" s="5">
        <v>4963</v>
      </c>
      <c r="JP44" s="12">
        <v>290271</v>
      </c>
      <c r="JQ44" s="5">
        <v>270206</v>
      </c>
      <c r="JR44" s="5"/>
      <c r="JS44" s="5"/>
      <c r="JT44" s="5"/>
      <c r="JU44" s="12">
        <v>353400</v>
      </c>
      <c r="JV44" s="5">
        <v>321909</v>
      </c>
      <c r="JW44" s="5">
        <v>11411</v>
      </c>
      <c r="JX44" s="5">
        <v>11085</v>
      </c>
      <c r="JY44" s="5">
        <v>20080</v>
      </c>
      <c r="JZ44" s="12">
        <v>359155.48499999999</v>
      </c>
      <c r="KA44" s="5">
        <v>328645.429</v>
      </c>
      <c r="KB44" s="5">
        <v>11630.278</v>
      </c>
      <c r="KC44" s="5">
        <v>11174.155000000001</v>
      </c>
      <c r="KD44" s="5">
        <v>18879.777999999984</v>
      </c>
      <c r="KE44" s="5">
        <v>367417</v>
      </c>
      <c r="KF44" s="5">
        <v>327994</v>
      </c>
      <c r="KG44" s="5">
        <v>11245</v>
      </c>
      <c r="KH44" s="5">
        <v>12318</v>
      </c>
      <c r="KI44" s="5">
        <v>18251</v>
      </c>
      <c r="KJ44" s="5">
        <v>384495</v>
      </c>
      <c r="KK44" s="5">
        <v>340900</v>
      </c>
      <c r="KL44" s="5">
        <v>11587</v>
      </c>
      <c r="KM44" s="5">
        <v>13746</v>
      </c>
      <c r="KN44" s="5">
        <v>21382</v>
      </c>
      <c r="KO44" s="5">
        <v>390861</v>
      </c>
      <c r="KP44" s="5">
        <v>341752</v>
      </c>
      <c r="KQ44" s="5">
        <v>13568</v>
      </c>
      <c r="KR44" s="5">
        <v>14980</v>
      </c>
      <c r="KS44" s="5">
        <v>23314</v>
      </c>
      <c r="KT44" s="258" t="s">
        <v>185</v>
      </c>
      <c r="KU44" s="259" t="s">
        <v>185</v>
      </c>
      <c r="KV44" s="316">
        <v>99137</v>
      </c>
      <c r="KW44" s="332">
        <f t="shared" si="495"/>
        <v>58678</v>
      </c>
      <c r="KX44" s="332">
        <f t="shared" si="496"/>
        <v>40459</v>
      </c>
      <c r="KY44" s="332">
        <f t="shared" si="497"/>
        <v>97076</v>
      </c>
      <c r="KZ44" s="318">
        <v>57614</v>
      </c>
      <c r="LA44" s="318">
        <v>39462</v>
      </c>
      <c r="LB44" s="332">
        <f t="shared" si="498"/>
        <v>2061</v>
      </c>
      <c r="LC44" s="318">
        <v>1064</v>
      </c>
      <c r="LD44" s="318">
        <v>997</v>
      </c>
      <c r="LE44" s="316">
        <v>140066</v>
      </c>
      <c r="LF44" s="332">
        <f t="shared" si="499"/>
        <v>81441</v>
      </c>
      <c r="LG44" s="332">
        <f t="shared" si="500"/>
        <v>58625</v>
      </c>
      <c r="LH44" s="332">
        <f t="shared" si="501"/>
        <v>136272</v>
      </c>
      <c r="LI44" s="318">
        <v>79469</v>
      </c>
      <c r="LJ44" s="318">
        <v>56803</v>
      </c>
      <c r="LK44" s="332">
        <f t="shared" si="502"/>
        <v>2239</v>
      </c>
      <c r="LL44" s="318">
        <v>954</v>
      </c>
      <c r="LM44" s="318">
        <v>1285</v>
      </c>
      <c r="LN44" s="332">
        <f t="shared" si="503"/>
        <v>1555</v>
      </c>
      <c r="LO44" s="318">
        <v>1018</v>
      </c>
      <c r="LP44" s="318">
        <v>537</v>
      </c>
      <c r="LQ44" s="316">
        <v>236427</v>
      </c>
      <c r="LR44" s="332">
        <f t="shared" si="504"/>
        <v>136110</v>
      </c>
      <c r="LS44" s="332">
        <f t="shared" si="505"/>
        <v>100317</v>
      </c>
      <c r="LT44" s="342">
        <f t="shared" si="506"/>
        <v>224961</v>
      </c>
      <c r="LU44" s="318">
        <v>129477</v>
      </c>
      <c r="LV44" s="318">
        <v>95484</v>
      </c>
      <c r="LW44" s="318">
        <v>6633</v>
      </c>
      <c r="LX44" s="318">
        <v>4833</v>
      </c>
      <c r="LY44" s="342">
        <f t="shared" si="507"/>
        <v>5409</v>
      </c>
      <c r="LZ44" s="318">
        <v>2912</v>
      </c>
      <c r="MA44" s="318">
        <v>2497</v>
      </c>
      <c r="MB44" s="342">
        <f t="shared" si="508"/>
        <v>2253</v>
      </c>
      <c r="MC44" s="318">
        <v>1418</v>
      </c>
      <c r="MD44" s="318">
        <v>835</v>
      </c>
      <c r="ME44" s="333">
        <f t="shared" si="509"/>
        <v>3804</v>
      </c>
      <c r="MF44" s="333">
        <f t="shared" si="510"/>
        <v>2303</v>
      </c>
      <c r="MG44" s="333">
        <f t="shared" si="511"/>
        <v>1501</v>
      </c>
      <c r="MH44" s="334">
        <f t="shared" si="512"/>
        <v>144</v>
      </c>
      <c r="MI44" s="334">
        <f t="shared" si="513"/>
        <v>100</v>
      </c>
      <c r="MJ44" s="334">
        <f t="shared" si="514"/>
        <v>44</v>
      </c>
      <c r="MK44" s="318">
        <v>3660</v>
      </c>
      <c r="ML44" s="318">
        <v>2203</v>
      </c>
      <c r="MM44" s="318">
        <v>1457</v>
      </c>
      <c r="MN44" s="14">
        <f t="shared" si="515"/>
        <v>330377</v>
      </c>
      <c r="MO44" s="332">
        <f t="shared" si="516"/>
        <v>179392</v>
      </c>
      <c r="MP44" s="332">
        <f t="shared" si="517"/>
        <v>150985</v>
      </c>
      <c r="MQ44" s="13">
        <f t="shared" si="518"/>
        <v>312528</v>
      </c>
      <c r="MR44" s="136">
        <f t="shared" si="519"/>
        <v>309860</v>
      </c>
      <c r="MS44" s="318">
        <v>168461</v>
      </c>
      <c r="MT44" s="318">
        <v>141399</v>
      </c>
      <c r="MU44" s="318">
        <v>10931</v>
      </c>
      <c r="MV44" s="318">
        <v>9586</v>
      </c>
      <c r="MW44" s="13">
        <f t="shared" si="520"/>
        <v>8868</v>
      </c>
      <c r="MX44" s="136">
        <f t="shared" si="521"/>
        <v>8786</v>
      </c>
      <c r="MY44" s="318">
        <v>4168</v>
      </c>
      <c r="MZ44" s="318">
        <v>4618</v>
      </c>
      <c r="NA44" s="13">
        <f t="shared" si="522"/>
        <v>4213</v>
      </c>
      <c r="NB44" s="318">
        <v>2415</v>
      </c>
      <c r="NC44" s="318">
        <v>1798</v>
      </c>
      <c r="ND44" s="11">
        <f t="shared" si="523"/>
        <v>8981</v>
      </c>
      <c r="NE44" s="335">
        <f t="shared" si="524"/>
        <v>4348</v>
      </c>
      <c r="NF44" s="335">
        <f t="shared" si="525"/>
        <v>3170</v>
      </c>
      <c r="NG44" s="336">
        <f t="shared" si="526"/>
        <v>54</v>
      </c>
      <c r="NH44" s="336">
        <f t="shared" si="527"/>
        <v>22</v>
      </c>
      <c r="NI44" s="336">
        <f t="shared" si="528"/>
        <v>32</v>
      </c>
      <c r="NJ44" s="337">
        <f t="shared" si="529"/>
        <v>7464</v>
      </c>
      <c r="NK44" s="337">
        <f t="shared" si="530"/>
        <v>4326</v>
      </c>
      <c r="NL44" s="337">
        <f t="shared" si="531"/>
        <v>3138</v>
      </c>
      <c r="NM44" s="318">
        <v>731</v>
      </c>
      <c r="NN44" s="318">
        <v>624</v>
      </c>
      <c r="NO44" s="318">
        <v>3595</v>
      </c>
      <c r="NP44" s="318">
        <v>2514</v>
      </c>
      <c r="NQ44" s="338">
        <v>438978</v>
      </c>
      <c r="NR44" s="318">
        <v>223619</v>
      </c>
      <c r="NS44" s="318">
        <v>215359</v>
      </c>
      <c r="NT44" s="7">
        <f t="shared" si="532"/>
        <v>405514</v>
      </c>
      <c r="NU44" s="7">
        <v>206756</v>
      </c>
      <c r="NV44" s="7">
        <v>198758</v>
      </c>
      <c r="NW44" s="125">
        <f t="shared" si="533"/>
        <v>400323</v>
      </c>
      <c r="NX44" s="318">
        <v>204096</v>
      </c>
      <c r="NY44" s="318">
        <v>196227</v>
      </c>
      <c r="NZ44" s="7">
        <f t="shared" si="534"/>
        <v>12405</v>
      </c>
      <c r="OA44" s="318">
        <v>6010</v>
      </c>
      <c r="OB44" s="318">
        <v>6395</v>
      </c>
      <c r="OC44" s="7">
        <f t="shared" si="535"/>
        <v>8357</v>
      </c>
      <c r="OD44" s="318">
        <v>4225</v>
      </c>
      <c r="OE44" s="318">
        <v>4132</v>
      </c>
      <c r="OF44" s="125">
        <f t="shared" si="536"/>
        <v>21059</v>
      </c>
      <c r="OG44" s="125">
        <f t="shared" si="537"/>
        <v>10853</v>
      </c>
      <c r="OH44" s="125">
        <f t="shared" si="538"/>
        <v>10206</v>
      </c>
      <c r="OI44" s="326">
        <v>502067</v>
      </c>
      <c r="OJ44" s="318">
        <v>457353</v>
      </c>
      <c r="OK44" s="318">
        <v>15797</v>
      </c>
      <c r="OL44" s="318">
        <v>28917</v>
      </c>
      <c r="OM44" s="7">
        <v>12102</v>
      </c>
      <c r="ON44" s="12">
        <v>520029</v>
      </c>
      <c r="OO44" s="5">
        <v>472259</v>
      </c>
      <c r="OP44" s="5">
        <v>16413</v>
      </c>
      <c r="OQ44" s="5">
        <v>31357</v>
      </c>
      <c r="OR44" s="5">
        <v>14226</v>
      </c>
      <c r="OS44" s="12">
        <v>526416</v>
      </c>
      <c r="OT44" s="5">
        <v>478100</v>
      </c>
      <c r="OU44" s="5">
        <v>16617</v>
      </c>
      <c r="OV44" s="5">
        <v>31699</v>
      </c>
      <c r="OW44" s="5">
        <v>13657</v>
      </c>
      <c r="OX44" s="12">
        <v>540498</v>
      </c>
      <c r="OY44" s="5">
        <v>488165</v>
      </c>
      <c r="OZ44" s="5">
        <v>17227</v>
      </c>
      <c r="PA44" s="5">
        <v>35106</v>
      </c>
      <c r="PB44" s="5">
        <v>15501</v>
      </c>
      <c r="PC44" s="12">
        <v>548863.25399999996</v>
      </c>
      <c r="PD44" s="5">
        <v>497015.50100000005</v>
      </c>
      <c r="PE44" s="5">
        <v>18262.420000000002</v>
      </c>
      <c r="PF44" s="5">
        <v>15841.84</v>
      </c>
      <c r="PG44" s="5">
        <v>33585.332999999911</v>
      </c>
      <c r="PH44" s="5">
        <v>558357</v>
      </c>
      <c r="PI44" s="5">
        <v>506253</v>
      </c>
      <c r="PJ44" s="5">
        <v>18075</v>
      </c>
      <c r="PK44" s="5">
        <v>17266</v>
      </c>
      <c r="PL44" s="2">
        <v>33754</v>
      </c>
      <c r="PM44" s="2">
        <v>567549</v>
      </c>
      <c r="PN44" s="2">
        <v>501312</v>
      </c>
      <c r="PO44" s="2">
        <v>17717</v>
      </c>
      <c r="PP44" s="2">
        <v>17354</v>
      </c>
      <c r="PQ44" s="2">
        <v>34575</v>
      </c>
      <c r="PR44" s="2">
        <v>599063</v>
      </c>
      <c r="PS44" s="2">
        <v>525185</v>
      </c>
      <c r="PT44" s="2">
        <v>19831</v>
      </c>
      <c r="PU44" s="2">
        <v>20800</v>
      </c>
      <c r="PV44" s="2">
        <v>29621</v>
      </c>
      <c r="PW44" s="2">
        <v>621426</v>
      </c>
      <c r="PX44" s="2">
        <v>539522</v>
      </c>
      <c r="PY44" s="2">
        <v>20853</v>
      </c>
      <c r="PZ44" s="2">
        <v>22754</v>
      </c>
      <c r="QA44" s="2">
        <v>32848</v>
      </c>
      <c r="QB44" s="12">
        <v>109361</v>
      </c>
      <c r="QC44" s="5">
        <v>102118</v>
      </c>
      <c r="QD44" s="5">
        <v>3225</v>
      </c>
      <c r="QE44" s="5">
        <v>1472</v>
      </c>
      <c r="QF44" s="5">
        <v>4018</v>
      </c>
      <c r="QG44" s="12">
        <v>148707</v>
      </c>
      <c r="QH44" s="5">
        <v>135308</v>
      </c>
      <c r="QI44" s="5"/>
      <c r="QJ44" s="5"/>
      <c r="QK44" s="5"/>
      <c r="QL44" s="12">
        <v>187098</v>
      </c>
      <c r="QM44" s="5">
        <v>166256</v>
      </c>
      <c r="QN44" s="5">
        <v>5816</v>
      </c>
      <c r="QO44" s="5">
        <v>4416</v>
      </c>
      <c r="QP44" s="5">
        <v>15026</v>
      </c>
      <c r="QQ44" s="12">
        <v>189707.76900000003</v>
      </c>
      <c r="QR44" s="5">
        <v>168370.07200000001</v>
      </c>
      <c r="QS44" s="5">
        <v>6632.1420000000007</v>
      </c>
      <c r="QT44" s="5">
        <v>4667.6850000000004</v>
      </c>
      <c r="QU44" s="10">
        <v>14705.555000000015</v>
      </c>
      <c r="QV44" s="1">
        <v>196082</v>
      </c>
      <c r="QW44" s="2">
        <v>173797</v>
      </c>
      <c r="QX44" s="2">
        <v>6738</v>
      </c>
      <c r="QY44" s="2">
        <v>4858</v>
      </c>
      <c r="QZ44" s="69">
        <v>15461</v>
      </c>
      <c r="RA44" s="2">
        <v>200132</v>
      </c>
      <c r="RB44" s="2">
        <v>173318</v>
      </c>
      <c r="RC44" s="2">
        <v>6472</v>
      </c>
      <c r="RD44" s="2">
        <v>5036</v>
      </c>
      <c r="RE44" s="2">
        <v>16324</v>
      </c>
      <c r="RF44" s="2">
        <v>214568</v>
      </c>
      <c r="RG44" s="2">
        <v>184285</v>
      </c>
      <c r="RH44" s="2">
        <v>8244</v>
      </c>
      <c r="RI44" s="2">
        <v>7054</v>
      </c>
      <c r="RJ44" s="2">
        <v>16546</v>
      </c>
      <c r="RK44" s="2">
        <v>230565</v>
      </c>
      <c r="RL44" s="2">
        <v>197770</v>
      </c>
      <c r="RM44" s="2">
        <v>7285</v>
      </c>
      <c r="RN44" s="2">
        <v>7774</v>
      </c>
      <c r="RO44" s="2">
        <v>19368</v>
      </c>
    </row>
    <row r="45" spans="1:483" ht="14.25" x14ac:dyDescent="0.2">
      <c r="A45" s="217" t="s">
        <v>30</v>
      </c>
      <c r="B45" s="258" t="s">
        <v>185</v>
      </c>
      <c r="C45" s="259" t="s">
        <v>185</v>
      </c>
      <c r="D45" s="259" t="s">
        <v>185</v>
      </c>
      <c r="E45" s="259" t="s">
        <v>185</v>
      </c>
      <c r="F45" s="260" t="s">
        <v>185</v>
      </c>
      <c r="G45" s="5">
        <v>452893</v>
      </c>
      <c r="H45" s="5">
        <v>360105</v>
      </c>
      <c r="I45" s="5">
        <v>74549</v>
      </c>
      <c r="J45" s="5">
        <v>17671</v>
      </c>
      <c r="K45" s="10">
        <v>18239</v>
      </c>
      <c r="L45" s="5">
        <v>299014</v>
      </c>
      <c r="M45" s="5">
        <v>219480</v>
      </c>
      <c r="N45" s="5">
        <v>46043</v>
      </c>
      <c r="O45" s="5">
        <v>29987</v>
      </c>
      <c r="P45" s="10">
        <v>33491</v>
      </c>
      <c r="Q45" s="7">
        <v>233547</v>
      </c>
      <c r="R45" s="7">
        <v>168804</v>
      </c>
      <c r="S45" s="7">
        <v>32750</v>
      </c>
      <c r="T45" s="7">
        <v>37832</v>
      </c>
      <c r="U45" s="577">
        <v>31993</v>
      </c>
      <c r="V45" s="7">
        <v>222466</v>
      </c>
      <c r="W45" s="7">
        <v>161179</v>
      </c>
      <c r="X45" s="7">
        <v>31677</v>
      </c>
      <c r="Y45" s="7">
        <v>36865</v>
      </c>
      <c r="Z45" s="7">
        <v>29610</v>
      </c>
      <c r="AA45" s="7">
        <v>220106</v>
      </c>
      <c r="AB45" s="7">
        <v>137476</v>
      </c>
      <c r="AC45" s="7">
        <v>30581</v>
      </c>
      <c r="AD45" s="7">
        <v>36746</v>
      </c>
      <c r="AE45" s="675">
        <v>29727</v>
      </c>
      <c r="AF45" s="560">
        <v>201139</v>
      </c>
      <c r="AG45" s="560">
        <v>121513</v>
      </c>
      <c r="AH45" s="560">
        <v>28811</v>
      </c>
      <c r="AI45" s="560">
        <v>36669</v>
      </c>
      <c r="AJ45" s="560">
        <v>29016</v>
      </c>
      <c r="AK45" s="560">
        <v>203405</v>
      </c>
      <c r="AL45" s="560">
        <v>121613</v>
      </c>
      <c r="AM45" s="560">
        <v>25712</v>
      </c>
      <c r="AN45" s="560">
        <v>39108</v>
      </c>
      <c r="AO45" s="560">
        <v>33908</v>
      </c>
      <c r="AP45" s="12">
        <v>903866</v>
      </c>
      <c r="AQ45" s="5">
        <v>707807</v>
      </c>
      <c r="AR45" s="5">
        <v>176381</v>
      </c>
      <c r="AS45" s="5">
        <v>17124</v>
      </c>
      <c r="AT45" s="10">
        <v>19678</v>
      </c>
      <c r="AU45" s="5">
        <v>765119</v>
      </c>
      <c r="AV45" s="5">
        <v>561152</v>
      </c>
      <c r="AW45" s="5">
        <v>163124</v>
      </c>
      <c r="AX45" s="5">
        <v>28887</v>
      </c>
      <c r="AY45" s="10">
        <v>40843</v>
      </c>
      <c r="AZ45" s="5">
        <v>529078</v>
      </c>
      <c r="BA45" s="5">
        <v>381107</v>
      </c>
      <c r="BB45" s="5">
        <v>118002</v>
      </c>
      <c r="BC45" s="5">
        <v>30902</v>
      </c>
      <c r="BD45" s="10">
        <v>29969</v>
      </c>
      <c r="BE45" s="5">
        <v>506002</v>
      </c>
      <c r="BF45" s="5">
        <v>364666</v>
      </c>
      <c r="BG45" s="5">
        <v>111411</v>
      </c>
      <c r="BH45" s="5">
        <v>32235</v>
      </c>
      <c r="BI45" s="5">
        <v>29925</v>
      </c>
      <c r="BJ45" s="5">
        <v>497214</v>
      </c>
      <c r="BK45" s="5">
        <v>338567</v>
      </c>
      <c r="BL45" s="5">
        <v>108006</v>
      </c>
      <c r="BM45" s="5">
        <v>31807</v>
      </c>
      <c r="BN45" s="53">
        <v>29226</v>
      </c>
      <c r="BO45" s="53">
        <v>461761</v>
      </c>
      <c r="BP45" s="53">
        <v>307443</v>
      </c>
      <c r="BQ45" s="53">
        <v>101174</v>
      </c>
      <c r="BR45" s="53">
        <v>33507</v>
      </c>
      <c r="BS45" s="53">
        <v>32629</v>
      </c>
      <c r="BT45" s="53">
        <v>444504</v>
      </c>
      <c r="BU45" s="53">
        <v>291552</v>
      </c>
      <c r="BV45" s="53">
        <v>101478</v>
      </c>
      <c r="BW45" s="53">
        <v>30765</v>
      </c>
      <c r="BX45" s="53">
        <v>32755</v>
      </c>
      <c r="BY45" s="12">
        <v>749085</v>
      </c>
      <c r="BZ45" s="5">
        <v>540035</v>
      </c>
      <c r="CA45" s="5">
        <v>148420</v>
      </c>
      <c r="CB45" s="5">
        <v>69493</v>
      </c>
      <c r="CC45" s="290">
        <f t="shared" si="483"/>
        <v>60630</v>
      </c>
      <c r="CD45" s="258" t="s">
        <v>185</v>
      </c>
      <c r="CE45" s="259" t="s">
        <v>185</v>
      </c>
      <c r="CF45" s="259" t="s">
        <v>185</v>
      </c>
      <c r="CG45" s="259" t="s">
        <v>185</v>
      </c>
      <c r="CH45" s="258" t="s">
        <v>185</v>
      </c>
      <c r="CI45" s="259" t="s">
        <v>185</v>
      </c>
      <c r="CJ45" s="259" t="s">
        <v>185</v>
      </c>
      <c r="CK45" s="259" t="s">
        <v>185</v>
      </c>
      <c r="CL45" s="260" t="s">
        <v>185</v>
      </c>
      <c r="CM45" s="5">
        <v>4485883</v>
      </c>
      <c r="CN45" s="5">
        <v>3931669</v>
      </c>
      <c r="CO45" s="5">
        <v>464789</v>
      </c>
      <c r="CP45" s="5">
        <v>54303</v>
      </c>
      <c r="CQ45" s="10">
        <v>89425</v>
      </c>
      <c r="CR45" s="5">
        <v>5351808</v>
      </c>
      <c r="CS45" s="5">
        <v>4528536</v>
      </c>
      <c r="CT45" s="5">
        <v>599216</v>
      </c>
      <c r="CU45" s="5">
        <v>97109</v>
      </c>
      <c r="CV45" s="5">
        <v>224056</v>
      </c>
      <c r="CW45" s="195">
        <v>5773332</v>
      </c>
      <c r="CX45" s="5">
        <v>4818896</v>
      </c>
      <c r="CY45" s="5">
        <v>678681</v>
      </c>
      <c r="CZ45" s="5">
        <v>275755</v>
      </c>
      <c r="DA45" s="5">
        <v>133516</v>
      </c>
      <c r="DB45" s="12">
        <v>5812881</v>
      </c>
      <c r="DC45" s="5">
        <v>4854992</v>
      </c>
      <c r="DD45" s="5">
        <v>681224</v>
      </c>
      <c r="DE45" s="5">
        <v>276665</v>
      </c>
      <c r="DF45" s="5">
        <v>137869</v>
      </c>
      <c r="DG45" s="56">
        <v>5807285</v>
      </c>
      <c r="DH45" s="54">
        <v>4859885</v>
      </c>
      <c r="DI45" s="54">
        <v>678730</v>
      </c>
      <c r="DJ45" s="54">
        <v>268670</v>
      </c>
      <c r="DK45" s="54">
        <v>132943</v>
      </c>
      <c r="DL45" s="12">
        <v>5797946</v>
      </c>
      <c r="DM45" s="5">
        <v>4843870</v>
      </c>
      <c r="DN45" s="5">
        <v>683865</v>
      </c>
      <c r="DO45" s="5">
        <v>139413</v>
      </c>
      <c r="DP45" s="5">
        <v>200166</v>
      </c>
      <c r="DQ45" s="12">
        <v>5828403.3789999997</v>
      </c>
      <c r="DR45" s="5">
        <v>4860312.3</v>
      </c>
      <c r="DS45" s="5">
        <v>690111.01299999992</v>
      </c>
      <c r="DT45" s="5">
        <v>144545.024</v>
      </c>
      <c r="DU45" s="530">
        <f t="shared" si="484"/>
        <v>277980.06599999999</v>
      </c>
      <c r="DV45" s="5">
        <v>5865021</v>
      </c>
      <c r="DW45" s="5">
        <v>4888748</v>
      </c>
      <c r="DX45" s="5">
        <v>698372</v>
      </c>
      <c r="DY45" s="5">
        <v>149518</v>
      </c>
      <c r="DZ45" s="5">
        <v>277901</v>
      </c>
      <c r="EA45" s="5">
        <v>5899558</v>
      </c>
      <c r="EB45" s="5">
        <v>4801533</v>
      </c>
      <c r="EC45" s="5">
        <v>702970</v>
      </c>
      <c r="ED45" s="5">
        <v>155168</v>
      </c>
      <c r="EE45" s="5">
        <v>284449</v>
      </c>
      <c r="EF45" s="5">
        <v>6065447</v>
      </c>
      <c r="EG45" s="5">
        <v>4888431</v>
      </c>
      <c r="EH45" s="5">
        <v>727733</v>
      </c>
      <c r="EI45" s="5">
        <v>172737</v>
      </c>
      <c r="EJ45" s="5">
        <v>330116</v>
      </c>
      <c r="EK45" s="5">
        <v>6112493</v>
      </c>
      <c r="EL45" s="5">
        <v>4915882</v>
      </c>
      <c r="EM45" s="5">
        <v>733954</v>
      </c>
      <c r="EN45" s="5">
        <v>177853</v>
      </c>
      <c r="EO45" s="5">
        <v>340967</v>
      </c>
      <c r="EP45" s="258" t="s">
        <v>185</v>
      </c>
      <c r="EQ45" s="259" t="s">
        <v>185</v>
      </c>
      <c r="ER45" s="259" t="s">
        <v>185</v>
      </c>
      <c r="ES45" s="259" t="s">
        <v>185</v>
      </c>
      <c r="ET45" s="260" t="s">
        <v>185</v>
      </c>
      <c r="EU45" s="5">
        <v>1584387</v>
      </c>
      <c r="EV45" s="5">
        <v>1356336</v>
      </c>
      <c r="EW45" s="5">
        <v>201864</v>
      </c>
      <c r="EX45" s="5">
        <v>20561</v>
      </c>
      <c r="EY45" s="10">
        <v>26187</v>
      </c>
      <c r="EZ45" s="5">
        <v>1944688</v>
      </c>
      <c r="FA45" s="5">
        <v>1620235</v>
      </c>
      <c r="FB45" s="5">
        <v>256313</v>
      </c>
      <c r="FC45" s="5">
        <v>36170</v>
      </c>
      <c r="FD45" s="10">
        <v>68140</v>
      </c>
      <c r="FE45" s="5">
        <v>2125698</v>
      </c>
      <c r="FF45" s="5">
        <v>1748116</v>
      </c>
      <c r="FG45" s="5">
        <v>296295</v>
      </c>
      <c r="FH45" s="5">
        <v>53567</v>
      </c>
      <c r="FI45" s="10">
        <v>81287</v>
      </c>
      <c r="FJ45" s="5">
        <v>2135548.0249999999</v>
      </c>
      <c r="FK45" s="5">
        <v>1755112.7750000001</v>
      </c>
      <c r="FL45" s="5">
        <v>296839.97399999999</v>
      </c>
      <c r="FM45" s="5">
        <v>56021.887999999999</v>
      </c>
      <c r="FN45" s="10">
        <v>83595.27599999978</v>
      </c>
      <c r="FO45" s="5">
        <v>2148211</v>
      </c>
      <c r="FP45" s="5">
        <v>1759793</v>
      </c>
      <c r="FQ45" s="5">
        <v>302957</v>
      </c>
      <c r="FR45" s="5">
        <v>57126</v>
      </c>
      <c r="FS45" s="618">
        <v>85461</v>
      </c>
      <c r="FT45" s="618">
        <v>2161418</v>
      </c>
      <c r="FU45" s="618">
        <v>1728029</v>
      </c>
      <c r="FV45" s="618">
        <v>306378</v>
      </c>
      <c r="FW45" s="618">
        <v>60245</v>
      </c>
      <c r="FX45" s="618">
        <v>85356</v>
      </c>
      <c r="FY45" s="618">
        <v>2215502</v>
      </c>
      <c r="FZ45" s="618">
        <v>1757105</v>
      </c>
      <c r="GA45" s="618">
        <v>316277</v>
      </c>
      <c r="GB45" s="618">
        <v>65537</v>
      </c>
      <c r="GC45" s="618">
        <v>95845</v>
      </c>
      <c r="GD45" s="618">
        <v>2224320</v>
      </c>
      <c r="GE45" s="618">
        <v>1760417</v>
      </c>
      <c r="GF45" s="618">
        <v>317315</v>
      </c>
      <c r="GG45" s="618">
        <v>68574</v>
      </c>
      <c r="GH45" s="618">
        <v>99728</v>
      </c>
      <c r="GI45" s="12">
        <v>392869</v>
      </c>
      <c r="GJ45" s="5">
        <v>342866</v>
      </c>
      <c r="GK45" s="5">
        <v>42679</v>
      </c>
      <c r="GL45" s="5">
        <v>4749</v>
      </c>
      <c r="GM45" s="10">
        <v>7324</v>
      </c>
      <c r="GN45" s="5">
        <v>448112</v>
      </c>
      <c r="GO45" s="5">
        <v>383034</v>
      </c>
      <c r="GP45" s="5">
        <v>48175</v>
      </c>
      <c r="GQ45" s="5">
        <v>7955</v>
      </c>
      <c r="GR45" s="10">
        <v>16903</v>
      </c>
      <c r="GS45" s="12">
        <v>539690</v>
      </c>
      <c r="GT45" s="5">
        <v>462111</v>
      </c>
      <c r="GU45" s="5">
        <v>57488</v>
      </c>
      <c r="GV45" s="5">
        <v>11386</v>
      </c>
      <c r="GW45" s="5">
        <v>20091</v>
      </c>
      <c r="GX45" s="12"/>
      <c r="GY45" s="5"/>
      <c r="GZ45" s="5"/>
      <c r="HA45" s="5"/>
      <c r="HB45" s="10"/>
      <c r="HC45" s="5">
        <v>561201</v>
      </c>
      <c r="HD45" s="5">
        <v>479425</v>
      </c>
      <c r="HE45" s="5">
        <v>59381</v>
      </c>
      <c r="HF45" s="5">
        <v>13055</v>
      </c>
      <c r="HG45" s="5">
        <v>22395</v>
      </c>
      <c r="HH45" s="5">
        <v>576464</v>
      </c>
      <c r="HI45" s="5">
        <v>482941</v>
      </c>
      <c r="HJ45" s="5">
        <v>60821</v>
      </c>
      <c r="HK45" s="5">
        <v>13815</v>
      </c>
      <c r="HL45" s="5">
        <v>22843</v>
      </c>
      <c r="HM45" s="5">
        <v>622089</v>
      </c>
      <c r="HN45" s="5">
        <v>514092</v>
      </c>
      <c r="HO45" s="5">
        <v>68682</v>
      </c>
      <c r="HP45" s="5">
        <v>16522</v>
      </c>
      <c r="HQ45" s="5">
        <v>26434</v>
      </c>
      <c r="HR45" s="5">
        <v>626128</v>
      </c>
      <c r="HS45" s="5">
        <v>518111</v>
      </c>
      <c r="HT45" s="5">
        <v>67700</v>
      </c>
      <c r="HU45" s="5">
        <v>16286</v>
      </c>
      <c r="HV45" s="5">
        <v>28780</v>
      </c>
      <c r="HW45" s="569">
        <f t="shared" si="539"/>
        <v>1406916</v>
      </c>
      <c r="HX45" s="546">
        <f t="shared" si="540"/>
        <v>1249350</v>
      </c>
      <c r="HY45" s="546">
        <f t="shared" si="541"/>
        <v>114693</v>
      </c>
      <c r="HZ45" s="546">
        <f t="shared" si="542"/>
        <v>15108</v>
      </c>
      <c r="IA45" s="546">
        <f t="shared" si="543"/>
        <v>42873</v>
      </c>
      <c r="IB45" s="569">
        <f t="shared" si="544"/>
        <v>1844371</v>
      </c>
      <c r="IC45" s="546">
        <f t="shared" si="545"/>
        <v>1584541</v>
      </c>
      <c r="ID45" s="546">
        <f t="shared" si="546"/>
        <v>151308</v>
      </c>
      <c r="IE45" s="546">
        <f t="shared" si="547"/>
        <v>28055</v>
      </c>
      <c r="IF45" s="546">
        <f t="shared" si="548"/>
        <v>108522</v>
      </c>
      <c r="IG45" s="12">
        <v>1871990</v>
      </c>
      <c r="IH45" s="5">
        <v>1601983</v>
      </c>
      <c r="II45" s="5">
        <v>153981</v>
      </c>
      <c r="IJ45" s="5">
        <v>36435</v>
      </c>
      <c r="IK45" s="5">
        <v>116026</v>
      </c>
      <c r="IL45" s="565"/>
      <c r="IM45" s="7"/>
      <c r="IN45" s="7"/>
      <c r="IO45" s="7"/>
      <c r="IP45" s="7"/>
      <c r="IQ45" s="7">
        <v>2254208</v>
      </c>
      <c r="IR45" s="7">
        <v>1911873</v>
      </c>
      <c r="IS45" s="7">
        <v>193045</v>
      </c>
      <c r="IT45" s="7">
        <v>46422</v>
      </c>
      <c r="IU45" s="577">
        <v>149290</v>
      </c>
      <c r="IV45" s="7">
        <v>2309833</v>
      </c>
      <c r="IW45" s="7">
        <v>1921375</v>
      </c>
      <c r="IX45" s="7">
        <v>196080</v>
      </c>
      <c r="IY45" s="7">
        <v>49035</v>
      </c>
      <c r="IZ45" s="7">
        <v>155230</v>
      </c>
      <c r="JA45" s="565">
        <v>2492562</v>
      </c>
      <c r="JB45" s="7">
        <v>2051711</v>
      </c>
      <c r="JC45" s="7">
        <v>214862</v>
      </c>
      <c r="JD45" s="7">
        <v>57086</v>
      </c>
      <c r="JE45" s="7">
        <v>182375</v>
      </c>
      <c r="JF45" s="565">
        <v>2535958</v>
      </c>
      <c r="JG45" s="7">
        <v>2086880</v>
      </c>
      <c r="JH45" s="7">
        <v>214195</v>
      </c>
      <c r="JI45" s="7">
        <v>59705</v>
      </c>
      <c r="JJ45" s="7">
        <v>192162</v>
      </c>
      <c r="JK45" s="12">
        <v>638267</v>
      </c>
      <c r="JL45" s="5">
        <v>576061</v>
      </c>
      <c r="JM45" s="5">
        <v>44436</v>
      </c>
      <c r="JN45" s="5">
        <v>6061</v>
      </c>
      <c r="JO45" s="5">
        <v>17770</v>
      </c>
      <c r="JP45" s="12">
        <v>878680</v>
      </c>
      <c r="JQ45" s="5">
        <v>765913</v>
      </c>
      <c r="JR45" s="5">
        <v>65182</v>
      </c>
      <c r="JS45" s="5">
        <v>12474</v>
      </c>
      <c r="JT45" s="5">
        <v>47585</v>
      </c>
      <c r="JU45" s="12">
        <v>1014001</v>
      </c>
      <c r="JV45" s="5">
        <v>872549</v>
      </c>
      <c r="JW45" s="5">
        <v>79961</v>
      </c>
      <c r="JX45" s="5">
        <v>19336</v>
      </c>
      <c r="JY45" s="5">
        <v>61491</v>
      </c>
      <c r="JZ45" s="12">
        <v>1025063.052</v>
      </c>
      <c r="KA45" s="5">
        <v>880256.56099999999</v>
      </c>
      <c r="KB45" s="5">
        <v>81337.506999999998</v>
      </c>
      <c r="KC45" s="5">
        <v>20313.28</v>
      </c>
      <c r="KD45" s="5">
        <v>63468.98400000004</v>
      </c>
      <c r="KE45" s="5">
        <v>1063906</v>
      </c>
      <c r="KF45" s="5">
        <v>898292</v>
      </c>
      <c r="KG45" s="5">
        <v>82037</v>
      </c>
      <c r="KH45" s="5">
        <v>22734</v>
      </c>
      <c r="KI45" s="5">
        <v>66385</v>
      </c>
      <c r="KJ45" s="5">
        <v>1145546</v>
      </c>
      <c r="KK45" s="5">
        <v>961260</v>
      </c>
      <c r="KL45" s="5">
        <v>89468</v>
      </c>
      <c r="KM45" s="5">
        <v>25638</v>
      </c>
      <c r="KN45" s="5">
        <v>75433</v>
      </c>
      <c r="KO45" s="5">
        <v>1162737</v>
      </c>
      <c r="KP45" s="5">
        <v>979553</v>
      </c>
      <c r="KQ45" s="5">
        <v>83161</v>
      </c>
      <c r="KR45" s="5">
        <v>29042</v>
      </c>
      <c r="KS45" s="5">
        <v>79747</v>
      </c>
      <c r="KT45" s="258" t="s">
        <v>185</v>
      </c>
      <c r="KU45" s="259" t="s">
        <v>185</v>
      </c>
      <c r="KV45" s="316">
        <v>285664</v>
      </c>
      <c r="KW45" s="332">
        <f t="shared" si="495"/>
        <v>174795</v>
      </c>
      <c r="KX45" s="332">
        <f t="shared" si="496"/>
        <v>110869</v>
      </c>
      <c r="KY45" s="332">
        <f t="shared" si="497"/>
        <v>274988</v>
      </c>
      <c r="KZ45" s="318">
        <v>169335</v>
      </c>
      <c r="LA45" s="318">
        <v>105653</v>
      </c>
      <c r="LB45" s="332">
        <f t="shared" si="498"/>
        <v>10676</v>
      </c>
      <c r="LC45" s="318">
        <v>5460</v>
      </c>
      <c r="LD45" s="318">
        <v>5216</v>
      </c>
      <c r="LE45" s="316">
        <v>431525</v>
      </c>
      <c r="LF45" s="332">
        <f t="shared" si="499"/>
        <v>258369</v>
      </c>
      <c r="LG45" s="332">
        <f t="shared" si="500"/>
        <v>173156</v>
      </c>
      <c r="LH45" s="332">
        <f t="shared" si="501"/>
        <v>410346</v>
      </c>
      <c r="LI45" s="318">
        <v>248052</v>
      </c>
      <c r="LJ45" s="318">
        <v>162294</v>
      </c>
      <c r="LK45" s="332">
        <f t="shared" si="502"/>
        <v>17325</v>
      </c>
      <c r="LL45" s="318">
        <v>7921</v>
      </c>
      <c r="LM45" s="318">
        <v>9404</v>
      </c>
      <c r="LN45" s="332">
        <f t="shared" si="503"/>
        <v>3854</v>
      </c>
      <c r="LO45" s="318">
        <v>2396</v>
      </c>
      <c r="LP45" s="318">
        <v>1458</v>
      </c>
      <c r="LQ45" s="316">
        <v>749187</v>
      </c>
      <c r="LR45" s="332">
        <f t="shared" si="504"/>
        <v>438465</v>
      </c>
      <c r="LS45" s="332">
        <f t="shared" si="505"/>
        <v>310722</v>
      </c>
      <c r="LT45" s="342">
        <f t="shared" si="506"/>
        <v>679648</v>
      </c>
      <c r="LU45" s="318">
        <v>402900</v>
      </c>
      <c r="LV45" s="318">
        <v>276748</v>
      </c>
      <c r="LW45" s="318">
        <v>35565</v>
      </c>
      <c r="LX45" s="318">
        <v>33974</v>
      </c>
      <c r="LY45" s="342">
        <f t="shared" si="507"/>
        <v>44849</v>
      </c>
      <c r="LZ45" s="318">
        <v>21046</v>
      </c>
      <c r="MA45" s="318">
        <v>23803</v>
      </c>
      <c r="MB45" s="342">
        <f t="shared" si="508"/>
        <v>6470</v>
      </c>
      <c r="MC45" s="318">
        <v>3890</v>
      </c>
      <c r="MD45" s="318">
        <v>2580</v>
      </c>
      <c r="ME45" s="333">
        <f t="shared" si="509"/>
        <v>18220</v>
      </c>
      <c r="MF45" s="333">
        <f t="shared" si="510"/>
        <v>10629</v>
      </c>
      <c r="MG45" s="333">
        <f t="shared" si="511"/>
        <v>7591</v>
      </c>
      <c r="MH45" s="334">
        <f t="shared" si="512"/>
        <v>573</v>
      </c>
      <c r="MI45" s="334">
        <f t="shared" si="513"/>
        <v>368</v>
      </c>
      <c r="MJ45" s="334">
        <f t="shared" si="514"/>
        <v>205</v>
      </c>
      <c r="MK45" s="318">
        <v>17647</v>
      </c>
      <c r="ML45" s="318">
        <v>10261</v>
      </c>
      <c r="MM45" s="318">
        <v>7386</v>
      </c>
      <c r="MN45" s="14">
        <f t="shared" si="515"/>
        <v>1014047</v>
      </c>
      <c r="MO45" s="332">
        <f t="shared" si="516"/>
        <v>551549</v>
      </c>
      <c r="MP45" s="332">
        <f t="shared" si="517"/>
        <v>462498</v>
      </c>
      <c r="MQ45" s="13">
        <f t="shared" si="518"/>
        <v>906484</v>
      </c>
      <c r="MR45" s="136">
        <f t="shared" si="519"/>
        <v>899746</v>
      </c>
      <c r="MS45" s="318">
        <v>497611</v>
      </c>
      <c r="MT45" s="318">
        <v>402135</v>
      </c>
      <c r="MU45" s="318">
        <v>53938</v>
      </c>
      <c r="MV45" s="318">
        <v>60363</v>
      </c>
      <c r="MW45" s="13">
        <f t="shared" si="520"/>
        <v>72014</v>
      </c>
      <c r="MX45" s="136">
        <f t="shared" si="521"/>
        <v>71639</v>
      </c>
      <c r="MY45" s="318">
        <v>30231</v>
      </c>
      <c r="MZ45" s="318">
        <v>41408</v>
      </c>
      <c r="NA45" s="13">
        <f t="shared" si="522"/>
        <v>10359</v>
      </c>
      <c r="NB45" s="318">
        <v>5720</v>
      </c>
      <c r="NC45" s="318">
        <v>4639</v>
      </c>
      <c r="ND45" s="11">
        <f t="shared" si="523"/>
        <v>35549</v>
      </c>
      <c r="NE45" s="335">
        <f t="shared" si="524"/>
        <v>17987</v>
      </c>
      <c r="NF45" s="335">
        <f t="shared" si="525"/>
        <v>14316</v>
      </c>
      <c r="NG45" s="336">
        <f t="shared" si="526"/>
        <v>256</v>
      </c>
      <c r="NH45" s="336">
        <f t="shared" si="527"/>
        <v>165</v>
      </c>
      <c r="NI45" s="336">
        <f t="shared" si="528"/>
        <v>91</v>
      </c>
      <c r="NJ45" s="337">
        <f t="shared" si="529"/>
        <v>32047</v>
      </c>
      <c r="NK45" s="337">
        <f t="shared" si="530"/>
        <v>17822</v>
      </c>
      <c r="NL45" s="337">
        <f t="shared" si="531"/>
        <v>14225</v>
      </c>
      <c r="NM45" s="318">
        <v>1100</v>
      </c>
      <c r="NN45" s="318">
        <v>1206</v>
      </c>
      <c r="NO45" s="318">
        <v>16722</v>
      </c>
      <c r="NP45" s="318">
        <v>13019</v>
      </c>
      <c r="NQ45" s="338">
        <v>1396259</v>
      </c>
      <c r="NR45" s="318">
        <v>719643</v>
      </c>
      <c r="NS45" s="318">
        <v>676616</v>
      </c>
      <c r="NT45" s="7">
        <f t="shared" si="532"/>
        <v>1201507</v>
      </c>
      <c r="NU45" s="7">
        <v>629388</v>
      </c>
      <c r="NV45" s="7">
        <v>572119</v>
      </c>
      <c r="NW45" s="125">
        <f t="shared" si="533"/>
        <v>1188707</v>
      </c>
      <c r="NX45" s="318">
        <v>622797</v>
      </c>
      <c r="NY45" s="318">
        <v>565910</v>
      </c>
      <c r="NZ45" s="7">
        <f t="shared" si="534"/>
        <v>103133</v>
      </c>
      <c r="OA45" s="318">
        <v>40883</v>
      </c>
      <c r="OB45" s="318">
        <v>62250</v>
      </c>
      <c r="OC45" s="7">
        <f t="shared" si="535"/>
        <v>20100</v>
      </c>
      <c r="OD45" s="318">
        <v>10144</v>
      </c>
      <c r="OE45" s="318">
        <v>9956</v>
      </c>
      <c r="OF45" s="125">
        <f t="shared" si="536"/>
        <v>91619</v>
      </c>
      <c r="OG45" s="125">
        <f t="shared" si="537"/>
        <v>49372</v>
      </c>
      <c r="OH45" s="125">
        <f t="shared" si="538"/>
        <v>42247</v>
      </c>
      <c r="OI45" s="326">
        <v>1623139</v>
      </c>
      <c r="OJ45" s="318">
        <v>1378550</v>
      </c>
      <c r="OK45" s="318">
        <v>119705</v>
      </c>
      <c r="OL45" s="318">
        <v>124884</v>
      </c>
      <c r="OM45" s="7">
        <v>28727</v>
      </c>
      <c r="ON45" s="12">
        <v>1637155</v>
      </c>
      <c r="OO45" s="5">
        <v>1393068</v>
      </c>
      <c r="OP45" s="5">
        <v>120010</v>
      </c>
      <c r="OQ45" s="5">
        <v>124077</v>
      </c>
      <c r="OR45" s="5">
        <v>29496</v>
      </c>
      <c r="OS45" s="12">
        <v>1625482</v>
      </c>
      <c r="OT45" s="5">
        <v>1385420</v>
      </c>
      <c r="OU45" s="5">
        <v>120341</v>
      </c>
      <c r="OV45" s="5">
        <v>119721</v>
      </c>
      <c r="OW45" s="5">
        <v>27327</v>
      </c>
      <c r="OX45" s="12">
        <v>1641165</v>
      </c>
      <c r="OY45" s="5">
        <v>1392437</v>
      </c>
      <c r="OZ45" s="5">
        <v>127783</v>
      </c>
      <c r="PA45" s="5">
        <v>120945</v>
      </c>
      <c r="PB45" s="5">
        <v>30400</v>
      </c>
      <c r="PC45" s="12">
        <v>1662442.0009999999</v>
      </c>
      <c r="PD45" s="5">
        <v>1404090.22</v>
      </c>
      <c r="PE45" s="5">
        <v>132487.89799999999</v>
      </c>
      <c r="PF45" s="5">
        <v>31218.303999999996</v>
      </c>
      <c r="PG45" s="5">
        <v>125863.88299999997</v>
      </c>
      <c r="PH45" s="5">
        <v>1693007</v>
      </c>
      <c r="PI45" s="5">
        <v>1432448</v>
      </c>
      <c r="PJ45" s="5">
        <v>133664</v>
      </c>
      <c r="PK45" s="5">
        <v>33367</v>
      </c>
      <c r="PL45" s="2">
        <v>126895</v>
      </c>
      <c r="PM45" s="2">
        <v>1733369</v>
      </c>
      <c r="PN45" s="2">
        <v>1438434</v>
      </c>
      <c r="PO45" s="2">
        <v>135259</v>
      </c>
      <c r="PP45" s="2">
        <v>35220</v>
      </c>
      <c r="PQ45" s="2">
        <v>132387</v>
      </c>
      <c r="PR45" s="2">
        <v>1870473</v>
      </c>
      <c r="PS45" s="2">
        <v>1537619</v>
      </c>
      <c r="PT45" s="2">
        <v>146180</v>
      </c>
      <c r="PU45" s="2">
        <v>40564</v>
      </c>
      <c r="PV45" s="2">
        <v>155941</v>
      </c>
      <c r="PW45" s="2">
        <v>1909830</v>
      </c>
      <c r="PX45" s="2">
        <v>1568769</v>
      </c>
      <c r="PY45" s="2">
        <v>146495</v>
      </c>
      <c r="PZ45" s="2">
        <v>43419</v>
      </c>
      <c r="QA45" s="2">
        <v>163382</v>
      </c>
      <c r="QB45" s="12">
        <v>375780</v>
      </c>
      <c r="QC45" s="5">
        <v>330423</v>
      </c>
      <c r="QD45" s="5">
        <v>27578</v>
      </c>
      <c r="QE45" s="5">
        <v>4298</v>
      </c>
      <c r="QF45" s="5">
        <v>17779</v>
      </c>
      <c r="QG45" s="12">
        <v>517579</v>
      </c>
      <c r="QH45" s="5">
        <v>435594</v>
      </c>
      <c r="QI45" s="5">
        <v>37951</v>
      </c>
      <c r="QJ45" s="5">
        <v>7626</v>
      </c>
      <c r="QK45" s="5">
        <v>44034</v>
      </c>
      <c r="QL45" s="12">
        <v>627164</v>
      </c>
      <c r="QM45" s="5">
        <v>519888</v>
      </c>
      <c r="QN45" s="5">
        <v>47822</v>
      </c>
      <c r="QO45" s="5">
        <v>11064</v>
      </c>
      <c r="QP45" s="5">
        <v>59454</v>
      </c>
      <c r="QQ45" s="12">
        <v>637378.94899999991</v>
      </c>
      <c r="QR45" s="5">
        <v>523833.65899999993</v>
      </c>
      <c r="QS45" s="5">
        <v>51150.390999999996</v>
      </c>
      <c r="QT45" s="5">
        <v>10905.023999999999</v>
      </c>
      <c r="QU45" s="10">
        <v>62394.898999999983</v>
      </c>
      <c r="QV45" s="1">
        <v>649811</v>
      </c>
      <c r="QW45" s="2">
        <v>535501</v>
      </c>
      <c r="QX45" s="2">
        <v>51894</v>
      </c>
      <c r="QY45" s="2">
        <v>11968</v>
      </c>
      <c r="QZ45" s="69">
        <v>62416</v>
      </c>
      <c r="RA45" s="2">
        <v>669463</v>
      </c>
      <c r="RB45" s="2">
        <v>540142</v>
      </c>
      <c r="RC45" s="2">
        <v>53222</v>
      </c>
      <c r="RD45" s="2">
        <v>12486</v>
      </c>
      <c r="RE45" s="2">
        <v>66002</v>
      </c>
      <c r="RF45" s="2">
        <v>724927</v>
      </c>
      <c r="RG45" s="2">
        <v>576359</v>
      </c>
      <c r="RH45" s="2">
        <v>56712</v>
      </c>
      <c r="RI45" s="2">
        <v>14926</v>
      </c>
      <c r="RJ45" s="2">
        <v>80508</v>
      </c>
      <c r="RK45" s="2">
        <v>747093</v>
      </c>
      <c r="RL45" s="2">
        <v>589216</v>
      </c>
      <c r="RM45" s="2">
        <v>63334</v>
      </c>
      <c r="RN45" s="2">
        <v>14377</v>
      </c>
      <c r="RO45" s="2">
        <v>83635</v>
      </c>
    </row>
    <row r="46" spans="1:483" ht="14.25" x14ac:dyDescent="0.2">
      <c r="A46" s="217" t="s">
        <v>31</v>
      </c>
      <c r="B46" s="258" t="s">
        <v>185</v>
      </c>
      <c r="C46" s="259" t="s">
        <v>185</v>
      </c>
      <c r="D46" s="259" t="s">
        <v>185</v>
      </c>
      <c r="E46" s="259" t="s">
        <v>185</v>
      </c>
      <c r="F46" s="260" t="s">
        <v>185</v>
      </c>
      <c r="G46" s="5">
        <v>239322</v>
      </c>
      <c r="H46" s="5">
        <v>225361</v>
      </c>
      <c r="I46" s="5">
        <v>2895</v>
      </c>
      <c r="J46" s="5">
        <v>3156</v>
      </c>
      <c r="K46" s="10">
        <v>11066</v>
      </c>
      <c r="L46" s="5">
        <v>158858</v>
      </c>
      <c r="M46" s="5">
        <v>127743</v>
      </c>
      <c r="N46" s="5">
        <v>4252</v>
      </c>
      <c r="O46" s="5">
        <v>15051</v>
      </c>
      <c r="P46" s="10">
        <v>26863</v>
      </c>
      <c r="Q46" s="7">
        <v>122853</v>
      </c>
      <c r="R46" s="7">
        <v>84516</v>
      </c>
      <c r="S46" s="7">
        <v>10929</v>
      </c>
      <c r="T46" s="7">
        <v>27037</v>
      </c>
      <c r="U46" s="577">
        <v>27408</v>
      </c>
      <c r="V46" s="7">
        <v>113516</v>
      </c>
      <c r="W46" s="7">
        <v>72862</v>
      </c>
      <c r="X46" s="7">
        <v>11758</v>
      </c>
      <c r="Y46" s="7">
        <v>24322</v>
      </c>
      <c r="Z46" s="7">
        <v>28868</v>
      </c>
      <c r="AA46" s="7">
        <v>113501</v>
      </c>
      <c r="AB46" s="7">
        <v>55007</v>
      </c>
      <c r="AC46" s="7">
        <v>12761</v>
      </c>
      <c r="AD46" s="7">
        <v>25125</v>
      </c>
      <c r="AE46" s="675">
        <v>32659</v>
      </c>
      <c r="AF46" s="560">
        <v>112193</v>
      </c>
      <c r="AG46" s="560">
        <v>42151</v>
      </c>
      <c r="AH46" s="560">
        <v>17030</v>
      </c>
      <c r="AI46" s="560">
        <v>28210</v>
      </c>
      <c r="AJ46" s="560">
        <v>38546</v>
      </c>
      <c r="AK46" s="560">
        <v>111658</v>
      </c>
      <c r="AL46" s="560">
        <v>39730</v>
      </c>
      <c r="AM46" s="560">
        <v>14144</v>
      </c>
      <c r="AN46" s="560">
        <v>32958</v>
      </c>
      <c r="AO46" s="560">
        <v>44015</v>
      </c>
      <c r="AP46" s="12">
        <v>249443</v>
      </c>
      <c r="AQ46" s="5">
        <v>232083</v>
      </c>
      <c r="AR46" s="5">
        <v>8101</v>
      </c>
      <c r="AS46" s="5">
        <v>3051</v>
      </c>
      <c r="AT46" s="10">
        <v>9259</v>
      </c>
      <c r="AU46" s="5">
        <v>222487</v>
      </c>
      <c r="AV46" s="5">
        <v>187638</v>
      </c>
      <c r="AW46" s="5">
        <v>13505</v>
      </c>
      <c r="AX46" s="5">
        <v>11929</v>
      </c>
      <c r="AY46" s="10">
        <v>21344</v>
      </c>
      <c r="AZ46" s="5">
        <v>173238</v>
      </c>
      <c r="BA46" s="5">
        <v>135626</v>
      </c>
      <c r="BB46" s="5">
        <v>16904</v>
      </c>
      <c r="BC46" s="5">
        <v>19145</v>
      </c>
      <c r="BD46" s="10">
        <v>20708</v>
      </c>
      <c r="BE46" s="5">
        <v>166590</v>
      </c>
      <c r="BF46" s="5">
        <v>127619</v>
      </c>
      <c r="BG46" s="5">
        <v>17302</v>
      </c>
      <c r="BH46" s="5">
        <v>19773</v>
      </c>
      <c r="BI46" s="5">
        <v>21591</v>
      </c>
      <c r="BJ46" s="5">
        <v>163203</v>
      </c>
      <c r="BK46" s="5">
        <v>111855</v>
      </c>
      <c r="BL46" s="5">
        <v>17103</v>
      </c>
      <c r="BM46" s="5">
        <v>19740</v>
      </c>
      <c r="BN46" s="53">
        <v>21629</v>
      </c>
      <c r="BO46" s="53">
        <v>155113</v>
      </c>
      <c r="BP46" s="53">
        <v>103047</v>
      </c>
      <c r="BQ46" s="53">
        <v>16004</v>
      </c>
      <c r="BR46" s="53">
        <v>20099</v>
      </c>
      <c r="BS46" s="53">
        <v>24383</v>
      </c>
      <c r="BT46" s="53">
        <v>152230</v>
      </c>
      <c r="BU46" s="53">
        <v>97542</v>
      </c>
      <c r="BV46" s="53">
        <v>18696</v>
      </c>
      <c r="BW46" s="53">
        <v>20001</v>
      </c>
      <c r="BX46" s="53">
        <v>26038</v>
      </c>
      <c r="BY46" s="12">
        <v>292793</v>
      </c>
      <c r="BZ46" s="5">
        <v>211490</v>
      </c>
      <c r="CA46" s="5">
        <v>29544</v>
      </c>
      <c r="CB46" s="5">
        <v>46781</v>
      </c>
      <c r="CC46" s="290">
        <f t="shared" si="483"/>
        <v>51759</v>
      </c>
      <c r="CD46" s="258" t="s">
        <v>185</v>
      </c>
      <c r="CE46" s="259" t="s">
        <v>185</v>
      </c>
      <c r="CF46" s="259" t="s">
        <v>185</v>
      </c>
      <c r="CG46" s="259" t="s">
        <v>185</v>
      </c>
      <c r="CH46" s="258" t="s">
        <v>185</v>
      </c>
      <c r="CI46" s="259" t="s">
        <v>185</v>
      </c>
      <c r="CJ46" s="259" t="s">
        <v>185</v>
      </c>
      <c r="CK46" s="259" t="s">
        <v>185</v>
      </c>
      <c r="CL46" s="260" t="s">
        <v>185</v>
      </c>
      <c r="CM46" s="5">
        <v>2281797</v>
      </c>
      <c r="CN46" s="5">
        <v>2202579</v>
      </c>
      <c r="CO46" s="5">
        <v>35119</v>
      </c>
      <c r="CP46" s="5">
        <v>15251</v>
      </c>
      <c r="CQ46" s="10">
        <v>44099</v>
      </c>
      <c r="CR46" s="5">
        <v>2783000</v>
      </c>
      <c r="CS46" s="5">
        <v>2603670</v>
      </c>
      <c r="CT46" s="5">
        <v>66820</v>
      </c>
      <c r="CU46" s="5">
        <v>37406</v>
      </c>
      <c r="CV46" s="5">
        <v>112510</v>
      </c>
      <c r="CW46" s="195">
        <v>3070988</v>
      </c>
      <c r="CX46" s="5">
        <v>2822623</v>
      </c>
      <c r="CY46" s="5">
        <v>93562</v>
      </c>
      <c r="CZ46" s="5">
        <v>154803</v>
      </c>
      <c r="DA46" s="5">
        <v>59813</v>
      </c>
      <c r="DB46" s="12">
        <v>3116085</v>
      </c>
      <c r="DC46" s="5">
        <v>2862676</v>
      </c>
      <c r="DD46" s="5">
        <v>97533</v>
      </c>
      <c r="DE46" s="5">
        <v>155876</v>
      </c>
      <c r="DF46" s="5">
        <v>61987</v>
      </c>
      <c r="DG46" s="56">
        <v>3150406</v>
      </c>
      <c r="DH46" s="54">
        <v>2892732</v>
      </c>
      <c r="DI46" s="54">
        <v>97397</v>
      </c>
      <c r="DJ46" s="54">
        <v>160277</v>
      </c>
      <c r="DK46" s="54">
        <v>61664</v>
      </c>
      <c r="DL46" s="12">
        <v>3196254</v>
      </c>
      <c r="DM46" s="5">
        <v>2915255</v>
      </c>
      <c r="DN46" s="5">
        <v>110941</v>
      </c>
      <c r="DO46" s="5">
        <v>69221</v>
      </c>
      <c r="DP46" s="5">
        <v>137005</v>
      </c>
      <c r="DQ46" s="12">
        <v>3234835.7930000001</v>
      </c>
      <c r="DR46" s="5">
        <v>2941920.4440000001</v>
      </c>
      <c r="DS46" s="5">
        <v>114016.515</v>
      </c>
      <c r="DT46" s="5">
        <v>72438.773000000001</v>
      </c>
      <c r="DU46" s="530">
        <f t="shared" si="484"/>
        <v>178898.83399999992</v>
      </c>
      <c r="DV46" s="5">
        <v>3282868</v>
      </c>
      <c r="DW46" s="5">
        <v>2977878</v>
      </c>
      <c r="DX46" s="5">
        <v>119894</v>
      </c>
      <c r="DY46" s="5">
        <v>78532</v>
      </c>
      <c r="DZ46" s="5">
        <v>184117</v>
      </c>
      <c r="EA46" s="5">
        <v>3320015</v>
      </c>
      <c r="EB46" s="5">
        <v>2950134</v>
      </c>
      <c r="EC46" s="5">
        <v>123760</v>
      </c>
      <c r="ED46" s="5">
        <v>81226</v>
      </c>
      <c r="EE46" s="5">
        <v>192655</v>
      </c>
      <c r="EF46" s="5">
        <v>3433629</v>
      </c>
      <c r="EG46" s="5">
        <v>3011992</v>
      </c>
      <c r="EH46" s="5">
        <v>138285</v>
      </c>
      <c r="EI46" s="5">
        <v>88243</v>
      </c>
      <c r="EJ46" s="5">
        <v>224671</v>
      </c>
      <c r="EK46" s="5">
        <v>3461395</v>
      </c>
      <c r="EL46" s="5">
        <v>3028957</v>
      </c>
      <c r="EM46" s="5">
        <v>147200</v>
      </c>
      <c r="EN46" s="5">
        <v>88579</v>
      </c>
      <c r="EO46" s="5">
        <v>231742</v>
      </c>
      <c r="EP46" s="258" t="s">
        <v>185</v>
      </c>
      <c r="EQ46" s="259" t="s">
        <v>185</v>
      </c>
      <c r="ER46" s="259" t="s">
        <v>185</v>
      </c>
      <c r="ES46" s="259" t="s">
        <v>185</v>
      </c>
      <c r="ET46" s="260" t="s">
        <v>185</v>
      </c>
      <c r="EU46" s="5">
        <v>763948</v>
      </c>
      <c r="EV46" s="5">
        <v>735177</v>
      </c>
      <c r="EW46" s="5">
        <v>13879</v>
      </c>
      <c r="EX46" s="5">
        <v>5849</v>
      </c>
      <c r="EY46" s="10">
        <v>14892</v>
      </c>
      <c r="EZ46" s="5">
        <v>1002246</v>
      </c>
      <c r="FA46" s="5">
        <v>935016</v>
      </c>
      <c r="FB46" s="5">
        <v>28253</v>
      </c>
      <c r="FC46" s="5">
        <v>13493</v>
      </c>
      <c r="FD46" s="10">
        <v>38977</v>
      </c>
      <c r="FE46" s="5">
        <v>1130137</v>
      </c>
      <c r="FF46" s="5">
        <v>1027633</v>
      </c>
      <c r="FG46" s="5">
        <v>47756</v>
      </c>
      <c r="FH46" s="5">
        <v>22102</v>
      </c>
      <c r="FI46" s="10">
        <v>54748</v>
      </c>
      <c r="FJ46" s="5">
        <v>1146479.425</v>
      </c>
      <c r="FK46" s="5">
        <v>1041667.1100000001</v>
      </c>
      <c r="FL46" s="5">
        <v>49622.282000000007</v>
      </c>
      <c r="FM46" s="5">
        <v>23271.105</v>
      </c>
      <c r="FN46" s="10">
        <v>55190.032999999938</v>
      </c>
      <c r="FO46" s="5">
        <v>1165821</v>
      </c>
      <c r="FP46" s="5">
        <v>1055041</v>
      </c>
      <c r="FQ46" s="5">
        <v>52681</v>
      </c>
      <c r="FR46" s="5">
        <v>25323</v>
      </c>
      <c r="FS46" s="618">
        <v>57877</v>
      </c>
      <c r="FT46" s="618">
        <v>1177116</v>
      </c>
      <c r="FU46" s="618">
        <v>1044087</v>
      </c>
      <c r="FV46" s="618">
        <v>54862</v>
      </c>
      <c r="FW46" s="618">
        <v>26211</v>
      </c>
      <c r="FX46" s="618">
        <v>61178</v>
      </c>
      <c r="FY46" s="618">
        <v>1208452</v>
      </c>
      <c r="FZ46" s="618">
        <v>1054063</v>
      </c>
      <c r="GA46" s="618">
        <v>61138</v>
      </c>
      <c r="GB46" s="618">
        <v>30026</v>
      </c>
      <c r="GC46" s="618">
        <v>71714</v>
      </c>
      <c r="GD46" s="618">
        <v>1226474</v>
      </c>
      <c r="GE46" s="618">
        <v>1065049</v>
      </c>
      <c r="GF46" s="618">
        <v>65237</v>
      </c>
      <c r="GG46" s="618">
        <v>30639</v>
      </c>
      <c r="GH46" s="618">
        <v>76101</v>
      </c>
      <c r="GI46" s="12">
        <v>237156</v>
      </c>
      <c r="GJ46" s="5">
        <v>229723</v>
      </c>
      <c r="GK46" s="5">
        <v>2892</v>
      </c>
      <c r="GL46" s="5">
        <v>1671</v>
      </c>
      <c r="GM46" s="10">
        <v>4541</v>
      </c>
      <c r="GN46" s="5">
        <v>243093</v>
      </c>
      <c r="GO46" s="5">
        <v>228145</v>
      </c>
      <c r="GP46" s="5">
        <v>5688</v>
      </c>
      <c r="GQ46" s="5">
        <v>2825</v>
      </c>
      <c r="GR46" s="10">
        <v>9260</v>
      </c>
      <c r="GS46" s="12">
        <v>339807</v>
      </c>
      <c r="GT46" s="5">
        <v>312298</v>
      </c>
      <c r="GU46" s="5">
        <v>12718</v>
      </c>
      <c r="GV46" s="5">
        <v>5535</v>
      </c>
      <c r="GW46" s="5">
        <v>14791</v>
      </c>
      <c r="GX46" s="12"/>
      <c r="GY46" s="5"/>
      <c r="GZ46" s="5"/>
      <c r="HA46" s="5"/>
      <c r="HB46" s="10"/>
      <c r="HC46" s="5">
        <v>366569</v>
      </c>
      <c r="HD46" s="5">
        <v>336384</v>
      </c>
      <c r="HE46" s="5">
        <v>13897</v>
      </c>
      <c r="HF46" s="5">
        <v>7004</v>
      </c>
      <c r="HG46" s="5">
        <v>16231</v>
      </c>
      <c r="HH46" s="5">
        <v>377276</v>
      </c>
      <c r="HI46" s="5">
        <v>341093</v>
      </c>
      <c r="HJ46" s="5">
        <v>13353</v>
      </c>
      <c r="HK46" s="5">
        <v>7042</v>
      </c>
      <c r="HL46" s="5">
        <v>18212</v>
      </c>
      <c r="HM46" s="5">
        <v>413953</v>
      </c>
      <c r="HN46" s="5">
        <v>373470</v>
      </c>
      <c r="HO46" s="5">
        <v>14203</v>
      </c>
      <c r="HP46" s="5">
        <v>5704</v>
      </c>
      <c r="HQ46" s="5">
        <v>22730</v>
      </c>
      <c r="HR46" s="5">
        <v>429762</v>
      </c>
      <c r="HS46" s="5">
        <v>382328</v>
      </c>
      <c r="HT46" s="5">
        <v>17198</v>
      </c>
      <c r="HU46" s="5">
        <v>7782</v>
      </c>
      <c r="HV46" s="5">
        <v>25021</v>
      </c>
      <c r="HW46" s="569">
        <f t="shared" si="539"/>
        <v>841740</v>
      </c>
      <c r="HX46" s="546">
        <f t="shared" si="540"/>
        <v>812526</v>
      </c>
      <c r="HY46" s="546">
        <f t="shared" si="541"/>
        <v>10955</v>
      </c>
      <c r="HZ46" s="546">
        <f t="shared" si="542"/>
        <v>5353</v>
      </c>
      <c r="IA46" s="546">
        <f t="shared" si="543"/>
        <v>18259</v>
      </c>
      <c r="IB46" s="569">
        <f t="shared" si="544"/>
        <v>1111175</v>
      </c>
      <c r="IC46" s="546">
        <f t="shared" si="545"/>
        <v>1042972</v>
      </c>
      <c r="ID46" s="546">
        <f t="shared" si="546"/>
        <v>21501</v>
      </c>
      <c r="IE46" s="546">
        <f t="shared" si="547"/>
        <v>11853</v>
      </c>
      <c r="IF46" s="546">
        <f t="shared" si="548"/>
        <v>46702</v>
      </c>
      <c r="IG46" s="12">
        <v>1270630</v>
      </c>
      <c r="IH46" s="5">
        <v>1166430</v>
      </c>
      <c r="II46" s="5">
        <v>35425</v>
      </c>
      <c r="IJ46" s="5">
        <v>19431</v>
      </c>
      <c r="IK46" s="5">
        <v>68775</v>
      </c>
      <c r="IL46" s="565"/>
      <c r="IM46" s="7"/>
      <c r="IN46" s="7"/>
      <c r="IO46" s="7"/>
      <c r="IP46" s="7"/>
      <c r="IQ46" s="7">
        <v>1526846</v>
      </c>
      <c r="IR46" s="7">
        <v>1394022</v>
      </c>
      <c r="IS46" s="7">
        <v>41922</v>
      </c>
      <c r="IT46" s="7">
        <v>26190</v>
      </c>
      <c r="IU46" s="577">
        <v>90597</v>
      </c>
      <c r="IV46" s="7">
        <v>1566609</v>
      </c>
      <c r="IW46" s="7">
        <v>1408107</v>
      </c>
      <c r="IX46" s="7">
        <v>43037</v>
      </c>
      <c r="IY46" s="7">
        <v>27381</v>
      </c>
      <c r="IZ46" s="7">
        <v>96650</v>
      </c>
      <c r="JA46" s="565">
        <v>1697960</v>
      </c>
      <c r="JB46" s="7">
        <v>1513458</v>
      </c>
      <c r="JC46" s="7">
        <v>46802</v>
      </c>
      <c r="JD46" s="7">
        <v>29548</v>
      </c>
      <c r="JE46" s="7">
        <v>117677</v>
      </c>
      <c r="JF46" s="565">
        <v>1726746</v>
      </c>
      <c r="JG46" s="7">
        <v>1533859</v>
      </c>
      <c r="JH46" s="7">
        <v>54538</v>
      </c>
      <c r="JI46" s="7">
        <v>29260</v>
      </c>
      <c r="JJ46" s="7">
        <v>118267</v>
      </c>
      <c r="JK46" s="12">
        <v>431381</v>
      </c>
      <c r="JL46" s="5">
        <v>418198</v>
      </c>
      <c r="JM46" s="5">
        <v>5655</v>
      </c>
      <c r="JN46" s="5">
        <v>2241</v>
      </c>
      <c r="JO46" s="5">
        <v>7528</v>
      </c>
      <c r="JP46" s="12">
        <v>605210</v>
      </c>
      <c r="JQ46" s="5">
        <v>573129</v>
      </c>
      <c r="JR46" s="5">
        <v>10688</v>
      </c>
      <c r="JS46" s="5">
        <v>5445</v>
      </c>
      <c r="JT46" s="5">
        <v>21393</v>
      </c>
      <c r="JU46" s="12">
        <v>747417</v>
      </c>
      <c r="JV46" s="5">
        <v>691898</v>
      </c>
      <c r="JW46" s="5">
        <v>17240</v>
      </c>
      <c r="JX46" s="5">
        <v>10755</v>
      </c>
      <c r="JY46" s="5">
        <v>38279</v>
      </c>
      <c r="JZ46" s="12">
        <v>758440.23499999999</v>
      </c>
      <c r="KA46" s="5">
        <v>700757.87399999995</v>
      </c>
      <c r="KB46" s="5">
        <v>17066.623</v>
      </c>
      <c r="KC46" s="5">
        <v>10740.51</v>
      </c>
      <c r="KD46" s="5">
        <v>40615.738000000034</v>
      </c>
      <c r="KE46" s="5">
        <v>800158</v>
      </c>
      <c r="KF46" s="5">
        <v>726393</v>
      </c>
      <c r="KG46" s="5">
        <v>19323</v>
      </c>
      <c r="KH46" s="5">
        <v>12940</v>
      </c>
      <c r="KI46" s="5">
        <v>45571</v>
      </c>
      <c r="KJ46" s="5">
        <v>847584</v>
      </c>
      <c r="KK46" s="5">
        <v>762718</v>
      </c>
      <c r="KL46" s="5">
        <v>20314</v>
      </c>
      <c r="KM46" s="5">
        <v>16186</v>
      </c>
      <c r="KN46" s="5">
        <v>53911</v>
      </c>
      <c r="KO46" s="5">
        <v>860125</v>
      </c>
      <c r="KP46" s="5">
        <v>773477</v>
      </c>
      <c r="KQ46" s="5">
        <v>24011</v>
      </c>
      <c r="KR46" s="5">
        <v>13953</v>
      </c>
      <c r="KS46" s="5">
        <v>53393</v>
      </c>
      <c r="KT46" s="258" t="s">
        <v>185</v>
      </c>
      <c r="KU46" s="259" t="s">
        <v>185</v>
      </c>
      <c r="KV46" s="338">
        <v>139069</v>
      </c>
      <c r="KW46" s="332">
        <f t="shared" si="495"/>
        <v>85322</v>
      </c>
      <c r="KX46" s="332">
        <f t="shared" si="496"/>
        <v>53747</v>
      </c>
      <c r="KY46" s="332">
        <f t="shared" si="497"/>
        <v>137448</v>
      </c>
      <c r="KZ46" s="318">
        <v>84246</v>
      </c>
      <c r="LA46" s="318">
        <v>53202</v>
      </c>
      <c r="LB46" s="332">
        <f t="shared" si="498"/>
        <v>1621</v>
      </c>
      <c r="LC46" s="318">
        <v>1076</v>
      </c>
      <c r="LD46" s="318">
        <v>545</v>
      </c>
      <c r="LE46" s="316">
        <v>220475</v>
      </c>
      <c r="LF46" s="332">
        <f t="shared" si="499"/>
        <v>131900</v>
      </c>
      <c r="LG46" s="332">
        <f t="shared" si="500"/>
        <v>88575</v>
      </c>
      <c r="LH46" s="332">
        <f t="shared" si="501"/>
        <v>217750</v>
      </c>
      <c r="LI46" s="318">
        <v>130118</v>
      </c>
      <c r="LJ46" s="318">
        <v>87632</v>
      </c>
      <c r="LK46" s="332">
        <f t="shared" si="502"/>
        <v>1379</v>
      </c>
      <c r="LL46" s="318">
        <v>863</v>
      </c>
      <c r="LM46" s="318">
        <v>516</v>
      </c>
      <c r="LN46" s="332">
        <f t="shared" si="503"/>
        <v>1346</v>
      </c>
      <c r="LO46" s="318">
        <v>919</v>
      </c>
      <c r="LP46" s="318">
        <v>427</v>
      </c>
      <c r="LQ46" s="316">
        <v>407281</v>
      </c>
      <c r="LR46" s="332">
        <f t="shared" si="504"/>
        <v>235447</v>
      </c>
      <c r="LS46" s="332">
        <f t="shared" si="505"/>
        <v>171834</v>
      </c>
      <c r="LT46" s="342">
        <f t="shared" si="506"/>
        <v>395454</v>
      </c>
      <c r="LU46" s="318">
        <v>228366</v>
      </c>
      <c r="LV46" s="318">
        <v>167088</v>
      </c>
      <c r="LW46" s="318">
        <v>7081</v>
      </c>
      <c r="LX46" s="318">
        <v>4746</v>
      </c>
      <c r="LY46" s="342">
        <f t="shared" si="507"/>
        <v>3993</v>
      </c>
      <c r="LZ46" s="318">
        <v>2428</v>
      </c>
      <c r="MA46" s="318">
        <v>1565</v>
      </c>
      <c r="MB46" s="342">
        <f t="shared" si="508"/>
        <v>1779</v>
      </c>
      <c r="MC46" s="318">
        <v>1115</v>
      </c>
      <c r="MD46" s="318">
        <v>664</v>
      </c>
      <c r="ME46" s="333">
        <f t="shared" si="509"/>
        <v>6055</v>
      </c>
      <c r="MF46" s="333">
        <f t="shared" si="510"/>
        <v>3538</v>
      </c>
      <c r="MG46" s="333">
        <f t="shared" si="511"/>
        <v>2517</v>
      </c>
      <c r="MH46" s="334">
        <f t="shared" si="512"/>
        <v>247</v>
      </c>
      <c r="MI46" s="334">
        <f t="shared" si="513"/>
        <v>150</v>
      </c>
      <c r="MJ46" s="334">
        <f t="shared" si="514"/>
        <v>97</v>
      </c>
      <c r="MK46" s="318">
        <v>5808</v>
      </c>
      <c r="ML46" s="318">
        <v>3388</v>
      </c>
      <c r="MM46" s="318">
        <v>2420</v>
      </c>
      <c r="MN46" s="14">
        <f t="shared" si="515"/>
        <v>604584</v>
      </c>
      <c r="MO46" s="332">
        <f t="shared" si="516"/>
        <v>324772</v>
      </c>
      <c r="MP46" s="332">
        <f t="shared" si="517"/>
        <v>279812</v>
      </c>
      <c r="MQ46" s="13">
        <f t="shared" si="518"/>
        <v>582803</v>
      </c>
      <c r="MR46" s="136">
        <f t="shared" si="519"/>
        <v>580520</v>
      </c>
      <c r="MS46" s="318">
        <v>311073</v>
      </c>
      <c r="MT46" s="318">
        <v>269447</v>
      </c>
      <c r="MU46" s="318">
        <v>13699</v>
      </c>
      <c r="MV46" s="318">
        <v>10365</v>
      </c>
      <c r="MW46" s="13">
        <f t="shared" si="520"/>
        <v>8063</v>
      </c>
      <c r="MX46" s="136">
        <f t="shared" si="521"/>
        <v>7936</v>
      </c>
      <c r="MY46" s="318">
        <v>4796</v>
      </c>
      <c r="MZ46" s="318">
        <v>3140</v>
      </c>
      <c r="NA46" s="13">
        <f t="shared" si="522"/>
        <v>3682</v>
      </c>
      <c r="NB46" s="318">
        <v>1994</v>
      </c>
      <c r="NC46" s="318">
        <v>1688</v>
      </c>
      <c r="ND46" s="11">
        <f t="shared" si="523"/>
        <v>13718</v>
      </c>
      <c r="NE46" s="335">
        <f t="shared" si="524"/>
        <v>6909</v>
      </c>
      <c r="NF46" s="335">
        <f t="shared" si="525"/>
        <v>5537</v>
      </c>
      <c r="NG46" s="336">
        <f t="shared" si="526"/>
        <v>85</v>
      </c>
      <c r="NH46" s="336">
        <f t="shared" si="527"/>
        <v>36</v>
      </c>
      <c r="NI46" s="336">
        <f t="shared" si="528"/>
        <v>49</v>
      </c>
      <c r="NJ46" s="337">
        <f t="shared" si="529"/>
        <v>12361</v>
      </c>
      <c r="NK46" s="337">
        <f t="shared" si="530"/>
        <v>6873</v>
      </c>
      <c r="NL46" s="337">
        <f t="shared" si="531"/>
        <v>5488</v>
      </c>
      <c r="NM46" s="318">
        <v>816</v>
      </c>
      <c r="NN46" s="318">
        <v>931</v>
      </c>
      <c r="NO46" s="318">
        <v>6057</v>
      </c>
      <c r="NP46" s="318">
        <v>4557</v>
      </c>
      <c r="NQ46" s="338">
        <v>868082</v>
      </c>
      <c r="NR46" s="318">
        <v>440833</v>
      </c>
      <c r="NS46" s="318">
        <v>427249</v>
      </c>
      <c r="NT46" s="7">
        <f t="shared" si="532"/>
        <v>814827</v>
      </c>
      <c r="NU46" s="7">
        <v>411707</v>
      </c>
      <c r="NV46" s="7">
        <v>403120</v>
      </c>
      <c r="NW46" s="125">
        <f t="shared" si="533"/>
        <v>809251</v>
      </c>
      <c r="NX46" s="318">
        <v>408867</v>
      </c>
      <c r="NY46" s="318">
        <v>400384</v>
      </c>
      <c r="NZ46" s="7">
        <f t="shared" si="534"/>
        <v>15813</v>
      </c>
      <c r="OA46" s="318">
        <v>8797</v>
      </c>
      <c r="OB46" s="318">
        <v>7016</v>
      </c>
      <c r="OC46" s="7">
        <f t="shared" si="535"/>
        <v>9028</v>
      </c>
      <c r="OD46" s="318">
        <v>4734</v>
      </c>
      <c r="OE46" s="318">
        <v>4294</v>
      </c>
      <c r="OF46" s="125">
        <f t="shared" si="536"/>
        <v>37442</v>
      </c>
      <c r="OG46" s="125">
        <f t="shared" si="537"/>
        <v>20329</v>
      </c>
      <c r="OH46" s="125">
        <f t="shared" si="538"/>
        <v>17113</v>
      </c>
      <c r="OI46" s="326">
        <v>1034519</v>
      </c>
      <c r="OJ46" s="318">
        <v>954241</v>
      </c>
      <c r="OK46" s="318">
        <v>22996</v>
      </c>
      <c r="OL46" s="318">
        <v>57282</v>
      </c>
      <c r="OM46" s="7">
        <v>15002</v>
      </c>
      <c r="ON46" s="12">
        <v>1062119</v>
      </c>
      <c r="OO46" s="5">
        <v>979575</v>
      </c>
      <c r="OP46" s="5">
        <v>23764</v>
      </c>
      <c r="OQ46" s="5">
        <v>58780</v>
      </c>
      <c r="OR46" s="5">
        <v>15994</v>
      </c>
      <c r="OS46" s="12">
        <v>1085453</v>
      </c>
      <c r="OT46" s="5">
        <v>998282</v>
      </c>
      <c r="OU46" s="5">
        <v>23734</v>
      </c>
      <c r="OV46" s="5">
        <v>63437</v>
      </c>
      <c r="OW46" s="5">
        <v>15536</v>
      </c>
      <c r="OX46" s="12">
        <v>1103196</v>
      </c>
      <c r="OY46" s="5">
        <v>1009521</v>
      </c>
      <c r="OZ46" s="5">
        <v>26471</v>
      </c>
      <c r="PA46" s="5">
        <v>67204</v>
      </c>
      <c r="PB46" s="5">
        <v>16474</v>
      </c>
      <c r="PC46" s="12">
        <v>1125313.6510000001</v>
      </c>
      <c r="PD46" s="5">
        <v>1025884.2749999999</v>
      </c>
      <c r="PE46" s="5">
        <v>26388.727999999999</v>
      </c>
      <c r="PF46" s="5">
        <v>16230.103999999999</v>
      </c>
      <c r="PG46" s="5">
        <v>73040.648000000161</v>
      </c>
      <c r="PH46" s="5">
        <v>1160277</v>
      </c>
      <c r="PI46" s="5">
        <v>1057638</v>
      </c>
      <c r="PJ46" s="5">
        <v>28025</v>
      </c>
      <c r="PK46" s="5">
        <v>19186</v>
      </c>
      <c r="PL46" s="2">
        <v>74366</v>
      </c>
      <c r="PM46" s="2">
        <v>1189333</v>
      </c>
      <c r="PN46" s="2">
        <v>1067014</v>
      </c>
      <c r="PO46" s="2">
        <v>29684</v>
      </c>
      <c r="PP46" s="2">
        <v>20339</v>
      </c>
      <c r="PQ46" s="2">
        <v>78438</v>
      </c>
      <c r="PR46" s="2">
        <v>1284007</v>
      </c>
      <c r="PS46" s="2">
        <v>1139988</v>
      </c>
      <c r="PT46" s="2">
        <v>32599</v>
      </c>
      <c r="PU46" s="2">
        <v>23844</v>
      </c>
      <c r="PV46" s="2">
        <v>94947</v>
      </c>
      <c r="PW46" s="2">
        <v>1296984</v>
      </c>
      <c r="PX46" s="2">
        <v>1151531</v>
      </c>
      <c r="PY46" s="2">
        <v>37340</v>
      </c>
      <c r="PZ46" s="2">
        <v>21478</v>
      </c>
      <c r="QA46" s="2">
        <v>93246</v>
      </c>
      <c r="QB46" s="12">
        <v>173203</v>
      </c>
      <c r="QC46" s="5">
        <v>164605</v>
      </c>
      <c r="QD46" s="5">
        <v>2408</v>
      </c>
      <c r="QE46" s="5">
        <v>1441</v>
      </c>
      <c r="QF46" s="5">
        <v>6190</v>
      </c>
      <c r="QG46" s="12">
        <v>262872</v>
      </c>
      <c r="QH46" s="5">
        <v>241698</v>
      </c>
      <c r="QI46" s="5">
        <v>5125</v>
      </c>
      <c r="QJ46" s="5">
        <v>3583</v>
      </c>
      <c r="QK46" s="5">
        <v>16049</v>
      </c>
      <c r="QL46" s="12">
        <v>355779</v>
      </c>
      <c r="QM46" s="5">
        <v>317623</v>
      </c>
      <c r="QN46" s="5">
        <v>9231</v>
      </c>
      <c r="QO46" s="5">
        <v>5719</v>
      </c>
      <c r="QP46" s="5">
        <v>28925</v>
      </c>
      <c r="QQ46" s="12">
        <v>366873.41600000003</v>
      </c>
      <c r="QR46" s="5">
        <v>325126.40100000001</v>
      </c>
      <c r="QS46" s="5">
        <v>9322.1049999999996</v>
      </c>
      <c r="QT46" s="5">
        <v>5489.5940000000001</v>
      </c>
      <c r="QU46" s="10">
        <v>32424.910000000014</v>
      </c>
      <c r="QV46" s="1">
        <v>375733</v>
      </c>
      <c r="QW46" s="2">
        <v>332884</v>
      </c>
      <c r="QX46" s="2">
        <v>9975</v>
      </c>
      <c r="QY46" s="2">
        <v>7097</v>
      </c>
      <c r="QZ46" s="69">
        <v>32815</v>
      </c>
      <c r="RA46" s="2">
        <v>389175</v>
      </c>
      <c r="RB46" s="2">
        <v>340621</v>
      </c>
      <c r="RC46" s="2">
        <v>10361</v>
      </c>
      <c r="RD46" s="2">
        <v>7399</v>
      </c>
      <c r="RE46" s="2">
        <v>32867</v>
      </c>
      <c r="RF46" s="2">
        <v>436423</v>
      </c>
      <c r="RG46" s="2">
        <v>377270</v>
      </c>
      <c r="RH46" s="2">
        <v>12285</v>
      </c>
      <c r="RI46" s="2">
        <v>7658</v>
      </c>
      <c r="RJ46" s="2">
        <v>41036</v>
      </c>
      <c r="RK46" s="2">
        <v>436859</v>
      </c>
      <c r="RL46" s="2">
        <v>378054</v>
      </c>
      <c r="RM46" s="2">
        <v>13329</v>
      </c>
      <c r="RN46" s="2">
        <v>7525</v>
      </c>
      <c r="RO46" s="2">
        <v>39853</v>
      </c>
    </row>
    <row r="47" spans="1:483" ht="14.25" x14ac:dyDescent="0.2">
      <c r="A47" s="218" t="s">
        <v>32</v>
      </c>
      <c r="B47" s="258" t="s">
        <v>185</v>
      </c>
      <c r="C47" s="259" t="s">
        <v>185</v>
      </c>
      <c r="D47" s="259" t="s">
        <v>185</v>
      </c>
      <c r="E47" s="259" t="s">
        <v>185</v>
      </c>
      <c r="F47" s="260" t="s">
        <v>185</v>
      </c>
      <c r="G47" s="5">
        <v>380613</v>
      </c>
      <c r="H47" s="5">
        <v>337790</v>
      </c>
      <c r="I47" s="5">
        <v>36749</v>
      </c>
      <c r="J47" s="5">
        <v>4523</v>
      </c>
      <c r="K47" s="10">
        <v>6074</v>
      </c>
      <c r="L47" s="5">
        <v>237618</v>
      </c>
      <c r="M47" s="5">
        <v>200974</v>
      </c>
      <c r="N47" s="5">
        <v>23195</v>
      </c>
      <c r="O47" s="5">
        <v>9870</v>
      </c>
      <c r="P47" s="10">
        <v>13449</v>
      </c>
      <c r="Q47" s="7">
        <v>177358</v>
      </c>
      <c r="R47" s="7">
        <v>144529</v>
      </c>
      <c r="S47" s="7">
        <v>17210</v>
      </c>
      <c r="T47" s="7">
        <v>20331</v>
      </c>
      <c r="U47" s="577">
        <v>15619</v>
      </c>
      <c r="V47" s="7">
        <v>162333</v>
      </c>
      <c r="W47" s="7">
        <v>129424</v>
      </c>
      <c r="X47" s="7">
        <v>16260</v>
      </c>
      <c r="Y47" s="7">
        <v>19055</v>
      </c>
      <c r="Z47" s="7">
        <v>16649</v>
      </c>
      <c r="AA47" s="7">
        <v>155009</v>
      </c>
      <c r="AB47" s="7">
        <v>110717</v>
      </c>
      <c r="AC47" s="7">
        <v>16563</v>
      </c>
      <c r="AD47" s="7">
        <v>18891</v>
      </c>
      <c r="AE47" s="675">
        <v>16251</v>
      </c>
      <c r="AF47" s="560">
        <v>145571</v>
      </c>
      <c r="AG47" s="560">
        <v>101423</v>
      </c>
      <c r="AH47" s="560">
        <v>14934</v>
      </c>
      <c r="AI47" s="560">
        <v>21008</v>
      </c>
      <c r="AJ47" s="560">
        <v>16572</v>
      </c>
      <c r="AK47" s="560">
        <v>137315</v>
      </c>
      <c r="AL47" s="560">
        <v>96191</v>
      </c>
      <c r="AM47" s="560">
        <v>11818</v>
      </c>
      <c r="AN47" s="560">
        <v>18934</v>
      </c>
      <c r="AO47" s="560">
        <v>16985</v>
      </c>
      <c r="AP47" s="12">
        <v>477755</v>
      </c>
      <c r="AQ47" s="5">
        <v>401590</v>
      </c>
      <c r="AR47" s="5">
        <v>69783</v>
      </c>
      <c r="AS47" s="5">
        <v>4454</v>
      </c>
      <c r="AT47" s="10">
        <v>6382</v>
      </c>
      <c r="AU47" s="5">
        <v>441477</v>
      </c>
      <c r="AV47" s="5">
        <v>355924</v>
      </c>
      <c r="AW47" s="5">
        <v>69019</v>
      </c>
      <c r="AX47" s="5">
        <v>9763</v>
      </c>
      <c r="AY47" s="10">
        <v>16534</v>
      </c>
      <c r="AZ47" s="5">
        <v>347983</v>
      </c>
      <c r="BA47" s="5">
        <v>273016</v>
      </c>
      <c r="BB47" s="5">
        <v>58372</v>
      </c>
      <c r="BC47" s="5">
        <v>14280</v>
      </c>
      <c r="BD47" s="10">
        <v>16595</v>
      </c>
      <c r="BE47" s="5">
        <v>338934</v>
      </c>
      <c r="BF47" s="5">
        <v>262922</v>
      </c>
      <c r="BG47" s="5">
        <v>57933</v>
      </c>
      <c r="BH47" s="5">
        <v>16222</v>
      </c>
      <c r="BI47" s="5">
        <v>18079</v>
      </c>
      <c r="BJ47" s="5">
        <v>325742</v>
      </c>
      <c r="BK47" s="5">
        <v>244978</v>
      </c>
      <c r="BL47" s="5">
        <v>54239</v>
      </c>
      <c r="BM47" s="5">
        <v>16231</v>
      </c>
      <c r="BN47" s="53">
        <v>18283</v>
      </c>
      <c r="BO47" s="53">
        <v>308053</v>
      </c>
      <c r="BP47" s="53">
        <v>230820</v>
      </c>
      <c r="BQ47" s="53">
        <v>48983</v>
      </c>
      <c r="BR47" s="53">
        <v>16229</v>
      </c>
      <c r="BS47" s="53">
        <v>19398</v>
      </c>
      <c r="BT47" s="53">
        <v>292624</v>
      </c>
      <c r="BU47" s="53">
        <v>220648</v>
      </c>
      <c r="BV47" s="53">
        <v>47133</v>
      </c>
      <c r="BW47" s="53">
        <v>14501</v>
      </c>
      <c r="BX47" s="53">
        <v>14718</v>
      </c>
      <c r="BY47" s="12">
        <v>513506</v>
      </c>
      <c r="BZ47" s="5">
        <v>405143</v>
      </c>
      <c r="CA47" s="5">
        <v>74602</v>
      </c>
      <c r="CB47" s="5">
        <v>35363</v>
      </c>
      <c r="CC47" s="290">
        <f t="shared" si="483"/>
        <v>33761</v>
      </c>
      <c r="CD47" s="258" t="s">
        <v>185</v>
      </c>
      <c r="CE47" s="259" t="s">
        <v>185</v>
      </c>
      <c r="CF47" s="259" t="s">
        <v>185</v>
      </c>
      <c r="CG47" s="259" t="s">
        <v>185</v>
      </c>
      <c r="CH47" s="258" t="s">
        <v>185</v>
      </c>
      <c r="CI47" s="259" t="s">
        <v>185</v>
      </c>
      <c r="CJ47" s="259" t="s">
        <v>185</v>
      </c>
      <c r="CK47" s="259" t="s">
        <v>185</v>
      </c>
      <c r="CL47" s="260" t="s">
        <v>185</v>
      </c>
      <c r="CM47" s="5">
        <v>2433211</v>
      </c>
      <c r="CN47" s="5">
        <v>2200573</v>
      </c>
      <c r="CO47" s="5">
        <v>198288</v>
      </c>
      <c r="CP47" s="5">
        <v>21991</v>
      </c>
      <c r="CQ47" s="10">
        <v>34350</v>
      </c>
      <c r="CR47" s="5">
        <v>2955811</v>
      </c>
      <c r="CS47" s="5">
        <v>2603634</v>
      </c>
      <c r="CT47" s="5">
        <v>260963</v>
      </c>
      <c r="CU47" s="5">
        <v>37607</v>
      </c>
      <c r="CV47" s="5">
        <v>91214</v>
      </c>
      <c r="CW47" s="195">
        <v>3266107</v>
      </c>
      <c r="CX47" s="5">
        <v>2846601</v>
      </c>
      <c r="CY47" s="5">
        <v>304393</v>
      </c>
      <c r="CZ47" s="5">
        <v>115113</v>
      </c>
      <c r="DA47" s="5">
        <v>58001</v>
      </c>
      <c r="DB47" s="12">
        <v>3327600</v>
      </c>
      <c r="DC47" s="5">
        <v>2897612</v>
      </c>
      <c r="DD47" s="5">
        <v>308337</v>
      </c>
      <c r="DE47" s="5">
        <v>121651</v>
      </c>
      <c r="DF47" s="5">
        <v>59735</v>
      </c>
      <c r="DG47" s="56">
        <v>3384116</v>
      </c>
      <c r="DH47" s="54">
        <v>2947328</v>
      </c>
      <c r="DI47" s="54">
        <v>313358</v>
      </c>
      <c r="DJ47" s="54">
        <v>123430</v>
      </c>
      <c r="DK47" s="54">
        <v>62881</v>
      </c>
      <c r="DL47" s="12">
        <v>3418384</v>
      </c>
      <c r="DM47" s="5">
        <v>2964212</v>
      </c>
      <c r="DN47" s="5">
        <v>326643</v>
      </c>
      <c r="DO47" s="5">
        <v>66675</v>
      </c>
      <c r="DP47" s="5">
        <v>84966</v>
      </c>
      <c r="DQ47" s="12">
        <v>3471143.3680000002</v>
      </c>
      <c r="DR47" s="5">
        <v>2999423.5269999998</v>
      </c>
      <c r="DS47" s="5">
        <v>337562.31599999999</v>
      </c>
      <c r="DT47" s="5">
        <v>69989.920000000013</v>
      </c>
      <c r="DU47" s="530">
        <f t="shared" si="484"/>
        <v>134157.52500000049</v>
      </c>
      <c r="DV47" s="5">
        <v>3503974</v>
      </c>
      <c r="DW47" s="5">
        <v>3027608</v>
      </c>
      <c r="DX47" s="5">
        <v>340189</v>
      </c>
      <c r="DY47" s="5">
        <v>72955</v>
      </c>
      <c r="DZ47" s="5">
        <v>136177</v>
      </c>
      <c r="EA47" s="5">
        <v>3546504</v>
      </c>
      <c r="EB47" s="5">
        <v>3011882</v>
      </c>
      <c r="EC47" s="5">
        <v>344975</v>
      </c>
      <c r="ED47" s="5">
        <v>75853</v>
      </c>
      <c r="EE47" s="5">
        <v>139894</v>
      </c>
      <c r="EF47" s="5">
        <v>3643588</v>
      </c>
      <c r="EG47" s="5">
        <v>3066492</v>
      </c>
      <c r="EH47" s="5">
        <v>371497</v>
      </c>
      <c r="EI47" s="5">
        <v>82724</v>
      </c>
      <c r="EJ47" s="5">
        <v>150515</v>
      </c>
      <c r="EK47" s="5">
        <v>3691075</v>
      </c>
      <c r="EL47" s="5">
        <v>3093726</v>
      </c>
      <c r="EM47" s="5">
        <v>378960</v>
      </c>
      <c r="EN47" s="5">
        <v>89047</v>
      </c>
      <c r="EO47" s="5">
        <v>153560</v>
      </c>
      <c r="EP47" s="258" t="s">
        <v>185</v>
      </c>
      <c r="EQ47" s="259" t="s">
        <v>185</v>
      </c>
      <c r="ER47" s="259" t="s">
        <v>185</v>
      </c>
      <c r="ES47" s="259" t="s">
        <v>185</v>
      </c>
      <c r="ET47" s="260" t="s">
        <v>185</v>
      </c>
      <c r="EU47" s="5">
        <v>756510</v>
      </c>
      <c r="EV47" s="5">
        <v>669580</v>
      </c>
      <c r="EW47" s="5">
        <v>76806</v>
      </c>
      <c r="EX47" s="5">
        <v>7871</v>
      </c>
      <c r="EY47" s="10">
        <v>10124</v>
      </c>
      <c r="EZ47" s="5">
        <v>981665</v>
      </c>
      <c r="FA47" s="5">
        <v>845300</v>
      </c>
      <c r="FB47" s="5">
        <v>106436</v>
      </c>
      <c r="FC47" s="5">
        <v>13503</v>
      </c>
      <c r="FD47" s="10">
        <v>29929</v>
      </c>
      <c r="FE47" s="5">
        <v>1162423</v>
      </c>
      <c r="FF47" s="5">
        <v>987322</v>
      </c>
      <c r="FG47" s="5">
        <v>135497</v>
      </c>
      <c r="FH47" s="5">
        <v>22587</v>
      </c>
      <c r="FI47" s="10">
        <v>39604</v>
      </c>
      <c r="FJ47" s="5">
        <v>1182258.693</v>
      </c>
      <c r="FK47" s="5">
        <v>1000942.698</v>
      </c>
      <c r="FL47" s="5">
        <v>139723.59599999999</v>
      </c>
      <c r="FM47" s="5">
        <v>25364.768000000004</v>
      </c>
      <c r="FN47" s="10">
        <v>41592.399000000005</v>
      </c>
      <c r="FO47" s="5">
        <v>1193343</v>
      </c>
      <c r="FP47" s="5">
        <v>1006659</v>
      </c>
      <c r="FQ47" s="5">
        <v>142671</v>
      </c>
      <c r="FR47" s="5">
        <v>26113</v>
      </c>
      <c r="FS47" s="618">
        <v>44013</v>
      </c>
      <c r="FT47" s="618">
        <v>1211042</v>
      </c>
      <c r="FU47" s="618">
        <v>999410</v>
      </c>
      <c r="FV47" s="618">
        <v>148811</v>
      </c>
      <c r="FW47" s="618">
        <v>28083</v>
      </c>
      <c r="FX47" s="618">
        <v>44029</v>
      </c>
      <c r="FY47" s="618">
        <v>1232775</v>
      </c>
      <c r="FZ47" s="618">
        <v>1013163</v>
      </c>
      <c r="GA47" s="618">
        <v>154547</v>
      </c>
      <c r="GB47" s="618">
        <v>29865</v>
      </c>
      <c r="GC47" s="618">
        <v>43981</v>
      </c>
      <c r="GD47" s="618">
        <v>1253039</v>
      </c>
      <c r="GE47" s="618">
        <v>1025105</v>
      </c>
      <c r="GF47" s="618">
        <v>159610</v>
      </c>
      <c r="GG47" s="618">
        <v>28887</v>
      </c>
      <c r="GH47" s="618">
        <v>46357</v>
      </c>
      <c r="GI47" s="12">
        <v>149347</v>
      </c>
      <c r="GJ47" s="5">
        <v>132358</v>
      </c>
      <c r="GK47" s="5">
        <v>14433</v>
      </c>
      <c r="GL47" s="5">
        <v>1787</v>
      </c>
      <c r="GM47" s="10">
        <v>2556</v>
      </c>
      <c r="GN47" s="5">
        <v>184666</v>
      </c>
      <c r="GO47" s="5">
        <v>159677</v>
      </c>
      <c r="GP47" s="5">
        <v>18884</v>
      </c>
      <c r="GQ47" s="5">
        <v>2691</v>
      </c>
      <c r="GR47" s="10">
        <v>6105</v>
      </c>
      <c r="GS47" s="12">
        <v>263719</v>
      </c>
      <c r="GT47" s="5">
        <v>225877</v>
      </c>
      <c r="GU47" s="5">
        <v>27650</v>
      </c>
      <c r="GV47" s="5">
        <v>5473</v>
      </c>
      <c r="GW47" s="5">
        <v>10192</v>
      </c>
      <c r="GX47" s="12"/>
      <c r="GY47" s="5"/>
      <c r="GZ47" s="5"/>
      <c r="HA47" s="5"/>
      <c r="HB47" s="10"/>
      <c r="HC47" s="5">
        <v>281346</v>
      </c>
      <c r="HD47" s="5">
        <v>238222</v>
      </c>
      <c r="HE47" s="5">
        <v>31859</v>
      </c>
      <c r="HF47" s="5">
        <v>5773</v>
      </c>
      <c r="HG47" s="5">
        <v>11265</v>
      </c>
      <c r="HH47" s="5">
        <v>293922</v>
      </c>
      <c r="HI47" s="5">
        <v>244000</v>
      </c>
      <c r="HJ47" s="5">
        <v>34566</v>
      </c>
      <c r="HK47" s="5">
        <v>6588</v>
      </c>
      <c r="HL47" s="5">
        <v>11021</v>
      </c>
      <c r="HM47" s="5">
        <v>316815</v>
      </c>
      <c r="HN47" s="5">
        <v>264557</v>
      </c>
      <c r="HO47" s="5">
        <v>34695</v>
      </c>
      <c r="HP47" s="5">
        <v>7060</v>
      </c>
      <c r="HQ47" s="5">
        <v>12674</v>
      </c>
      <c r="HR47" s="5">
        <v>325244</v>
      </c>
      <c r="HS47" s="5">
        <v>271976</v>
      </c>
      <c r="HT47" s="5">
        <v>35674</v>
      </c>
      <c r="HU47" s="5">
        <v>7484</v>
      </c>
      <c r="HV47" s="5">
        <v>10766</v>
      </c>
      <c r="HW47" s="569">
        <f t="shared" si="539"/>
        <v>735108</v>
      </c>
      <c r="HX47" s="546">
        <f t="shared" si="540"/>
        <v>670555</v>
      </c>
      <c r="HY47" s="546">
        <f t="shared" si="541"/>
        <v>48534</v>
      </c>
      <c r="HZ47" s="546">
        <f t="shared" si="542"/>
        <v>7373</v>
      </c>
      <c r="IA47" s="546">
        <f t="shared" si="543"/>
        <v>16019</v>
      </c>
      <c r="IB47" s="569">
        <f t="shared" si="544"/>
        <v>969142</v>
      </c>
      <c r="IC47" s="546">
        <f t="shared" si="545"/>
        <v>864840</v>
      </c>
      <c r="ID47" s="546">
        <f t="shared" si="546"/>
        <v>65453</v>
      </c>
      <c r="IE47" s="546">
        <f t="shared" si="547"/>
        <v>11884</v>
      </c>
      <c r="IF47" s="546">
        <f t="shared" si="548"/>
        <v>38849</v>
      </c>
      <c r="IG47" s="12">
        <v>1071396</v>
      </c>
      <c r="IH47" s="5">
        <v>945563</v>
      </c>
      <c r="II47" s="5">
        <v>75299</v>
      </c>
      <c r="IJ47" s="5">
        <v>20004</v>
      </c>
      <c r="IK47" s="5">
        <v>50534</v>
      </c>
      <c r="IL47" s="565"/>
      <c r="IM47" s="7"/>
      <c r="IN47" s="7"/>
      <c r="IO47" s="7"/>
      <c r="IP47" s="7"/>
      <c r="IQ47" s="7">
        <v>1326147</v>
      </c>
      <c r="IR47" s="7">
        <v>1160867</v>
      </c>
      <c r="IS47" s="7">
        <v>99807</v>
      </c>
      <c r="IT47" s="7">
        <v>25075</v>
      </c>
      <c r="IU47" s="577">
        <v>65473</v>
      </c>
      <c r="IV47" s="7">
        <v>1359725</v>
      </c>
      <c r="IW47" s="7">
        <v>1171271</v>
      </c>
      <c r="IX47" s="7">
        <v>102689</v>
      </c>
      <c r="IY47" s="7">
        <v>26091</v>
      </c>
      <c r="IZ47" s="7">
        <v>67151</v>
      </c>
      <c r="JA47" s="565">
        <v>1457675</v>
      </c>
      <c r="JB47" s="7">
        <v>1247019</v>
      </c>
      <c r="JC47" s="7">
        <v>109166</v>
      </c>
      <c r="JD47" s="7">
        <v>29396</v>
      </c>
      <c r="JE47" s="7">
        <v>81162</v>
      </c>
      <c r="JF47" s="565">
        <v>1497894</v>
      </c>
      <c r="JG47" s="7">
        <v>1277769</v>
      </c>
      <c r="JH47" s="7">
        <v>115625</v>
      </c>
      <c r="JI47" s="7">
        <v>31289</v>
      </c>
      <c r="JJ47" s="7">
        <v>79034</v>
      </c>
      <c r="JK47" s="12">
        <v>383678</v>
      </c>
      <c r="JL47" s="5">
        <v>354046</v>
      </c>
      <c r="JM47" s="5">
        <v>22783</v>
      </c>
      <c r="JN47" s="5">
        <v>3293</v>
      </c>
      <c r="JO47" s="5">
        <v>6849</v>
      </c>
      <c r="JP47" s="12">
        <v>507892</v>
      </c>
      <c r="JQ47" s="5">
        <v>460640</v>
      </c>
      <c r="JR47" s="5">
        <v>30379</v>
      </c>
      <c r="JS47" s="5">
        <v>5716</v>
      </c>
      <c r="JT47" s="5">
        <v>16873</v>
      </c>
      <c r="JU47" s="12">
        <v>626641</v>
      </c>
      <c r="JV47" s="5">
        <v>562469</v>
      </c>
      <c r="JW47" s="5">
        <v>38805</v>
      </c>
      <c r="JX47" s="5">
        <v>11343</v>
      </c>
      <c r="JY47" s="5">
        <v>25367</v>
      </c>
      <c r="JZ47" s="12">
        <v>640887.70900000003</v>
      </c>
      <c r="KA47" s="5">
        <v>571967.25600000005</v>
      </c>
      <c r="KB47" s="5">
        <v>40392.072</v>
      </c>
      <c r="KC47" s="5">
        <v>11051.039999999999</v>
      </c>
      <c r="KD47" s="5">
        <v>28528.380999999979</v>
      </c>
      <c r="KE47" s="5">
        <v>670037</v>
      </c>
      <c r="KF47" s="5">
        <v>591349</v>
      </c>
      <c r="KG47" s="5">
        <v>41257</v>
      </c>
      <c r="KH47" s="5">
        <v>12328</v>
      </c>
      <c r="KI47" s="5">
        <v>28846</v>
      </c>
      <c r="KJ47" s="5">
        <v>706922</v>
      </c>
      <c r="KK47" s="5">
        <v>614706</v>
      </c>
      <c r="KL47" s="5">
        <v>45021</v>
      </c>
      <c r="KM47" s="5">
        <v>15649</v>
      </c>
      <c r="KN47" s="5">
        <v>36734</v>
      </c>
      <c r="KO47" s="5">
        <v>729511</v>
      </c>
      <c r="KP47" s="5">
        <v>632108</v>
      </c>
      <c r="KQ47" s="5">
        <v>51078</v>
      </c>
      <c r="KR47" s="5">
        <v>16204</v>
      </c>
      <c r="KS47" s="5">
        <v>34050</v>
      </c>
      <c r="KT47" s="258" t="s">
        <v>185</v>
      </c>
      <c r="KU47" s="259" t="s">
        <v>185</v>
      </c>
      <c r="KV47" s="316">
        <v>155398</v>
      </c>
      <c r="KW47" s="332">
        <f t="shared" si="495"/>
        <v>93405</v>
      </c>
      <c r="KX47" s="332">
        <f t="shared" si="496"/>
        <v>61993</v>
      </c>
      <c r="KY47" s="332">
        <f t="shared" si="497"/>
        <v>148482</v>
      </c>
      <c r="KZ47" s="318">
        <v>90252</v>
      </c>
      <c r="LA47" s="318">
        <v>58230</v>
      </c>
      <c r="LB47" s="332">
        <f t="shared" si="498"/>
        <v>6916</v>
      </c>
      <c r="LC47" s="318">
        <v>3153</v>
      </c>
      <c r="LD47" s="318">
        <v>3763</v>
      </c>
      <c r="LE47" s="316">
        <v>233558</v>
      </c>
      <c r="LF47" s="332">
        <f t="shared" si="499"/>
        <v>137570</v>
      </c>
      <c r="LG47" s="332">
        <f t="shared" si="500"/>
        <v>95988</v>
      </c>
      <c r="LH47" s="332">
        <f t="shared" si="501"/>
        <v>221609</v>
      </c>
      <c r="LI47" s="318">
        <v>132071</v>
      </c>
      <c r="LJ47" s="318">
        <v>89538</v>
      </c>
      <c r="LK47" s="332">
        <f t="shared" si="502"/>
        <v>9448</v>
      </c>
      <c r="LL47" s="318">
        <v>3865</v>
      </c>
      <c r="LM47" s="318">
        <v>5583</v>
      </c>
      <c r="LN47" s="332">
        <f t="shared" si="503"/>
        <v>2501</v>
      </c>
      <c r="LO47" s="318">
        <v>1634</v>
      </c>
      <c r="LP47" s="318">
        <v>867</v>
      </c>
      <c r="LQ47" s="316">
        <v>405515</v>
      </c>
      <c r="LR47" s="332">
        <f t="shared" si="504"/>
        <v>233828</v>
      </c>
      <c r="LS47" s="332">
        <f t="shared" si="505"/>
        <v>171687</v>
      </c>
      <c r="LT47" s="342">
        <f t="shared" si="506"/>
        <v>375832</v>
      </c>
      <c r="LU47" s="318">
        <v>219254</v>
      </c>
      <c r="LV47" s="318">
        <v>156578</v>
      </c>
      <c r="LW47" s="318">
        <v>14574</v>
      </c>
      <c r="LX47" s="318">
        <v>15109</v>
      </c>
      <c r="LY47" s="342">
        <f t="shared" si="507"/>
        <v>20156</v>
      </c>
      <c r="LZ47" s="318">
        <v>8823</v>
      </c>
      <c r="MA47" s="318">
        <v>11333</v>
      </c>
      <c r="MB47" s="342">
        <f t="shared" si="508"/>
        <v>3236</v>
      </c>
      <c r="MC47" s="318">
        <v>1869</v>
      </c>
      <c r="MD47" s="318">
        <v>1367</v>
      </c>
      <c r="ME47" s="333">
        <f t="shared" si="509"/>
        <v>6291</v>
      </c>
      <c r="MF47" s="333">
        <f t="shared" si="510"/>
        <v>3882</v>
      </c>
      <c r="MG47" s="333">
        <f t="shared" si="511"/>
        <v>2409</v>
      </c>
      <c r="MH47" s="334">
        <f t="shared" si="512"/>
        <v>388</v>
      </c>
      <c r="MI47" s="334">
        <f t="shared" si="513"/>
        <v>251</v>
      </c>
      <c r="MJ47" s="334">
        <f t="shared" si="514"/>
        <v>137</v>
      </c>
      <c r="MK47" s="318">
        <v>5903</v>
      </c>
      <c r="ML47" s="318">
        <v>3631</v>
      </c>
      <c r="MM47" s="318">
        <v>2272</v>
      </c>
      <c r="MN47" s="14">
        <f t="shared" si="515"/>
        <v>585761</v>
      </c>
      <c r="MO47" s="332">
        <f t="shared" si="516"/>
        <v>316402</v>
      </c>
      <c r="MP47" s="332">
        <f t="shared" si="517"/>
        <v>269359</v>
      </c>
      <c r="MQ47" s="13">
        <f t="shared" si="518"/>
        <v>538197</v>
      </c>
      <c r="MR47" s="136">
        <f t="shared" si="519"/>
        <v>534358</v>
      </c>
      <c r="MS47" s="318">
        <v>292124</v>
      </c>
      <c r="MT47" s="318">
        <v>242234</v>
      </c>
      <c r="MU47" s="318">
        <v>24278</v>
      </c>
      <c r="MV47" s="318">
        <v>27125</v>
      </c>
      <c r="MW47" s="13">
        <f t="shared" si="520"/>
        <v>34101</v>
      </c>
      <c r="MX47" s="136">
        <f t="shared" si="521"/>
        <v>33978</v>
      </c>
      <c r="MY47" s="318">
        <v>14384</v>
      </c>
      <c r="MZ47" s="318">
        <v>19594</v>
      </c>
      <c r="NA47" s="13">
        <f t="shared" si="522"/>
        <v>5586</v>
      </c>
      <c r="NB47" s="318">
        <v>3046</v>
      </c>
      <c r="NC47" s="318">
        <v>2540</v>
      </c>
      <c r="ND47" s="11">
        <f t="shared" si="523"/>
        <v>13463</v>
      </c>
      <c r="NE47" s="335">
        <f t="shared" si="524"/>
        <v>6848</v>
      </c>
      <c r="NF47" s="335">
        <f t="shared" si="525"/>
        <v>4991</v>
      </c>
      <c r="NG47" s="336">
        <f t="shared" si="526"/>
        <v>106</v>
      </c>
      <c r="NH47" s="336">
        <f t="shared" si="527"/>
        <v>55</v>
      </c>
      <c r="NI47" s="336">
        <f t="shared" si="528"/>
        <v>51</v>
      </c>
      <c r="NJ47" s="337">
        <f t="shared" si="529"/>
        <v>11733</v>
      </c>
      <c r="NK47" s="337">
        <f t="shared" si="530"/>
        <v>6793</v>
      </c>
      <c r="NL47" s="337">
        <f t="shared" si="531"/>
        <v>4940</v>
      </c>
      <c r="NM47" s="318">
        <v>918</v>
      </c>
      <c r="NN47" s="318">
        <v>596</v>
      </c>
      <c r="NO47" s="318">
        <v>5875</v>
      </c>
      <c r="NP47" s="318">
        <v>4344</v>
      </c>
      <c r="NQ47" s="338">
        <v>784476</v>
      </c>
      <c r="NR47" s="318">
        <v>396399</v>
      </c>
      <c r="NS47" s="318">
        <v>388077</v>
      </c>
      <c r="NT47" s="7">
        <f t="shared" si="532"/>
        <v>705163</v>
      </c>
      <c r="NU47" s="7">
        <v>360991</v>
      </c>
      <c r="NV47" s="7">
        <v>344172</v>
      </c>
      <c r="NW47" s="125">
        <f t="shared" si="533"/>
        <v>699275</v>
      </c>
      <c r="NX47" s="318">
        <v>357928</v>
      </c>
      <c r="NY47" s="318">
        <v>341347</v>
      </c>
      <c r="NZ47" s="7">
        <f t="shared" si="534"/>
        <v>46569</v>
      </c>
      <c r="OA47" s="318">
        <v>18564</v>
      </c>
      <c r="OB47" s="318">
        <v>28005</v>
      </c>
      <c r="OC47" s="7">
        <f t="shared" si="535"/>
        <v>9193</v>
      </c>
      <c r="OD47" s="318">
        <v>4553</v>
      </c>
      <c r="OE47" s="318">
        <v>4640</v>
      </c>
      <c r="OF47" s="125">
        <f t="shared" si="536"/>
        <v>32744</v>
      </c>
      <c r="OG47" s="125">
        <f t="shared" si="537"/>
        <v>16844</v>
      </c>
      <c r="OH47" s="125">
        <f t="shared" si="538"/>
        <v>15900</v>
      </c>
      <c r="OI47" s="326">
        <v>923423</v>
      </c>
      <c r="OJ47" s="318">
        <v>822813</v>
      </c>
      <c r="OK47" s="318">
        <v>822813</v>
      </c>
      <c r="OL47" s="318">
        <v>43684</v>
      </c>
      <c r="OM47" s="7">
        <v>14456</v>
      </c>
      <c r="ON47" s="12">
        <v>952961</v>
      </c>
      <c r="OO47" s="5">
        <v>850372</v>
      </c>
      <c r="OP47" s="5">
        <v>57131</v>
      </c>
      <c r="OQ47" s="5">
        <v>45458</v>
      </c>
      <c r="OR47" s="5">
        <v>14999</v>
      </c>
      <c r="OS47" s="12">
        <v>980669</v>
      </c>
      <c r="OT47" s="5">
        <v>875702</v>
      </c>
      <c r="OU47" s="5">
        <v>58157</v>
      </c>
      <c r="OV47" s="5">
        <v>46810</v>
      </c>
      <c r="OW47" s="5">
        <v>14919</v>
      </c>
      <c r="OX47" s="12">
        <v>998246</v>
      </c>
      <c r="OY47" s="5">
        <v>883987</v>
      </c>
      <c r="OZ47" s="5">
        <v>63018</v>
      </c>
      <c r="PA47" s="5">
        <v>51241</v>
      </c>
      <c r="PB47" s="5">
        <v>17479</v>
      </c>
      <c r="PC47" s="12">
        <v>1023031.933</v>
      </c>
      <c r="PD47" s="5">
        <v>902210.255</v>
      </c>
      <c r="PE47" s="5">
        <v>66358.403999999995</v>
      </c>
      <c r="PF47" s="5">
        <v>17892.16</v>
      </c>
      <c r="PG47" s="5">
        <v>54463.273999999961</v>
      </c>
      <c r="PH47" s="5">
        <v>1044801</v>
      </c>
      <c r="PI47" s="5">
        <v>922645</v>
      </c>
      <c r="PJ47" s="5">
        <v>67948</v>
      </c>
      <c r="PK47" s="5">
        <v>19302</v>
      </c>
      <c r="PL47" s="2">
        <v>54208</v>
      </c>
      <c r="PM47" s="2">
        <v>1065803</v>
      </c>
      <c r="PN47" s="2">
        <v>927271</v>
      </c>
      <c r="PO47" s="2">
        <v>68123</v>
      </c>
      <c r="PP47" s="2">
        <v>19503</v>
      </c>
      <c r="PQ47" s="2">
        <v>56130</v>
      </c>
      <c r="PR47" s="2">
        <v>1140860</v>
      </c>
      <c r="PS47" s="2">
        <v>982462</v>
      </c>
      <c r="PT47" s="2">
        <v>74471</v>
      </c>
      <c r="PU47" s="2">
        <v>22336</v>
      </c>
      <c r="PV47" s="2">
        <v>68488</v>
      </c>
      <c r="PW47" s="2">
        <v>1172650</v>
      </c>
      <c r="PX47" s="2">
        <v>1005793</v>
      </c>
      <c r="PY47" s="2">
        <v>79951</v>
      </c>
      <c r="PZ47" s="2">
        <v>23805</v>
      </c>
      <c r="QA47" s="2">
        <v>68268</v>
      </c>
      <c r="QB47" s="12">
        <v>202083</v>
      </c>
      <c r="QC47" s="5">
        <v>184151</v>
      </c>
      <c r="QD47" s="5">
        <v>11318</v>
      </c>
      <c r="QE47" s="5">
        <v>2293</v>
      </c>
      <c r="QF47" s="5">
        <v>6614</v>
      </c>
      <c r="QG47" s="12">
        <v>276584</v>
      </c>
      <c r="QH47" s="5">
        <v>244523</v>
      </c>
      <c r="QI47" s="5">
        <v>16190</v>
      </c>
      <c r="QJ47" s="5">
        <v>3477</v>
      </c>
      <c r="QK47" s="5">
        <v>15871</v>
      </c>
      <c r="QL47" s="12">
        <v>371605</v>
      </c>
      <c r="QM47" s="5">
        <v>321518</v>
      </c>
      <c r="QN47" s="5">
        <v>24213</v>
      </c>
      <c r="QO47" s="5">
        <v>6136</v>
      </c>
      <c r="QP47" s="5">
        <v>25874</v>
      </c>
      <c r="QQ47" s="12">
        <v>382144.22399999999</v>
      </c>
      <c r="QR47" s="5">
        <v>330242.99899999995</v>
      </c>
      <c r="QS47" s="5">
        <v>25966.331999999999</v>
      </c>
      <c r="QT47" s="5">
        <v>6841.12</v>
      </c>
      <c r="QU47" s="10">
        <v>25934.893000000036</v>
      </c>
      <c r="QV47" s="1">
        <v>389062</v>
      </c>
      <c r="QW47" s="2">
        <v>335763</v>
      </c>
      <c r="QX47" s="2">
        <v>26535</v>
      </c>
      <c r="QY47" s="2">
        <v>7281</v>
      </c>
      <c r="QZ47" s="69">
        <v>26764</v>
      </c>
      <c r="RA47" s="2">
        <v>395766</v>
      </c>
      <c r="RB47" s="2">
        <v>335922</v>
      </c>
      <c r="RC47" s="2">
        <v>26866</v>
      </c>
      <c r="RD47" s="2">
        <v>7175</v>
      </c>
      <c r="RE47" s="2">
        <v>27284</v>
      </c>
      <c r="RF47" s="2">
        <v>433938</v>
      </c>
      <c r="RG47" s="2">
        <v>367756</v>
      </c>
      <c r="RH47" s="2">
        <v>29450</v>
      </c>
      <c r="RI47" s="2">
        <v>6687</v>
      </c>
      <c r="RJ47" s="2">
        <v>31754</v>
      </c>
      <c r="RK47" s="2">
        <v>443139</v>
      </c>
      <c r="RL47" s="2">
        <v>373685</v>
      </c>
      <c r="RM47" s="2">
        <v>28873</v>
      </c>
      <c r="RN47" s="2">
        <v>7601</v>
      </c>
      <c r="RO47" s="2">
        <v>34218</v>
      </c>
    </row>
    <row r="48" spans="1:483" ht="14.25" x14ac:dyDescent="0.2">
      <c r="A48" s="218" t="s">
        <v>34</v>
      </c>
      <c r="B48" s="258" t="s">
        <v>185</v>
      </c>
      <c r="C48" s="259" t="s">
        <v>185</v>
      </c>
      <c r="D48" s="259" t="s">
        <v>185</v>
      </c>
      <c r="E48" s="259" t="s">
        <v>185</v>
      </c>
      <c r="F48" s="260" t="s">
        <v>185</v>
      </c>
      <c r="G48" s="5">
        <v>79925</v>
      </c>
      <c r="H48" s="5">
        <v>74049</v>
      </c>
      <c r="I48" s="5">
        <v>2466</v>
      </c>
      <c r="J48" s="5">
        <v>3828</v>
      </c>
      <c r="K48" s="10">
        <v>3410</v>
      </c>
      <c r="L48" s="5">
        <v>58376</v>
      </c>
      <c r="M48" s="5">
        <v>44637</v>
      </c>
      <c r="N48" s="5">
        <v>1929</v>
      </c>
      <c r="O48" s="5">
        <v>14809</v>
      </c>
      <c r="P48" s="10">
        <v>11810</v>
      </c>
      <c r="Q48" s="7">
        <v>48635</v>
      </c>
      <c r="R48" s="7">
        <v>35621</v>
      </c>
      <c r="S48" s="7">
        <v>2574</v>
      </c>
      <c r="T48" s="7">
        <v>22411</v>
      </c>
      <c r="U48" s="577">
        <v>10440</v>
      </c>
      <c r="V48" s="7">
        <v>48455</v>
      </c>
      <c r="W48" s="7">
        <v>35663</v>
      </c>
      <c r="X48" s="7">
        <v>2947</v>
      </c>
      <c r="Y48" s="7">
        <v>22176</v>
      </c>
      <c r="Z48" s="7">
        <v>9838</v>
      </c>
      <c r="AA48" s="7">
        <v>49576</v>
      </c>
      <c r="AB48" s="7">
        <v>18296</v>
      </c>
      <c r="AC48" s="7">
        <v>2755</v>
      </c>
      <c r="AD48" s="7">
        <v>24518</v>
      </c>
      <c r="AE48" s="675">
        <v>10852</v>
      </c>
      <c r="AF48" s="560">
        <v>47858</v>
      </c>
      <c r="AG48" s="560">
        <v>14905</v>
      </c>
      <c r="AH48" s="560">
        <v>2022</v>
      </c>
      <c r="AI48" s="560">
        <v>25573</v>
      </c>
      <c r="AJ48" s="560">
        <v>9391</v>
      </c>
      <c r="AK48" s="560">
        <v>51410</v>
      </c>
      <c r="AL48" s="560">
        <v>15107</v>
      </c>
      <c r="AM48" s="560">
        <v>2746</v>
      </c>
      <c r="AN48" s="560">
        <v>27357</v>
      </c>
      <c r="AO48" s="560">
        <v>12864</v>
      </c>
      <c r="AP48" s="12">
        <v>101147</v>
      </c>
      <c r="AQ48" s="5">
        <v>92781</v>
      </c>
      <c r="AR48" s="5">
        <v>5441</v>
      </c>
      <c r="AS48" s="5">
        <v>2572</v>
      </c>
      <c r="AT48" s="10">
        <v>2925</v>
      </c>
      <c r="AU48" s="5">
        <v>87485</v>
      </c>
      <c r="AV48" s="5">
        <v>73414</v>
      </c>
      <c r="AW48" s="5">
        <v>5787</v>
      </c>
      <c r="AX48" s="5">
        <v>8327</v>
      </c>
      <c r="AY48" s="10">
        <v>8284</v>
      </c>
      <c r="AZ48" s="5">
        <v>67602</v>
      </c>
      <c r="BA48" s="5">
        <v>54612</v>
      </c>
      <c r="BB48" s="5">
        <v>4868</v>
      </c>
      <c r="BC48" s="5">
        <v>13632</v>
      </c>
      <c r="BD48" s="10">
        <v>8122</v>
      </c>
      <c r="BE48" s="5">
        <v>64336</v>
      </c>
      <c r="BF48" s="5">
        <v>50148</v>
      </c>
      <c r="BG48" s="5">
        <v>5167</v>
      </c>
      <c r="BH48" s="5">
        <v>15992</v>
      </c>
      <c r="BI48" s="5">
        <v>8940</v>
      </c>
      <c r="BJ48" s="5">
        <v>64301</v>
      </c>
      <c r="BK48" s="5">
        <v>39526</v>
      </c>
      <c r="BL48" s="5">
        <v>4310</v>
      </c>
      <c r="BM48" s="5">
        <v>16681</v>
      </c>
      <c r="BN48" s="53">
        <v>8792</v>
      </c>
      <c r="BO48" s="53">
        <v>62768</v>
      </c>
      <c r="BP48" s="53">
        <v>41166</v>
      </c>
      <c r="BQ48" s="53">
        <v>4226</v>
      </c>
      <c r="BR48" s="53">
        <v>14644</v>
      </c>
      <c r="BS48" s="53">
        <v>5915</v>
      </c>
      <c r="BT48" s="53">
        <v>61935</v>
      </c>
      <c r="BU48" s="53">
        <v>38058</v>
      </c>
      <c r="BV48" s="53">
        <v>4169</v>
      </c>
      <c r="BW48" s="53">
        <v>16414</v>
      </c>
      <c r="BX48" s="53">
        <v>6806</v>
      </c>
      <c r="BY48" s="12">
        <v>113935</v>
      </c>
      <c r="BZ48" s="5">
        <v>87352</v>
      </c>
      <c r="CA48" s="5">
        <v>7470</v>
      </c>
      <c r="CB48" s="5">
        <v>38068</v>
      </c>
      <c r="CC48" s="290">
        <f t="shared" si="483"/>
        <v>19113</v>
      </c>
      <c r="CD48" s="258" t="s">
        <v>185</v>
      </c>
      <c r="CE48" s="259" t="s">
        <v>185</v>
      </c>
      <c r="CF48" s="259" t="s">
        <v>185</v>
      </c>
      <c r="CG48" s="259" t="s">
        <v>185</v>
      </c>
      <c r="CH48" s="258" t="s">
        <v>185</v>
      </c>
      <c r="CI48" s="259" t="s">
        <v>185</v>
      </c>
      <c r="CJ48" s="259" t="s">
        <v>185</v>
      </c>
      <c r="CK48" s="259" t="s">
        <v>185</v>
      </c>
      <c r="CL48" s="260" t="s">
        <v>185</v>
      </c>
      <c r="CM48" s="5">
        <v>814977</v>
      </c>
      <c r="CN48" s="5">
        <v>780046</v>
      </c>
      <c r="CO48" s="5">
        <v>21609</v>
      </c>
      <c r="CP48" s="5">
        <v>9588</v>
      </c>
      <c r="CQ48" s="10">
        <v>13322</v>
      </c>
      <c r="CR48" s="5">
        <v>941380</v>
      </c>
      <c r="CS48" s="5">
        <v>881275</v>
      </c>
      <c r="CT48" s="5">
        <v>28342</v>
      </c>
      <c r="CU48" s="5">
        <v>20206</v>
      </c>
      <c r="CV48" s="5">
        <v>31763</v>
      </c>
      <c r="CW48" s="195">
        <v>1011349</v>
      </c>
      <c r="CX48" s="5">
        <v>935917</v>
      </c>
      <c r="CY48" s="5">
        <v>32767</v>
      </c>
      <c r="CZ48" s="5">
        <v>42665</v>
      </c>
      <c r="DA48" s="5">
        <v>31998</v>
      </c>
      <c r="DB48" s="12">
        <v>1023656</v>
      </c>
      <c r="DC48" s="5">
        <v>947058</v>
      </c>
      <c r="DD48" s="5">
        <v>33870</v>
      </c>
      <c r="DE48" s="5">
        <v>42728</v>
      </c>
      <c r="DF48" s="5">
        <v>34222</v>
      </c>
      <c r="DG48" s="56">
        <v>1026325</v>
      </c>
      <c r="DH48" s="54">
        <v>949157</v>
      </c>
      <c r="DI48" s="54">
        <v>34364</v>
      </c>
      <c r="DJ48" s="54">
        <v>42804</v>
      </c>
      <c r="DK48" s="54">
        <v>34105</v>
      </c>
      <c r="DL48" s="12">
        <v>1058670</v>
      </c>
      <c r="DM48" s="5">
        <v>977367</v>
      </c>
      <c r="DN48" s="5">
        <v>37432</v>
      </c>
      <c r="DO48" s="5">
        <v>37768</v>
      </c>
      <c r="DP48" s="5">
        <v>32339</v>
      </c>
      <c r="DQ48" s="12">
        <v>1074077.53</v>
      </c>
      <c r="DR48" s="5">
        <v>991070.73699999985</v>
      </c>
      <c r="DS48" s="5">
        <v>38077.292000000001</v>
      </c>
      <c r="DT48" s="5">
        <v>39228.110999999997</v>
      </c>
      <c r="DU48" s="530">
        <f t="shared" si="484"/>
        <v>44929.501000000178</v>
      </c>
      <c r="DV48" s="5">
        <v>1083919</v>
      </c>
      <c r="DW48" s="5">
        <v>1002785</v>
      </c>
      <c r="DX48" s="5">
        <v>38393</v>
      </c>
      <c r="DY48" s="5">
        <v>42645</v>
      </c>
      <c r="DZ48" s="5">
        <v>42263</v>
      </c>
      <c r="EA48" s="5">
        <v>1091953</v>
      </c>
      <c r="EB48" s="5">
        <v>976434</v>
      </c>
      <c r="EC48" s="5">
        <v>39966</v>
      </c>
      <c r="ED48" s="5">
        <v>42828</v>
      </c>
      <c r="EE48" s="5">
        <v>43945</v>
      </c>
      <c r="EF48" s="5">
        <v>1121957</v>
      </c>
      <c r="EG48" s="5">
        <v>988577</v>
      </c>
      <c r="EH48" s="5">
        <v>44252</v>
      </c>
      <c r="EI48" s="5">
        <v>51801</v>
      </c>
      <c r="EJ48" s="5">
        <v>49983</v>
      </c>
      <c r="EK48" s="5">
        <v>1130475</v>
      </c>
      <c r="EL48" s="5">
        <v>995023</v>
      </c>
      <c r="EM48" s="5">
        <v>43960</v>
      </c>
      <c r="EN48" s="5">
        <v>54705</v>
      </c>
      <c r="EO48" s="5">
        <v>47978</v>
      </c>
      <c r="EP48" s="258" t="s">
        <v>185</v>
      </c>
      <c r="EQ48" s="259" t="s">
        <v>185</v>
      </c>
      <c r="ER48" s="259" t="s">
        <v>185</v>
      </c>
      <c r="ES48" s="259" t="s">
        <v>185</v>
      </c>
      <c r="ET48" s="260" t="s">
        <v>185</v>
      </c>
      <c r="EU48" s="5">
        <v>280537</v>
      </c>
      <c r="EV48" s="5">
        <v>266709</v>
      </c>
      <c r="EW48" s="5">
        <v>9279</v>
      </c>
      <c r="EX48" s="5">
        <v>3756</v>
      </c>
      <c r="EY48" s="10">
        <v>4549</v>
      </c>
      <c r="EZ48" s="5">
        <v>343288</v>
      </c>
      <c r="FA48" s="5">
        <v>320264</v>
      </c>
      <c r="FB48" s="5">
        <v>12017</v>
      </c>
      <c r="FC48" s="5">
        <v>7261</v>
      </c>
      <c r="FD48" s="10">
        <v>11007</v>
      </c>
      <c r="FE48" s="5">
        <v>394263</v>
      </c>
      <c r="FF48" s="5">
        <v>361580</v>
      </c>
      <c r="FG48" s="5">
        <v>17722</v>
      </c>
      <c r="FH48" s="5">
        <v>13212</v>
      </c>
      <c r="FI48" s="10">
        <v>14961</v>
      </c>
      <c r="FJ48" s="5">
        <v>401147.18799999997</v>
      </c>
      <c r="FK48" s="5">
        <v>367742.24300000002</v>
      </c>
      <c r="FL48" s="5">
        <v>18309.894</v>
      </c>
      <c r="FM48" s="5">
        <v>13540.275</v>
      </c>
      <c r="FN48" s="10">
        <v>15095.050999999949</v>
      </c>
      <c r="FO48" s="5">
        <v>404355</v>
      </c>
      <c r="FP48" s="5">
        <v>371878</v>
      </c>
      <c r="FQ48" s="5">
        <v>18256</v>
      </c>
      <c r="FR48" s="5">
        <v>14850</v>
      </c>
      <c r="FS48" s="618">
        <v>13951</v>
      </c>
      <c r="FT48" s="618">
        <v>409239</v>
      </c>
      <c r="FU48" s="618">
        <v>364805</v>
      </c>
      <c r="FV48" s="618">
        <v>17698</v>
      </c>
      <c r="FW48" s="618">
        <v>15826</v>
      </c>
      <c r="FX48" s="618">
        <v>15097</v>
      </c>
      <c r="FY48" s="618">
        <v>417801</v>
      </c>
      <c r="FZ48" s="618">
        <v>370858</v>
      </c>
      <c r="GA48" s="618">
        <v>17995</v>
      </c>
      <c r="GB48" s="618">
        <v>17274</v>
      </c>
      <c r="GC48" s="618">
        <v>15826</v>
      </c>
      <c r="GD48" s="618">
        <v>411155</v>
      </c>
      <c r="GE48" s="618">
        <v>360467</v>
      </c>
      <c r="GF48" s="618">
        <v>17785</v>
      </c>
      <c r="GG48" s="618">
        <v>21018</v>
      </c>
      <c r="GH48" s="618">
        <v>16414</v>
      </c>
      <c r="GI48" s="12">
        <v>70665</v>
      </c>
      <c r="GJ48" s="5">
        <v>68095</v>
      </c>
      <c r="GK48" s="5">
        <v>1441</v>
      </c>
      <c r="GL48" s="5">
        <v>902</v>
      </c>
      <c r="GM48" s="10">
        <v>1129</v>
      </c>
      <c r="GN48" s="5">
        <v>79596</v>
      </c>
      <c r="GO48" s="5">
        <v>75095</v>
      </c>
      <c r="GP48" s="5">
        <v>2136</v>
      </c>
      <c r="GQ48" s="5">
        <v>1248</v>
      </c>
      <c r="GR48" s="10">
        <v>2365</v>
      </c>
      <c r="GS48" s="12">
        <v>106984</v>
      </c>
      <c r="GT48" s="5">
        <v>100598</v>
      </c>
      <c r="GU48" s="5">
        <v>2838</v>
      </c>
      <c r="GV48" s="5">
        <v>3066</v>
      </c>
      <c r="GW48" s="5">
        <v>3548</v>
      </c>
      <c r="GX48" s="12"/>
      <c r="GY48" s="5"/>
      <c r="GZ48" s="5"/>
      <c r="HA48" s="5"/>
      <c r="HB48" s="10"/>
      <c r="HC48" s="5">
        <v>113021</v>
      </c>
      <c r="HD48" s="5">
        <v>106676</v>
      </c>
      <c r="HE48" s="5">
        <v>2739</v>
      </c>
      <c r="HF48" s="5">
        <v>3075</v>
      </c>
      <c r="HG48" s="5">
        <v>3558</v>
      </c>
      <c r="HH48" s="5">
        <v>117344</v>
      </c>
      <c r="HI48" s="5">
        <v>107562</v>
      </c>
      <c r="HJ48" s="5">
        <v>3071</v>
      </c>
      <c r="HK48" s="5">
        <v>3690</v>
      </c>
      <c r="HL48" s="5">
        <v>4210</v>
      </c>
      <c r="HM48" s="5">
        <v>125055</v>
      </c>
      <c r="HN48" s="5">
        <v>113464</v>
      </c>
      <c r="HO48" s="5">
        <v>4480</v>
      </c>
      <c r="HP48" s="5">
        <v>4127</v>
      </c>
      <c r="HQ48" s="5">
        <v>4121</v>
      </c>
      <c r="HR48" s="5">
        <v>129795</v>
      </c>
      <c r="HS48" s="5">
        <v>116455</v>
      </c>
      <c r="HT48" s="5">
        <v>4146</v>
      </c>
      <c r="HU48" s="5">
        <v>5846</v>
      </c>
      <c r="HV48" s="5">
        <v>4059</v>
      </c>
      <c r="HW48" s="569">
        <f t="shared" si="539"/>
        <v>259327</v>
      </c>
      <c r="HX48" s="546">
        <f t="shared" si="540"/>
        <v>249432</v>
      </c>
      <c r="HY48" s="546">
        <f t="shared" si="541"/>
        <v>5102</v>
      </c>
      <c r="HZ48" s="546">
        <f t="shared" si="542"/>
        <v>2406</v>
      </c>
      <c r="IA48" s="546">
        <f t="shared" si="543"/>
        <v>4793</v>
      </c>
      <c r="IB48" s="569">
        <f t="shared" si="544"/>
        <v>337736</v>
      </c>
      <c r="IC48" s="546">
        <f t="shared" si="545"/>
        <v>318807</v>
      </c>
      <c r="ID48" s="546">
        <f t="shared" si="546"/>
        <v>7224</v>
      </c>
      <c r="IE48" s="546">
        <f t="shared" si="547"/>
        <v>4948</v>
      </c>
      <c r="IF48" s="546">
        <f t="shared" si="548"/>
        <v>11705</v>
      </c>
      <c r="IG48" s="12">
        <v>382788</v>
      </c>
      <c r="IH48" s="5">
        <v>358248</v>
      </c>
      <c r="II48" s="5">
        <v>8897</v>
      </c>
      <c r="IJ48" s="5">
        <v>9148</v>
      </c>
      <c r="IK48" s="5">
        <v>15643</v>
      </c>
      <c r="IL48" s="565"/>
      <c r="IM48" s="7"/>
      <c r="IN48" s="7"/>
      <c r="IO48" s="7"/>
      <c r="IP48" s="7"/>
      <c r="IQ48" s="7">
        <v>454035</v>
      </c>
      <c r="IR48" s="7">
        <v>424305</v>
      </c>
      <c r="IS48" s="7">
        <v>10936</v>
      </c>
      <c r="IT48" s="7">
        <v>11234</v>
      </c>
      <c r="IU48" s="577">
        <v>18639</v>
      </c>
      <c r="IV48" s="7">
        <v>462878</v>
      </c>
      <c r="IW48" s="7">
        <v>422635</v>
      </c>
      <c r="IX48" s="7">
        <v>12114</v>
      </c>
      <c r="IY48" s="7">
        <v>11710</v>
      </c>
      <c r="IZ48" s="7">
        <v>19413</v>
      </c>
      <c r="JA48" s="565">
        <v>497343</v>
      </c>
      <c r="JB48" s="7">
        <v>448829</v>
      </c>
      <c r="JC48" s="7">
        <v>15678</v>
      </c>
      <c r="JD48" s="7">
        <v>13488</v>
      </c>
      <c r="JE48" s="7">
        <v>22027</v>
      </c>
      <c r="JF48" s="565">
        <v>520767</v>
      </c>
      <c r="JG48" s="7">
        <v>468886</v>
      </c>
      <c r="JH48" s="7">
        <v>15986</v>
      </c>
      <c r="JI48" s="7">
        <v>16507</v>
      </c>
      <c r="JJ48" s="7">
        <v>21808</v>
      </c>
      <c r="JK48" s="12">
        <v>130172</v>
      </c>
      <c r="JL48" s="5">
        <v>125668</v>
      </c>
      <c r="JM48" s="5">
        <v>2597</v>
      </c>
      <c r="JN48" s="5">
        <v>1069</v>
      </c>
      <c r="JO48" s="5">
        <v>1907</v>
      </c>
      <c r="JP48" s="12">
        <v>179181</v>
      </c>
      <c r="JQ48" s="5">
        <v>169950</v>
      </c>
      <c r="JR48" s="5">
        <v>3785</v>
      </c>
      <c r="JS48" s="5">
        <v>2542</v>
      </c>
      <c r="JT48" s="5">
        <v>5446</v>
      </c>
      <c r="JU48" s="12">
        <v>223229</v>
      </c>
      <c r="JV48" s="5">
        <v>209892</v>
      </c>
      <c r="JW48" s="5">
        <v>4548</v>
      </c>
      <c r="JX48" s="5">
        <v>5438</v>
      </c>
      <c r="JY48" s="5">
        <v>8789</v>
      </c>
      <c r="JZ48" s="12">
        <v>227870.592</v>
      </c>
      <c r="KA48" s="5">
        <v>214606.17699999997</v>
      </c>
      <c r="KB48" s="5">
        <v>4782.4349999999995</v>
      </c>
      <c r="KC48" s="5">
        <v>5106.6180000000004</v>
      </c>
      <c r="KD48" s="5">
        <v>8481.9800000000378</v>
      </c>
      <c r="KE48" s="5">
        <v>231713</v>
      </c>
      <c r="KF48" s="5">
        <v>213130</v>
      </c>
      <c r="KG48" s="5">
        <v>5857</v>
      </c>
      <c r="KH48" s="5">
        <v>5670</v>
      </c>
      <c r="KI48" s="5">
        <v>8291</v>
      </c>
      <c r="KJ48" s="5">
        <v>244556</v>
      </c>
      <c r="KK48" s="5">
        <v>222558</v>
      </c>
      <c r="KL48" s="5">
        <v>8039</v>
      </c>
      <c r="KM48" s="5">
        <v>6120</v>
      </c>
      <c r="KN48" s="5">
        <v>8758</v>
      </c>
      <c r="KO48" s="5">
        <v>261931</v>
      </c>
      <c r="KP48" s="5">
        <v>239731</v>
      </c>
      <c r="KQ48" s="5">
        <v>7101</v>
      </c>
      <c r="KR48" s="5">
        <v>6160</v>
      </c>
      <c r="KS48" s="5">
        <v>9839</v>
      </c>
      <c r="KT48" s="258" t="s">
        <v>185</v>
      </c>
      <c r="KU48" s="259" t="s">
        <v>185</v>
      </c>
      <c r="KV48" s="316">
        <v>53630</v>
      </c>
      <c r="KW48" s="332">
        <f t="shared" si="495"/>
        <v>32193</v>
      </c>
      <c r="KX48" s="332">
        <f t="shared" si="496"/>
        <v>21437</v>
      </c>
      <c r="KY48" s="332">
        <f t="shared" si="497"/>
        <v>52934</v>
      </c>
      <c r="KZ48" s="318">
        <v>31805</v>
      </c>
      <c r="LA48" s="318">
        <v>21129</v>
      </c>
      <c r="LB48" s="332">
        <f t="shared" si="498"/>
        <v>696</v>
      </c>
      <c r="LC48" s="318">
        <v>388</v>
      </c>
      <c r="LD48" s="318">
        <v>308</v>
      </c>
      <c r="LE48" s="316">
        <v>77796</v>
      </c>
      <c r="LF48" s="332">
        <f t="shared" si="499"/>
        <v>45229</v>
      </c>
      <c r="LG48" s="332">
        <f t="shared" si="500"/>
        <v>32567</v>
      </c>
      <c r="LH48" s="332">
        <f t="shared" si="501"/>
        <v>76410</v>
      </c>
      <c r="LI48" s="318">
        <v>44440</v>
      </c>
      <c r="LJ48" s="318">
        <v>31970</v>
      </c>
      <c r="LK48" s="332">
        <f t="shared" si="502"/>
        <v>760</v>
      </c>
      <c r="LL48" s="318">
        <v>407</v>
      </c>
      <c r="LM48" s="318">
        <v>353</v>
      </c>
      <c r="LN48" s="332">
        <f t="shared" si="503"/>
        <v>626</v>
      </c>
      <c r="LO48" s="318">
        <v>382</v>
      </c>
      <c r="LP48" s="318">
        <v>244</v>
      </c>
      <c r="LQ48" s="316">
        <v>141542</v>
      </c>
      <c r="LR48" s="332">
        <f t="shared" si="504"/>
        <v>80274</v>
      </c>
      <c r="LS48" s="332">
        <f t="shared" si="505"/>
        <v>61268</v>
      </c>
      <c r="LT48" s="342">
        <f t="shared" si="506"/>
        <v>137135</v>
      </c>
      <c r="LU48" s="318">
        <v>77698</v>
      </c>
      <c r="LV48" s="318">
        <v>59437</v>
      </c>
      <c r="LW48" s="318">
        <v>2576</v>
      </c>
      <c r="LX48" s="318">
        <v>1831</v>
      </c>
      <c r="LY48" s="342">
        <f t="shared" si="507"/>
        <v>2011</v>
      </c>
      <c r="LZ48" s="318">
        <v>1053</v>
      </c>
      <c r="MA48" s="318">
        <v>958</v>
      </c>
      <c r="MB48" s="342">
        <f t="shared" si="508"/>
        <v>798</v>
      </c>
      <c r="MC48" s="318">
        <v>561</v>
      </c>
      <c r="MD48" s="318">
        <v>237</v>
      </c>
      <c r="ME48" s="333">
        <f t="shared" si="509"/>
        <v>1598</v>
      </c>
      <c r="MF48" s="333">
        <f t="shared" si="510"/>
        <v>962</v>
      </c>
      <c r="MG48" s="333">
        <f t="shared" si="511"/>
        <v>636</v>
      </c>
      <c r="MH48" s="334">
        <f t="shared" si="512"/>
        <v>98</v>
      </c>
      <c r="MI48" s="334">
        <f t="shared" si="513"/>
        <v>72</v>
      </c>
      <c r="MJ48" s="334">
        <f t="shared" si="514"/>
        <v>26</v>
      </c>
      <c r="MK48" s="318">
        <v>1500</v>
      </c>
      <c r="ML48" s="318">
        <v>890</v>
      </c>
      <c r="MM48" s="318">
        <v>610</v>
      </c>
      <c r="MN48" s="14">
        <f t="shared" si="515"/>
        <v>188662</v>
      </c>
      <c r="MO48" s="332">
        <f t="shared" si="516"/>
        <v>100770</v>
      </c>
      <c r="MP48" s="332">
        <f t="shared" si="517"/>
        <v>87892</v>
      </c>
      <c r="MQ48" s="13">
        <f t="shared" si="518"/>
        <v>181337</v>
      </c>
      <c r="MR48" s="136">
        <f t="shared" si="519"/>
        <v>180417</v>
      </c>
      <c r="MS48" s="318">
        <v>96223</v>
      </c>
      <c r="MT48" s="318">
        <v>84194</v>
      </c>
      <c r="MU48" s="318">
        <v>4547</v>
      </c>
      <c r="MV48" s="318">
        <v>3698</v>
      </c>
      <c r="MW48" s="13">
        <f t="shared" si="520"/>
        <v>3661</v>
      </c>
      <c r="MX48" s="136">
        <f t="shared" si="521"/>
        <v>3610</v>
      </c>
      <c r="MY48" s="318">
        <v>1849</v>
      </c>
      <c r="MZ48" s="318">
        <v>1761</v>
      </c>
      <c r="NA48" s="13">
        <f t="shared" si="522"/>
        <v>1504</v>
      </c>
      <c r="NB48" s="318">
        <v>810</v>
      </c>
      <c r="NC48" s="318">
        <v>694</v>
      </c>
      <c r="ND48" s="11">
        <f t="shared" si="523"/>
        <v>3664</v>
      </c>
      <c r="NE48" s="335">
        <f t="shared" si="524"/>
        <v>1888</v>
      </c>
      <c r="NF48" s="335">
        <f t="shared" si="525"/>
        <v>1243</v>
      </c>
      <c r="NG48" s="336">
        <f t="shared" si="526"/>
        <v>19</v>
      </c>
      <c r="NH48" s="336">
        <f t="shared" si="527"/>
        <v>19</v>
      </c>
      <c r="NI48" s="336">
        <f t="shared" si="528"/>
        <v>0</v>
      </c>
      <c r="NJ48" s="337">
        <f t="shared" si="529"/>
        <v>3112</v>
      </c>
      <c r="NK48" s="337">
        <f t="shared" si="530"/>
        <v>1869</v>
      </c>
      <c r="NL48" s="337">
        <f t="shared" si="531"/>
        <v>1243</v>
      </c>
      <c r="NM48" s="318">
        <v>289</v>
      </c>
      <c r="NN48" s="318">
        <v>225</v>
      </c>
      <c r="NO48" s="318">
        <v>1580</v>
      </c>
      <c r="NP48" s="318">
        <v>1018</v>
      </c>
      <c r="NQ48" s="338">
        <v>258140</v>
      </c>
      <c r="NR48" s="318">
        <v>129156</v>
      </c>
      <c r="NS48" s="318">
        <v>128984</v>
      </c>
      <c r="NT48" s="7">
        <f t="shared" si="532"/>
        <v>243712</v>
      </c>
      <c r="NU48" s="7">
        <v>121671</v>
      </c>
      <c r="NV48" s="7">
        <v>122041</v>
      </c>
      <c r="NW48" s="125">
        <f t="shared" si="533"/>
        <v>241683</v>
      </c>
      <c r="NX48" s="318">
        <v>120615</v>
      </c>
      <c r="NY48" s="318">
        <v>121068</v>
      </c>
      <c r="NZ48" s="7">
        <f t="shared" si="534"/>
        <v>5088</v>
      </c>
      <c r="OA48" s="318">
        <v>2546</v>
      </c>
      <c r="OB48" s="318">
        <v>2542</v>
      </c>
      <c r="OC48" s="7">
        <f t="shared" si="535"/>
        <v>3700</v>
      </c>
      <c r="OD48" s="318">
        <v>1971</v>
      </c>
      <c r="OE48" s="318">
        <v>1729</v>
      </c>
      <c r="OF48" s="125">
        <f t="shared" si="536"/>
        <v>9340</v>
      </c>
      <c r="OG48" s="125">
        <f t="shared" si="537"/>
        <v>4939</v>
      </c>
      <c r="OH48" s="125">
        <f t="shared" si="538"/>
        <v>4401</v>
      </c>
      <c r="OI48" s="326">
        <v>308020</v>
      </c>
      <c r="OJ48" s="318">
        <v>287052</v>
      </c>
      <c r="OK48" s="318">
        <v>287052</v>
      </c>
      <c r="OL48" s="318">
        <v>14376</v>
      </c>
      <c r="OM48" s="7">
        <v>5937</v>
      </c>
      <c r="ON48" s="12">
        <v>310997</v>
      </c>
      <c r="OO48" s="5">
        <v>290336</v>
      </c>
      <c r="OP48" s="5">
        <v>6591</v>
      </c>
      <c r="OQ48" s="5">
        <v>14070</v>
      </c>
      <c r="OR48" s="5">
        <v>6202</v>
      </c>
      <c r="OS48" s="12">
        <v>309758</v>
      </c>
      <c r="OT48" s="5">
        <v>289645</v>
      </c>
      <c r="OU48" s="5">
        <v>6247</v>
      </c>
      <c r="OV48" s="5">
        <v>13866</v>
      </c>
      <c r="OW48" s="5">
        <v>5789</v>
      </c>
      <c r="OX48" s="12">
        <v>327017</v>
      </c>
      <c r="OY48" s="5">
        <v>304739</v>
      </c>
      <c r="OZ48" s="5">
        <v>7127</v>
      </c>
      <c r="PA48" s="5">
        <v>15151</v>
      </c>
      <c r="PB48" s="5">
        <v>7181</v>
      </c>
      <c r="PC48" s="12">
        <v>334684.93200000003</v>
      </c>
      <c r="PD48" s="5">
        <v>311664.24699999997</v>
      </c>
      <c r="PE48" s="5">
        <v>8016.271999999999</v>
      </c>
      <c r="PF48" s="5">
        <v>6963.5700000000006</v>
      </c>
      <c r="PG48" s="5">
        <v>15004.413000000057</v>
      </c>
      <c r="PH48" s="5">
        <v>341014</v>
      </c>
      <c r="PI48" s="5">
        <v>317629</v>
      </c>
      <c r="PJ48" s="5">
        <v>8197</v>
      </c>
      <c r="PK48" s="5">
        <v>8159</v>
      </c>
      <c r="PL48" s="2">
        <v>15081</v>
      </c>
      <c r="PM48" s="2">
        <v>345534</v>
      </c>
      <c r="PN48" s="2">
        <v>315073</v>
      </c>
      <c r="PO48" s="2">
        <v>9043</v>
      </c>
      <c r="PP48" s="2">
        <v>8020</v>
      </c>
      <c r="PQ48" s="2">
        <v>15203</v>
      </c>
      <c r="PR48" s="2">
        <v>372288</v>
      </c>
      <c r="PS48" s="2">
        <v>335365</v>
      </c>
      <c r="PT48" s="2">
        <v>11198</v>
      </c>
      <c r="PU48" s="2">
        <v>9361</v>
      </c>
      <c r="PV48" s="2">
        <v>17906</v>
      </c>
      <c r="PW48" s="2">
        <v>390972</v>
      </c>
      <c r="PX48" s="2">
        <v>352431</v>
      </c>
      <c r="PY48" s="2">
        <v>11840</v>
      </c>
      <c r="PZ48" s="2">
        <v>10661</v>
      </c>
      <c r="QA48" s="2">
        <v>17749</v>
      </c>
      <c r="QB48" s="12">
        <v>58490</v>
      </c>
      <c r="QC48" s="5">
        <v>55669</v>
      </c>
      <c r="QD48" s="5">
        <v>1064</v>
      </c>
      <c r="QE48" s="5">
        <v>435</v>
      </c>
      <c r="QF48" s="5">
        <v>1757</v>
      </c>
      <c r="QG48" s="12">
        <v>78959</v>
      </c>
      <c r="QH48" s="5">
        <v>73762</v>
      </c>
      <c r="QI48" s="5">
        <v>1303</v>
      </c>
      <c r="QJ48" s="5">
        <v>1158</v>
      </c>
      <c r="QK48" s="5">
        <v>3894</v>
      </c>
      <c r="QL48" s="12">
        <v>103788</v>
      </c>
      <c r="QM48" s="5">
        <v>94847</v>
      </c>
      <c r="QN48" s="5">
        <v>2579</v>
      </c>
      <c r="QO48" s="5">
        <v>1743</v>
      </c>
      <c r="QP48" s="5">
        <v>6362</v>
      </c>
      <c r="QQ48" s="12">
        <v>106814.34</v>
      </c>
      <c r="QR48" s="5">
        <v>97058.069999999992</v>
      </c>
      <c r="QS48" s="5">
        <v>3233.8369999999995</v>
      </c>
      <c r="QT48" s="5">
        <v>1856.952</v>
      </c>
      <c r="QU48" s="10">
        <v>6522.4330000000045</v>
      </c>
      <c r="QV48" s="1">
        <v>110214</v>
      </c>
      <c r="QW48" s="2">
        <v>100221</v>
      </c>
      <c r="QX48" s="2">
        <v>2783</v>
      </c>
      <c r="QY48" s="2">
        <v>2258</v>
      </c>
      <c r="QZ48" s="69">
        <v>7186</v>
      </c>
      <c r="RA48" s="2">
        <v>113821</v>
      </c>
      <c r="RB48" s="2">
        <v>101943</v>
      </c>
      <c r="RC48" s="2">
        <v>3186</v>
      </c>
      <c r="RD48" s="2">
        <v>2350</v>
      </c>
      <c r="RE48" s="2">
        <v>6912</v>
      </c>
      <c r="RF48" s="2">
        <v>127732</v>
      </c>
      <c r="RG48" s="2">
        <v>112807</v>
      </c>
      <c r="RH48" s="2">
        <v>3159</v>
      </c>
      <c r="RI48" s="2">
        <v>3241</v>
      </c>
      <c r="RJ48" s="2">
        <v>9148</v>
      </c>
      <c r="RK48" s="2">
        <v>129041</v>
      </c>
      <c r="RL48" s="2">
        <v>112700</v>
      </c>
      <c r="RM48" s="2">
        <v>4739</v>
      </c>
      <c r="RN48" s="2">
        <v>4501</v>
      </c>
      <c r="RO48" s="2">
        <v>7910</v>
      </c>
    </row>
    <row r="49" spans="1:483" ht="14.25" x14ac:dyDescent="0.2">
      <c r="A49" s="218" t="s">
        <v>40</v>
      </c>
      <c r="B49" s="258" t="s">
        <v>185</v>
      </c>
      <c r="C49" s="259" t="s">
        <v>185</v>
      </c>
      <c r="D49" s="259" t="s">
        <v>185</v>
      </c>
      <c r="E49" s="259" t="s">
        <v>185</v>
      </c>
      <c r="F49" s="260" t="s">
        <v>185</v>
      </c>
      <c r="G49" s="5">
        <v>59354</v>
      </c>
      <c r="H49" s="5">
        <v>57452</v>
      </c>
      <c r="I49" s="5">
        <v>21</v>
      </c>
      <c r="J49" s="5">
        <v>298</v>
      </c>
      <c r="K49" s="10">
        <v>1881</v>
      </c>
      <c r="L49" s="5">
        <v>35658</v>
      </c>
      <c r="M49" s="5">
        <v>34045</v>
      </c>
      <c r="N49" s="5">
        <v>20</v>
      </c>
      <c r="O49" s="5">
        <v>444</v>
      </c>
      <c r="P49" s="10">
        <v>1593</v>
      </c>
      <c r="Q49" s="7">
        <v>22541</v>
      </c>
      <c r="R49" s="7">
        <v>20247</v>
      </c>
      <c r="S49" s="7">
        <v>562</v>
      </c>
      <c r="T49" s="7">
        <v>367</v>
      </c>
      <c r="U49" s="577">
        <v>1732</v>
      </c>
      <c r="V49" s="7">
        <v>20030</v>
      </c>
      <c r="W49" s="7">
        <v>17703</v>
      </c>
      <c r="X49" s="7">
        <v>476</v>
      </c>
      <c r="Y49" s="7">
        <v>483</v>
      </c>
      <c r="Z49" s="7">
        <v>1851</v>
      </c>
      <c r="AA49" s="7">
        <v>19167</v>
      </c>
      <c r="AB49" s="7">
        <v>16548</v>
      </c>
      <c r="AC49" s="7">
        <v>418</v>
      </c>
      <c r="AD49" s="7">
        <v>748</v>
      </c>
      <c r="AE49" s="675">
        <v>1942</v>
      </c>
      <c r="AF49" s="560">
        <v>18142</v>
      </c>
      <c r="AG49" s="560">
        <v>15440</v>
      </c>
      <c r="AH49" s="560">
        <v>410</v>
      </c>
      <c r="AI49" s="560">
        <v>904</v>
      </c>
      <c r="AJ49" s="560">
        <v>1388</v>
      </c>
      <c r="AK49" s="560">
        <v>13827</v>
      </c>
      <c r="AL49" s="560">
        <v>11022</v>
      </c>
      <c r="AM49" s="560">
        <v>0</v>
      </c>
      <c r="AN49" s="560">
        <v>845</v>
      </c>
      <c r="AO49" s="560">
        <v>1321</v>
      </c>
      <c r="AP49" s="12">
        <v>33073</v>
      </c>
      <c r="AQ49" s="5">
        <v>30513</v>
      </c>
      <c r="AR49" s="5">
        <v>43</v>
      </c>
      <c r="AS49" s="5">
        <v>167</v>
      </c>
      <c r="AT49" s="10">
        <v>2517</v>
      </c>
      <c r="AU49" s="5">
        <v>30298</v>
      </c>
      <c r="AV49" s="5">
        <v>27006</v>
      </c>
      <c r="AW49" s="5">
        <v>89</v>
      </c>
      <c r="AX49" s="5">
        <v>449</v>
      </c>
      <c r="AY49" s="10">
        <v>3203</v>
      </c>
      <c r="AZ49" s="5">
        <v>20913</v>
      </c>
      <c r="BA49" s="5">
        <v>17816</v>
      </c>
      <c r="BB49" s="5">
        <v>162</v>
      </c>
      <c r="BC49" s="5">
        <v>953</v>
      </c>
      <c r="BD49" s="10">
        <v>2935</v>
      </c>
      <c r="BE49" s="5">
        <v>20892</v>
      </c>
      <c r="BF49" s="5">
        <v>17324</v>
      </c>
      <c r="BG49" s="5">
        <v>178</v>
      </c>
      <c r="BH49" s="5">
        <v>1064</v>
      </c>
      <c r="BI49" s="5">
        <v>3390</v>
      </c>
      <c r="BJ49" s="5">
        <v>20830</v>
      </c>
      <c r="BK49" s="5">
        <v>16459</v>
      </c>
      <c r="BL49" s="5">
        <v>320</v>
      </c>
      <c r="BM49" s="5">
        <v>1085</v>
      </c>
      <c r="BN49" s="53">
        <v>3547</v>
      </c>
      <c r="BO49" s="53">
        <v>18826</v>
      </c>
      <c r="BP49" s="53">
        <v>13488</v>
      </c>
      <c r="BQ49" s="53">
        <v>498</v>
      </c>
      <c r="BR49" s="53">
        <v>1276</v>
      </c>
      <c r="BS49" s="53">
        <v>3661</v>
      </c>
      <c r="BT49" s="53">
        <v>23917</v>
      </c>
      <c r="BU49" s="53">
        <v>16721</v>
      </c>
      <c r="BV49" s="53">
        <v>0</v>
      </c>
      <c r="BW49" s="53">
        <v>2106</v>
      </c>
      <c r="BX49" s="53">
        <v>4723</v>
      </c>
      <c r="BY49" s="12">
        <v>42489</v>
      </c>
      <c r="BZ49" s="5">
        <v>36614</v>
      </c>
      <c r="CA49" s="5"/>
      <c r="CB49" s="5"/>
      <c r="CC49" s="290">
        <f t="shared" si="483"/>
        <v>5875</v>
      </c>
      <c r="CD49" s="258" t="s">
        <v>185</v>
      </c>
      <c r="CE49" s="259" t="s">
        <v>185</v>
      </c>
      <c r="CF49" s="259" t="s">
        <v>185</v>
      </c>
      <c r="CG49" s="259" t="s">
        <v>185</v>
      </c>
      <c r="CH49" s="258" t="s">
        <v>185</v>
      </c>
      <c r="CI49" s="259" t="s">
        <v>185</v>
      </c>
      <c r="CJ49" s="259" t="s">
        <v>185</v>
      </c>
      <c r="CK49" s="259" t="s">
        <v>185</v>
      </c>
      <c r="CL49" s="260" t="s">
        <v>185</v>
      </c>
      <c r="CM49" s="5">
        <v>304123</v>
      </c>
      <c r="CN49" s="5">
        <v>293544</v>
      </c>
      <c r="CO49" s="5">
        <v>1516</v>
      </c>
      <c r="CP49" s="5">
        <v>1411</v>
      </c>
      <c r="CQ49" s="10">
        <v>9063</v>
      </c>
      <c r="CR49" s="5">
        <v>342629</v>
      </c>
      <c r="CS49" s="5">
        <v>325418</v>
      </c>
      <c r="CT49" s="5">
        <v>1358</v>
      </c>
      <c r="CU49" s="5">
        <v>2413</v>
      </c>
      <c r="CV49" s="5">
        <v>15853</v>
      </c>
      <c r="CW49" s="195">
        <v>362416</v>
      </c>
      <c r="CX49" s="5">
        <v>340377</v>
      </c>
      <c r="CY49" s="5">
        <v>2309</v>
      </c>
      <c r="CZ49" s="5">
        <v>19730</v>
      </c>
      <c r="DA49" s="5">
        <v>3321</v>
      </c>
      <c r="DB49" s="12">
        <v>367821</v>
      </c>
      <c r="DC49" s="5">
        <v>345645</v>
      </c>
      <c r="DD49" s="5">
        <v>2181</v>
      </c>
      <c r="DE49" s="5">
        <v>19995</v>
      </c>
      <c r="DF49" s="5">
        <v>3904</v>
      </c>
      <c r="DG49" s="56">
        <v>370537</v>
      </c>
      <c r="DH49" s="54">
        <v>346518</v>
      </c>
      <c r="DI49" s="54">
        <v>2010</v>
      </c>
      <c r="DJ49" s="54">
        <v>22009</v>
      </c>
      <c r="DK49" s="54">
        <v>5046</v>
      </c>
      <c r="DL49" s="12">
        <v>392778</v>
      </c>
      <c r="DM49" s="5">
        <v>368252</v>
      </c>
      <c r="DN49" s="5">
        <v>2714</v>
      </c>
      <c r="DO49" s="5">
        <v>4511</v>
      </c>
      <c r="DP49" s="5">
        <v>18894</v>
      </c>
      <c r="DQ49" s="12">
        <v>399660.57600000006</v>
      </c>
      <c r="DR49" s="5">
        <v>374779.02299999999</v>
      </c>
      <c r="DS49" s="5"/>
      <c r="DT49" s="5"/>
      <c r="DU49" s="530">
        <f t="shared" si="484"/>
        <v>24881.553000000073</v>
      </c>
      <c r="DV49" s="5">
        <v>409133</v>
      </c>
      <c r="DW49" s="5">
        <v>382056</v>
      </c>
      <c r="DX49" s="5">
        <v>3591</v>
      </c>
      <c r="DY49" s="5">
        <v>4923</v>
      </c>
      <c r="DZ49" s="5">
        <v>23149</v>
      </c>
      <c r="EA49" s="5">
        <v>417774</v>
      </c>
      <c r="EB49" s="5">
        <v>384643</v>
      </c>
      <c r="EC49" s="5">
        <v>3741</v>
      </c>
      <c r="ED49" s="5">
        <v>5688</v>
      </c>
      <c r="EE49" s="5">
        <v>25576</v>
      </c>
      <c r="EF49" s="5">
        <v>455049</v>
      </c>
      <c r="EG49" s="5">
        <v>407311</v>
      </c>
      <c r="EH49" s="5">
        <v>6713</v>
      </c>
      <c r="EI49" s="5">
        <v>10168</v>
      </c>
      <c r="EJ49" s="5">
        <v>31674</v>
      </c>
      <c r="EK49" s="5">
        <v>457271</v>
      </c>
      <c r="EL49" s="5">
        <v>408927</v>
      </c>
      <c r="EM49" s="5">
        <v>0</v>
      </c>
      <c r="EN49" s="5">
        <v>9222</v>
      </c>
      <c r="EO49" s="5">
        <v>30805</v>
      </c>
      <c r="EP49" s="258" t="s">
        <v>185</v>
      </c>
      <c r="EQ49" s="259" t="s">
        <v>185</v>
      </c>
      <c r="ER49" s="259" t="s">
        <v>185</v>
      </c>
      <c r="ES49" s="259" t="s">
        <v>185</v>
      </c>
      <c r="ET49" s="260" t="s">
        <v>185</v>
      </c>
      <c r="EU49" s="5">
        <v>121269</v>
      </c>
      <c r="EV49" s="5">
        <v>116256</v>
      </c>
      <c r="EW49" s="5">
        <v>824</v>
      </c>
      <c r="EX49" s="5">
        <v>669</v>
      </c>
      <c r="EY49" s="10">
        <v>4189</v>
      </c>
      <c r="EZ49" s="5">
        <v>138855</v>
      </c>
      <c r="FA49" s="5">
        <v>130806</v>
      </c>
      <c r="FB49" s="5">
        <v>781</v>
      </c>
      <c r="FC49" s="5">
        <v>1035</v>
      </c>
      <c r="FD49" s="10">
        <v>7268</v>
      </c>
      <c r="FE49" s="5">
        <v>158059</v>
      </c>
      <c r="FF49" s="5">
        <v>146717</v>
      </c>
      <c r="FG49" s="5">
        <v>1363</v>
      </c>
      <c r="FH49" s="5">
        <v>1683</v>
      </c>
      <c r="FI49" s="10">
        <v>9979</v>
      </c>
      <c r="FJ49" s="5">
        <v>162431.26400000002</v>
      </c>
      <c r="FK49" s="5">
        <v>150569.83799999999</v>
      </c>
      <c r="FL49" s="5"/>
      <c r="FM49" s="5"/>
      <c r="FN49" s="10">
        <v>11861.426000000036</v>
      </c>
      <c r="FO49" s="5">
        <v>163637</v>
      </c>
      <c r="FP49" s="5">
        <v>151670</v>
      </c>
      <c r="FQ49" s="5">
        <v>1289</v>
      </c>
      <c r="FR49" s="5">
        <v>1991</v>
      </c>
      <c r="FS49" s="618">
        <v>10423</v>
      </c>
      <c r="FT49" s="618">
        <v>167968</v>
      </c>
      <c r="FU49" s="618">
        <v>153718</v>
      </c>
      <c r="FV49" s="618">
        <v>1255</v>
      </c>
      <c r="FW49" s="618">
        <v>2051</v>
      </c>
      <c r="FX49" s="618">
        <v>11528</v>
      </c>
      <c r="FY49" s="618">
        <v>175976</v>
      </c>
      <c r="FZ49" s="618">
        <v>155816</v>
      </c>
      <c r="GA49" s="618">
        <v>2551</v>
      </c>
      <c r="GB49" s="618">
        <v>3434</v>
      </c>
      <c r="GC49" s="618">
        <v>14238</v>
      </c>
      <c r="GD49" s="618">
        <v>176770</v>
      </c>
      <c r="GE49" s="618">
        <v>156617</v>
      </c>
      <c r="GF49" s="618">
        <v>0</v>
      </c>
      <c r="GG49" s="618">
        <v>3538</v>
      </c>
      <c r="GH49" s="618">
        <v>13374</v>
      </c>
      <c r="GI49" s="12">
        <v>39802</v>
      </c>
      <c r="GJ49" s="5">
        <v>38471</v>
      </c>
      <c r="GK49" s="5">
        <v>90</v>
      </c>
      <c r="GL49" s="5">
        <v>156</v>
      </c>
      <c r="GM49" s="10">
        <v>1241</v>
      </c>
      <c r="GN49" s="5">
        <v>38567</v>
      </c>
      <c r="GO49" s="5">
        <v>36051</v>
      </c>
      <c r="GP49" s="5">
        <v>237</v>
      </c>
      <c r="GQ49" s="5">
        <v>278</v>
      </c>
      <c r="GR49" s="10">
        <v>2279</v>
      </c>
      <c r="GS49" s="12">
        <v>53193</v>
      </c>
      <c r="GT49" s="5">
        <v>50190</v>
      </c>
      <c r="GU49" s="5">
        <v>111</v>
      </c>
      <c r="GV49" s="5">
        <v>391</v>
      </c>
      <c r="GW49" s="5">
        <v>2892</v>
      </c>
      <c r="GX49" s="12"/>
      <c r="GY49" s="5"/>
      <c r="GZ49" s="5"/>
      <c r="HA49" s="5"/>
      <c r="HB49" s="10"/>
      <c r="HC49" s="5">
        <v>55880</v>
      </c>
      <c r="HD49" s="5">
        <v>52300</v>
      </c>
      <c r="HE49" s="5">
        <v>213</v>
      </c>
      <c r="HF49" s="5">
        <v>455</v>
      </c>
      <c r="HG49" s="5">
        <v>3198</v>
      </c>
      <c r="HH49" s="5">
        <v>59868</v>
      </c>
      <c r="HI49" s="5">
        <v>55475</v>
      </c>
      <c r="HJ49" s="5">
        <v>214</v>
      </c>
      <c r="HK49" s="5">
        <v>490</v>
      </c>
      <c r="HL49" s="5">
        <v>3782</v>
      </c>
      <c r="HM49" s="5">
        <v>64255</v>
      </c>
      <c r="HN49" s="5">
        <v>57090</v>
      </c>
      <c r="HO49" s="5">
        <v>596</v>
      </c>
      <c r="HP49" s="5">
        <v>1039</v>
      </c>
      <c r="HQ49" s="5">
        <v>5585</v>
      </c>
      <c r="HR49" s="5">
        <v>67554</v>
      </c>
      <c r="HS49" s="5">
        <v>60504</v>
      </c>
      <c r="HT49" s="5">
        <v>0</v>
      </c>
      <c r="HU49" s="5">
        <v>446</v>
      </c>
      <c r="HV49" s="5">
        <v>4831</v>
      </c>
      <c r="HW49" s="569">
        <f t="shared" si="539"/>
        <v>111441</v>
      </c>
      <c r="HX49" s="546">
        <f t="shared" si="540"/>
        <v>108213</v>
      </c>
      <c r="HY49" s="546">
        <f t="shared" si="541"/>
        <v>360</v>
      </c>
      <c r="HZ49" s="546">
        <f t="shared" si="542"/>
        <v>455</v>
      </c>
      <c r="IA49" s="546">
        <f t="shared" si="543"/>
        <v>2868</v>
      </c>
      <c r="IB49" s="569">
        <f t="shared" si="544"/>
        <v>128410</v>
      </c>
      <c r="IC49" s="546">
        <f t="shared" si="545"/>
        <v>122484</v>
      </c>
      <c r="ID49" s="546">
        <f t="shared" si="546"/>
        <v>538</v>
      </c>
      <c r="IE49" s="546">
        <f t="shared" si="547"/>
        <v>817</v>
      </c>
      <c r="IF49" s="546">
        <f t="shared" si="548"/>
        <v>5388</v>
      </c>
      <c r="IG49" s="12">
        <v>154091</v>
      </c>
      <c r="IH49" s="5">
        <v>146266</v>
      </c>
      <c r="II49" s="5">
        <v>744</v>
      </c>
      <c r="IJ49" s="5">
        <v>1361</v>
      </c>
      <c r="IK49" s="5">
        <v>7081</v>
      </c>
      <c r="IL49" s="565"/>
      <c r="IM49" s="7"/>
      <c r="IN49" s="7"/>
      <c r="IO49" s="7"/>
      <c r="IP49" s="7"/>
      <c r="IQ49" s="7">
        <v>178881</v>
      </c>
      <c r="IR49" s="7">
        <v>168061</v>
      </c>
      <c r="IS49" s="7">
        <v>1552</v>
      </c>
      <c r="IT49" s="7">
        <v>1598</v>
      </c>
      <c r="IU49" s="577">
        <v>9022</v>
      </c>
      <c r="IV49" s="7">
        <v>184313</v>
      </c>
      <c r="IW49" s="7">
        <v>171809</v>
      </c>
      <c r="IX49" s="7">
        <v>1459</v>
      </c>
      <c r="IY49" s="7">
        <v>1646</v>
      </c>
      <c r="IZ49" s="7">
        <v>9864</v>
      </c>
      <c r="JA49" s="565">
        <v>207658</v>
      </c>
      <c r="JB49" s="7">
        <v>187571</v>
      </c>
      <c r="JC49" s="7">
        <v>3232</v>
      </c>
      <c r="JD49" s="7">
        <v>3986</v>
      </c>
      <c r="JE49" s="7">
        <v>13406</v>
      </c>
      <c r="JF49" s="565">
        <v>213877</v>
      </c>
      <c r="JG49" s="7">
        <v>195929</v>
      </c>
      <c r="JH49" s="7">
        <v>0</v>
      </c>
      <c r="JI49" s="7">
        <v>2314</v>
      </c>
      <c r="JJ49" s="7">
        <v>13051</v>
      </c>
      <c r="JK49" s="12">
        <v>53637</v>
      </c>
      <c r="JL49" s="5">
        <v>52323</v>
      </c>
      <c r="JM49" s="5">
        <v>185</v>
      </c>
      <c r="JN49" s="5">
        <v>223</v>
      </c>
      <c r="JO49" s="5">
        <v>1129</v>
      </c>
      <c r="JP49" s="12">
        <v>67551</v>
      </c>
      <c r="JQ49" s="5">
        <v>65496</v>
      </c>
      <c r="JR49" s="5">
        <v>170</v>
      </c>
      <c r="JS49" s="5">
        <v>345</v>
      </c>
      <c r="JT49" s="5">
        <v>1885</v>
      </c>
      <c r="JU49" s="12">
        <v>84717</v>
      </c>
      <c r="JV49" s="5">
        <v>81309</v>
      </c>
      <c r="JW49" s="5">
        <v>522</v>
      </c>
      <c r="JX49" s="5">
        <v>766</v>
      </c>
      <c r="JY49" s="5">
        <v>2886</v>
      </c>
      <c r="JZ49" s="12">
        <v>85862.847999999984</v>
      </c>
      <c r="KA49" s="5">
        <v>82689.993000000002</v>
      </c>
      <c r="KB49" s="5"/>
      <c r="KC49" s="5"/>
      <c r="KD49" s="5">
        <v>3172.8549999999814</v>
      </c>
      <c r="KE49" s="5">
        <v>89875</v>
      </c>
      <c r="KF49" s="5">
        <v>84780</v>
      </c>
      <c r="KG49" s="5">
        <v>884</v>
      </c>
      <c r="KH49" s="5">
        <v>853</v>
      </c>
      <c r="KI49" s="5">
        <v>3670</v>
      </c>
      <c r="KJ49" s="5">
        <v>105625</v>
      </c>
      <c r="KK49" s="5">
        <v>96821</v>
      </c>
      <c r="KL49" s="5">
        <v>2241</v>
      </c>
      <c r="KM49" s="5">
        <v>2533</v>
      </c>
      <c r="KN49" s="5">
        <v>4505</v>
      </c>
      <c r="KO49" s="5">
        <v>107578</v>
      </c>
      <c r="KP49" s="5">
        <v>100347</v>
      </c>
      <c r="KQ49" s="5">
        <v>0</v>
      </c>
      <c r="KR49" s="5">
        <v>1646</v>
      </c>
      <c r="KS49" s="5">
        <v>5187</v>
      </c>
      <c r="KT49" s="258" t="s">
        <v>185</v>
      </c>
      <c r="KU49" s="259" t="s">
        <v>185</v>
      </c>
      <c r="KV49" s="316">
        <v>18063</v>
      </c>
      <c r="KW49" s="332">
        <f t="shared" si="495"/>
        <v>11177</v>
      </c>
      <c r="KX49" s="332">
        <f t="shared" si="496"/>
        <v>6886</v>
      </c>
      <c r="KY49" s="332">
        <f t="shared" si="497"/>
        <v>17913</v>
      </c>
      <c r="KZ49" s="318">
        <v>11089</v>
      </c>
      <c r="LA49" s="318">
        <v>6824</v>
      </c>
      <c r="LB49" s="332">
        <f t="shared" si="498"/>
        <v>150</v>
      </c>
      <c r="LC49" s="318">
        <v>88</v>
      </c>
      <c r="LD49" s="318">
        <v>62</v>
      </c>
      <c r="LE49" s="316">
        <v>26624</v>
      </c>
      <c r="LF49" s="332">
        <f t="shared" si="499"/>
        <v>16121</v>
      </c>
      <c r="LG49" s="332">
        <f t="shared" si="500"/>
        <v>10503</v>
      </c>
      <c r="LH49" s="332">
        <f t="shared" si="501"/>
        <v>26403</v>
      </c>
      <c r="LI49" s="318">
        <v>15987</v>
      </c>
      <c r="LJ49" s="318">
        <v>10416</v>
      </c>
      <c r="LK49" s="332">
        <f t="shared" si="502"/>
        <v>93</v>
      </c>
      <c r="LL49" s="318">
        <v>44</v>
      </c>
      <c r="LM49" s="318">
        <v>49</v>
      </c>
      <c r="LN49" s="332">
        <f t="shared" si="503"/>
        <v>128</v>
      </c>
      <c r="LO49" s="318">
        <v>90</v>
      </c>
      <c r="LP49" s="318">
        <v>38</v>
      </c>
      <c r="LQ49" s="316">
        <v>54042</v>
      </c>
      <c r="LR49" s="332">
        <f t="shared" si="504"/>
        <v>31081</v>
      </c>
      <c r="LS49" s="332">
        <f t="shared" si="505"/>
        <v>22961</v>
      </c>
      <c r="LT49" s="342">
        <f t="shared" si="506"/>
        <v>52926</v>
      </c>
      <c r="LU49" s="318">
        <v>30387</v>
      </c>
      <c r="LV49" s="318">
        <v>22539</v>
      </c>
      <c r="LW49" s="318">
        <v>694</v>
      </c>
      <c r="LX49" s="318">
        <v>422</v>
      </c>
      <c r="LY49" s="342">
        <f t="shared" si="507"/>
        <v>203</v>
      </c>
      <c r="LZ49" s="318">
        <v>147</v>
      </c>
      <c r="MA49" s="318">
        <v>56</v>
      </c>
      <c r="MB49" s="342">
        <f t="shared" si="508"/>
        <v>127</v>
      </c>
      <c r="MC49" s="318">
        <v>94</v>
      </c>
      <c r="MD49" s="318">
        <v>33</v>
      </c>
      <c r="ME49" s="333">
        <f t="shared" si="509"/>
        <v>786</v>
      </c>
      <c r="MF49" s="333">
        <f t="shared" si="510"/>
        <v>453</v>
      </c>
      <c r="MG49" s="333">
        <f t="shared" si="511"/>
        <v>333</v>
      </c>
      <c r="MH49" s="334">
        <f t="shared" si="512"/>
        <v>36</v>
      </c>
      <c r="MI49" s="334">
        <f t="shared" si="513"/>
        <v>25</v>
      </c>
      <c r="MJ49" s="334">
        <f t="shared" si="514"/>
        <v>11</v>
      </c>
      <c r="MK49" s="318">
        <v>750</v>
      </c>
      <c r="ML49" s="318">
        <v>428</v>
      </c>
      <c r="MM49" s="318">
        <v>322</v>
      </c>
      <c r="MN49" s="14">
        <f t="shared" si="515"/>
        <v>71639</v>
      </c>
      <c r="MO49" s="332">
        <f t="shared" si="516"/>
        <v>37740</v>
      </c>
      <c r="MP49" s="332">
        <f t="shared" si="517"/>
        <v>33899</v>
      </c>
      <c r="MQ49" s="13">
        <f t="shared" si="518"/>
        <v>69742</v>
      </c>
      <c r="MR49" s="136">
        <f t="shared" si="519"/>
        <v>69530</v>
      </c>
      <c r="MS49" s="318">
        <v>36634</v>
      </c>
      <c r="MT49" s="318">
        <v>32896</v>
      </c>
      <c r="MU49" s="318">
        <v>1106</v>
      </c>
      <c r="MV49" s="318">
        <v>1003</v>
      </c>
      <c r="MW49" s="13">
        <f t="shared" si="520"/>
        <v>270</v>
      </c>
      <c r="MX49" s="136">
        <f t="shared" si="521"/>
        <v>270</v>
      </c>
      <c r="MY49" s="318">
        <v>168</v>
      </c>
      <c r="MZ49" s="318">
        <v>102</v>
      </c>
      <c r="NA49" s="13">
        <f t="shared" si="522"/>
        <v>299</v>
      </c>
      <c r="NB49" s="318">
        <v>199</v>
      </c>
      <c r="NC49" s="318">
        <v>100</v>
      </c>
      <c r="ND49" s="11">
        <f t="shared" si="523"/>
        <v>1627</v>
      </c>
      <c r="NE49" s="335">
        <f t="shared" si="524"/>
        <v>739</v>
      </c>
      <c r="NF49" s="335">
        <f t="shared" si="525"/>
        <v>801</v>
      </c>
      <c r="NG49" s="336">
        <f t="shared" si="526"/>
        <v>5</v>
      </c>
      <c r="NH49" s="336">
        <f t="shared" si="527"/>
        <v>0</v>
      </c>
      <c r="NI49" s="336">
        <f t="shared" si="528"/>
        <v>5</v>
      </c>
      <c r="NJ49" s="337">
        <f t="shared" si="529"/>
        <v>1535</v>
      </c>
      <c r="NK49" s="337">
        <f t="shared" si="530"/>
        <v>739</v>
      </c>
      <c r="NL49" s="337">
        <f t="shared" si="531"/>
        <v>796</v>
      </c>
      <c r="NM49" s="318">
        <v>323</v>
      </c>
      <c r="NN49" s="318">
        <v>570</v>
      </c>
      <c r="NO49" s="318">
        <v>416</v>
      </c>
      <c r="NP49" s="318">
        <v>226</v>
      </c>
      <c r="NQ49" s="338">
        <v>89843</v>
      </c>
      <c r="NR49" s="318">
        <v>44047</v>
      </c>
      <c r="NS49" s="318">
        <v>45796</v>
      </c>
      <c r="NT49" s="7">
        <f t="shared" si="532"/>
        <v>86433</v>
      </c>
      <c r="NU49" s="7">
        <v>42391</v>
      </c>
      <c r="NV49" s="7">
        <v>44042</v>
      </c>
      <c r="NW49" s="125">
        <f t="shared" si="533"/>
        <v>86098</v>
      </c>
      <c r="NX49" s="318">
        <v>42264</v>
      </c>
      <c r="NY49" s="318">
        <v>43834</v>
      </c>
      <c r="NZ49" s="7">
        <f t="shared" si="534"/>
        <v>301</v>
      </c>
      <c r="OA49" s="318">
        <v>197</v>
      </c>
      <c r="OB49" s="318">
        <v>104</v>
      </c>
      <c r="OC49" s="7">
        <f t="shared" si="535"/>
        <v>539</v>
      </c>
      <c r="OD49" s="318">
        <v>199</v>
      </c>
      <c r="OE49" s="318">
        <v>340</v>
      </c>
      <c r="OF49" s="125">
        <f t="shared" si="536"/>
        <v>3109</v>
      </c>
      <c r="OG49" s="125">
        <f t="shared" si="537"/>
        <v>1459</v>
      </c>
      <c r="OH49" s="125">
        <f t="shared" si="538"/>
        <v>1650</v>
      </c>
      <c r="OI49" s="326">
        <v>105113</v>
      </c>
      <c r="OJ49" s="318">
        <v>99473</v>
      </c>
      <c r="OK49" s="318">
        <v>559</v>
      </c>
      <c r="OL49" s="318">
        <v>5081</v>
      </c>
      <c r="OM49" s="7">
        <v>714</v>
      </c>
      <c r="ON49" s="12">
        <v>107856</v>
      </c>
      <c r="OO49" s="5">
        <v>102428</v>
      </c>
      <c r="OP49" s="5">
        <v>375</v>
      </c>
      <c r="OQ49" s="5">
        <v>5053</v>
      </c>
      <c r="OR49" s="5">
        <v>702</v>
      </c>
      <c r="OS49" s="12">
        <v>108176</v>
      </c>
      <c r="OT49" s="5">
        <v>101800</v>
      </c>
      <c r="OU49" s="5">
        <v>441</v>
      </c>
      <c r="OV49" s="5">
        <v>5935</v>
      </c>
      <c r="OW49" s="5">
        <v>1120</v>
      </c>
      <c r="OX49" s="12">
        <v>115714</v>
      </c>
      <c r="OY49" s="5">
        <v>109504</v>
      </c>
      <c r="OZ49" s="5">
        <v>847</v>
      </c>
      <c r="PA49" s="5">
        <v>5363</v>
      </c>
      <c r="PB49" s="5">
        <v>1078</v>
      </c>
      <c r="PC49" s="12">
        <v>117729.47199999998</v>
      </c>
      <c r="PD49" s="5">
        <v>111898.89600000001</v>
      </c>
      <c r="PE49" s="5"/>
      <c r="PF49" s="5"/>
      <c r="PG49" s="5">
        <v>5830.5759999999718</v>
      </c>
      <c r="PH49" s="5">
        <v>123001</v>
      </c>
      <c r="PI49" s="5">
        <v>115761</v>
      </c>
      <c r="PJ49" s="5">
        <v>1339</v>
      </c>
      <c r="PK49" s="5">
        <v>1143</v>
      </c>
      <c r="PL49" s="2">
        <v>5824</v>
      </c>
      <c r="PM49" s="2">
        <v>124445</v>
      </c>
      <c r="PN49" s="2">
        <v>116334</v>
      </c>
      <c r="PO49" s="2">
        <v>1245</v>
      </c>
      <c r="PP49" s="2">
        <v>1156</v>
      </c>
      <c r="PQ49" s="2">
        <v>6082</v>
      </c>
      <c r="PR49" s="2">
        <v>143403</v>
      </c>
      <c r="PS49" s="2">
        <v>130481</v>
      </c>
      <c r="PT49" s="2">
        <v>2636</v>
      </c>
      <c r="PU49" s="2">
        <v>2947</v>
      </c>
      <c r="PV49" s="2">
        <v>7821</v>
      </c>
      <c r="PW49" s="2">
        <v>146323</v>
      </c>
      <c r="PX49" s="2">
        <v>135425</v>
      </c>
      <c r="PY49" s="2"/>
      <c r="PZ49" s="2">
        <v>1868</v>
      </c>
      <c r="QA49" s="2">
        <v>8220</v>
      </c>
      <c r="QB49" s="12">
        <v>18002</v>
      </c>
      <c r="QC49" s="5">
        <v>17419</v>
      </c>
      <c r="QD49" s="5">
        <v>85</v>
      </c>
      <c r="QE49" s="5">
        <v>76</v>
      </c>
      <c r="QF49" s="5">
        <v>498</v>
      </c>
      <c r="QG49" s="12">
        <v>22292</v>
      </c>
      <c r="QH49" s="5">
        <v>20937</v>
      </c>
      <c r="QI49" s="5">
        <v>131</v>
      </c>
      <c r="QJ49" s="5">
        <v>194</v>
      </c>
      <c r="QK49" s="5">
        <v>1224</v>
      </c>
      <c r="QL49" s="12">
        <v>30997</v>
      </c>
      <c r="QM49" s="5">
        <v>28195</v>
      </c>
      <c r="QN49" s="5">
        <v>325</v>
      </c>
      <c r="QO49" s="5">
        <v>312</v>
      </c>
      <c r="QP49" s="5">
        <v>2477</v>
      </c>
      <c r="QQ49" s="12">
        <v>31866.624000000003</v>
      </c>
      <c r="QR49" s="5">
        <v>29208.902999999998</v>
      </c>
      <c r="QS49" s="5"/>
      <c r="QT49" s="5"/>
      <c r="QU49" s="10">
        <v>2657.721000000005</v>
      </c>
      <c r="QV49" s="1">
        <v>35339</v>
      </c>
      <c r="QW49" s="2">
        <v>32319</v>
      </c>
      <c r="QX49" s="2">
        <v>439</v>
      </c>
      <c r="QY49" s="2">
        <v>357</v>
      </c>
      <c r="QZ49" s="69">
        <v>2551</v>
      </c>
      <c r="RA49" s="2">
        <v>34570</v>
      </c>
      <c r="RB49" s="2">
        <v>31554</v>
      </c>
      <c r="RC49" s="2">
        <v>361</v>
      </c>
      <c r="RD49" s="2">
        <v>303</v>
      </c>
      <c r="RE49" s="2">
        <v>2412</v>
      </c>
      <c r="RF49" s="2">
        <v>37778</v>
      </c>
      <c r="RG49" s="2">
        <v>33660</v>
      </c>
      <c r="RH49" s="2">
        <v>395</v>
      </c>
      <c r="RI49" s="2">
        <v>414</v>
      </c>
      <c r="RJ49" s="2">
        <v>3316</v>
      </c>
      <c r="RK49" s="2">
        <v>38745</v>
      </c>
      <c r="RL49" s="2">
        <v>35078</v>
      </c>
      <c r="RN49" s="2">
        <v>222</v>
      </c>
      <c r="RO49" s="2">
        <v>3033</v>
      </c>
    </row>
    <row r="50" spans="1:483" ht="14.25" x14ac:dyDescent="0.2">
      <c r="A50" s="218" t="s">
        <v>41</v>
      </c>
      <c r="B50" s="258" t="s">
        <v>185</v>
      </c>
      <c r="C50" s="259" t="s">
        <v>185</v>
      </c>
      <c r="D50" s="259" t="s">
        <v>185</v>
      </c>
      <c r="E50" s="259" t="s">
        <v>185</v>
      </c>
      <c r="F50" s="260" t="s">
        <v>185</v>
      </c>
      <c r="G50" s="5">
        <v>546954</v>
      </c>
      <c r="H50" s="5">
        <v>468691</v>
      </c>
      <c r="I50" s="5">
        <v>66087</v>
      </c>
      <c r="J50" s="5">
        <v>11506</v>
      </c>
      <c r="K50" s="10">
        <v>12176</v>
      </c>
      <c r="L50" s="5">
        <v>331801</v>
      </c>
      <c r="M50" s="5">
        <v>271196</v>
      </c>
      <c r="N50" s="5">
        <v>41377</v>
      </c>
      <c r="O50" s="5">
        <v>16053</v>
      </c>
      <c r="P50" s="10">
        <v>19228</v>
      </c>
      <c r="Q50" s="7">
        <v>259935</v>
      </c>
      <c r="R50" s="7">
        <v>206335</v>
      </c>
      <c r="S50" s="7">
        <v>33386</v>
      </c>
      <c r="T50" s="7">
        <v>25698</v>
      </c>
      <c r="U50" s="577">
        <v>20214</v>
      </c>
      <c r="V50" s="7">
        <v>249708</v>
      </c>
      <c r="W50" s="7">
        <v>199260</v>
      </c>
      <c r="X50" s="7">
        <v>29061</v>
      </c>
      <c r="Y50" s="7">
        <v>26109</v>
      </c>
      <c r="Z50" s="7">
        <v>21348</v>
      </c>
      <c r="AA50" s="7">
        <v>248694</v>
      </c>
      <c r="AB50" s="7">
        <v>178266</v>
      </c>
      <c r="AC50" s="7">
        <v>29483</v>
      </c>
      <c r="AD50" s="7">
        <v>27981</v>
      </c>
      <c r="AE50" s="675">
        <v>23650</v>
      </c>
      <c r="AF50" s="560">
        <v>233766</v>
      </c>
      <c r="AG50" s="560">
        <v>165492</v>
      </c>
      <c r="AH50" s="560">
        <v>27674</v>
      </c>
      <c r="AI50" s="560">
        <v>24144</v>
      </c>
      <c r="AJ50" s="560">
        <v>25112</v>
      </c>
      <c r="AK50" s="560">
        <v>222209</v>
      </c>
      <c r="AL50" s="560">
        <v>154254</v>
      </c>
      <c r="AM50" s="560">
        <v>26113</v>
      </c>
      <c r="AN50" s="560">
        <v>26842</v>
      </c>
      <c r="AO50" s="560">
        <v>25493</v>
      </c>
      <c r="AP50" s="12">
        <v>1137934</v>
      </c>
      <c r="AQ50" s="5">
        <v>958162</v>
      </c>
      <c r="AR50" s="5">
        <v>166242</v>
      </c>
      <c r="AS50" s="5">
        <v>12298</v>
      </c>
      <c r="AT50" s="10">
        <v>13530</v>
      </c>
      <c r="AU50" s="5">
        <v>930284</v>
      </c>
      <c r="AV50" s="5">
        <v>747331</v>
      </c>
      <c r="AW50" s="5">
        <v>153438</v>
      </c>
      <c r="AX50" s="5">
        <v>18902</v>
      </c>
      <c r="AY50" s="10">
        <v>29515</v>
      </c>
      <c r="AZ50" s="5">
        <v>675705</v>
      </c>
      <c r="BA50" s="5">
        <v>532030</v>
      </c>
      <c r="BB50" s="5">
        <v>119982</v>
      </c>
      <c r="BC50" s="5">
        <v>25020</v>
      </c>
      <c r="BD50" s="10">
        <v>23693</v>
      </c>
      <c r="BE50" s="5">
        <v>644363</v>
      </c>
      <c r="BF50" s="5">
        <v>500999</v>
      </c>
      <c r="BG50" s="5">
        <v>118135</v>
      </c>
      <c r="BH50" s="5">
        <v>25523</v>
      </c>
      <c r="BI50" s="5">
        <v>24959</v>
      </c>
      <c r="BJ50" s="5">
        <v>626821</v>
      </c>
      <c r="BK50" s="5">
        <v>468684</v>
      </c>
      <c r="BL50" s="5">
        <v>117216</v>
      </c>
      <c r="BM50" s="5">
        <v>25640</v>
      </c>
      <c r="BN50" s="53">
        <v>24968</v>
      </c>
      <c r="BO50" s="53">
        <v>579508</v>
      </c>
      <c r="BP50" s="53">
        <v>428236</v>
      </c>
      <c r="BQ50" s="53">
        <v>105797</v>
      </c>
      <c r="BR50" s="53">
        <v>26280</v>
      </c>
      <c r="BS50" s="53">
        <v>29883</v>
      </c>
      <c r="BT50" s="53">
        <v>568107</v>
      </c>
      <c r="BU50" s="53">
        <v>419978</v>
      </c>
      <c r="BV50" s="53">
        <v>104431</v>
      </c>
      <c r="BW50" s="53">
        <v>27502</v>
      </c>
      <c r="BX50" s="53">
        <v>27579</v>
      </c>
      <c r="BY50" s="12">
        <v>918451</v>
      </c>
      <c r="BZ50" s="5">
        <v>719497</v>
      </c>
      <c r="CA50" s="5">
        <v>151193</v>
      </c>
      <c r="CB50" s="5">
        <v>51232</v>
      </c>
      <c r="CC50" s="290">
        <f t="shared" si="483"/>
        <v>47761</v>
      </c>
      <c r="CD50" s="258" t="s">
        <v>185</v>
      </c>
      <c r="CE50" s="259" t="s">
        <v>185</v>
      </c>
      <c r="CF50" s="259" t="s">
        <v>185</v>
      </c>
      <c r="CG50" s="259" t="s">
        <v>185</v>
      </c>
      <c r="CH50" s="258" t="s">
        <v>185</v>
      </c>
      <c r="CI50" s="259" t="s">
        <v>185</v>
      </c>
      <c r="CJ50" s="259" t="s">
        <v>185</v>
      </c>
      <c r="CK50" s="259" t="s">
        <v>185</v>
      </c>
      <c r="CL50" s="260" t="s">
        <v>185</v>
      </c>
      <c r="CM50" s="5">
        <v>5239876</v>
      </c>
      <c r="CN50" s="5">
        <v>4748494</v>
      </c>
      <c r="CO50" s="5">
        <v>424092</v>
      </c>
      <c r="CP50" s="5">
        <v>41016</v>
      </c>
      <c r="CQ50" s="10">
        <v>67290</v>
      </c>
      <c r="CR50" s="5">
        <v>6149655</v>
      </c>
      <c r="CS50" s="5">
        <v>5425976</v>
      </c>
      <c r="CT50" s="5">
        <v>551362</v>
      </c>
      <c r="CU50" s="5">
        <v>71277</v>
      </c>
      <c r="CV50" s="5">
        <v>172317</v>
      </c>
      <c r="CW50" s="195">
        <v>6557701</v>
      </c>
      <c r="CX50" s="5">
        <v>5718523</v>
      </c>
      <c r="CY50" s="5">
        <v>631113</v>
      </c>
      <c r="CZ50" s="5">
        <v>208065</v>
      </c>
      <c r="DA50" s="5">
        <v>100225</v>
      </c>
      <c r="DB50" s="12">
        <v>6644076</v>
      </c>
      <c r="DC50" s="5">
        <v>5790397</v>
      </c>
      <c r="DD50" s="5">
        <v>645891</v>
      </c>
      <c r="DE50" s="5">
        <v>207788</v>
      </c>
      <c r="DF50" s="5">
        <v>103378</v>
      </c>
      <c r="DG50" s="56">
        <v>6732030</v>
      </c>
      <c r="DH50" s="54">
        <v>5868983</v>
      </c>
      <c r="DI50" s="54">
        <v>654563</v>
      </c>
      <c r="DJ50" s="54">
        <v>208484</v>
      </c>
      <c r="DK50" s="54">
        <v>110107</v>
      </c>
      <c r="DL50" s="12">
        <v>6752029</v>
      </c>
      <c r="DM50" s="5">
        <v>5850645</v>
      </c>
      <c r="DN50" s="5">
        <v>684125</v>
      </c>
      <c r="DO50" s="5">
        <v>120199</v>
      </c>
      <c r="DP50" s="5">
        <v>151807</v>
      </c>
      <c r="DQ50" s="12">
        <v>6799623.1940000001</v>
      </c>
      <c r="DR50" s="5">
        <v>5868193.8770000003</v>
      </c>
      <c r="DS50" s="5">
        <v>693462.57599999988</v>
      </c>
      <c r="DT50" s="5">
        <v>125430.02</v>
      </c>
      <c r="DU50" s="530">
        <f t="shared" si="484"/>
        <v>237966.74099999992</v>
      </c>
      <c r="DV50" s="5">
        <v>6850815</v>
      </c>
      <c r="DW50" s="5">
        <v>5909566</v>
      </c>
      <c r="DX50" s="5">
        <v>704074</v>
      </c>
      <c r="DY50" s="5">
        <v>131618</v>
      </c>
      <c r="DZ50" s="5">
        <v>235849</v>
      </c>
      <c r="EA50" s="5">
        <v>6900939</v>
      </c>
      <c r="EB50" s="5">
        <v>5858382</v>
      </c>
      <c r="EC50" s="5">
        <v>705192</v>
      </c>
      <c r="ED50" s="5">
        <v>135936</v>
      </c>
      <c r="EE50" s="5">
        <v>247471</v>
      </c>
      <c r="EF50" s="5">
        <v>7083196</v>
      </c>
      <c r="EG50" s="5">
        <v>5947558</v>
      </c>
      <c r="EH50" s="5">
        <v>749650</v>
      </c>
      <c r="EI50" s="5">
        <v>161803</v>
      </c>
      <c r="EJ50" s="5">
        <v>275895</v>
      </c>
      <c r="EK50" s="5">
        <v>7131745</v>
      </c>
      <c r="EL50" s="5">
        <v>5963698</v>
      </c>
      <c r="EM50" s="5">
        <v>769747</v>
      </c>
      <c r="EN50" s="5">
        <v>160482</v>
      </c>
      <c r="EO50" s="5">
        <v>291576</v>
      </c>
      <c r="EP50" s="258" t="s">
        <v>185</v>
      </c>
      <c r="EQ50" s="259" t="s">
        <v>185</v>
      </c>
      <c r="ER50" s="259" t="s">
        <v>185</v>
      </c>
      <c r="ES50" s="259" t="s">
        <v>185</v>
      </c>
      <c r="ET50" s="260" t="s">
        <v>185</v>
      </c>
      <c r="EU50" s="5">
        <v>1548553</v>
      </c>
      <c r="EV50" s="5">
        <v>1364442</v>
      </c>
      <c r="EW50" s="5">
        <v>167138</v>
      </c>
      <c r="EX50" s="5">
        <v>13362</v>
      </c>
      <c r="EY50" s="10">
        <v>16973</v>
      </c>
      <c r="EZ50" s="5">
        <v>1911572</v>
      </c>
      <c r="FA50" s="5">
        <v>1641827</v>
      </c>
      <c r="FB50" s="5">
        <v>220179</v>
      </c>
      <c r="FC50" s="5">
        <v>25023</v>
      </c>
      <c r="FD50" s="10">
        <v>49566</v>
      </c>
      <c r="FE50" s="5">
        <v>2169253</v>
      </c>
      <c r="FF50" s="5">
        <v>1826231</v>
      </c>
      <c r="FG50" s="5">
        <v>285099</v>
      </c>
      <c r="FH50" s="5">
        <v>41913</v>
      </c>
      <c r="FI50" s="10">
        <v>57923</v>
      </c>
      <c r="FJ50" s="5">
        <v>2199651.09</v>
      </c>
      <c r="FK50" s="5">
        <v>1841649.1469999999</v>
      </c>
      <c r="FL50" s="5">
        <v>291406.31999999995</v>
      </c>
      <c r="FM50" s="5">
        <v>45048.81</v>
      </c>
      <c r="FN50" s="10">
        <v>66595.623000000021</v>
      </c>
      <c r="FO50" s="5">
        <v>2226173</v>
      </c>
      <c r="FP50" s="5">
        <v>1859284</v>
      </c>
      <c r="FQ50" s="5">
        <v>300790</v>
      </c>
      <c r="FR50" s="5">
        <v>47312</v>
      </c>
      <c r="FS50" s="618">
        <v>65647</v>
      </c>
      <c r="FT50" s="618">
        <v>2240950</v>
      </c>
      <c r="FU50" s="618">
        <v>1838798</v>
      </c>
      <c r="FV50" s="618">
        <v>302614</v>
      </c>
      <c r="FW50" s="618">
        <v>47397</v>
      </c>
      <c r="FX50" s="618">
        <v>69042</v>
      </c>
      <c r="FY50" s="618">
        <v>2303257</v>
      </c>
      <c r="FZ50" s="618">
        <v>1872218</v>
      </c>
      <c r="GA50" s="618">
        <v>316354</v>
      </c>
      <c r="GB50" s="618">
        <v>57214</v>
      </c>
      <c r="GC50" s="618">
        <v>77103</v>
      </c>
      <c r="GD50" s="618">
        <v>2313036</v>
      </c>
      <c r="GE50" s="618">
        <v>1867937</v>
      </c>
      <c r="GF50" s="618">
        <v>325355</v>
      </c>
      <c r="GG50" s="618">
        <v>55885</v>
      </c>
      <c r="GH50" s="618">
        <v>84777</v>
      </c>
      <c r="GI50" s="12">
        <v>369144</v>
      </c>
      <c r="GJ50" s="5">
        <v>328954</v>
      </c>
      <c r="GK50" s="5">
        <v>35070</v>
      </c>
      <c r="GL50" s="5">
        <v>3637</v>
      </c>
      <c r="GM50" s="10">
        <v>5120</v>
      </c>
      <c r="GN50" s="5">
        <v>439608</v>
      </c>
      <c r="GO50" s="5">
        <v>383947</v>
      </c>
      <c r="GP50" s="5">
        <v>43679</v>
      </c>
      <c r="GQ50" s="5">
        <v>5268</v>
      </c>
      <c r="GR50" s="10">
        <v>11982</v>
      </c>
      <c r="GS50" s="12">
        <v>576202</v>
      </c>
      <c r="GT50" s="5">
        <v>495047</v>
      </c>
      <c r="GU50" s="5">
        <v>65223</v>
      </c>
      <c r="GV50" s="5">
        <v>10176</v>
      </c>
      <c r="GW50" s="5">
        <v>15932</v>
      </c>
      <c r="GX50" s="12"/>
      <c r="GY50" s="5"/>
      <c r="GZ50" s="5"/>
      <c r="HA50" s="5"/>
      <c r="HB50" s="10"/>
      <c r="HC50" s="5">
        <v>610446</v>
      </c>
      <c r="HD50" s="5">
        <v>523329</v>
      </c>
      <c r="HE50" s="5">
        <v>68382</v>
      </c>
      <c r="HF50" s="5">
        <v>11013</v>
      </c>
      <c r="HG50" s="5">
        <v>18594</v>
      </c>
      <c r="HH50" s="5">
        <v>624184</v>
      </c>
      <c r="HI50" s="5">
        <v>528535</v>
      </c>
      <c r="HJ50" s="5">
        <v>67319</v>
      </c>
      <c r="HK50" s="5">
        <v>12237</v>
      </c>
      <c r="HL50" s="5">
        <v>20346</v>
      </c>
      <c r="HM50" s="5">
        <v>679330</v>
      </c>
      <c r="HN50" s="5">
        <v>565134</v>
      </c>
      <c r="HO50" s="5">
        <v>80562</v>
      </c>
      <c r="HP50" s="5">
        <v>16185</v>
      </c>
      <c r="HQ50" s="5">
        <v>23014</v>
      </c>
      <c r="HR50" s="5">
        <v>682507</v>
      </c>
      <c r="HS50" s="5">
        <v>576015</v>
      </c>
      <c r="HT50" s="5">
        <v>74972</v>
      </c>
      <c r="HU50" s="5">
        <v>13420</v>
      </c>
      <c r="HV50" s="5">
        <v>21894</v>
      </c>
      <c r="HW50" s="569">
        <f t="shared" si="539"/>
        <v>1544480</v>
      </c>
      <c r="HX50" s="546">
        <f t="shared" si="540"/>
        <v>1413192</v>
      </c>
      <c r="HY50" s="546">
        <f t="shared" si="541"/>
        <v>95053</v>
      </c>
      <c r="HZ50" s="546">
        <f t="shared" si="542"/>
        <v>12815</v>
      </c>
      <c r="IA50" s="546">
        <f t="shared" si="543"/>
        <v>36235</v>
      </c>
      <c r="IB50" s="569">
        <f t="shared" si="544"/>
        <v>2003140</v>
      </c>
      <c r="IC50" s="546">
        <f t="shared" si="545"/>
        <v>1787873</v>
      </c>
      <c r="ID50" s="546">
        <f t="shared" si="546"/>
        <v>132638</v>
      </c>
      <c r="IE50" s="546">
        <f t="shared" si="547"/>
        <v>21379</v>
      </c>
      <c r="IF50" s="546">
        <f t="shared" si="548"/>
        <v>82629</v>
      </c>
      <c r="IG50" s="12">
        <v>2106942</v>
      </c>
      <c r="IH50" s="5">
        <v>1852501</v>
      </c>
      <c r="II50" s="5">
        <v>159367</v>
      </c>
      <c r="IJ50" s="5">
        <v>32956</v>
      </c>
      <c r="IK50" s="5">
        <v>95074</v>
      </c>
      <c r="IL50" s="565"/>
      <c r="IM50" s="7"/>
      <c r="IN50" s="7"/>
      <c r="IO50" s="7"/>
      <c r="IP50" s="7"/>
      <c r="IQ50" s="7">
        <v>2539375</v>
      </c>
      <c r="IR50" s="7">
        <v>2215781</v>
      </c>
      <c r="IS50" s="7">
        <v>193363</v>
      </c>
      <c r="IT50" s="7">
        <v>42583</v>
      </c>
      <c r="IU50" s="577">
        <v>129923</v>
      </c>
      <c r="IV50" s="7">
        <v>2599309</v>
      </c>
      <c r="IW50" s="7">
        <v>2235051</v>
      </c>
      <c r="IX50" s="7">
        <v>198132</v>
      </c>
      <c r="IY50" s="7">
        <v>43578</v>
      </c>
      <c r="IZ50" s="7">
        <v>134763</v>
      </c>
      <c r="JA50" s="565">
        <v>2794446</v>
      </c>
      <c r="JB50" s="7">
        <v>2378505</v>
      </c>
      <c r="JC50" s="7">
        <v>225648</v>
      </c>
      <c r="JD50" s="7">
        <v>52538</v>
      </c>
      <c r="JE50" s="7">
        <v>150247</v>
      </c>
      <c r="JF50" s="565">
        <v>2862188</v>
      </c>
      <c r="JG50" s="7">
        <v>2445268</v>
      </c>
      <c r="JH50" s="7">
        <v>220962</v>
      </c>
      <c r="JI50" s="7">
        <v>55731</v>
      </c>
      <c r="JJ50" s="7">
        <v>154138</v>
      </c>
      <c r="JK50" s="12">
        <v>767845</v>
      </c>
      <c r="JL50" s="5">
        <v>714052</v>
      </c>
      <c r="JM50" s="5">
        <v>39757</v>
      </c>
      <c r="JN50" s="5">
        <v>5322</v>
      </c>
      <c r="JO50" s="5">
        <v>14036</v>
      </c>
      <c r="JP50" s="12">
        <v>1016256</v>
      </c>
      <c r="JQ50" s="5">
        <v>920826</v>
      </c>
      <c r="JR50" s="5">
        <v>59494</v>
      </c>
      <c r="JS50" s="5">
        <v>9723</v>
      </c>
      <c r="JT50" s="5">
        <v>35936</v>
      </c>
      <c r="JU50" s="12">
        <v>1189585</v>
      </c>
      <c r="JV50" s="5">
        <v>1059830</v>
      </c>
      <c r="JW50" s="5">
        <v>78486</v>
      </c>
      <c r="JX50" s="5">
        <v>16675</v>
      </c>
      <c r="JY50" s="5">
        <v>51269</v>
      </c>
      <c r="JZ50" s="12">
        <v>1196301.47</v>
      </c>
      <c r="KA50" s="5">
        <v>1062743.773</v>
      </c>
      <c r="KB50" s="5">
        <v>77708.351999999999</v>
      </c>
      <c r="KC50" s="5">
        <v>18196.186000000002</v>
      </c>
      <c r="KD50" s="5">
        <v>55849.344999999928</v>
      </c>
      <c r="KE50" s="5">
        <v>1241668</v>
      </c>
      <c r="KF50" s="5">
        <v>1085207</v>
      </c>
      <c r="KG50" s="5">
        <v>84819</v>
      </c>
      <c r="KH50" s="5">
        <v>19172</v>
      </c>
      <c r="KI50" s="5">
        <v>57830</v>
      </c>
      <c r="KJ50" s="5">
        <v>1329009</v>
      </c>
      <c r="KK50" s="5">
        <v>1159539</v>
      </c>
      <c r="KL50" s="5">
        <v>91470</v>
      </c>
      <c r="KM50" s="5">
        <v>22967</v>
      </c>
      <c r="KN50" s="5">
        <v>58820</v>
      </c>
      <c r="KO50" s="5">
        <v>1362205</v>
      </c>
      <c r="KP50" s="5">
        <v>1185930</v>
      </c>
      <c r="KQ50" s="5">
        <v>91196</v>
      </c>
      <c r="KR50" s="5">
        <v>25534</v>
      </c>
      <c r="KS50" s="5">
        <v>66580</v>
      </c>
      <c r="KT50" s="258" t="s">
        <v>185</v>
      </c>
      <c r="KU50" s="259" t="s">
        <v>185</v>
      </c>
      <c r="KV50" s="316">
        <v>375000</v>
      </c>
      <c r="KW50" s="332">
        <f t="shared" si="495"/>
        <v>234935</v>
      </c>
      <c r="KX50" s="332">
        <f t="shared" si="496"/>
        <v>140065</v>
      </c>
      <c r="KY50" s="332">
        <f t="shared" si="497"/>
        <v>361972</v>
      </c>
      <c r="KZ50" s="318">
        <v>228218</v>
      </c>
      <c r="LA50" s="318">
        <v>133754</v>
      </c>
      <c r="LB50" s="332">
        <f t="shared" si="498"/>
        <v>13028</v>
      </c>
      <c r="LC50" s="318">
        <v>6717</v>
      </c>
      <c r="LD50" s="318">
        <v>6311</v>
      </c>
      <c r="LE50" s="316">
        <v>527742</v>
      </c>
      <c r="LF50" s="332">
        <f t="shared" si="499"/>
        <v>320999</v>
      </c>
      <c r="LG50" s="332">
        <f t="shared" si="500"/>
        <v>206743</v>
      </c>
      <c r="LH50" s="332">
        <f t="shared" si="501"/>
        <v>505052</v>
      </c>
      <c r="LI50" s="318">
        <v>309429</v>
      </c>
      <c r="LJ50" s="318">
        <v>195623</v>
      </c>
      <c r="LK50" s="332">
        <f t="shared" si="502"/>
        <v>18132</v>
      </c>
      <c r="LL50" s="318">
        <v>8595</v>
      </c>
      <c r="LM50" s="318">
        <v>9537</v>
      </c>
      <c r="LN50" s="332">
        <f t="shared" si="503"/>
        <v>4558</v>
      </c>
      <c r="LO50" s="318">
        <v>2975</v>
      </c>
      <c r="LP50" s="318">
        <v>1583</v>
      </c>
      <c r="LQ50" s="316">
        <v>858963</v>
      </c>
      <c r="LR50" s="332">
        <f t="shared" si="504"/>
        <v>504473</v>
      </c>
      <c r="LS50" s="332">
        <f t="shared" si="505"/>
        <v>354490</v>
      </c>
      <c r="LT50" s="342">
        <f t="shared" si="506"/>
        <v>799168</v>
      </c>
      <c r="LU50" s="318">
        <v>472873</v>
      </c>
      <c r="LV50" s="318">
        <v>326295</v>
      </c>
      <c r="LW50" s="318">
        <v>31600</v>
      </c>
      <c r="LX50" s="318">
        <v>28195</v>
      </c>
      <c r="LY50" s="342">
        <f t="shared" si="507"/>
        <v>38872</v>
      </c>
      <c r="LZ50" s="318">
        <v>18930</v>
      </c>
      <c r="MA50" s="318">
        <v>19942</v>
      </c>
      <c r="MB50" s="342">
        <f t="shared" si="508"/>
        <v>5470</v>
      </c>
      <c r="MC50" s="318">
        <v>3359</v>
      </c>
      <c r="MD50" s="318">
        <v>2111</v>
      </c>
      <c r="ME50" s="333">
        <f t="shared" si="509"/>
        <v>15453</v>
      </c>
      <c r="MF50" s="333">
        <f t="shared" si="510"/>
        <v>9311</v>
      </c>
      <c r="MG50" s="333">
        <f t="shared" si="511"/>
        <v>6142</v>
      </c>
      <c r="MH50" s="334">
        <f t="shared" si="512"/>
        <v>571</v>
      </c>
      <c r="MI50" s="334">
        <f t="shared" si="513"/>
        <v>436</v>
      </c>
      <c r="MJ50" s="334">
        <f t="shared" si="514"/>
        <v>135</v>
      </c>
      <c r="MK50" s="318">
        <v>14882</v>
      </c>
      <c r="ML50" s="318">
        <v>8875</v>
      </c>
      <c r="MM50" s="318">
        <v>6007</v>
      </c>
      <c r="MN50" s="14">
        <f t="shared" si="515"/>
        <v>1175336</v>
      </c>
      <c r="MO50" s="332">
        <f t="shared" si="516"/>
        <v>642784</v>
      </c>
      <c r="MP50" s="332">
        <f t="shared" si="517"/>
        <v>532552</v>
      </c>
      <c r="MQ50" s="13">
        <f t="shared" si="518"/>
        <v>1084238</v>
      </c>
      <c r="MR50" s="136">
        <f t="shared" si="519"/>
        <v>1077820</v>
      </c>
      <c r="MS50" s="318">
        <v>593970</v>
      </c>
      <c r="MT50" s="318">
        <v>483850</v>
      </c>
      <c r="MU50" s="318">
        <v>48814</v>
      </c>
      <c r="MV50" s="318">
        <v>48702</v>
      </c>
      <c r="MW50" s="13">
        <f t="shared" si="520"/>
        <v>59983</v>
      </c>
      <c r="MX50" s="136">
        <f t="shared" si="521"/>
        <v>59646</v>
      </c>
      <c r="MY50" s="318">
        <v>27075</v>
      </c>
      <c r="MZ50" s="318">
        <v>32571</v>
      </c>
      <c r="NA50" s="13">
        <f t="shared" si="522"/>
        <v>9178</v>
      </c>
      <c r="NB50" s="318">
        <v>5182</v>
      </c>
      <c r="NC50" s="318">
        <v>3996</v>
      </c>
      <c r="ND50" s="11">
        <f t="shared" si="523"/>
        <v>31115</v>
      </c>
      <c r="NE50" s="335">
        <f t="shared" si="524"/>
        <v>16557</v>
      </c>
      <c r="NF50" s="335">
        <f t="shared" si="525"/>
        <v>12135</v>
      </c>
      <c r="NG50" s="336">
        <f t="shared" si="526"/>
        <v>273</v>
      </c>
      <c r="NH50" s="336">
        <f t="shared" si="527"/>
        <v>137</v>
      </c>
      <c r="NI50" s="336">
        <f t="shared" si="528"/>
        <v>136</v>
      </c>
      <c r="NJ50" s="337">
        <f t="shared" si="529"/>
        <v>28419</v>
      </c>
      <c r="NK50" s="337">
        <f t="shared" si="530"/>
        <v>16420</v>
      </c>
      <c r="NL50" s="337">
        <f t="shared" si="531"/>
        <v>11999</v>
      </c>
      <c r="NM50" s="318">
        <v>578</v>
      </c>
      <c r="NN50" s="318">
        <v>571</v>
      </c>
      <c r="NO50" s="318">
        <v>15842</v>
      </c>
      <c r="NP50" s="318">
        <v>11428</v>
      </c>
      <c r="NQ50" s="338">
        <v>1563532</v>
      </c>
      <c r="NR50" s="318">
        <v>804894</v>
      </c>
      <c r="NS50" s="318">
        <v>758638</v>
      </c>
      <c r="NT50" s="7">
        <f t="shared" si="532"/>
        <v>1403926</v>
      </c>
      <c r="NU50" s="7">
        <v>728529</v>
      </c>
      <c r="NV50" s="7">
        <v>675397</v>
      </c>
      <c r="NW50" s="125">
        <f t="shared" si="533"/>
        <v>1393330</v>
      </c>
      <c r="NX50" s="318">
        <v>723214</v>
      </c>
      <c r="NY50" s="318">
        <v>670116</v>
      </c>
      <c r="NZ50" s="7">
        <f t="shared" si="534"/>
        <v>88959</v>
      </c>
      <c r="OA50" s="318">
        <v>38256</v>
      </c>
      <c r="OB50" s="318">
        <v>50703</v>
      </c>
      <c r="OC50" s="7">
        <f t="shared" si="535"/>
        <v>16111</v>
      </c>
      <c r="OD50" s="318">
        <v>8036</v>
      </c>
      <c r="OE50" s="318">
        <v>8075</v>
      </c>
      <c r="OF50" s="125">
        <f t="shared" si="536"/>
        <v>70647</v>
      </c>
      <c r="OG50" s="125">
        <f t="shared" si="537"/>
        <v>38109</v>
      </c>
      <c r="OH50" s="125">
        <f t="shared" si="538"/>
        <v>32538</v>
      </c>
      <c r="OI50" s="326">
        <v>1772785</v>
      </c>
      <c r="OJ50" s="318">
        <v>1568019</v>
      </c>
      <c r="OK50" s="318">
        <v>111550</v>
      </c>
      <c r="OL50" s="318">
        <v>93216</v>
      </c>
      <c r="OM50" s="7">
        <v>23240</v>
      </c>
      <c r="ON50" s="12">
        <v>1815022</v>
      </c>
      <c r="OO50" s="5">
        <v>1604856</v>
      </c>
      <c r="OP50" s="5">
        <v>115310</v>
      </c>
      <c r="OQ50" s="5">
        <v>94856</v>
      </c>
      <c r="OR50" s="5">
        <v>24801</v>
      </c>
      <c r="OS50" s="12">
        <v>1852451</v>
      </c>
      <c r="OT50" s="5">
        <v>1641653</v>
      </c>
      <c r="OU50" s="5">
        <v>115239</v>
      </c>
      <c r="OV50" s="5">
        <v>95559</v>
      </c>
      <c r="OW50" s="5">
        <v>25596</v>
      </c>
      <c r="OX50" s="12">
        <v>1874907</v>
      </c>
      <c r="OY50" s="5">
        <v>1650989</v>
      </c>
      <c r="OZ50" s="5">
        <v>120681</v>
      </c>
      <c r="PA50" s="5">
        <v>103237</v>
      </c>
      <c r="PB50" s="5">
        <v>28696</v>
      </c>
      <c r="PC50" s="12">
        <v>1898646.2039999999</v>
      </c>
      <c r="PD50" s="5">
        <v>1663425.0360000001</v>
      </c>
      <c r="PE50" s="5">
        <v>120785.80799999999</v>
      </c>
      <c r="PF50" s="5">
        <v>29502.554000000004</v>
      </c>
      <c r="PG50" s="5">
        <v>114435.35999999984</v>
      </c>
      <c r="PH50" s="5">
        <v>1928929</v>
      </c>
      <c r="PI50" s="5">
        <v>1692452</v>
      </c>
      <c r="PJ50" s="5">
        <v>124981</v>
      </c>
      <c r="PK50" s="5">
        <v>31570</v>
      </c>
      <c r="PL50" s="2">
        <v>111329</v>
      </c>
      <c r="PM50" s="2">
        <v>1975125</v>
      </c>
      <c r="PN50" s="2">
        <v>1706516</v>
      </c>
      <c r="PO50" s="2">
        <v>130813</v>
      </c>
      <c r="PP50" s="2">
        <v>31341</v>
      </c>
      <c r="PQ50" s="2">
        <v>114417</v>
      </c>
      <c r="PR50" s="2">
        <v>2115116</v>
      </c>
      <c r="PS50" s="2">
        <v>1813371</v>
      </c>
      <c r="PT50" s="2">
        <v>145086</v>
      </c>
      <c r="PU50" s="2">
        <v>36353</v>
      </c>
      <c r="PV50" s="2">
        <v>127233</v>
      </c>
      <c r="PW50" s="2">
        <v>2179681</v>
      </c>
      <c r="PX50" s="2">
        <v>1869253</v>
      </c>
      <c r="PY50" s="2">
        <v>145990</v>
      </c>
      <c r="PZ50" s="2">
        <v>42311</v>
      </c>
      <c r="QA50" s="2">
        <v>132244</v>
      </c>
      <c r="QB50" s="12">
        <v>407491</v>
      </c>
      <c r="QC50" s="5">
        <v>370186</v>
      </c>
      <c r="QD50" s="5">
        <v>20226</v>
      </c>
      <c r="QE50" s="5">
        <v>3856</v>
      </c>
      <c r="QF50" s="5">
        <v>17079</v>
      </c>
      <c r="QG50" s="12">
        <v>547276</v>
      </c>
      <c r="QH50" s="5">
        <v>483100</v>
      </c>
      <c r="QI50" s="5">
        <v>29465</v>
      </c>
      <c r="QJ50" s="5">
        <v>6388</v>
      </c>
      <c r="QK50" s="5">
        <v>34711</v>
      </c>
      <c r="QL50" s="12">
        <v>685322</v>
      </c>
      <c r="QM50" s="5">
        <v>591159</v>
      </c>
      <c r="QN50" s="5">
        <v>42195</v>
      </c>
      <c r="QO50" s="5">
        <v>12021</v>
      </c>
      <c r="QP50" s="5">
        <v>51968</v>
      </c>
      <c r="QQ50" s="12">
        <v>702344.73399999994</v>
      </c>
      <c r="QR50" s="5">
        <v>600681.26300000004</v>
      </c>
      <c r="QS50" s="5">
        <v>43077.455999999998</v>
      </c>
      <c r="QT50" s="5">
        <v>11306.368</v>
      </c>
      <c r="QU50" s="10">
        <v>58586.014999999905</v>
      </c>
      <c r="QV50" s="1">
        <v>710867</v>
      </c>
      <c r="QW50" s="2">
        <v>611442</v>
      </c>
      <c r="QX50" s="2">
        <v>44342</v>
      </c>
      <c r="QY50" s="2">
        <v>12460</v>
      </c>
      <c r="QZ50" s="69">
        <v>55005</v>
      </c>
      <c r="RA50" s="2">
        <v>733457</v>
      </c>
      <c r="RB50" s="2">
        <v>621309</v>
      </c>
      <c r="RC50" s="2">
        <v>45994</v>
      </c>
      <c r="RD50" s="2">
        <v>12169</v>
      </c>
      <c r="RE50" s="2">
        <v>56587</v>
      </c>
      <c r="RF50" s="2">
        <v>786107</v>
      </c>
      <c r="RG50" s="2">
        <v>653832</v>
      </c>
      <c r="RH50" s="2">
        <v>53616</v>
      </c>
      <c r="RI50" s="2">
        <v>13386</v>
      </c>
      <c r="RJ50" s="2">
        <v>68413</v>
      </c>
      <c r="RK50" s="2">
        <v>817476</v>
      </c>
      <c r="RL50" s="2">
        <v>683323</v>
      </c>
      <c r="RM50" s="2">
        <v>54794</v>
      </c>
      <c r="RN50" s="2">
        <v>16777</v>
      </c>
      <c r="RO50" s="2">
        <v>65664</v>
      </c>
    </row>
    <row r="51" spans="1:483" ht="14.25" x14ac:dyDescent="0.2">
      <c r="A51" s="218" t="s">
        <v>45</v>
      </c>
      <c r="B51" s="258" t="s">
        <v>185</v>
      </c>
      <c r="C51" s="259" t="s">
        <v>185</v>
      </c>
      <c r="D51" s="259" t="s">
        <v>185</v>
      </c>
      <c r="E51" s="259" t="s">
        <v>185</v>
      </c>
      <c r="F51" s="260" t="s">
        <v>185</v>
      </c>
      <c r="G51" s="5">
        <v>57707</v>
      </c>
      <c r="H51" s="5">
        <v>54279</v>
      </c>
      <c r="I51" s="5">
        <v>101</v>
      </c>
      <c r="J51" s="5">
        <v>323</v>
      </c>
      <c r="K51" s="10">
        <v>3327</v>
      </c>
      <c r="L51" s="5">
        <v>35421</v>
      </c>
      <c r="M51" s="5">
        <v>32050</v>
      </c>
      <c r="N51" s="5">
        <v>128</v>
      </c>
      <c r="O51" s="5">
        <v>925</v>
      </c>
      <c r="P51" s="10">
        <v>3243</v>
      </c>
      <c r="Q51" s="7">
        <v>23961</v>
      </c>
      <c r="R51" s="7">
        <v>19719</v>
      </c>
      <c r="S51" s="7">
        <v>508</v>
      </c>
      <c r="T51" s="7">
        <v>1368</v>
      </c>
      <c r="U51" s="577">
        <v>3734</v>
      </c>
      <c r="V51" s="7">
        <v>23455</v>
      </c>
      <c r="W51" s="7">
        <v>18194</v>
      </c>
      <c r="X51" s="7">
        <v>782</v>
      </c>
      <c r="Y51" s="7">
        <v>2278</v>
      </c>
      <c r="Z51" s="7">
        <v>4479</v>
      </c>
      <c r="AA51" s="7">
        <v>22026</v>
      </c>
      <c r="AB51" s="7">
        <v>15637</v>
      </c>
      <c r="AC51" s="7">
        <v>880</v>
      </c>
      <c r="AD51" s="7">
        <v>2403</v>
      </c>
      <c r="AE51" s="675">
        <v>4176</v>
      </c>
      <c r="AF51" s="560">
        <v>19422</v>
      </c>
      <c r="AG51" s="560">
        <v>12378</v>
      </c>
      <c r="AH51" s="560">
        <v>1192</v>
      </c>
      <c r="AI51" s="560">
        <v>2559</v>
      </c>
      <c r="AJ51" s="560">
        <v>3293</v>
      </c>
      <c r="AK51" s="560">
        <v>18275</v>
      </c>
      <c r="AL51" s="560">
        <v>11323</v>
      </c>
      <c r="AM51" s="560">
        <v>1702</v>
      </c>
      <c r="AN51" s="560">
        <v>1740</v>
      </c>
      <c r="AO51" s="560">
        <v>4563</v>
      </c>
      <c r="AP51" s="12">
        <v>41013</v>
      </c>
      <c r="AQ51" s="5">
        <v>35560</v>
      </c>
      <c r="AR51" s="5">
        <v>152</v>
      </c>
      <c r="AS51" s="5">
        <v>323</v>
      </c>
      <c r="AT51" s="10">
        <v>5301</v>
      </c>
      <c r="AU51" s="5">
        <v>37759</v>
      </c>
      <c r="AV51" s="5">
        <v>30563</v>
      </c>
      <c r="AW51" s="5">
        <v>235</v>
      </c>
      <c r="AX51" s="5">
        <v>702</v>
      </c>
      <c r="AY51" s="10">
        <v>6961</v>
      </c>
      <c r="AZ51" s="5">
        <v>29677</v>
      </c>
      <c r="BA51" s="5">
        <v>22487</v>
      </c>
      <c r="BB51" s="5">
        <v>487</v>
      </c>
      <c r="BC51" s="5">
        <v>1408</v>
      </c>
      <c r="BD51" s="10">
        <v>6703</v>
      </c>
      <c r="BE51" s="5">
        <v>28670</v>
      </c>
      <c r="BF51" s="5">
        <v>20823</v>
      </c>
      <c r="BG51" s="5">
        <v>400</v>
      </c>
      <c r="BH51" s="5">
        <v>1422</v>
      </c>
      <c r="BI51" s="5">
        <v>7447</v>
      </c>
      <c r="BJ51" s="5">
        <v>27944</v>
      </c>
      <c r="BK51" s="5">
        <v>19054</v>
      </c>
      <c r="BL51" s="5">
        <v>500</v>
      </c>
      <c r="BM51" s="5">
        <v>1366</v>
      </c>
      <c r="BN51" s="53">
        <v>7717</v>
      </c>
      <c r="BO51" s="53">
        <v>30620</v>
      </c>
      <c r="BP51" s="53">
        <v>19918</v>
      </c>
      <c r="BQ51" s="53">
        <v>1250</v>
      </c>
      <c r="BR51" s="53">
        <v>1526</v>
      </c>
      <c r="BS51" s="53">
        <v>8157</v>
      </c>
      <c r="BT51" s="53">
        <v>31736</v>
      </c>
      <c r="BU51" s="53">
        <v>19940</v>
      </c>
      <c r="BV51" s="53">
        <v>402</v>
      </c>
      <c r="BW51" s="53">
        <v>3008</v>
      </c>
      <c r="BX51" s="53">
        <v>9850</v>
      </c>
      <c r="BY51" s="12">
        <v>53154</v>
      </c>
      <c r="BZ51" s="5">
        <v>40646</v>
      </c>
      <c r="CA51" s="5"/>
      <c r="CB51" s="5">
        <v>3632</v>
      </c>
      <c r="CC51" s="290">
        <f t="shared" si="483"/>
        <v>12508</v>
      </c>
      <c r="CD51" s="258" t="s">
        <v>185</v>
      </c>
      <c r="CE51" s="259" t="s">
        <v>185</v>
      </c>
      <c r="CF51" s="259" t="s">
        <v>185</v>
      </c>
      <c r="CG51" s="259" t="s">
        <v>185</v>
      </c>
      <c r="CH51" s="258" t="s">
        <v>185</v>
      </c>
      <c r="CI51" s="259" t="s">
        <v>185</v>
      </c>
      <c r="CJ51" s="259" t="s">
        <v>185</v>
      </c>
      <c r="CK51" s="259" t="s">
        <v>185</v>
      </c>
      <c r="CL51" s="260" t="s">
        <v>185</v>
      </c>
      <c r="CM51" s="5">
        <v>331780</v>
      </c>
      <c r="CN51" s="5">
        <v>315736</v>
      </c>
      <c r="CO51" s="5">
        <v>1172</v>
      </c>
      <c r="CP51" s="5">
        <v>1602</v>
      </c>
      <c r="CQ51" s="10">
        <v>14872</v>
      </c>
      <c r="CR51" s="5">
        <v>401179</v>
      </c>
      <c r="CS51" s="5">
        <v>374125</v>
      </c>
      <c r="CT51" s="5">
        <v>1917</v>
      </c>
      <c r="CU51" s="5">
        <v>3011</v>
      </c>
      <c r="CV51" s="5">
        <v>25137</v>
      </c>
      <c r="CW51" s="195">
        <v>450105</v>
      </c>
      <c r="CX51" s="5">
        <v>414900</v>
      </c>
      <c r="CY51" s="5">
        <v>2866</v>
      </c>
      <c r="CZ51" s="5">
        <v>32339</v>
      </c>
      <c r="DA51" s="5">
        <v>4779</v>
      </c>
      <c r="DB51" s="12">
        <v>459447</v>
      </c>
      <c r="DC51" s="5">
        <v>421558</v>
      </c>
      <c r="DD51" s="5">
        <v>3120</v>
      </c>
      <c r="DE51" s="5">
        <v>34769</v>
      </c>
      <c r="DF51" s="5">
        <v>5731</v>
      </c>
      <c r="DG51" s="56">
        <v>465110</v>
      </c>
      <c r="DH51" s="54">
        <v>426126</v>
      </c>
      <c r="DI51" s="54">
        <v>3006</v>
      </c>
      <c r="DJ51" s="54">
        <v>35978</v>
      </c>
      <c r="DK51" s="54">
        <v>6630</v>
      </c>
      <c r="DL51" s="12">
        <v>471857</v>
      </c>
      <c r="DM51" s="5">
        <v>431907</v>
      </c>
      <c r="DN51" s="5">
        <v>3702</v>
      </c>
      <c r="DO51" s="5">
        <v>6891</v>
      </c>
      <c r="DP51" s="5">
        <v>31080</v>
      </c>
      <c r="DQ51" s="12">
        <v>478388.7</v>
      </c>
      <c r="DR51" s="5">
        <v>437545.68</v>
      </c>
      <c r="DS51" s="5"/>
      <c r="DT51" s="5">
        <v>6523.8779999999997</v>
      </c>
      <c r="DU51" s="530">
        <f t="shared" si="484"/>
        <v>40843.020000000019</v>
      </c>
      <c r="DV51" s="5">
        <v>486339</v>
      </c>
      <c r="DW51" s="5">
        <v>443493</v>
      </c>
      <c r="DX51" s="5">
        <v>4518</v>
      </c>
      <c r="DY51" s="5">
        <v>6908</v>
      </c>
      <c r="DZ51" s="5">
        <v>38191</v>
      </c>
      <c r="EA51" s="5">
        <v>494906</v>
      </c>
      <c r="EB51" s="5">
        <v>444955</v>
      </c>
      <c r="EC51" s="5">
        <v>4909</v>
      </c>
      <c r="ED51" s="5">
        <v>8016</v>
      </c>
      <c r="EE51" s="5">
        <v>40397</v>
      </c>
      <c r="EF51" s="5">
        <v>513066</v>
      </c>
      <c r="EG51" s="5">
        <v>457851</v>
      </c>
      <c r="EH51" s="5">
        <v>4970</v>
      </c>
      <c r="EI51" s="5">
        <v>9975</v>
      </c>
      <c r="EJ51" s="5">
        <v>41443</v>
      </c>
      <c r="EK51" s="5">
        <v>515883</v>
      </c>
      <c r="EL51" s="5">
        <v>461606</v>
      </c>
      <c r="EM51" s="5">
        <v>5250</v>
      </c>
      <c r="EN51" s="5">
        <v>9254</v>
      </c>
      <c r="EO51" s="5">
        <v>42452</v>
      </c>
      <c r="EP51" s="258" t="s">
        <v>185</v>
      </c>
      <c r="EQ51" s="259" t="s">
        <v>185</v>
      </c>
      <c r="ER51" s="259" t="s">
        <v>185</v>
      </c>
      <c r="ES51" s="259" t="s">
        <v>185</v>
      </c>
      <c r="ET51" s="260" t="s">
        <v>185</v>
      </c>
      <c r="EU51" s="5">
        <v>112899</v>
      </c>
      <c r="EV51" s="5">
        <v>106251</v>
      </c>
      <c r="EW51" s="5">
        <v>507</v>
      </c>
      <c r="EX51" s="5">
        <v>730</v>
      </c>
      <c r="EY51" s="10">
        <v>6141</v>
      </c>
      <c r="EZ51" s="5">
        <v>143161</v>
      </c>
      <c r="FA51" s="5">
        <v>132007</v>
      </c>
      <c r="FB51" s="5">
        <v>828</v>
      </c>
      <c r="FC51" s="5">
        <v>1165</v>
      </c>
      <c r="FD51" s="10">
        <v>10326</v>
      </c>
      <c r="FE51" s="5">
        <v>169243</v>
      </c>
      <c r="FF51" s="5">
        <v>152701</v>
      </c>
      <c r="FG51" s="5">
        <v>1151</v>
      </c>
      <c r="FH51" s="5">
        <v>2072</v>
      </c>
      <c r="FI51" s="10">
        <v>15391</v>
      </c>
      <c r="FJ51" s="5">
        <v>171156.84599999999</v>
      </c>
      <c r="FK51" s="5">
        <v>154456.01599999997</v>
      </c>
      <c r="FL51" s="5"/>
      <c r="FM51" s="5">
        <v>2150.9519999999998</v>
      </c>
      <c r="FN51" s="10">
        <v>16700.830000000016</v>
      </c>
      <c r="FO51" s="5">
        <v>172271</v>
      </c>
      <c r="FP51" s="5">
        <v>154780</v>
      </c>
      <c r="FQ51" s="5">
        <v>1567</v>
      </c>
      <c r="FR51" s="5">
        <v>2389</v>
      </c>
      <c r="FS51" s="618">
        <v>15845</v>
      </c>
      <c r="FT51" s="618">
        <v>177156</v>
      </c>
      <c r="FU51" s="618">
        <v>155889</v>
      </c>
      <c r="FV51" s="618">
        <v>1918</v>
      </c>
      <c r="FW51" s="618">
        <v>3029</v>
      </c>
      <c r="FX51" s="618">
        <v>17297</v>
      </c>
      <c r="FY51" s="618">
        <v>182223</v>
      </c>
      <c r="FZ51" s="618">
        <v>160391</v>
      </c>
      <c r="GA51" s="618">
        <v>1860</v>
      </c>
      <c r="GB51" s="618">
        <v>3100</v>
      </c>
      <c r="GC51" s="618">
        <v>16898</v>
      </c>
      <c r="GD51" s="618">
        <v>188712</v>
      </c>
      <c r="GE51" s="618">
        <v>165598</v>
      </c>
      <c r="GF51" s="618">
        <v>2030</v>
      </c>
      <c r="GG51" s="618">
        <v>3918</v>
      </c>
      <c r="GH51" s="618">
        <v>18523</v>
      </c>
      <c r="GI51" s="12">
        <v>31955</v>
      </c>
      <c r="GJ51" s="5">
        <v>30196</v>
      </c>
      <c r="GK51" s="5">
        <v>149</v>
      </c>
      <c r="GL51" s="5">
        <v>239</v>
      </c>
      <c r="GM51" s="10">
        <v>1610</v>
      </c>
      <c r="GN51" s="5">
        <v>33861</v>
      </c>
      <c r="GO51" s="5">
        <v>31383</v>
      </c>
      <c r="GP51" s="5">
        <v>194</v>
      </c>
      <c r="GQ51" s="5">
        <v>267</v>
      </c>
      <c r="GR51" s="10">
        <v>2284</v>
      </c>
      <c r="GS51" s="12">
        <v>50746</v>
      </c>
      <c r="GT51" s="5">
        <v>47010</v>
      </c>
      <c r="GU51" s="5">
        <v>139</v>
      </c>
      <c r="GV51" s="5">
        <v>398</v>
      </c>
      <c r="GW51" s="5">
        <v>3597</v>
      </c>
      <c r="GX51" s="12"/>
      <c r="GY51" s="5"/>
      <c r="GZ51" s="5"/>
      <c r="HA51" s="5"/>
      <c r="HB51" s="10"/>
      <c r="HC51" s="5">
        <v>53296</v>
      </c>
      <c r="HD51" s="5">
        <v>49424</v>
      </c>
      <c r="HE51" s="5">
        <v>215</v>
      </c>
      <c r="HF51" s="5">
        <v>663</v>
      </c>
      <c r="HG51" s="5">
        <v>3657</v>
      </c>
      <c r="HH51" s="5">
        <v>56165</v>
      </c>
      <c r="HI51" s="5">
        <v>51071</v>
      </c>
      <c r="HJ51" s="5">
        <v>414</v>
      </c>
      <c r="HK51" s="5">
        <v>825</v>
      </c>
      <c r="HL51" s="5">
        <v>4072</v>
      </c>
      <c r="HM51" s="5">
        <v>62294</v>
      </c>
      <c r="HN51" s="5">
        <v>56589</v>
      </c>
      <c r="HO51" s="5">
        <v>129</v>
      </c>
      <c r="HP51" s="5">
        <v>586</v>
      </c>
      <c r="HQ51" s="5">
        <v>5084</v>
      </c>
      <c r="HR51" s="5">
        <v>65093</v>
      </c>
      <c r="HS51" s="5">
        <v>58806</v>
      </c>
      <c r="HT51" s="5">
        <v>508</v>
      </c>
      <c r="HU51" s="5">
        <v>1276</v>
      </c>
      <c r="HV51" s="5">
        <v>4932</v>
      </c>
      <c r="HW51" s="569">
        <f t="shared" si="539"/>
        <v>105846</v>
      </c>
      <c r="HX51" s="546">
        <f t="shared" si="540"/>
        <v>101694</v>
      </c>
      <c r="HY51" s="546">
        <f t="shared" si="541"/>
        <v>492</v>
      </c>
      <c r="HZ51" s="546">
        <f t="shared" si="542"/>
        <v>540</v>
      </c>
      <c r="IA51" s="546">
        <f t="shared" si="543"/>
        <v>3660</v>
      </c>
      <c r="IB51" s="569">
        <f t="shared" si="544"/>
        <v>135873</v>
      </c>
      <c r="IC51" s="546">
        <f t="shared" si="545"/>
        <v>128816</v>
      </c>
      <c r="ID51" s="546">
        <f t="shared" si="546"/>
        <v>635</v>
      </c>
      <c r="IE51" s="546">
        <f t="shared" si="547"/>
        <v>810</v>
      </c>
      <c r="IF51" s="546">
        <f t="shared" si="548"/>
        <v>6422</v>
      </c>
      <c r="IG51" s="12">
        <v>166435</v>
      </c>
      <c r="IH51" s="5">
        <v>155969</v>
      </c>
      <c r="II51" s="5">
        <v>962</v>
      </c>
      <c r="IJ51" s="5">
        <v>1979</v>
      </c>
      <c r="IK51" s="5">
        <v>9504</v>
      </c>
      <c r="IL51" s="565"/>
      <c r="IM51" s="7"/>
      <c r="IN51" s="7"/>
      <c r="IO51" s="7"/>
      <c r="IP51" s="7"/>
      <c r="IQ51" s="7">
        <v>195277</v>
      </c>
      <c r="IR51" s="7">
        <v>182868</v>
      </c>
      <c r="IS51" s="7">
        <v>1281</v>
      </c>
      <c r="IT51" s="7">
        <v>2244</v>
      </c>
      <c r="IU51" s="577">
        <v>11115</v>
      </c>
      <c r="IV51" s="7">
        <v>200021</v>
      </c>
      <c r="IW51" s="7">
        <v>184772</v>
      </c>
      <c r="IX51" s="7">
        <v>1571</v>
      </c>
      <c r="IY51" s="7">
        <v>2366</v>
      </c>
      <c r="IZ51" s="7">
        <v>11986</v>
      </c>
      <c r="JA51" s="565">
        <v>217179</v>
      </c>
      <c r="JB51" s="7">
        <v>200181</v>
      </c>
      <c r="JC51" s="7">
        <v>1346</v>
      </c>
      <c r="JD51" s="7">
        <v>3217</v>
      </c>
      <c r="JE51" s="7">
        <v>13168</v>
      </c>
      <c r="JF51" s="565">
        <v>228354</v>
      </c>
      <c r="JG51" s="7">
        <v>210873</v>
      </c>
      <c r="JH51" s="7">
        <v>1746</v>
      </c>
      <c r="JI51" s="7">
        <v>3640</v>
      </c>
      <c r="JJ51" s="7">
        <v>13248</v>
      </c>
      <c r="JK51" s="12">
        <v>52773</v>
      </c>
      <c r="JL51" s="5">
        <v>51246</v>
      </c>
      <c r="JM51" s="5">
        <v>241</v>
      </c>
      <c r="JN51" s="5">
        <v>139</v>
      </c>
      <c r="JO51" s="5">
        <v>1286</v>
      </c>
      <c r="JP51" s="12">
        <v>73563</v>
      </c>
      <c r="JQ51" s="5">
        <v>70574</v>
      </c>
      <c r="JR51" s="5">
        <v>316</v>
      </c>
      <c r="JS51" s="5">
        <v>317</v>
      </c>
      <c r="JT51" s="5">
        <v>2673</v>
      </c>
      <c r="JU51" s="12">
        <v>94844</v>
      </c>
      <c r="JV51" s="5">
        <v>89387</v>
      </c>
      <c r="JW51" s="5">
        <v>658</v>
      </c>
      <c r="JX51" s="5">
        <v>1211</v>
      </c>
      <c r="JY51" s="5">
        <v>4799</v>
      </c>
      <c r="JZ51" s="12">
        <v>96740.826000000001</v>
      </c>
      <c r="KA51" s="5">
        <v>91334.672000000006</v>
      </c>
      <c r="KB51" s="5"/>
      <c r="KC51" s="5">
        <v>994.30799999999999</v>
      </c>
      <c r="KD51" s="5">
        <v>5406.153999999995</v>
      </c>
      <c r="KE51" s="5">
        <v>100633</v>
      </c>
      <c r="KF51" s="5">
        <v>94896</v>
      </c>
      <c r="KG51" s="5">
        <v>878</v>
      </c>
      <c r="KH51" s="5">
        <v>1026</v>
      </c>
      <c r="KI51" s="5">
        <v>4228</v>
      </c>
      <c r="KJ51" s="5">
        <v>110562</v>
      </c>
      <c r="KK51" s="5">
        <v>102574</v>
      </c>
      <c r="KL51" s="5">
        <v>950</v>
      </c>
      <c r="KM51" s="5">
        <v>1764</v>
      </c>
      <c r="KN51" s="5">
        <v>5808</v>
      </c>
      <c r="KO51" s="5">
        <v>111002</v>
      </c>
      <c r="KP51" s="5">
        <v>103097</v>
      </c>
      <c r="KQ51" s="5">
        <v>956</v>
      </c>
      <c r="KR51" s="5">
        <v>2046</v>
      </c>
      <c r="KS51" s="5">
        <v>5558</v>
      </c>
      <c r="KT51" s="258" t="s">
        <v>185</v>
      </c>
      <c r="KU51" s="259" t="s">
        <v>185</v>
      </c>
      <c r="KV51" s="316">
        <v>20582</v>
      </c>
      <c r="KW51" s="332">
        <f t="shared" si="495"/>
        <v>12430</v>
      </c>
      <c r="KX51" s="332">
        <f t="shared" si="496"/>
        <v>8152</v>
      </c>
      <c r="KY51" s="332">
        <f t="shared" si="497"/>
        <v>20377</v>
      </c>
      <c r="KZ51" s="318">
        <v>12302</v>
      </c>
      <c r="LA51" s="318">
        <v>8075</v>
      </c>
      <c r="LB51" s="332">
        <f t="shared" si="498"/>
        <v>205</v>
      </c>
      <c r="LC51" s="318">
        <v>128</v>
      </c>
      <c r="LD51" s="318">
        <v>77</v>
      </c>
      <c r="LE51" s="316">
        <v>29786</v>
      </c>
      <c r="LF51" s="332">
        <f t="shared" si="499"/>
        <v>17184</v>
      </c>
      <c r="LG51" s="332">
        <f t="shared" si="500"/>
        <v>12602</v>
      </c>
      <c r="LH51" s="332">
        <f t="shared" si="501"/>
        <v>29631</v>
      </c>
      <c r="LI51" s="318">
        <v>17108</v>
      </c>
      <c r="LJ51" s="318">
        <v>12523</v>
      </c>
      <c r="LK51" s="332">
        <f t="shared" si="502"/>
        <v>67</v>
      </c>
      <c r="LL51" s="318">
        <v>38</v>
      </c>
      <c r="LM51" s="318">
        <v>29</v>
      </c>
      <c r="LN51" s="332">
        <f t="shared" si="503"/>
        <v>88</v>
      </c>
      <c r="LO51" s="318">
        <v>38</v>
      </c>
      <c r="LP51" s="318">
        <v>50</v>
      </c>
      <c r="LQ51" s="316">
        <v>54624</v>
      </c>
      <c r="LR51" s="332">
        <f t="shared" si="504"/>
        <v>30487</v>
      </c>
      <c r="LS51" s="332">
        <f t="shared" si="505"/>
        <v>24137</v>
      </c>
      <c r="LT51" s="342">
        <f t="shared" si="506"/>
        <v>53135</v>
      </c>
      <c r="LU51" s="318">
        <v>29680</v>
      </c>
      <c r="LV51" s="318">
        <v>23455</v>
      </c>
      <c r="LW51" s="318">
        <v>807</v>
      </c>
      <c r="LX51" s="318">
        <v>682</v>
      </c>
      <c r="LY51" s="342">
        <f t="shared" si="507"/>
        <v>141</v>
      </c>
      <c r="LZ51" s="318">
        <v>110</v>
      </c>
      <c r="MA51" s="318">
        <v>31</v>
      </c>
      <c r="MB51" s="342">
        <f t="shared" si="508"/>
        <v>261</v>
      </c>
      <c r="MC51" s="318">
        <v>159</v>
      </c>
      <c r="MD51" s="318">
        <v>102</v>
      </c>
      <c r="ME51" s="333">
        <f t="shared" si="509"/>
        <v>1087</v>
      </c>
      <c r="MF51" s="333">
        <f t="shared" si="510"/>
        <v>538</v>
      </c>
      <c r="MG51" s="333">
        <f t="shared" si="511"/>
        <v>549</v>
      </c>
      <c r="MH51" s="334">
        <f t="shared" si="512"/>
        <v>10</v>
      </c>
      <c r="MI51" s="334">
        <f t="shared" si="513"/>
        <v>4</v>
      </c>
      <c r="MJ51" s="334">
        <f t="shared" si="514"/>
        <v>6</v>
      </c>
      <c r="MK51" s="318">
        <v>1077</v>
      </c>
      <c r="ML51" s="318">
        <v>534</v>
      </c>
      <c r="MM51" s="318">
        <v>543</v>
      </c>
      <c r="MN51" s="14">
        <f t="shared" si="515"/>
        <v>73891</v>
      </c>
      <c r="MO51" s="332">
        <f t="shared" si="516"/>
        <v>39262</v>
      </c>
      <c r="MP51" s="332">
        <f t="shared" si="517"/>
        <v>34629</v>
      </c>
      <c r="MQ51" s="13">
        <f t="shared" si="518"/>
        <v>71498</v>
      </c>
      <c r="MR51" s="136">
        <f t="shared" si="519"/>
        <v>71317</v>
      </c>
      <c r="MS51" s="318">
        <v>37977</v>
      </c>
      <c r="MT51" s="318">
        <v>33340</v>
      </c>
      <c r="MU51" s="318">
        <v>1285</v>
      </c>
      <c r="MV51" s="318">
        <v>1289</v>
      </c>
      <c r="MW51" s="13">
        <f t="shared" si="520"/>
        <v>343</v>
      </c>
      <c r="MX51" s="136">
        <f t="shared" si="521"/>
        <v>343</v>
      </c>
      <c r="MY51" s="318">
        <v>245</v>
      </c>
      <c r="MZ51" s="318">
        <v>98</v>
      </c>
      <c r="NA51" s="13">
        <f t="shared" si="522"/>
        <v>301</v>
      </c>
      <c r="NB51" s="318">
        <v>203</v>
      </c>
      <c r="NC51" s="318">
        <v>98</v>
      </c>
      <c r="ND51" s="11">
        <f t="shared" si="523"/>
        <v>2050</v>
      </c>
      <c r="NE51" s="335">
        <f t="shared" si="524"/>
        <v>837</v>
      </c>
      <c r="NF51" s="335">
        <f t="shared" si="525"/>
        <v>1093</v>
      </c>
      <c r="NG51" s="336">
        <f t="shared" si="526"/>
        <v>8</v>
      </c>
      <c r="NH51" s="336">
        <f t="shared" si="527"/>
        <v>0</v>
      </c>
      <c r="NI51" s="336">
        <f t="shared" si="528"/>
        <v>8</v>
      </c>
      <c r="NJ51" s="337">
        <f t="shared" si="529"/>
        <v>1922</v>
      </c>
      <c r="NK51" s="337">
        <f t="shared" si="530"/>
        <v>837</v>
      </c>
      <c r="NL51" s="337">
        <f t="shared" si="531"/>
        <v>1085</v>
      </c>
      <c r="NM51" s="318">
        <v>602</v>
      </c>
      <c r="NN51" s="318">
        <v>824</v>
      </c>
      <c r="NO51" s="318">
        <v>235</v>
      </c>
      <c r="NP51" s="318">
        <v>261</v>
      </c>
      <c r="NQ51" s="338">
        <v>102012</v>
      </c>
      <c r="NR51" s="318">
        <v>51278</v>
      </c>
      <c r="NS51" s="318">
        <v>50734</v>
      </c>
      <c r="NT51" s="7">
        <f t="shared" si="532"/>
        <v>97433</v>
      </c>
      <c r="NU51" s="7">
        <v>49255</v>
      </c>
      <c r="NV51" s="7">
        <v>48178</v>
      </c>
      <c r="NW51" s="125">
        <f t="shared" si="533"/>
        <v>97082</v>
      </c>
      <c r="NX51" s="318">
        <v>49081</v>
      </c>
      <c r="NY51" s="318">
        <v>48001</v>
      </c>
      <c r="NZ51" s="7">
        <f t="shared" si="534"/>
        <v>441</v>
      </c>
      <c r="OA51" s="318">
        <v>286</v>
      </c>
      <c r="OB51" s="318">
        <v>155</v>
      </c>
      <c r="OC51" s="7">
        <f t="shared" si="535"/>
        <v>543</v>
      </c>
      <c r="OD51" s="318">
        <v>261</v>
      </c>
      <c r="OE51" s="318">
        <v>282</v>
      </c>
      <c r="OF51" s="125">
        <f t="shared" si="536"/>
        <v>4138</v>
      </c>
      <c r="OG51" s="125">
        <f t="shared" si="537"/>
        <v>1737</v>
      </c>
      <c r="OH51" s="125">
        <f t="shared" si="538"/>
        <v>2401</v>
      </c>
      <c r="OI51" s="326">
        <v>125036</v>
      </c>
      <c r="OJ51" s="318">
        <v>118915</v>
      </c>
      <c r="OK51" s="318">
        <v>561</v>
      </c>
      <c r="OL51" s="318">
        <v>5560</v>
      </c>
      <c r="OM51" s="7">
        <v>749</v>
      </c>
      <c r="ON51" s="12">
        <v>128013</v>
      </c>
      <c r="OO51" s="5">
        <v>120969</v>
      </c>
      <c r="OP51" s="5">
        <v>585</v>
      </c>
      <c r="OQ51" s="5">
        <v>6459</v>
      </c>
      <c r="OR51" s="5">
        <v>1175</v>
      </c>
      <c r="OS51" s="12">
        <v>129679</v>
      </c>
      <c r="OT51" s="5">
        <v>122224</v>
      </c>
      <c r="OU51" s="5">
        <v>669</v>
      </c>
      <c r="OV51" s="5">
        <v>6786</v>
      </c>
      <c r="OW51" s="5">
        <v>1436</v>
      </c>
      <c r="OX51" s="12">
        <v>133787</v>
      </c>
      <c r="OY51" s="5">
        <v>125968</v>
      </c>
      <c r="OZ51" s="5">
        <v>871</v>
      </c>
      <c r="PA51" s="5">
        <v>6948</v>
      </c>
      <c r="PB51" s="5">
        <v>1815</v>
      </c>
      <c r="PC51" s="12">
        <v>138201.18</v>
      </c>
      <c r="PD51" s="5">
        <v>129590.03200000001</v>
      </c>
      <c r="PE51" s="5"/>
      <c r="PF51" s="5">
        <v>1552.338</v>
      </c>
      <c r="PG51" s="5">
        <v>8611.1479999999865</v>
      </c>
      <c r="PH51" s="5">
        <v>141981</v>
      </c>
      <c r="PI51" s="5">
        <v>133444</v>
      </c>
      <c r="PJ51" s="5">
        <v>1066</v>
      </c>
      <c r="PK51" s="5">
        <v>1581</v>
      </c>
      <c r="PL51" s="2">
        <v>7458</v>
      </c>
      <c r="PM51" s="2">
        <v>143856</v>
      </c>
      <c r="PN51" s="2">
        <v>133701</v>
      </c>
      <c r="PO51" s="2">
        <v>1157</v>
      </c>
      <c r="PP51" s="2">
        <v>1541</v>
      </c>
      <c r="PQ51" s="2">
        <v>7914</v>
      </c>
      <c r="PR51" s="2">
        <v>154885</v>
      </c>
      <c r="PS51" s="2">
        <v>143592</v>
      </c>
      <c r="PT51" s="2">
        <v>1217</v>
      </c>
      <c r="PU51" s="2">
        <v>2631</v>
      </c>
      <c r="PV51" s="2">
        <v>8084</v>
      </c>
      <c r="PW51" s="2">
        <v>163261</v>
      </c>
      <c r="PX51" s="2">
        <v>152067</v>
      </c>
      <c r="PY51" s="2">
        <v>1238</v>
      </c>
      <c r="PZ51" s="2">
        <v>2364</v>
      </c>
      <c r="QA51" s="2">
        <v>8316</v>
      </c>
      <c r="QB51" s="12">
        <v>21118</v>
      </c>
      <c r="QC51" s="5">
        <v>20252</v>
      </c>
      <c r="QD51" s="5">
        <v>102</v>
      </c>
      <c r="QE51" s="5">
        <v>162</v>
      </c>
      <c r="QF51" s="5">
        <v>764</v>
      </c>
      <c r="QG51" s="12">
        <v>28449</v>
      </c>
      <c r="QH51" s="5">
        <v>26859</v>
      </c>
      <c r="QI51" s="5">
        <v>125</v>
      </c>
      <c r="QJ51" s="5">
        <v>226</v>
      </c>
      <c r="QK51" s="5">
        <v>1465</v>
      </c>
      <c r="QL51" s="12">
        <v>38943</v>
      </c>
      <c r="QM51" s="5">
        <v>36581</v>
      </c>
      <c r="QN51" s="5">
        <v>213</v>
      </c>
      <c r="QO51" s="5">
        <v>604</v>
      </c>
      <c r="QP51" s="5">
        <v>2149</v>
      </c>
      <c r="QQ51" s="12">
        <v>41460.353999999999</v>
      </c>
      <c r="QR51" s="5">
        <v>38255.360000000001</v>
      </c>
      <c r="QS51" s="5"/>
      <c r="QT51" s="5">
        <v>558.03</v>
      </c>
      <c r="QU51" s="10">
        <v>3204.9939999999988</v>
      </c>
      <c r="QV51" s="1">
        <v>43245</v>
      </c>
      <c r="QW51" s="2">
        <v>39556</v>
      </c>
      <c r="QX51" s="2">
        <v>223</v>
      </c>
      <c r="QY51" s="2">
        <v>564</v>
      </c>
      <c r="QZ51" s="69">
        <v>3453</v>
      </c>
      <c r="RA51" s="2">
        <v>43223</v>
      </c>
      <c r="RB51" s="2">
        <v>38805</v>
      </c>
      <c r="RC51" s="2">
        <v>279</v>
      </c>
      <c r="RD51" s="2">
        <v>515</v>
      </c>
      <c r="RE51" s="2">
        <v>3686</v>
      </c>
      <c r="RF51" s="2">
        <v>44323</v>
      </c>
      <c r="RG51" s="2">
        <v>41018</v>
      </c>
      <c r="RH51" s="2">
        <v>267</v>
      </c>
      <c r="RI51" s="2">
        <v>867</v>
      </c>
      <c r="RJ51" s="2">
        <v>2276</v>
      </c>
      <c r="RK51" s="2">
        <v>52259</v>
      </c>
      <c r="RL51" s="2">
        <v>48970</v>
      </c>
      <c r="RM51" s="2">
        <v>282</v>
      </c>
      <c r="RN51" s="2">
        <v>318</v>
      </c>
      <c r="RO51" s="2">
        <v>2758</v>
      </c>
    </row>
    <row r="52" spans="1:483" ht="14.25" x14ac:dyDescent="0.2">
      <c r="A52" s="222" t="s">
        <v>49</v>
      </c>
      <c r="B52" s="261" t="s">
        <v>185</v>
      </c>
      <c r="C52" s="262" t="s">
        <v>185</v>
      </c>
      <c r="D52" s="262" t="s">
        <v>185</v>
      </c>
      <c r="E52" s="262" t="s">
        <v>185</v>
      </c>
      <c r="F52" s="263" t="s">
        <v>185</v>
      </c>
      <c r="G52" s="242">
        <v>294862</v>
      </c>
      <c r="H52" s="242">
        <v>270697</v>
      </c>
      <c r="I52" s="242">
        <v>11460</v>
      </c>
      <c r="J52" s="242">
        <v>9868</v>
      </c>
      <c r="K52" s="243">
        <v>12705</v>
      </c>
      <c r="L52" s="242">
        <v>186125</v>
      </c>
      <c r="M52" s="242">
        <v>153166</v>
      </c>
      <c r="N52" s="242">
        <v>9203</v>
      </c>
      <c r="O52" s="242">
        <v>21855</v>
      </c>
      <c r="P52" s="243">
        <v>23756</v>
      </c>
      <c r="Q52" s="251">
        <v>134580</v>
      </c>
      <c r="R52" s="251">
        <v>106838</v>
      </c>
      <c r="S52" s="251">
        <v>7794</v>
      </c>
      <c r="T52" s="251">
        <v>33410</v>
      </c>
      <c r="U52" s="578">
        <v>19948</v>
      </c>
      <c r="V52" s="251">
        <v>130426</v>
      </c>
      <c r="W52" s="251">
        <v>99783</v>
      </c>
      <c r="X52" s="251">
        <v>8510</v>
      </c>
      <c r="Y52" s="251">
        <v>34372</v>
      </c>
      <c r="Z52" s="251">
        <v>22133</v>
      </c>
      <c r="AA52" s="251">
        <v>125453</v>
      </c>
      <c r="AB52" s="251">
        <v>72167</v>
      </c>
      <c r="AC52" s="251">
        <v>8306</v>
      </c>
      <c r="AD52" s="251">
        <v>33828</v>
      </c>
      <c r="AE52" s="457">
        <v>23645</v>
      </c>
      <c r="AF52" s="562">
        <v>116279</v>
      </c>
      <c r="AG52" s="562">
        <v>60900</v>
      </c>
      <c r="AH52" s="562">
        <v>7935</v>
      </c>
      <c r="AI52" s="562">
        <v>35214</v>
      </c>
      <c r="AJ52" s="562">
        <v>24837</v>
      </c>
      <c r="AK52" s="562">
        <v>106804</v>
      </c>
      <c r="AL52" s="562">
        <v>55620</v>
      </c>
      <c r="AM52" s="562">
        <v>8313</v>
      </c>
      <c r="AN52" s="562">
        <v>30089</v>
      </c>
      <c r="AO52" s="562">
        <v>26687</v>
      </c>
      <c r="AP52" s="241">
        <v>367210</v>
      </c>
      <c r="AQ52" s="242">
        <v>324190</v>
      </c>
      <c r="AR52" s="242">
        <v>33386</v>
      </c>
      <c r="AS52" s="242">
        <v>7323</v>
      </c>
      <c r="AT52" s="243">
        <v>9634</v>
      </c>
      <c r="AU52" s="242">
        <v>332292</v>
      </c>
      <c r="AV52" s="242">
        <v>274317</v>
      </c>
      <c r="AW52" s="242">
        <v>38740</v>
      </c>
      <c r="AX52" s="242">
        <v>17586</v>
      </c>
      <c r="AY52" s="243">
        <v>19235</v>
      </c>
      <c r="AZ52" s="242">
        <v>251056</v>
      </c>
      <c r="BA52" s="242">
        <v>199748</v>
      </c>
      <c r="BB52" s="242">
        <v>32144</v>
      </c>
      <c r="BC52" s="242">
        <v>28039</v>
      </c>
      <c r="BD52" s="243">
        <v>19164</v>
      </c>
      <c r="BE52" s="242">
        <v>237275</v>
      </c>
      <c r="BF52" s="242">
        <v>187289</v>
      </c>
      <c r="BG52" s="242">
        <v>30829</v>
      </c>
      <c r="BH52" s="242">
        <v>27510</v>
      </c>
      <c r="BI52" s="242">
        <v>19143</v>
      </c>
      <c r="BJ52" s="242">
        <v>232708</v>
      </c>
      <c r="BK52" s="242">
        <v>165229</v>
      </c>
      <c r="BL52" s="242">
        <v>32062</v>
      </c>
      <c r="BM52" s="242">
        <v>26562</v>
      </c>
      <c r="BN52" s="53">
        <v>18312</v>
      </c>
      <c r="BO52" s="53">
        <v>219265</v>
      </c>
      <c r="BP52" s="53">
        <v>150058</v>
      </c>
      <c r="BQ52" s="53">
        <v>29642</v>
      </c>
      <c r="BR52" s="53">
        <v>30782</v>
      </c>
      <c r="BS52" s="53">
        <v>21130</v>
      </c>
      <c r="BT52" s="53">
        <v>210940</v>
      </c>
      <c r="BU52" s="53">
        <v>142966</v>
      </c>
      <c r="BV52" s="53">
        <v>29127</v>
      </c>
      <c r="BW52" s="53">
        <v>29254</v>
      </c>
      <c r="BX52" s="53">
        <v>23970</v>
      </c>
      <c r="BY52" s="241">
        <v>376536</v>
      </c>
      <c r="BZ52" s="242">
        <v>298866</v>
      </c>
      <c r="CA52" s="242">
        <v>39931</v>
      </c>
      <c r="CB52" s="242">
        <v>61674</v>
      </c>
      <c r="CC52" s="456">
        <f t="shared" si="483"/>
        <v>37739</v>
      </c>
      <c r="CD52" s="261" t="s">
        <v>185</v>
      </c>
      <c r="CE52" s="262" t="s">
        <v>185</v>
      </c>
      <c r="CF52" s="262" t="s">
        <v>185</v>
      </c>
      <c r="CG52" s="262" t="s">
        <v>185</v>
      </c>
      <c r="CH52" s="261" t="s">
        <v>185</v>
      </c>
      <c r="CI52" s="262" t="s">
        <v>185</v>
      </c>
      <c r="CJ52" s="262" t="s">
        <v>185</v>
      </c>
      <c r="CK52" s="262" t="s">
        <v>185</v>
      </c>
      <c r="CL52" s="263" t="s">
        <v>185</v>
      </c>
      <c r="CM52" s="242">
        <v>2432154</v>
      </c>
      <c r="CN52" s="242">
        <v>2323388</v>
      </c>
      <c r="CO52" s="242">
        <v>71150</v>
      </c>
      <c r="CP52" s="242">
        <v>20271</v>
      </c>
      <c r="CQ52" s="243">
        <v>37616</v>
      </c>
      <c r="CR52" s="242">
        <v>2957461</v>
      </c>
      <c r="CS52" s="242">
        <v>2765088</v>
      </c>
      <c r="CT52" s="242">
        <v>104109</v>
      </c>
      <c r="CU52" s="242">
        <v>47449</v>
      </c>
      <c r="CV52" s="242">
        <v>88264</v>
      </c>
      <c r="CW52" s="244">
        <v>3266181</v>
      </c>
      <c r="CX52" s="242">
        <v>3001193</v>
      </c>
      <c r="CY52" s="242">
        <v>135442</v>
      </c>
      <c r="CZ52" s="242">
        <v>129546</v>
      </c>
      <c r="DA52" s="242">
        <v>79512</v>
      </c>
      <c r="DB52" s="241">
        <v>3317664</v>
      </c>
      <c r="DC52" s="242">
        <v>3048507</v>
      </c>
      <c r="DD52" s="242">
        <v>137740</v>
      </c>
      <c r="DE52" s="242">
        <v>131417</v>
      </c>
      <c r="DF52" s="242">
        <v>85156</v>
      </c>
      <c r="DG52" s="245">
        <v>3333900</v>
      </c>
      <c r="DH52" s="246">
        <v>3069238</v>
      </c>
      <c r="DI52" s="246">
        <v>139937</v>
      </c>
      <c r="DJ52" s="246">
        <v>124725</v>
      </c>
      <c r="DK52" s="246">
        <v>84483</v>
      </c>
      <c r="DL52" s="241">
        <v>3387900</v>
      </c>
      <c r="DM52" s="242">
        <v>3109027</v>
      </c>
      <c r="DN52" s="242">
        <v>149568</v>
      </c>
      <c r="DO52" s="242">
        <v>92978</v>
      </c>
      <c r="DP52" s="242">
        <v>102025</v>
      </c>
      <c r="DQ52" s="241">
        <v>3426856.1919999998</v>
      </c>
      <c r="DR52" s="242">
        <v>3136373.2070000004</v>
      </c>
      <c r="DS52" s="242">
        <v>153163.394</v>
      </c>
      <c r="DT52" s="242">
        <v>98935.76</v>
      </c>
      <c r="DU52" s="583">
        <f t="shared" si="484"/>
        <v>137319.5909999994</v>
      </c>
      <c r="DV52" s="242">
        <v>3460879</v>
      </c>
      <c r="DW52" s="242">
        <v>3162184</v>
      </c>
      <c r="DX52" s="242">
        <v>155247</v>
      </c>
      <c r="DY52" s="242">
        <v>103209</v>
      </c>
      <c r="DZ52" s="242">
        <v>142874</v>
      </c>
      <c r="EA52" s="242">
        <v>3495569</v>
      </c>
      <c r="EB52" s="242">
        <v>3113585</v>
      </c>
      <c r="EC52" s="242">
        <v>157145</v>
      </c>
      <c r="ED52" s="242">
        <v>110558</v>
      </c>
      <c r="EE52" s="242">
        <v>148903</v>
      </c>
      <c r="EF52" s="242">
        <v>3583453</v>
      </c>
      <c r="EG52" s="242">
        <v>3158534</v>
      </c>
      <c r="EH52" s="242">
        <v>166122</v>
      </c>
      <c r="EI52" s="242">
        <v>122559</v>
      </c>
      <c r="EJ52" s="242">
        <v>176807</v>
      </c>
      <c r="EK52" s="242">
        <v>3615585</v>
      </c>
      <c r="EL52" s="242">
        <v>3177030</v>
      </c>
      <c r="EM52" s="242">
        <v>170641</v>
      </c>
      <c r="EN52" s="242">
        <v>132727</v>
      </c>
      <c r="EO52" s="242">
        <v>183745</v>
      </c>
      <c r="EP52" s="261" t="s">
        <v>185</v>
      </c>
      <c r="EQ52" s="262" t="s">
        <v>185</v>
      </c>
      <c r="ER52" s="262" t="s">
        <v>185</v>
      </c>
      <c r="ES52" s="262" t="s">
        <v>185</v>
      </c>
      <c r="ET52" s="263" t="s">
        <v>185</v>
      </c>
      <c r="EU52" s="242">
        <v>735487</v>
      </c>
      <c r="EV52" s="242">
        <v>693651</v>
      </c>
      <c r="EW52" s="242">
        <v>29467</v>
      </c>
      <c r="EX52" s="242">
        <v>7641</v>
      </c>
      <c r="EY52" s="243">
        <v>12369</v>
      </c>
      <c r="EZ52" s="242">
        <v>976375</v>
      </c>
      <c r="FA52" s="242">
        <v>905052</v>
      </c>
      <c r="FB52" s="242">
        <v>42363</v>
      </c>
      <c r="FC52" s="242">
        <v>16444</v>
      </c>
      <c r="FD52" s="243">
        <v>28960</v>
      </c>
      <c r="FE52" s="242">
        <v>1141344</v>
      </c>
      <c r="FF52" s="242">
        <v>1039141</v>
      </c>
      <c r="FG52" s="242">
        <v>59508</v>
      </c>
      <c r="FH52" s="242">
        <v>32833</v>
      </c>
      <c r="FI52" s="243">
        <v>42695</v>
      </c>
      <c r="FJ52" s="242">
        <v>1160034.56</v>
      </c>
      <c r="FK52" s="242">
        <v>1051183.1340000001</v>
      </c>
      <c r="FL52" s="242">
        <v>62885.726000000002</v>
      </c>
      <c r="FM52" s="242">
        <v>35173.589999999997</v>
      </c>
      <c r="FN52" s="243">
        <v>45965.699999999975</v>
      </c>
      <c r="FO52" s="242">
        <v>1182320</v>
      </c>
      <c r="FP52" s="242">
        <v>1069152</v>
      </c>
      <c r="FQ52" s="242">
        <v>66196</v>
      </c>
      <c r="FR52" s="242">
        <v>37198</v>
      </c>
      <c r="FS52" s="619">
        <v>46700</v>
      </c>
      <c r="FT52" s="668">
        <v>1197908</v>
      </c>
      <c r="FU52" s="668">
        <v>1051841</v>
      </c>
      <c r="FV52" s="668">
        <v>69720</v>
      </c>
      <c r="FW52" s="668">
        <v>39825</v>
      </c>
      <c r="FX52" s="668">
        <v>49385</v>
      </c>
      <c r="FY52" s="668">
        <v>1247367</v>
      </c>
      <c r="FZ52" s="668">
        <v>1085522</v>
      </c>
      <c r="GA52" s="668">
        <v>73374</v>
      </c>
      <c r="GB52" s="668">
        <v>45166</v>
      </c>
      <c r="GC52" s="668">
        <v>58194</v>
      </c>
      <c r="GD52" s="668">
        <v>1232803</v>
      </c>
      <c r="GE52" s="668">
        <v>1077366</v>
      </c>
      <c r="GF52" s="668">
        <v>69241</v>
      </c>
      <c r="GG52" s="668">
        <v>46987</v>
      </c>
      <c r="GH52" s="668">
        <v>58171</v>
      </c>
      <c r="GI52" s="241">
        <v>220177</v>
      </c>
      <c r="GJ52" s="242">
        <v>210932</v>
      </c>
      <c r="GK52" s="242">
        <v>6033</v>
      </c>
      <c r="GL52" s="242">
        <v>1948</v>
      </c>
      <c r="GM52" s="243">
        <v>3212</v>
      </c>
      <c r="GN52" s="242">
        <v>260711</v>
      </c>
      <c r="GO52" s="242">
        <v>244818</v>
      </c>
      <c r="GP52" s="242">
        <v>8978</v>
      </c>
      <c r="GQ52" s="242">
        <v>3332</v>
      </c>
      <c r="GR52" s="243">
        <v>6915</v>
      </c>
      <c r="GS52" s="241">
        <v>341679</v>
      </c>
      <c r="GT52" s="242">
        <v>318722</v>
      </c>
      <c r="GU52" s="242">
        <v>12355</v>
      </c>
      <c r="GV52" s="242">
        <v>7126</v>
      </c>
      <c r="GW52" s="242">
        <v>10602</v>
      </c>
      <c r="GX52" s="241"/>
      <c r="GY52" s="242"/>
      <c r="GZ52" s="242"/>
      <c r="HA52" s="242"/>
      <c r="HB52" s="243"/>
      <c r="HC52" s="241">
        <v>368323</v>
      </c>
      <c r="HD52" s="242">
        <v>342698</v>
      </c>
      <c r="HE52" s="242">
        <v>13247</v>
      </c>
      <c r="HF52" s="242">
        <v>8685</v>
      </c>
      <c r="HG52" s="243">
        <v>12367</v>
      </c>
      <c r="HH52" s="5">
        <v>379309</v>
      </c>
      <c r="HI52" s="5">
        <v>344715</v>
      </c>
      <c r="HJ52" s="5">
        <v>15264</v>
      </c>
      <c r="HK52" s="5">
        <v>9335</v>
      </c>
      <c r="HL52" s="5">
        <v>13328</v>
      </c>
      <c r="HM52" s="5">
        <v>411400</v>
      </c>
      <c r="HN52" s="5">
        <v>373688</v>
      </c>
      <c r="HO52" s="5">
        <v>13490</v>
      </c>
      <c r="HP52" s="5">
        <v>10810</v>
      </c>
      <c r="HQ52" s="5">
        <v>16497</v>
      </c>
      <c r="HR52" s="5">
        <v>420412</v>
      </c>
      <c r="HS52" s="5">
        <v>382233</v>
      </c>
      <c r="HT52" s="5">
        <v>14878</v>
      </c>
      <c r="HU52" s="5">
        <v>11660</v>
      </c>
      <c r="HV52" s="5">
        <v>16080</v>
      </c>
      <c r="HW52" s="569">
        <f t="shared" si="539"/>
        <v>769147</v>
      </c>
      <c r="HX52" s="546">
        <f t="shared" si="540"/>
        <v>738771</v>
      </c>
      <c r="HY52" s="546">
        <f t="shared" si="541"/>
        <v>15689</v>
      </c>
      <c r="HZ52" s="546">
        <f t="shared" si="542"/>
        <v>5680</v>
      </c>
      <c r="IA52" s="546">
        <f t="shared" si="543"/>
        <v>14687</v>
      </c>
      <c r="IB52" s="569">
        <f t="shared" si="544"/>
        <v>1039984</v>
      </c>
      <c r="IC52" s="546">
        <f t="shared" si="545"/>
        <v>979965</v>
      </c>
      <c r="ID52" s="546">
        <f t="shared" si="546"/>
        <v>24985</v>
      </c>
      <c r="IE52" s="546">
        <f t="shared" si="547"/>
        <v>13277</v>
      </c>
      <c r="IF52" s="546">
        <f t="shared" si="548"/>
        <v>35034</v>
      </c>
      <c r="IG52" s="241">
        <v>1156378</v>
      </c>
      <c r="IH52" s="242">
        <v>1078341</v>
      </c>
      <c r="II52" s="242">
        <v>32327</v>
      </c>
      <c r="IJ52" s="242">
        <v>21254</v>
      </c>
      <c r="IK52" s="242">
        <v>45710</v>
      </c>
      <c r="IL52" s="566"/>
      <c r="IM52" s="251"/>
      <c r="IN52" s="251"/>
      <c r="IO52" s="251"/>
      <c r="IP52" s="251"/>
      <c r="IQ52" s="251">
        <v>1390411</v>
      </c>
      <c r="IR52" s="251">
        <v>1290979</v>
      </c>
      <c r="IS52" s="251">
        <v>37948</v>
      </c>
      <c r="IT52" s="251">
        <v>27522</v>
      </c>
      <c r="IU52" s="578">
        <v>61295</v>
      </c>
      <c r="IV52" s="251">
        <v>1427078</v>
      </c>
      <c r="IW52" s="251">
        <v>1300841</v>
      </c>
      <c r="IX52" s="251">
        <v>40158</v>
      </c>
      <c r="IY52" s="251">
        <v>29678</v>
      </c>
      <c r="IZ52" s="251">
        <v>64685</v>
      </c>
      <c r="JA52" s="566">
        <v>1523858</v>
      </c>
      <c r="JB52" s="251">
        <v>1381178</v>
      </c>
      <c r="JC52" s="251">
        <v>40989</v>
      </c>
      <c r="JD52" s="251">
        <v>33131</v>
      </c>
      <c r="JE52" s="251">
        <v>78088</v>
      </c>
      <c r="JF52" s="566">
        <v>1580587</v>
      </c>
      <c r="JG52" s="251">
        <v>1422900</v>
      </c>
      <c r="JH52" s="251">
        <v>46242</v>
      </c>
      <c r="JI52" s="251">
        <v>39879</v>
      </c>
      <c r="JJ52" s="251">
        <v>83391</v>
      </c>
      <c r="JK52" s="241">
        <v>375603</v>
      </c>
      <c r="JL52" s="242">
        <v>363111</v>
      </c>
      <c r="JM52" s="242">
        <v>6802</v>
      </c>
      <c r="JN52" s="242">
        <v>2161</v>
      </c>
      <c r="JO52" s="242">
        <v>5690</v>
      </c>
      <c r="JP52" s="241">
        <v>530268</v>
      </c>
      <c r="JQ52" s="242">
        <v>504486</v>
      </c>
      <c r="JR52" s="242">
        <v>10489</v>
      </c>
      <c r="JS52" s="242">
        <v>6074</v>
      </c>
      <c r="JT52" s="242">
        <v>15293</v>
      </c>
      <c r="JU52" s="241">
        <v>649278</v>
      </c>
      <c r="JV52" s="242">
        <v>608533</v>
      </c>
      <c r="JW52" s="242">
        <v>16497</v>
      </c>
      <c r="JX52" s="242">
        <v>11346</v>
      </c>
      <c r="JY52" s="242">
        <v>24248</v>
      </c>
      <c r="JZ52" s="241">
        <v>661790.20799999998</v>
      </c>
      <c r="KA52" s="242">
        <v>618343.02</v>
      </c>
      <c r="KB52" s="242">
        <v>16010.783000000001</v>
      </c>
      <c r="KC52" s="242">
        <v>12366.97</v>
      </c>
      <c r="KD52" s="242">
        <v>27436.404999999962</v>
      </c>
      <c r="KE52" s="242">
        <v>690713</v>
      </c>
      <c r="KF52" s="242">
        <v>639557</v>
      </c>
      <c r="KG52" s="242">
        <v>15357</v>
      </c>
      <c r="KH52" s="242">
        <v>12922</v>
      </c>
      <c r="KI52" s="242">
        <v>25994</v>
      </c>
      <c r="KJ52" s="242">
        <v>742544</v>
      </c>
      <c r="KK52" s="242">
        <v>678914</v>
      </c>
      <c r="KL52" s="242">
        <v>18078</v>
      </c>
      <c r="KM52" s="242">
        <v>15670</v>
      </c>
      <c r="KN52" s="242">
        <v>34197</v>
      </c>
      <c r="KO52" s="242">
        <v>758503</v>
      </c>
      <c r="KP52" s="242">
        <v>691356</v>
      </c>
      <c r="KQ52" s="242">
        <v>20366</v>
      </c>
      <c r="KR52" s="242">
        <v>18379</v>
      </c>
      <c r="KS52" s="242">
        <v>33135</v>
      </c>
      <c r="KT52" s="261" t="s">
        <v>185</v>
      </c>
      <c r="KU52" s="262" t="s">
        <v>185</v>
      </c>
      <c r="KV52" s="349">
        <v>145043</v>
      </c>
      <c r="KW52" s="350">
        <f t="shared" si="495"/>
        <v>87699</v>
      </c>
      <c r="KX52" s="350">
        <f t="shared" si="496"/>
        <v>57344</v>
      </c>
      <c r="KY52" s="350">
        <f t="shared" si="497"/>
        <v>143380</v>
      </c>
      <c r="KZ52" s="351">
        <v>86634</v>
      </c>
      <c r="LA52" s="351">
        <v>56746</v>
      </c>
      <c r="LB52" s="350">
        <f t="shared" si="498"/>
        <v>1663</v>
      </c>
      <c r="LC52" s="351">
        <v>1065</v>
      </c>
      <c r="LD52" s="351">
        <v>598</v>
      </c>
      <c r="LE52" s="349">
        <v>40332</v>
      </c>
      <c r="LF52" s="350">
        <f t="shared" si="499"/>
        <v>22736</v>
      </c>
      <c r="LG52" s="350">
        <f t="shared" si="500"/>
        <v>17596</v>
      </c>
      <c r="LH52" s="350">
        <f t="shared" si="501"/>
        <v>40139</v>
      </c>
      <c r="LI52" s="351">
        <v>22625</v>
      </c>
      <c r="LJ52" s="351">
        <v>17514</v>
      </c>
      <c r="LK52" s="350">
        <f t="shared" si="502"/>
        <v>10</v>
      </c>
      <c r="LL52" s="351">
        <v>10</v>
      </c>
      <c r="LM52" s="351">
        <v>0</v>
      </c>
      <c r="LN52" s="350">
        <f t="shared" si="503"/>
        <v>183</v>
      </c>
      <c r="LO52" s="351">
        <v>101</v>
      </c>
      <c r="LP52" s="351">
        <v>82</v>
      </c>
      <c r="LQ52" s="349">
        <v>401076</v>
      </c>
      <c r="LR52" s="350">
        <f t="shared" si="504"/>
        <v>228324</v>
      </c>
      <c r="LS52" s="350">
        <f t="shared" si="505"/>
        <v>172752</v>
      </c>
      <c r="LT52" s="365">
        <f t="shared" si="506"/>
        <v>386603</v>
      </c>
      <c r="LU52" s="351">
        <v>220638</v>
      </c>
      <c r="LV52" s="351">
        <v>165965</v>
      </c>
      <c r="LW52" s="351">
        <v>7686</v>
      </c>
      <c r="LX52" s="351">
        <v>6787</v>
      </c>
      <c r="LY52" s="365">
        <f t="shared" si="507"/>
        <v>6455</v>
      </c>
      <c r="LZ52" s="351">
        <v>3149</v>
      </c>
      <c r="MA52" s="351">
        <v>3306</v>
      </c>
      <c r="MB52" s="365">
        <f t="shared" si="508"/>
        <v>2343</v>
      </c>
      <c r="MC52" s="351">
        <v>1258</v>
      </c>
      <c r="MD52" s="351">
        <v>1085</v>
      </c>
      <c r="ME52" s="352">
        <f t="shared" si="509"/>
        <v>5675</v>
      </c>
      <c r="MF52" s="352">
        <f t="shared" si="510"/>
        <v>3279</v>
      </c>
      <c r="MG52" s="352">
        <f t="shared" si="511"/>
        <v>2396</v>
      </c>
      <c r="MH52" s="353">
        <f t="shared" si="512"/>
        <v>189</v>
      </c>
      <c r="MI52" s="353">
        <f t="shared" si="513"/>
        <v>96</v>
      </c>
      <c r="MJ52" s="353">
        <f t="shared" si="514"/>
        <v>93</v>
      </c>
      <c r="MK52" s="351">
        <v>5486</v>
      </c>
      <c r="ML52" s="351">
        <v>3183</v>
      </c>
      <c r="MM52" s="351">
        <v>2303</v>
      </c>
      <c r="MN52" s="247">
        <f t="shared" si="515"/>
        <v>548970</v>
      </c>
      <c r="MO52" s="350">
        <f t="shared" si="516"/>
        <v>291005</v>
      </c>
      <c r="MP52" s="350">
        <f t="shared" si="517"/>
        <v>257965</v>
      </c>
      <c r="MQ52" s="248">
        <f t="shared" si="518"/>
        <v>527839</v>
      </c>
      <c r="MR52" s="249">
        <f t="shared" si="519"/>
        <v>525301</v>
      </c>
      <c r="MS52" s="351">
        <v>278948</v>
      </c>
      <c r="MT52" s="351">
        <v>246353</v>
      </c>
      <c r="MU52" s="351">
        <v>12057</v>
      </c>
      <c r="MV52" s="351">
        <v>11612</v>
      </c>
      <c r="MW52" s="248">
        <f t="shared" si="520"/>
        <v>9656</v>
      </c>
      <c r="MX52" s="249">
        <f t="shared" si="521"/>
        <v>9611</v>
      </c>
      <c r="MY52" s="351">
        <v>4368</v>
      </c>
      <c r="MZ52" s="351">
        <v>5243</v>
      </c>
      <c r="NA52" s="248">
        <f t="shared" si="522"/>
        <v>3732</v>
      </c>
      <c r="NB52" s="351">
        <v>1992</v>
      </c>
      <c r="NC52" s="351">
        <v>1740</v>
      </c>
      <c r="ND52" s="250">
        <f t="shared" si="523"/>
        <v>11475</v>
      </c>
      <c r="NE52" s="354">
        <f t="shared" si="524"/>
        <v>5697</v>
      </c>
      <c r="NF52" s="354">
        <f t="shared" si="525"/>
        <v>4629</v>
      </c>
      <c r="NG52" s="355">
        <f t="shared" si="526"/>
        <v>95</v>
      </c>
      <c r="NH52" s="355">
        <f t="shared" si="527"/>
        <v>61</v>
      </c>
      <c r="NI52" s="355">
        <f t="shared" si="528"/>
        <v>34</v>
      </c>
      <c r="NJ52" s="356">
        <f t="shared" si="529"/>
        <v>10231</v>
      </c>
      <c r="NK52" s="356">
        <f t="shared" si="530"/>
        <v>5636</v>
      </c>
      <c r="NL52" s="356">
        <f t="shared" si="531"/>
        <v>4595</v>
      </c>
      <c r="NM52" s="351">
        <v>477</v>
      </c>
      <c r="NN52" s="351">
        <v>594</v>
      </c>
      <c r="NO52" s="351">
        <v>5159</v>
      </c>
      <c r="NP52" s="351">
        <v>4001</v>
      </c>
      <c r="NQ52" s="357">
        <v>779273</v>
      </c>
      <c r="NR52" s="351">
        <v>389432</v>
      </c>
      <c r="NS52" s="351">
        <v>389841</v>
      </c>
      <c r="NT52" s="251">
        <f t="shared" si="532"/>
        <v>735147</v>
      </c>
      <c r="NU52" s="251">
        <v>367942</v>
      </c>
      <c r="NV52" s="251">
        <v>367205</v>
      </c>
      <c r="NW52" s="252">
        <f t="shared" si="533"/>
        <v>729088</v>
      </c>
      <c r="NX52" s="351">
        <v>364780</v>
      </c>
      <c r="NY52" s="351">
        <v>364308</v>
      </c>
      <c r="NZ52" s="251">
        <f t="shared" si="534"/>
        <v>16007</v>
      </c>
      <c r="OA52" s="351">
        <v>7142</v>
      </c>
      <c r="OB52" s="351">
        <v>8865</v>
      </c>
      <c r="OC52" s="251">
        <f t="shared" si="535"/>
        <v>9945</v>
      </c>
      <c r="OD52" s="351">
        <v>5074</v>
      </c>
      <c r="OE52" s="351">
        <v>4871</v>
      </c>
      <c r="OF52" s="252">
        <f t="shared" si="536"/>
        <v>28119</v>
      </c>
      <c r="OG52" s="252">
        <f t="shared" si="537"/>
        <v>14348</v>
      </c>
      <c r="OH52" s="252">
        <f t="shared" si="538"/>
        <v>13771</v>
      </c>
      <c r="OI52" s="358">
        <v>926417</v>
      </c>
      <c r="OJ52" s="351">
        <v>864301</v>
      </c>
      <c r="OK52" s="351">
        <v>20659</v>
      </c>
      <c r="OL52" s="351">
        <v>41457</v>
      </c>
      <c r="OM52" s="251">
        <v>14798</v>
      </c>
      <c r="ON52" s="241">
        <v>949549</v>
      </c>
      <c r="OO52" s="242">
        <v>883830</v>
      </c>
      <c r="OP52" s="242">
        <v>22247</v>
      </c>
      <c r="OQ52" s="242">
        <v>43472</v>
      </c>
      <c r="OR52" s="242">
        <v>15736</v>
      </c>
      <c r="OS52" s="241">
        <v>954584</v>
      </c>
      <c r="OT52" s="242">
        <v>889666</v>
      </c>
      <c r="OU52" s="242">
        <v>23218</v>
      </c>
      <c r="OV52" s="242">
        <v>41700</v>
      </c>
      <c r="OW52" s="242">
        <v>15914</v>
      </c>
      <c r="OX52" s="241">
        <v>976533</v>
      </c>
      <c r="OY52" s="242">
        <v>905783</v>
      </c>
      <c r="OZ52" s="242">
        <v>25864</v>
      </c>
      <c r="PA52" s="242">
        <v>44886</v>
      </c>
      <c r="PB52" s="242">
        <v>17219</v>
      </c>
      <c r="PC52" s="241">
        <v>996488.70400000003</v>
      </c>
      <c r="PD52" s="242">
        <v>924079.29099999997</v>
      </c>
      <c r="PE52" s="242">
        <v>24498.427000000003</v>
      </c>
      <c r="PF52" s="242">
        <v>18630.759999999998</v>
      </c>
      <c r="PG52" s="242">
        <v>47910.986000000055</v>
      </c>
      <c r="PH52" s="242">
        <v>1022088</v>
      </c>
      <c r="PI52" s="242">
        <v>948281</v>
      </c>
      <c r="PJ52" s="242">
        <v>24701</v>
      </c>
      <c r="PK52" s="242">
        <v>18837</v>
      </c>
      <c r="PL52" s="2">
        <v>48928</v>
      </c>
      <c r="PM52" s="2">
        <v>1047769</v>
      </c>
      <c r="PN52" s="2">
        <v>956126</v>
      </c>
      <c r="PO52" s="2">
        <v>24894</v>
      </c>
      <c r="PP52" s="2">
        <v>20343</v>
      </c>
      <c r="PQ52" s="2">
        <v>51357</v>
      </c>
      <c r="PR52" s="2">
        <v>1112458</v>
      </c>
      <c r="PS52" s="2">
        <v>1007490</v>
      </c>
      <c r="PT52" s="2">
        <v>27499</v>
      </c>
      <c r="PU52" s="2">
        <v>22321</v>
      </c>
      <c r="PV52" s="2">
        <v>61591</v>
      </c>
      <c r="PW52" s="2">
        <v>1160175</v>
      </c>
      <c r="PX52" s="2">
        <v>1040667</v>
      </c>
      <c r="PY52" s="2">
        <v>31364</v>
      </c>
      <c r="PZ52" s="2">
        <v>28219</v>
      </c>
      <c r="QA52" s="2">
        <v>67311</v>
      </c>
      <c r="QB52" s="241">
        <v>173367</v>
      </c>
      <c r="QC52" s="242">
        <v>164728</v>
      </c>
      <c r="QD52" s="242">
        <v>2854</v>
      </c>
      <c r="QE52" s="242">
        <v>1571</v>
      </c>
      <c r="QF52" s="242">
        <v>5785</v>
      </c>
      <c r="QG52" s="241">
        <v>249005</v>
      </c>
      <c r="QH52" s="242">
        <v>230661</v>
      </c>
      <c r="QI52" s="242">
        <v>5518</v>
      </c>
      <c r="QJ52" s="242">
        <v>3871</v>
      </c>
      <c r="QK52" s="242">
        <v>12826</v>
      </c>
      <c r="QL52" s="241">
        <v>327255</v>
      </c>
      <c r="QM52" s="242">
        <v>297250</v>
      </c>
      <c r="QN52" s="242">
        <v>9367</v>
      </c>
      <c r="QO52" s="242">
        <v>5873</v>
      </c>
      <c r="QP52" s="242">
        <v>20638</v>
      </c>
      <c r="QQ52" s="241">
        <v>334698.49600000004</v>
      </c>
      <c r="QR52" s="242">
        <v>305736.27100000001</v>
      </c>
      <c r="QS52" s="242">
        <v>8487.6440000000002</v>
      </c>
      <c r="QT52" s="242">
        <v>6263.79</v>
      </c>
      <c r="QU52" s="243">
        <v>20474.581000000035</v>
      </c>
      <c r="QV52" s="3">
        <v>350048</v>
      </c>
      <c r="QW52" s="3">
        <v>316467</v>
      </c>
      <c r="QX52" s="3">
        <v>9215</v>
      </c>
      <c r="QY52" s="3">
        <v>6812</v>
      </c>
      <c r="QZ52" s="213">
        <v>24322</v>
      </c>
      <c r="RA52" s="2">
        <v>357056</v>
      </c>
      <c r="RB52" s="2">
        <v>316569</v>
      </c>
      <c r="RC52" s="2">
        <v>9537</v>
      </c>
      <c r="RD52" s="2">
        <v>7421</v>
      </c>
      <c r="RE52" s="2">
        <v>25363</v>
      </c>
      <c r="RF52" s="2">
        <v>369914</v>
      </c>
      <c r="RG52" s="2">
        <v>328576</v>
      </c>
      <c r="RH52" s="2">
        <v>9421</v>
      </c>
      <c r="RI52" s="2">
        <v>6651</v>
      </c>
      <c r="RJ52" s="2">
        <v>27394</v>
      </c>
      <c r="RK52" s="2">
        <v>401672</v>
      </c>
      <c r="RL52" s="2">
        <v>349311</v>
      </c>
      <c r="RM52" s="2">
        <v>10998</v>
      </c>
      <c r="RN52" s="2">
        <v>9840</v>
      </c>
      <c r="RO52" s="2">
        <v>34176</v>
      </c>
    </row>
    <row r="53" spans="1:483" x14ac:dyDescent="0.2">
      <c r="A53" s="223" t="s">
        <v>184</v>
      </c>
      <c r="B53" s="258" t="s">
        <v>185</v>
      </c>
      <c r="C53" s="259" t="s">
        <v>185</v>
      </c>
      <c r="D53" s="259" t="s">
        <v>185</v>
      </c>
      <c r="E53" s="259" t="s">
        <v>185</v>
      </c>
      <c r="F53" s="260" t="s">
        <v>185</v>
      </c>
      <c r="G53" s="265">
        <f>SUM(G55:G63)</f>
        <v>3152991</v>
      </c>
      <c r="H53" s="265">
        <f t="shared" ref="H53:BD53" si="549">SUM(H55:H63)</f>
        <v>2429289</v>
      </c>
      <c r="I53" s="265">
        <f t="shared" si="549"/>
        <v>360710</v>
      </c>
      <c r="J53" s="265">
        <f t="shared" si="549"/>
        <v>509379</v>
      </c>
      <c r="K53" s="266">
        <f t="shared" si="549"/>
        <v>362992</v>
      </c>
      <c r="L53" s="265">
        <f>SUM(L55:L63)</f>
        <v>2368466</v>
      </c>
      <c r="M53" s="265">
        <f t="shared" si="549"/>
        <v>1530108</v>
      </c>
      <c r="N53" s="265">
        <f t="shared" si="549"/>
        <v>253587</v>
      </c>
      <c r="O53" s="265">
        <f t="shared" si="549"/>
        <v>640469</v>
      </c>
      <c r="P53" s="266">
        <f t="shared" si="549"/>
        <v>584771</v>
      </c>
      <c r="Q53" s="362">
        <f>SUM(Q55:Q63)</f>
        <v>2033419</v>
      </c>
      <c r="R53" s="362">
        <f t="shared" ref="R53:W53" si="550">SUM(R55:R63)</f>
        <v>1173172</v>
      </c>
      <c r="S53" s="362">
        <f t="shared" si="550"/>
        <v>239051</v>
      </c>
      <c r="T53" s="362">
        <f t="shared" si="550"/>
        <v>753711</v>
      </c>
      <c r="U53" s="563">
        <f t="shared" si="550"/>
        <v>621196</v>
      </c>
      <c r="V53" s="362">
        <f>SUM(V55:V63)</f>
        <v>1994230</v>
      </c>
      <c r="W53" s="362">
        <f t="shared" si="550"/>
        <v>1101003</v>
      </c>
      <c r="X53" s="362">
        <f t="shared" ref="X53" si="551">SUM(X55:X63)</f>
        <v>232293</v>
      </c>
      <c r="Y53" s="362">
        <f t="shared" ref="Y53" si="552">SUM(Y55:Y63)</f>
        <v>774073</v>
      </c>
      <c r="Z53" s="563">
        <f t="shared" ref="Z53:AF53" si="553">SUM(Z55:Z63)</f>
        <v>660634</v>
      </c>
      <c r="AA53" s="563">
        <f t="shared" si="553"/>
        <v>1984169</v>
      </c>
      <c r="AB53" s="563">
        <f t="shared" si="553"/>
        <v>738948</v>
      </c>
      <c r="AC53" s="563">
        <f t="shared" si="553"/>
        <v>236076</v>
      </c>
      <c r="AD53" s="563">
        <f t="shared" si="553"/>
        <v>780552</v>
      </c>
      <c r="AE53" s="563">
        <f t="shared" si="553"/>
        <v>670548</v>
      </c>
      <c r="AF53" s="563">
        <f t="shared" si="553"/>
        <v>1936152</v>
      </c>
      <c r="AG53" s="563">
        <f t="shared" ref="AG53:AK53" si="554">SUM(AG55:AG63)</f>
        <v>656272</v>
      </c>
      <c r="AH53" s="563">
        <f t="shared" si="554"/>
        <v>214819</v>
      </c>
      <c r="AI53" s="563">
        <f t="shared" si="554"/>
        <v>793542</v>
      </c>
      <c r="AJ53" s="563">
        <f t="shared" si="554"/>
        <v>715084</v>
      </c>
      <c r="AK53" s="362">
        <f t="shared" si="554"/>
        <v>1880906</v>
      </c>
      <c r="AL53" s="362">
        <f t="shared" ref="AL53:AO53" si="555">SUM(AL55:AL63)</f>
        <v>625622</v>
      </c>
      <c r="AM53" s="362">
        <f t="shared" si="555"/>
        <v>209013</v>
      </c>
      <c r="AN53" s="362">
        <f t="shared" si="555"/>
        <v>796175</v>
      </c>
      <c r="AO53" s="362">
        <f t="shared" si="555"/>
        <v>673568</v>
      </c>
      <c r="AP53" s="265">
        <f>SUM(AP55:AP63)</f>
        <v>4822826</v>
      </c>
      <c r="AQ53" s="265">
        <f t="shared" si="549"/>
        <v>3741432</v>
      </c>
      <c r="AR53" s="265">
        <f t="shared" si="549"/>
        <v>774856</v>
      </c>
      <c r="AS53" s="265">
        <f t="shared" si="549"/>
        <v>454617</v>
      </c>
      <c r="AT53" s="266">
        <f t="shared" si="549"/>
        <v>306538</v>
      </c>
      <c r="AU53" s="265">
        <f>SUM(AU55:AU63)</f>
        <v>4226213</v>
      </c>
      <c r="AV53" s="265">
        <f t="shared" si="549"/>
        <v>2917410</v>
      </c>
      <c r="AW53" s="265">
        <f t="shared" si="549"/>
        <v>744066</v>
      </c>
      <c r="AX53" s="265">
        <f t="shared" si="549"/>
        <v>615288</v>
      </c>
      <c r="AY53" s="266">
        <f t="shared" si="549"/>
        <v>564737</v>
      </c>
      <c r="AZ53" s="265">
        <f>SUM(AZ55:AZ63)</f>
        <v>2836713</v>
      </c>
      <c r="BA53" s="265">
        <f t="shared" si="549"/>
        <v>1880214</v>
      </c>
      <c r="BB53" s="265">
        <f t="shared" si="549"/>
        <v>500233</v>
      </c>
      <c r="BC53" s="265">
        <f t="shared" si="549"/>
        <v>563803</v>
      </c>
      <c r="BD53" s="266">
        <f t="shared" si="549"/>
        <v>456266</v>
      </c>
      <c r="BE53" s="266">
        <f t="shared" ref="BE53:BX53" si="556">SUM(BE55:BE63)</f>
        <v>2732382</v>
      </c>
      <c r="BF53" s="266">
        <f t="shared" si="556"/>
        <v>1753313</v>
      </c>
      <c r="BG53" s="266">
        <f t="shared" si="556"/>
        <v>487288</v>
      </c>
      <c r="BH53" s="266">
        <f t="shared" si="556"/>
        <v>582601</v>
      </c>
      <c r="BI53" s="266">
        <f t="shared" si="556"/>
        <v>491289</v>
      </c>
      <c r="BJ53" s="266">
        <f t="shared" si="556"/>
        <v>2673205</v>
      </c>
      <c r="BK53" s="266">
        <f t="shared" si="556"/>
        <v>1441964</v>
      </c>
      <c r="BL53" s="266">
        <f t="shared" si="556"/>
        <v>476007</v>
      </c>
      <c r="BM53" s="266">
        <f t="shared" si="556"/>
        <v>585154</v>
      </c>
      <c r="BN53" s="266">
        <f t="shared" si="556"/>
        <v>499513</v>
      </c>
      <c r="BO53" s="266">
        <f t="shared" si="556"/>
        <v>2543994</v>
      </c>
      <c r="BP53" s="266">
        <f t="shared" si="556"/>
        <v>1299807</v>
      </c>
      <c r="BQ53" s="266">
        <f t="shared" si="556"/>
        <v>447613</v>
      </c>
      <c r="BR53" s="266">
        <f t="shared" si="556"/>
        <v>620768</v>
      </c>
      <c r="BS53" s="266">
        <f t="shared" si="556"/>
        <v>503320</v>
      </c>
      <c r="BT53" s="265">
        <f t="shared" si="556"/>
        <v>2475817</v>
      </c>
      <c r="BU53" s="265">
        <f t="shared" si="556"/>
        <v>1249232</v>
      </c>
      <c r="BV53" s="265">
        <f t="shared" si="556"/>
        <v>439011</v>
      </c>
      <c r="BW53" s="265">
        <f t="shared" si="556"/>
        <v>603153</v>
      </c>
      <c r="BX53" s="265">
        <f t="shared" si="556"/>
        <v>493645</v>
      </c>
      <c r="BY53" s="541">
        <f t="shared" ref="BY53:CC53" si="557">SUM(BY55:BY63)</f>
        <v>4799943</v>
      </c>
      <c r="BZ53" s="265">
        <f t="shared" si="557"/>
        <v>2943350</v>
      </c>
      <c r="CA53" s="265">
        <f t="shared" si="557"/>
        <v>723014</v>
      </c>
      <c r="CB53" s="265">
        <f t="shared" si="557"/>
        <v>1336073</v>
      </c>
      <c r="CC53" s="265">
        <f t="shared" si="557"/>
        <v>1133579</v>
      </c>
      <c r="CD53" s="258" t="s">
        <v>185</v>
      </c>
      <c r="CE53" s="259" t="s">
        <v>185</v>
      </c>
      <c r="CF53" s="259" t="s">
        <v>185</v>
      </c>
      <c r="CG53" s="259" t="s">
        <v>185</v>
      </c>
      <c r="CH53" s="366" t="s">
        <v>185</v>
      </c>
      <c r="CI53" s="259" t="s">
        <v>185</v>
      </c>
      <c r="CJ53" s="259" t="s">
        <v>185</v>
      </c>
      <c r="CK53" s="259" t="s">
        <v>185</v>
      </c>
      <c r="CL53" s="260" t="s">
        <v>185</v>
      </c>
      <c r="CM53" s="265">
        <f>SUM(CM55:CM63)</f>
        <v>25568811</v>
      </c>
      <c r="CN53" s="265">
        <f t="shared" ref="CN53:CQ53" si="558">SUM(CN55:CN63)</f>
        <v>22380192</v>
      </c>
      <c r="CO53" s="265">
        <f t="shared" si="558"/>
        <v>2136798</v>
      </c>
      <c r="CP53" s="265">
        <f t="shared" si="558"/>
        <v>1028293</v>
      </c>
      <c r="CQ53" s="266">
        <f t="shared" si="558"/>
        <v>1051821</v>
      </c>
      <c r="CR53" s="265">
        <f>SUM(CR55:CR63)</f>
        <v>29233508</v>
      </c>
      <c r="CS53" s="265">
        <f t="shared" ref="CS53:DK53" si="559">SUM(CS55:CS63)</f>
        <v>24358708</v>
      </c>
      <c r="CT53" s="265">
        <f t="shared" si="559"/>
        <v>2580614</v>
      </c>
      <c r="CU53" s="265">
        <f t="shared" si="559"/>
        <v>1635095</v>
      </c>
      <c r="CV53" s="265">
        <f t="shared" si="559"/>
        <v>2294186</v>
      </c>
      <c r="CW53" s="265">
        <f>SUM(CW55:CW63)</f>
        <v>31556071</v>
      </c>
      <c r="CX53" s="265">
        <f t="shared" si="559"/>
        <v>25469721</v>
      </c>
      <c r="CY53" s="265">
        <f t="shared" si="559"/>
        <v>3020951</v>
      </c>
      <c r="CZ53" s="265">
        <f t="shared" si="559"/>
        <v>3065399</v>
      </c>
      <c r="DA53" s="266">
        <f t="shared" si="559"/>
        <v>2302189</v>
      </c>
      <c r="DB53" s="265">
        <f>SUM(DB55:DB63)</f>
        <v>31876632</v>
      </c>
      <c r="DC53" s="265">
        <f t="shared" si="559"/>
        <v>25725914</v>
      </c>
      <c r="DD53" s="265">
        <f t="shared" si="559"/>
        <v>3075896</v>
      </c>
      <c r="DE53" s="265">
        <f t="shared" si="559"/>
        <v>3074822</v>
      </c>
      <c r="DF53" s="266">
        <f t="shared" si="559"/>
        <v>2369229</v>
      </c>
      <c r="DG53" s="265">
        <f>SUM(DG55:DG63)</f>
        <v>32322829</v>
      </c>
      <c r="DH53" s="265">
        <f t="shared" si="559"/>
        <v>26151525</v>
      </c>
      <c r="DI53" s="265">
        <f t="shared" si="559"/>
        <v>3157415</v>
      </c>
      <c r="DJ53" s="265">
        <f t="shared" si="559"/>
        <v>3013889</v>
      </c>
      <c r="DK53" s="265">
        <f t="shared" si="559"/>
        <v>2397141</v>
      </c>
      <c r="DL53" s="265">
        <f t="shared" ref="DL53:EE53" si="560">SUM(DL55:DL63)</f>
        <v>32461707</v>
      </c>
      <c r="DM53" s="265">
        <f t="shared" si="560"/>
        <v>26083419</v>
      </c>
      <c r="DN53" s="265">
        <f t="shared" si="560"/>
        <v>3228877</v>
      </c>
      <c r="DO53" s="265">
        <f t="shared" si="560"/>
        <v>2560693</v>
      </c>
      <c r="DP53" s="265">
        <f t="shared" si="560"/>
        <v>2754434</v>
      </c>
      <c r="DQ53" s="265">
        <f t="shared" si="560"/>
        <v>32830665.380000003</v>
      </c>
      <c r="DR53" s="265">
        <f t="shared" si="560"/>
        <v>26272943.955000002</v>
      </c>
      <c r="DS53" s="265">
        <f t="shared" si="560"/>
        <v>3275036.5630000001</v>
      </c>
      <c r="DT53" s="265">
        <f t="shared" si="560"/>
        <v>2653741.3220000002</v>
      </c>
      <c r="DU53" s="266">
        <f t="shared" si="560"/>
        <v>3282684.8619999993</v>
      </c>
      <c r="DV53" s="266">
        <f t="shared" si="560"/>
        <v>33158125</v>
      </c>
      <c r="DW53" s="265">
        <f t="shared" si="560"/>
        <v>26421693</v>
      </c>
      <c r="DX53" s="265">
        <f t="shared" si="560"/>
        <v>3345138</v>
      </c>
      <c r="DY53" s="265">
        <f t="shared" si="560"/>
        <v>2771206</v>
      </c>
      <c r="DZ53" s="265">
        <f t="shared" si="560"/>
        <v>3387808</v>
      </c>
      <c r="EA53" s="265">
        <f t="shared" si="560"/>
        <v>33503927</v>
      </c>
      <c r="EB53" s="265">
        <f t="shared" si="560"/>
        <v>25039751</v>
      </c>
      <c r="EC53" s="265">
        <f t="shared" si="560"/>
        <v>3413436</v>
      </c>
      <c r="ED53" s="265">
        <f t="shared" si="560"/>
        <v>2884957</v>
      </c>
      <c r="EE53" s="265">
        <f t="shared" si="560"/>
        <v>3527944</v>
      </c>
      <c r="EF53" s="265">
        <f t="shared" ref="EF53:EO53" si="561">SUM(EF55:EF63)</f>
        <v>34471991</v>
      </c>
      <c r="EG53" s="265">
        <f t="shared" si="561"/>
        <v>25170565</v>
      </c>
      <c r="EH53" s="265">
        <f t="shared" si="561"/>
        <v>3630268</v>
      </c>
      <c r="EI53" s="265">
        <f t="shared" si="561"/>
        <v>3221672</v>
      </c>
      <c r="EJ53" s="265">
        <f t="shared" si="561"/>
        <v>3700212</v>
      </c>
      <c r="EK53" s="265">
        <f t="shared" si="561"/>
        <v>34673031</v>
      </c>
      <c r="EL53" s="265">
        <f t="shared" si="561"/>
        <v>25146450</v>
      </c>
      <c r="EM53" s="265">
        <f t="shared" si="561"/>
        <v>3688819</v>
      </c>
      <c r="EN53" s="265">
        <f t="shared" si="561"/>
        <v>3327293</v>
      </c>
      <c r="EO53" s="265">
        <f t="shared" si="561"/>
        <v>3779355</v>
      </c>
      <c r="EP53" s="366" t="s">
        <v>185</v>
      </c>
      <c r="EQ53" s="259" t="s">
        <v>185</v>
      </c>
      <c r="ER53" s="259" t="s">
        <v>185</v>
      </c>
      <c r="ES53" s="259" t="s">
        <v>185</v>
      </c>
      <c r="ET53" s="260" t="s">
        <v>185</v>
      </c>
      <c r="EU53" s="265">
        <f>SUM(EU55:EU63)</f>
        <v>7118189</v>
      </c>
      <c r="EV53" s="265">
        <f t="shared" ref="EV53:EY53" si="562">SUM(EV55:EV63)</f>
        <v>6094768</v>
      </c>
      <c r="EW53" s="265">
        <f t="shared" si="562"/>
        <v>742501</v>
      </c>
      <c r="EX53" s="265">
        <f t="shared" si="562"/>
        <v>347471</v>
      </c>
      <c r="EY53" s="266">
        <f t="shared" si="562"/>
        <v>280920</v>
      </c>
      <c r="EZ53" s="265">
        <f>SUM(EZ55:EZ63)</f>
        <v>8399505</v>
      </c>
      <c r="FA53" s="265">
        <f t="shared" ref="FA53:KJ53" si="563">SUM(FA55:FA63)</f>
        <v>6837398</v>
      </c>
      <c r="FB53" s="265">
        <f t="shared" si="563"/>
        <v>941380</v>
      </c>
      <c r="FC53" s="265">
        <f t="shared" si="563"/>
        <v>568120</v>
      </c>
      <c r="FD53" s="266">
        <f t="shared" si="563"/>
        <v>620727</v>
      </c>
      <c r="FE53" s="265">
        <f t="shared" si="563"/>
        <v>9135202</v>
      </c>
      <c r="FF53" s="265">
        <f t="shared" si="563"/>
        <v>7211154</v>
      </c>
      <c r="FG53" s="265">
        <f t="shared" si="563"/>
        <v>1164860</v>
      </c>
      <c r="FH53" s="265">
        <f t="shared" si="563"/>
        <v>835565</v>
      </c>
      <c r="FI53" s="266">
        <f t="shared" si="563"/>
        <v>759188</v>
      </c>
      <c r="FJ53" s="265">
        <f t="shared" si="563"/>
        <v>9229012.0029999986</v>
      </c>
      <c r="FK53" s="265">
        <f t="shared" si="563"/>
        <v>7257927.5260000005</v>
      </c>
      <c r="FL53" s="265">
        <f t="shared" si="563"/>
        <v>1178605.5969999998</v>
      </c>
      <c r="FM53" s="265">
        <f t="shared" si="563"/>
        <v>872785.42200000002</v>
      </c>
      <c r="FN53" s="266">
        <f t="shared" si="563"/>
        <v>792478.87999999919</v>
      </c>
      <c r="FO53" s="266">
        <f t="shared" si="563"/>
        <v>9300602</v>
      </c>
      <c r="FP53" s="266">
        <f t="shared" si="563"/>
        <v>7268330</v>
      </c>
      <c r="FQ53" s="266">
        <f t="shared" si="563"/>
        <v>1206314</v>
      </c>
      <c r="FR53" s="266">
        <f t="shared" si="563"/>
        <v>910910</v>
      </c>
      <c r="FS53" s="266">
        <f t="shared" si="563"/>
        <v>824557</v>
      </c>
      <c r="FT53" s="266">
        <f t="shared" si="563"/>
        <v>9382819</v>
      </c>
      <c r="FU53" s="266">
        <f t="shared" si="563"/>
        <v>6801114</v>
      </c>
      <c r="FV53" s="266">
        <f t="shared" si="563"/>
        <v>1228523</v>
      </c>
      <c r="FW53" s="266">
        <f t="shared" si="563"/>
        <v>949630</v>
      </c>
      <c r="FX53" s="266">
        <f t="shared" si="563"/>
        <v>864182</v>
      </c>
      <c r="FY53" s="266">
        <f t="shared" si="563"/>
        <v>9486570</v>
      </c>
      <c r="FZ53" s="266">
        <f t="shared" si="563"/>
        <v>6718347</v>
      </c>
      <c r="GA53" s="266">
        <f t="shared" si="563"/>
        <v>1268776</v>
      </c>
      <c r="GB53" s="266">
        <f t="shared" si="563"/>
        <v>1054069</v>
      </c>
      <c r="GC53" s="266">
        <f t="shared" si="563"/>
        <v>944244</v>
      </c>
      <c r="GD53" s="265">
        <f t="shared" si="563"/>
        <v>9499781</v>
      </c>
      <c r="GE53" s="265">
        <f t="shared" si="563"/>
        <v>6667511</v>
      </c>
      <c r="GF53" s="265">
        <f t="shared" si="563"/>
        <v>1297452</v>
      </c>
      <c r="GG53" s="265">
        <f t="shared" si="563"/>
        <v>1074955</v>
      </c>
      <c r="GH53" s="265">
        <f t="shared" si="563"/>
        <v>968941</v>
      </c>
      <c r="GI53" s="360">
        <f>SUM(GI55:GI63)</f>
        <v>2063777</v>
      </c>
      <c r="GJ53" s="265">
        <f t="shared" si="563"/>
        <v>1798991</v>
      </c>
      <c r="GK53" s="265">
        <f t="shared" si="563"/>
        <v>178713</v>
      </c>
      <c r="GL53" s="265">
        <f t="shared" si="563"/>
        <v>85878</v>
      </c>
      <c r="GM53" s="266">
        <f t="shared" si="563"/>
        <v>86073</v>
      </c>
      <c r="GN53" s="265">
        <f>SUM(GN55:GN63)</f>
        <v>2359176</v>
      </c>
      <c r="GO53" s="265">
        <f t="shared" si="563"/>
        <v>1963592</v>
      </c>
      <c r="GP53" s="265">
        <f t="shared" si="563"/>
        <v>226606</v>
      </c>
      <c r="GQ53" s="265">
        <f t="shared" si="563"/>
        <v>130245</v>
      </c>
      <c r="GR53" s="266">
        <f t="shared" si="563"/>
        <v>168978</v>
      </c>
      <c r="GS53" s="265">
        <f>SUM(GS55:GS63)</f>
        <v>2845332</v>
      </c>
      <c r="GT53" s="265">
        <f t="shared" si="563"/>
        <v>2306518</v>
      </c>
      <c r="GU53" s="265">
        <f t="shared" si="563"/>
        <v>308916</v>
      </c>
      <c r="GV53" s="265">
        <f t="shared" si="563"/>
        <v>218035</v>
      </c>
      <c r="GW53" s="265">
        <f t="shared" si="563"/>
        <v>229898</v>
      </c>
      <c r="GX53" s="265">
        <f>SUM(GX55:GX63)</f>
        <v>0</v>
      </c>
      <c r="GY53" s="265">
        <f t="shared" si="563"/>
        <v>0</v>
      </c>
      <c r="GZ53" s="265">
        <f t="shared" si="563"/>
        <v>0</v>
      </c>
      <c r="HA53" s="265">
        <f t="shared" si="563"/>
        <v>0</v>
      </c>
      <c r="HB53" s="266">
        <f t="shared" si="563"/>
        <v>0</v>
      </c>
      <c r="HC53" s="266">
        <f t="shared" si="563"/>
        <v>2923458</v>
      </c>
      <c r="HD53" s="266">
        <f t="shared" si="563"/>
        <v>2366870</v>
      </c>
      <c r="HE53" s="266">
        <f t="shared" si="563"/>
        <v>310155</v>
      </c>
      <c r="HF53" s="266">
        <f t="shared" si="563"/>
        <v>236453</v>
      </c>
      <c r="HG53" s="266">
        <f t="shared" si="563"/>
        <v>246221</v>
      </c>
      <c r="HH53" s="266">
        <f t="shared" si="563"/>
        <v>2992218</v>
      </c>
      <c r="HI53" s="266">
        <f t="shared" si="563"/>
        <v>2277926</v>
      </c>
      <c r="HJ53" s="266">
        <f t="shared" si="563"/>
        <v>318075</v>
      </c>
      <c r="HK53" s="266">
        <f t="shared" si="563"/>
        <v>246258</v>
      </c>
      <c r="HL53" s="266">
        <f t="shared" si="563"/>
        <v>264887</v>
      </c>
      <c r="HM53" s="266">
        <f t="shared" si="563"/>
        <v>3121673</v>
      </c>
      <c r="HN53" s="266">
        <f t="shared" si="563"/>
        <v>2325928</v>
      </c>
      <c r="HO53" s="266">
        <f t="shared" si="563"/>
        <v>344611</v>
      </c>
      <c r="HP53" s="266">
        <f t="shared" si="563"/>
        <v>284082</v>
      </c>
      <c r="HQ53" s="266">
        <f t="shared" si="563"/>
        <v>295321</v>
      </c>
      <c r="HR53" s="265">
        <f t="shared" si="563"/>
        <v>3165163</v>
      </c>
      <c r="HS53" s="265">
        <f t="shared" si="563"/>
        <v>2337844</v>
      </c>
      <c r="HT53" s="265">
        <f t="shared" si="563"/>
        <v>359158</v>
      </c>
      <c r="HU53" s="265">
        <f t="shared" si="563"/>
        <v>295952</v>
      </c>
      <c r="HV53" s="265">
        <f t="shared" si="563"/>
        <v>314264</v>
      </c>
      <c r="HW53" s="541">
        <f t="shared" si="563"/>
        <v>9721368</v>
      </c>
      <c r="HX53" s="518">
        <f t="shared" si="563"/>
        <v>8626042</v>
      </c>
      <c r="HY53" s="518">
        <f t="shared" si="563"/>
        <v>587527</v>
      </c>
      <c r="HZ53" s="518">
        <f t="shared" si="563"/>
        <v>289537</v>
      </c>
      <c r="IA53" s="518">
        <f t="shared" si="563"/>
        <v>507799</v>
      </c>
      <c r="IB53" s="541">
        <f t="shared" si="563"/>
        <v>12196075</v>
      </c>
      <c r="IC53" s="518">
        <f t="shared" si="563"/>
        <v>10322340</v>
      </c>
      <c r="ID53" s="518">
        <f t="shared" si="563"/>
        <v>772943</v>
      </c>
      <c r="IE53" s="518">
        <f t="shared" si="563"/>
        <v>476032</v>
      </c>
      <c r="IF53" s="518">
        <f t="shared" si="563"/>
        <v>1100792</v>
      </c>
      <c r="IG53" s="265">
        <f>SUM(IG55:IG63)</f>
        <v>12340278</v>
      </c>
      <c r="IH53" s="265">
        <f t="shared" si="563"/>
        <v>10051501</v>
      </c>
      <c r="II53" s="265">
        <f t="shared" si="563"/>
        <v>910216</v>
      </c>
      <c r="IJ53" s="265">
        <f t="shared" si="563"/>
        <v>705567</v>
      </c>
      <c r="IK53" s="266">
        <f t="shared" si="563"/>
        <v>1378561</v>
      </c>
      <c r="IL53" s="362">
        <f>SUM(IL55:IL63)</f>
        <v>0</v>
      </c>
      <c r="IM53" s="362">
        <f t="shared" si="563"/>
        <v>0</v>
      </c>
      <c r="IN53" s="362">
        <f t="shared" si="563"/>
        <v>0</v>
      </c>
      <c r="IO53" s="362">
        <f t="shared" si="563"/>
        <v>0</v>
      </c>
      <c r="IP53" s="563">
        <f t="shared" si="563"/>
        <v>0</v>
      </c>
      <c r="IQ53" s="563">
        <f t="shared" si="563"/>
        <v>15407662</v>
      </c>
      <c r="IR53" s="563">
        <f t="shared" si="563"/>
        <v>12528453</v>
      </c>
      <c r="IS53" s="563">
        <f t="shared" si="563"/>
        <v>1107854</v>
      </c>
      <c r="IT53" s="563">
        <f t="shared" si="563"/>
        <v>883382</v>
      </c>
      <c r="IU53" s="563">
        <f t="shared" si="563"/>
        <v>1770105</v>
      </c>
      <c r="IV53" s="563">
        <f t="shared" si="563"/>
        <v>15763442</v>
      </c>
      <c r="IW53" s="563">
        <f t="shared" si="563"/>
        <v>12197718</v>
      </c>
      <c r="IX53" s="563">
        <f t="shared" si="563"/>
        <v>1149297</v>
      </c>
      <c r="IY53" s="563">
        <f t="shared" si="563"/>
        <v>934744</v>
      </c>
      <c r="IZ53" s="362">
        <f t="shared" si="563"/>
        <v>1867946</v>
      </c>
      <c r="JA53" s="837">
        <f t="shared" si="563"/>
        <v>16783721</v>
      </c>
      <c r="JB53" s="563">
        <f t="shared" si="563"/>
        <v>12724461</v>
      </c>
      <c r="JC53" s="563">
        <f t="shared" si="563"/>
        <v>1273248</v>
      </c>
      <c r="JD53" s="563">
        <f t="shared" si="563"/>
        <v>1090276</v>
      </c>
      <c r="JE53" s="362">
        <f t="shared" si="563"/>
        <v>2024694</v>
      </c>
      <c r="JF53" s="840">
        <f t="shared" si="563"/>
        <v>17182384</v>
      </c>
      <c r="JG53" s="362">
        <f t="shared" si="563"/>
        <v>12986306</v>
      </c>
      <c r="JH53" s="362">
        <f t="shared" si="563"/>
        <v>1337601</v>
      </c>
      <c r="JI53" s="362">
        <f t="shared" si="563"/>
        <v>1131022</v>
      </c>
      <c r="JJ53" s="362">
        <f t="shared" si="563"/>
        <v>2063001</v>
      </c>
      <c r="JK53" s="265">
        <f>SUM(JK55:JK63)</f>
        <v>4654518</v>
      </c>
      <c r="JL53" s="265">
        <f t="shared" si="563"/>
        <v>4151399</v>
      </c>
      <c r="JM53" s="265">
        <f t="shared" si="563"/>
        <v>264048</v>
      </c>
      <c r="JN53" s="265">
        <f t="shared" si="563"/>
        <v>123436</v>
      </c>
      <c r="JO53" s="266">
        <f t="shared" si="563"/>
        <v>239071</v>
      </c>
      <c r="JP53" s="265">
        <f>SUM(JP55:JP63)</f>
        <v>5890760</v>
      </c>
      <c r="JQ53" s="265">
        <f t="shared" si="563"/>
        <v>5000014</v>
      </c>
      <c r="JR53" s="265">
        <f t="shared" si="563"/>
        <v>349980</v>
      </c>
      <c r="JS53" s="265">
        <f t="shared" si="563"/>
        <v>209649</v>
      </c>
      <c r="JT53" s="265">
        <f t="shared" si="563"/>
        <v>540766</v>
      </c>
      <c r="JU53" s="265">
        <f>SUM(JU55:JU63)</f>
        <v>7126702</v>
      </c>
      <c r="JV53" s="265">
        <f t="shared" si="563"/>
        <v>5791320</v>
      </c>
      <c r="JW53" s="265">
        <f t="shared" si="563"/>
        <v>497318</v>
      </c>
      <c r="JX53" s="265">
        <f t="shared" si="563"/>
        <v>400675</v>
      </c>
      <c r="JY53" s="265">
        <f t="shared" si="563"/>
        <v>838064</v>
      </c>
      <c r="JZ53" s="265">
        <f>SUM(JZ55:JZ63)</f>
        <v>7229800.2679999992</v>
      </c>
      <c r="KA53" s="265">
        <f t="shared" si="563"/>
        <v>5866325.6270000003</v>
      </c>
      <c r="KB53" s="265">
        <f t="shared" si="563"/>
        <v>503368.30700000003</v>
      </c>
      <c r="KC53" s="265">
        <f t="shared" si="563"/>
        <v>405950.50800000003</v>
      </c>
      <c r="KD53" s="265">
        <f t="shared" si="563"/>
        <v>860106.33400000003</v>
      </c>
      <c r="KE53" s="265">
        <f t="shared" si="563"/>
        <v>7508569</v>
      </c>
      <c r="KF53" s="265">
        <f t="shared" si="563"/>
        <v>5793333</v>
      </c>
      <c r="KG53" s="265">
        <f t="shared" si="563"/>
        <v>531281</v>
      </c>
      <c r="KH53" s="265">
        <f t="shared" si="563"/>
        <v>450688</v>
      </c>
      <c r="KI53" s="265">
        <f t="shared" si="563"/>
        <v>922649</v>
      </c>
      <c r="KJ53" s="265">
        <f t="shared" si="563"/>
        <v>8030513</v>
      </c>
      <c r="KK53" s="265">
        <f t="shared" ref="KK53:KS53" si="564">SUM(KK55:KK63)</f>
        <v>6056664</v>
      </c>
      <c r="KL53" s="265">
        <f t="shared" si="564"/>
        <v>597858</v>
      </c>
      <c r="KM53" s="265">
        <f t="shared" si="564"/>
        <v>531720</v>
      </c>
      <c r="KN53" s="265">
        <f t="shared" si="564"/>
        <v>1065097</v>
      </c>
      <c r="KO53" s="265">
        <f t="shared" si="564"/>
        <v>8191733</v>
      </c>
      <c r="KP53" s="265">
        <f t="shared" si="564"/>
        <v>6185157</v>
      </c>
      <c r="KQ53" s="265">
        <f t="shared" si="564"/>
        <v>623679</v>
      </c>
      <c r="KR53" s="265">
        <f t="shared" si="564"/>
        <v>549308</v>
      </c>
      <c r="KS53" s="265">
        <f t="shared" si="564"/>
        <v>1058363</v>
      </c>
      <c r="KT53" s="366" t="s">
        <v>185</v>
      </c>
      <c r="KU53" s="259" t="s">
        <v>185</v>
      </c>
      <c r="KV53" s="284">
        <f t="shared" ref="KV53:NG53" si="565">SUM(KV55:KV63)</f>
        <v>2137841</v>
      </c>
      <c r="KW53" s="257">
        <f t="shared" si="565"/>
        <v>1345149</v>
      </c>
      <c r="KX53" s="257">
        <f t="shared" si="565"/>
        <v>792692</v>
      </c>
      <c r="KY53" s="257">
        <f t="shared" si="565"/>
        <v>2077020</v>
      </c>
      <c r="KZ53" s="257">
        <f t="shared" si="565"/>
        <v>1313092</v>
      </c>
      <c r="LA53" s="257">
        <f t="shared" si="565"/>
        <v>763928</v>
      </c>
      <c r="LB53" s="257">
        <f t="shared" si="565"/>
        <v>60821</v>
      </c>
      <c r="LC53" s="257">
        <f t="shared" si="565"/>
        <v>32057</v>
      </c>
      <c r="LD53" s="257">
        <f t="shared" si="565"/>
        <v>28764</v>
      </c>
      <c r="LE53" s="284">
        <f t="shared" si="565"/>
        <v>2901083</v>
      </c>
      <c r="LF53" s="257">
        <f t="shared" si="565"/>
        <v>1771312</v>
      </c>
      <c r="LG53" s="257">
        <f t="shared" si="565"/>
        <v>1129771</v>
      </c>
      <c r="LH53" s="257">
        <f t="shared" si="565"/>
        <v>2806036</v>
      </c>
      <c r="LI53" s="257">
        <f t="shared" si="565"/>
        <v>1723308</v>
      </c>
      <c r="LJ53" s="257">
        <f t="shared" si="565"/>
        <v>1082728</v>
      </c>
      <c r="LK53" s="257">
        <f t="shared" si="565"/>
        <v>83248</v>
      </c>
      <c r="LL53" s="257">
        <f t="shared" si="565"/>
        <v>40793</v>
      </c>
      <c r="LM53" s="257">
        <f t="shared" si="565"/>
        <v>42455</v>
      </c>
      <c r="LN53" s="257">
        <f t="shared" si="565"/>
        <v>11799</v>
      </c>
      <c r="LO53" s="257">
        <f t="shared" si="565"/>
        <v>7211</v>
      </c>
      <c r="LP53" s="257">
        <f t="shared" si="565"/>
        <v>4588</v>
      </c>
      <c r="LQ53" s="284">
        <f t="shared" si="565"/>
        <v>5156117</v>
      </c>
      <c r="LR53" s="257">
        <f t="shared" si="565"/>
        <v>2986058</v>
      </c>
      <c r="LS53" s="257">
        <f t="shared" si="565"/>
        <v>2170059</v>
      </c>
      <c r="LT53" s="265">
        <f t="shared" si="565"/>
        <v>4693626</v>
      </c>
      <c r="LU53" s="257">
        <f t="shared" si="565"/>
        <v>2742688</v>
      </c>
      <c r="LV53" s="257">
        <f t="shared" si="565"/>
        <v>1950938</v>
      </c>
      <c r="LW53" s="257">
        <f t="shared" si="565"/>
        <v>243370</v>
      </c>
      <c r="LX53" s="257">
        <f t="shared" si="565"/>
        <v>219121</v>
      </c>
      <c r="LY53" s="265">
        <f t="shared" si="565"/>
        <v>207883</v>
      </c>
      <c r="LZ53" s="257">
        <f t="shared" si="565"/>
        <v>98883</v>
      </c>
      <c r="MA53" s="257">
        <f t="shared" si="565"/>
        <v>109000</v>
      </c>
      <c r="MB53" s="265">
        <f t="shared" si="565"/>
        <v>97089</v>
      </c>
      <c r="MC53" s="257">
        <f t="shared" si="565"/>
        <v>54155</v>
      </c>
      <c r="MD53" s="257">
        <f t="shared" si="565"/>
        <v>42934</v>
      </c>
      <c r="ME53" s="257">
        <f t="shared" si="565"/>
        <v>157519</v>
      </c>
      <c r="MF53" s="257">
        <f t="shared" si="565"/>
        <v>90332</v>
      </c>
      <c r="MG53" s="257">
        <f t="shared" si="565"/>
        <v>67187</v>
      </c>
      <c r="MH53" s="257">
        <f t="shared" si="565"/>
        <v>4622</v>
      </c>
      <c r="MI53" s="257">
        <f t="shared" si="565"/>
        <v>2778</v>
      </c>
      <c r="MJ53" s="257">
        <f t="shared" si="565"/>
        <v>1844</v>
      </c>
      <c r="MK53" s="257">
        <f t="shared" si="565"/>
        <v>152897</v>
      </c>
      <c r="ML53" s="257">
        <f t="shared" si="565"/>
        <v>87554</v>
      </c>
      <c r="MM53" s="257">
        <f t="shared" si="565"/>
        <v>65343</v>
      </c>
      <c r="MN53" s="360">
        <f t="shared" si="565"/>
        <v>7657591</v>
      </c>
      <c r="MO53" s="257">
        <f t="shared" si="565"/>
        <v>4090480</v>
      </c>
      <c r="MP53" s="257">
        <f t="shared" si="565"/>
        <v>3567111</v>
      </c>
      <c r="MQ53" s="265">
        <f t="shared" si="565"/>
        <v>6827051</v>
      </c>
      <c r="MR53" s="265">
        <f t="shared" si="565"/>
        <v>6697255</v>
      </c>
      <c r="MS53" s="257">
        <f t="shared" si="565"/>
        <v>3616188</v>
      </c>
      <c r="MT53" s="257">
        <f t="shared" si="565"/>
        <v>3081067</v>
      </c>
      <c r="MU53" s="257">
        <f t="shared" si="565"/>
        <v>474292</v>
      </c>
      <c r="MV53" s="257">
        <f t="shared" si="565"/>
        <v>486044</v>
      </c>
      <c r="MW53" s="265">
        <f t="shared" si="565"/>
        <v>408814</v>
      </c>
      <c r="MX53" s="265">
        <f t="shared" si="565"/>
        <v>392325</v>
      </c>
      <c r="MY53" s="257">
        <f t="shared" si="565"/>
        <v>171774</v>
      </c>
      <c r="MZ53" s="257">
        <f t="shared" si="565"/>
        <v>220551</v>
      </c>
      <c r="NA53" s="265">
        <f t="shared" si="565"/>
        <v>203659</v>
      </c>
      <c r="NB53" s="257">
        <f t="shared" si="565"/>
        <v>102472</v>
      </c>
      <c r="NC53" s="257">
        <f t="shared" si="565"/>
        <v>101187</v>
      </c>
      <c r="ND53" s="266">
        <f t="shared" si="565"/>
        <v>421726</v>
      </c>
      <c r="NE53" s="361">
        <f t="shared" si="565"/>
        <v>200046</v>
      </c>
      <c r="NF53" s="361">
        <f t="shared" si="565"/>
        <v>164306</v>
      </c>
      <c r="NG53" s="361">
        <f t="shared" si="565"/>
        <v>7191</v>
      </c>
      <c r="NH53" s="361">
        <f t="shared" ref="NH53:PB53" si="566">SUM(NH55:NH63)</f>
        <v>2253</v>
      </c>
      <c r="NI53" s="361">
        <f t="shared" si="566"/>
        <v>4938</v>
      </c>
      <c r="NJ53" s="361">
        <f t="shared" si="566"/>
        <v>357161</v>
      </c>
      <c r="NK53" s="361">
        <f t="shared" si="566"/>
        <v>197793</v>
      </c>
      <c r="NL53" s="361">
        <f t="shared" si="566"/>
        <v>159368</v>
      </c>
      <c r="NM53" s="257">
        <f t="shared" si="566"/>
        <v>4279</v>
      </c>
      <c r="NN53" s="257">
        <f t="shared" si="566"/>
        <v>4556</v>
      </c>
      <c r="NO53" s="257">
        <f t="shared" si="566"/>
        <v>193514</v>
      </c>
      <c r="NP53" s="257">
        <f t="shared" si="566"/>
        <v>154812</v>
      </c>
      <c r="NQ53" s="309">
        <f t="shared" si="566"/>
        <v>9836899</v>
      </c>
      <c r="NR53" s="257">
        <f t="shared" si="566"/>
        <v>4924960</v>
      </c>
      <c r="NS53" s="257">
        <f t="shared" si="566"/>
        <v>4911939</v>
      </c>
      <c r="NT53" s="362">
        <f t="shared" si="566"/>
        <v>8358748</v>
      </c>
      <c r="NU53" s="362">
        <f t="shared" si="566"/>
        <v>4225795</v>
      </c>
      <c r="NV53" s="362">
        <f t="shared" si="566"/>
        <v>4132953</v>
      </c>
      <c r="NW53" s="362">
        <f t="shared" si="566"/>
        <v>8159676</v>
      </c>
      <c r="NX53" s="257">
        <f t="shared" si="566"/>
        <v>4133721</v>
      </c>
      <c r="NY53" s="257">
        <f t="shared" si="566"/>
        <v>4025955</v>
      </c>
      <c r="NZ53" s="362">
        <f t="shared" si="566"/>
        <v>546337</v>
      </c>
      <c r="OA53" s="257">
        <f t="shared" si="566"/>
        <v>226970</v>
      </c>
      <c r="OB53" s="257">
        <f t="shared" si="566"/>
        <v>319367</v>
      </c>
      <c r="OC53" s="362">
        <f t="shared" si="566"/>
        <v>345787</v>
      </c>
      <c r="OD53" s="257">
        <f t="shared" si="566"/>
        <v>155663</v>
      </c>
      <c r="OE53" s="257">
        <f t="shared" si="566"/>
        <v>190124</v>
      </c>
      <c r="OF53" s="362">
        <f t="shared" si="566"/>
        <v>931814</v>
      </c>
      <c r="OG53" s="257">
        <f t="shared" si="566"/>
        <v>472195</v>
      </c>
      <c r="OH53" s="257">
        <f t="shared" si="566"/>
        <v>459619</v>
      </c>
      <c r="OI53" s="310">
        <f t="shared" si="566"/>
        <v>11410188</v>
      </c>
      <c r="OJ53" s="257">
        <f t="shared" si="566"/>
        <v>9396873</v>
      </c>
      <c r="OK53" s="257">
        <f t="shared" si="566"/>
        <v>970143</v>
      </c>
      <c r="OL53" s="257">
        <f t="shared" si="566"/>
        <v>1308493</v>
      </c>
      <c r="OM53" s="362">
        <f t="shared" si="566"/>
        <v>525737</v>
      </c>
      <c r="ON53" s="360">
        <f t="shared" si="566"/>
        <v>11633026</v>
      </c>
      <c r="OO53" s="265">
        <f t="shared" si="566"/>
        <v>9570230</v>
      </c>
      <c r="OP53" s="265">
        <f t="shared" si="566"/>
        <v>725351</v>
      </c>
      <c r="OQ53" s="265">
        <f t="shared" si="566"/>
        <v>1337445</v>
      </c>
      <c r="OR53" s="265">
        <f t="shared" si="566"/>
        <v>548411</v>
      </c>
      <c r="OS53" s="360">
        <f t="shared" si="566"/>
        <v>11918726</v>
      </c>
      <c r="OT53" s="265">
        <f t="shared" si="566"/>
        <v>9829391</v>
      </c>
      <c r="OU53" s="265">
        <f t="shared" si="566"/>
        <v>751503</v>
      </c>
      <c r="OV53" s="265">
        <f t="shared" si="566"/>
        <v>1337832</v>
      </c>
      <c r="OW53" s="265">
        <f t="shared" si="566"/>
        <v>560180</v>
      </c>
      <c r="OX53" s="360">
        <f t="shared" si="566"/>
        <v>12028740</v>
      </c>
      <c r="OY53" s="518">
        <f t="shared" si="566"/>
        <v>9826160</v>
      </c>
      <c r="OZ53" s="518">
        <f t="shared" si="566"/>
        <v>764565</v>
      </c>
      <c r="PA53" s="518">
        <f>SUM(PA55:PA63)</f>
        <v>1438015</v>
      </c>
      <c r="PB53" s="517">
        <f t="shared" si="566"/>
        <v>605090</v>
      </c>
      <c r="PC53" s="265">
        <f>SUM(PC55:PC63)</f>
        <v>12224952.989</v>
      </c>
      <c r="PD53" s="265">
        <f>SUM(PD55:PD63)</f>
        <v>9976490.1530000009</v>
      </c>
      <c r="PE53" s="265">
        <f>SUM(PE55:PE63)</f>
        <v>777324.90600000008</v>
      </c>
      <c r="PF53" s="265">
        <f>SUM(PF55:PF63)</f>
        <v>615020.2300000001</v>
      </c>
      <c r="PG53" s="265">
        <f>SUM(PG55:PG63)</f>
        <v>1471137.9300000004</v>
      </c>
      <c r="PH53" s="265">
        <f t="shared" ref="PH53:QA53" si="567">SUM(PH55:PH63)</f>
        <v>12484204</v>
      </c>
      <c r="PI53" s="265">
        <f t="shared" si="567"/>
        <v>10161583</v>
      </c>
      <c r="PJ53" s="265">
        <f t="shared" si="567"/>
        <v>797699</v>
      </c>
      <c r="PK53" s="265">
        <f t="shared" si="567"/>
        <v>646929</v>
      </c>
      <c r="PL53" s="265">
        <f t="shared" si="567"/>
        <v>1523884</v>
      </c>
      <c r="PM53" s="265">
        <f t="shared" si="567"/>
        <v>12771224</v>
      </c>
      <c r="PN53" s="265">
        <f t="shared" si="567"/>
        <v>9919792</v>
      </c>
      <c r="PO53" s="265">
        <f t="shared" si="567"/>
        <v>831222</v>
      </c>
      <c r="PP53" s="265">
        <f t="shared" si="567"/>
        <v>688486</v>
      </c>
      <c r="PQ53" s="265">
        <f t="shared" si="567"/>
        <v>1603059</v>
      </c>
      <c r="PR53" s="265">
        <f t="shared" si="567"/>
        <v>13662048</v>
      </c>
      <c r="PS53" s="265">
        <f t="shared" si="567"/>
        <v>10398533</v>
      </c>
      <c r="PT53" s="265">
        <f t="shared" si="567"/>
        <v>928637</v>
      </c>
      <c r="PU53" s="265">
        <f t="shared" si="567"/>
        <v>806194</v>
      </c>
      <c r="PV53" s="265">
        <f t="shared" si="567"/>
        <v>1751574</v>
      </c>
      <c r="PW53" s="265">
        <f t="shared" si="567"/>
        <v>14017221</v>
      </c>
      <c r="PX53" s="265">
        <f t="shared" si="567"/>
        <v>10648462</v>
      </c>
      <c r="PY53" s="265">
        <f t="shared" si="567"/>
        <v>978443</v>
      </c>
      <c r="PZ53" s="265">
        <f t="shared" si="567"/>
        <v>835070</v>
      </c>
      <c r="QA53" s="265">
        <f t="shared" si="567"/>
        <v>1772911</v>
      </c>
      <c r="QB53" s="360">
        <f t="shared" ref="QB53:RO53" si="568">SUM(QB55:QB63)</f>
        <v>3003073</v>
      </c>
      <c r="QC53" s="265">
        <f t="shared" si="568"/>
        <v>2675652</v>
      </c>
      <c r="QD53" s="265">
        <f t="shared" si="568"/>
        <v>144766</v>
      </c>
      <c r="QE53" s="265">
        <f t="shared" si="568"/>
        <v>80223</v>
      </c>
      <c r="QF53" s="266">
        <f t="shared" si="568"/>
        <v>182655</v>
      </c>
      <c r="QG53" s="265">
        <f t="shared" si="568"/>
        <v>3946139</v>
      </c>
      <c r="QH53" s="265">
        <f t="shared" si="568"/>
        <v>3358734</v>
      </c>
      <c r="QI53" s="265">
        <f t="shared" si="568"/>
        <v>196357</v>
      </c>
      <c r="QJ53" s="265">
        <f t="shared" si="568"/>
        <v>136138</v>
      </c>
      <c r="QK53" s="265">
        <f t="shared" si="568"/>
        <v>391048</v>
      </c>
      <c r="QL53" s="360">
        <f t="shared" si="568"/>
        <v>4902038</v>
      </c>
      <c r="QM53" s="265">
        <f t="shared" si="568"/>
        <v>4034840</v>
      </c>
      <c r="QN53" s="265">
        <f t="shared" si="568"/>
        <v>267247</v>
      </c>
      <c r="QO53" s="265">
        <f t="shared" si="568"/>
        <v>204415</v>
      </c>
      <c r="QP53" s="265">
        <f t="shared" si="568"/>
        <v>599951</v>
      </c>
      <c r="QQ53" s="360">
        <f t="shared" si="568"/>
        <v>4995152.7209999999</v>
      </c>
      <c r="QR53" s="265">
        <f t="shared" si="568"/>
        <v>4110164.5260000005</v>
      </c>
      <c r="QS53" s="265">
        <f t="shared" si="568"/>
        <v>273956.59899999999</v>
      </c>
      <c r="QT53" s="265">
        <f t="shared" si="568"/>
        <v>209069.72200000001</v>
      </c>
      <c r="QU53" s="266">
        <f t="shared" si="568"/>
        <v>611031.5959999999</v>
      </c>
      <c r="QV53" s="265">
        <f t="shared" si="568"/>
        <v>5118620</v>
      </c>
      <c r="QW53" s="265">
        <f t="shared" si="568"/>
        <v>4193764</v>
      </c>
      <c r="QX53" s="265">
        <f t="shared" si="568"/>
        <v>285237</v>
      </c>
      <c r="QY53" s="265">
        <f t="shared" si="568"/>
        <v>222451</v>
      </c>
      <c r="QZ53" s="517">
        <f t="shared" si="568"/>
        <v>639237</v>
      </c>
      <c r="RA53" s="517">
        <f t="shared" si="568"/>
        <v>5262655</v>
      </c>
      <c r="RB53" s="517">
        <f t="shared" si="568"/>
        <v>4126459</v>
      </c>
      <c r="RC53" s="517">
        <f t="shared" si="568"/>
        <v>299941</v>
      </c>
      <c r="RD53" s="517">
        <f t="shared" si="568"/>
        <v>237798</v>
      </c>
      <c r="RE53" s="517">
        <f t="shared" si="568"/>
        <v>680410</v>
      </c>
      <c r="RF53" s="517">
        <f t="shared" si="568"/>
        <v>5631535</v>
      </c>
      <c r="RG53" s="517">
        <f t="shared" si="568"/>
        <v>4341869</v>
      </c>
      <c r="RH53" s="517">
        <f t="shared" si="568"/>
        <v>330779</v>
      </c>
      <c r="RI53" s="517">
        <f t="shared" si="568"/>
        <v>274474</v>
      </c>
      <c r="RJ53" s="517">
        <f t="shared" si="568"/>
        <v>776964</v>
      </c>
      <c r="RK53" s="517">
        <f t="shared" si="568"/>
        <v>5825488</v>
      </c>
      <c r="RL53" s="517">
        <f t="shared" si="568"/>
        <v>4463305</v>
      </c>
      <c r="RM53" s="517">
        <f t="shared" si="568"/>
        <v>354764</v>
      </c>
      <c r="RN53" s="517">
        <f t="shared" si="568"/>
        <v>285762</v>
      </c>
      <c r="RO53" s="517">
        <f t="shared" si="568"/>
        <v>812546</v>
      </c>
    </row>
    <row r="54" spans="1:483" ht="15" x14ac:dyDescent="0.2">
      <c r="A54" s="223" t="s">
        <v>181</v>
      </c>
      <c r="B54" s="258" t="s">
        <v>185</v>
      </c>
      <c r="C54" s="259" t="s">
        <v>185</v>
      </c>
      <c r="D54" s="259" t="s">
        <v>185</v>
      </c>
      <c r="E54" s="259" t="s">
        <v>185</v>
      </c>
      <c r="F54" s="260" t="s">
        <v>185</v>
      </c>
      <c r="G54" s="228"/>
      <c r="H54" s="228"/>
      <c r="I54" s="228"/>
      <c r="J54" s="228"/>
      <c r="K54" s="312"/>
      <c r="L54" s="228"/>
      <c r="M54" s="228"/>
      <c r="N54" s="228"/>
      <c r="O54" s="228"/>
      <c r="P54" s="312"/>
      <c r="Q54" s="325"/>
      <c r="R54" s="325"/>
      <c r="S54" s="325"/>
      <c r="T54" s="325"/>
      <c r="U54" s="574"/>
      <c r="V54" s="325"/>
      <c r="W54" s="325"/>
      <c r="X54" s="325"/>
      <c r="Y54" s="325"/>
      <c r="Z54" s="325"/>
      <c r="AA54" s="325">
        <v>0</v>
      </c>
      <c r="AB54" s="325">
        <v>0</v>
      </c>
      <c r="AC54" s="325"/>
      <c r="AD54" s="325"/>
      <c r="AE54" s="560">
        <v>0</v>
      </c>
      <c r="AF54" s="560">
        <v>0</v>
      </c>
      <c r="AG54" s="560">
        <v>0</v>
      </c>
      <c r="AH54" s="560">
        <v>0</v>
      </c>
      <c r="AI54" s="560">
        <v>0</v>
      </c>
      <c r="AJ54" s="560">
        <v>0</v>
      </c>
      <c r="AK54" s="560">
        <v>0</v>
      </c>
      <c r="AL54" s="560">
        <v>0</v>
      </c>
      <c r="AM54" s="560">
        <v>0</v>
      </c>
      <c r="AN54" s="560">
        <v>0</v>
      </c>
      <c r="AO54" s="560">
        <v>0</v>
      </c>
      <c r="AP54" s="226"/>
      <c r="AQ54" s="228"/>
      <c r="AR54" s="228"/>
      <c r="AS54" s="228"/>
      <c r="AT54" s="312"/>
      <c r="AU54" s="228"/>
      <c r="AV54" s="228"/>
      <c r="AW54" s="228"/>
      <c r="AX54" s="228"/>
      <c r="AY54" s="312"/>
      <c r="AZ54" s="228"/>
      <c r="BA54" s="228"/>
      <c r="BB54" s="228"/>
      <c r="BC54" s="228"/>
      <c r="BD54" s="312"/>
      <c r="BE54" s="228"/>
      <c r="BF54" s="228"/>
      <c r="BG54" s="228"/>
      <c r="BH54" s="228"/>
      <c r="BI54" s="228"/>
      <c r="BJ54" s="228">
        <v>0</v>
      </c>
      <c r="BK54" s="228">
        <v>0</v>
      </c>
      <c r="BL54" s="228"/>
      <c r="BM54" s="228"/>
      <c r="BN54" s="228">
        <v>0</v>
      </c>
      <c r="BO54" s="228">
        <v>0</v>
      </c>
      <c r="BP54" s="228">
        <v>0</v>
      </c>
      <c r="BQ54" s="228">
        <v>0</v>
      </c>
      <c r="BR54" s="228">
        <v>0</v>
      </c>
      <c r="BS54" s="228">
        <v>0</v>
      </c>
      <c r="BT54" s="228"/>
      <c r="BU54" s="228"/>
      <c r="BV54" s="228"/>
      <c r="BW54" s="228"/>
      <c r="BX54" s="228"/>
      <c r="BY54" s="226"/>
      <c r="BZ54" s="228"/>
      <c r="CA54" s="228"/>
      <c r="CB54" s="228"/>
      <c r="CC54" s="265"/>
      <c r="CD54" s="258" t="s">
        <v>185</v>
      </c>
      <c r="CE54" s="259" t="s">
        <v>185</v>
      </c>
      <c r="CF54" s="259" t="s">
        <v>185</v>
      </c>
      <c r="CG54" s="259" t="s">
        <v>185</v>
      </c>
      <c r="CH54" s="258" t="s">
        <v>185</v>
      </c>
      <c r="CI54" s="259" t="s">
        <v>185</v>
      </c>
      <c r="CJ54" s="259" t="s">
        <v>185</v>
      </c>
      <c r="CK54" s="259" t="s">
        <v>185</v>
      </c>
      <c r="CL54" s="260" t="s">
        <v>185</v>
      </c>
      <c r="CM54" s="228"/>
      <c r="CN54" s="228"/>
      <c r="CO54" s="228"/>
      <c r="CP54" s="228"/>
      <c r="CQ54" s="312"/>
      <c r="CR54" s="228"/>
      <c r="CS54" s="228"/>
      <c r="CT54" s="228"/>
      <c r="CU54" s="228"/>
      <c r="CV54" s="228"/>
      <c r="CW54" s="313"/>
      <c r="CX54" s="228"/>
      <c r="CY54" s="228"/>
      <c r="CZ54" s="228"/>
      <c r="DA54" s="228"/>
      <c r="DB54" s="226"/>
      <c r="DC54" s="228"/>
      <c r="DD54" s="228"/>
      <c r="DE54" s="228"/>
      <c r="DF54" s="228"/>
      <c r="DG54" s="226"/>
      <c r="DH54" s="228"/>
      <c r="DI54" s="228"/>
      <c r="DJ54" s="228"/>
      <c r="DK54" s="228"/>
      <c r="DL54" s="226"/>
      <c r="DM54" s="228"/>
      <c r="DN54" s="228"/>
      <c r="DO54" s="228"/>
      <c r="DP54" s="228"/>
      <c r="DQ54" s="226"/>
      <c r="DR54" s="228"/>
      <c r="DS54" s="228"/>
      <c r="DT54" s="228"/>
      <c r="DU54" s="266"/>
      <c r="DV54" s="228"/>
      <c r="DW54" s="228"/>
      <c r="DX54" s="228"/>
      <c r="DY54" s="228"/>
      <c r="DZ54" s="265"/>
      <c r="EA54" s="265">
        <v>0</v>
      </c>
      <c r="EB54" s="265">
        <v>0</v>
      </c>
      <c r="EC54" s="265"/>
      <c r="ED54" s="265"/>
      <c r="EE54" s="265">
        <v>0</v>
      </c>
      <c r="EF54" s="265">
        <v>0</v>
      </c>
      <c r="EG54" s="265">
        <v>0</v>
      </c>
      <c r="EH54" s="265">
        <v>0</v>
      </c>
      <c r="EI54" s="265">
        <v>0</v>
      </c>
      <c r="EJ54" s="265">
        <v>0</v>
      </c>
      <c r="EK54" s="265"/>
      <c r="EL54" s="265"/>
      <c r="EM54" s="265"/>
      <c r="EN54" s="265"/>
      <c r="EO54" s="265"/>
      <c r="EP54" s="258" t="s">
        <v>185</v>
      </c>
      <c r="EQ54" s="259" t="s">
        <v>185</v>
      </c>
      <c r="ER54" s="259" t="s">
        <v>185</v>
      </c>
      <c r="ES54" s="259" t="s">
        <v>185</v>
      </c>
      <c r="ET54" s="260" t="s">
        <v>185</v>
      </c>
      <c r="EU54" s="228"/>
      <c r="EV54" s="228"/>
      <c r="EW54" s="228"/>
      <c r="EX54" s="228"/>
      <c r="EY54" s="312"/>
      <c r="EZ54" s="228"/>
      <c r="FA54" s="228"/>
      <c r="FB54" s="228"/>
      <c r="FC54" s="228"/>
      <c r="FD54" s="312"/>
      <c r="FE54" s="228"/>
      <c r="FF54" s="228"/>
      <c r="FG54" s="228"/>
      <c r="FH54" s="228"/>
      <c r="FI54" s="312"/>
      <c r="FJ54" s="228"/>
      <c r="FK54" s="228"/>
      <c r="FL54" s="228"/>
      <c r="FM54" s="228"/>
      <c r="FN54" s="312"/>
      <c r="FO54" s="228"/>
      <c r="FP54" s="228"/>
      <c r="FQ54" s="228"/>
      <c r="FR54" s="228"/>
      <c r="FS54" s="618"/>
      <c r="FT54" s="618">
        <v>0</v>
      </c>
      <c r="FU54" s="618"/>
      <c r="FV54" s="618"/>
      <c r="FW54" s="618"/>
      <c r="FX54" s="618">
        <v>0</v>
      </c>
      <c r="FY54" s="618">
        <v>0</v>
      </c>
      <c r="FZ54" s="618"/>
      <c r="GA54" s="618"/>
      <c r="GB54" s="618"/>
      <c r="GC54" s="618">
        <v>0</v>
      </c>
      <c r="GD54" s="618"/>
      <c r="GE54" s="618"/>
      <c r="GF54" s="618"/>
      <c r="GG54" s="618"/>
      <c r="GH54" s="618"/>
      <c r="GI54" s="226"/>
      <c r="GJ54" s="228"/>
      <c r="GK54" s="228"/>
      <c r="GL54" s="228"/>
      <c r="GM54" s="312"/>
      <c r="GN54" s="228"/>
      <c r="GO54" s="228"/>
      <c r="GP54" s="228"/>
      <c r="GQ54" s="228"/>
      <c r="GR54" s="312"/>
      <c r="GS54" s="226"/>
      <c r="GT54" s="228"/>
      <c r="GU54" s="228"/>
      <c r="GV54" s="228"/>
      <c r="GW54" s="228"/>
      <c r="GX54" s="226"/>
      <c r="GY54" s="228"/>
      <c r="GZ54" s="228"/>
      <c r="HA54" s="228"/>
      <c r="HB54" s="312"/>
      <c r="HC54" s="228"/>
      <c r="HD54" s="228"/>
      <c r="HE54" s="228"/>
      <c r="HF54" s="228"/>
      <c r="HG54" s="228"/>
      <c r="HH54" s="228"/>
      <c r="HI54" s="228">
        <v>0</v>
      </c>
      <c r="HJ54" s="228"/>
      <c r="HK54" s="228"/>
      <c r="HL54" s="228">
        <v>0</v>
      </c>
      <c r="HM54" s="228">
        <v>0</v>
      </c>
      <c r="HN54" s="228"/>
      <c r="HO54" s="228"/>
      <c r="HP54" s="228"/>
      <c r="HQ54" s="228">
        <v>0</v>
      </c>
      <c r="HR54" s="228"/>
      <c r="HS54" s="228"/>
      <c r="HT54" s="228"/>
      <c r="HU54" s="228"/>
      <c r="HV54" s="228"/>
      <c r="HW54" s="360"/>
      <c r="HX54" s="265"/>
      <c r="HY54" s="265"/>
      <c r="HZ54" s="265"/>
      <c r="IA54" s="265"/>
      <c r="IB54" s="360"/>
      <c r="IC54" s="265"/>
      <c r="ID54" s="265"/>
      <c r="IE54" s="265"/>
      <c r="IF54" s="265"/>
      <c r="IG54" s="226"/>
      <c r="IH54" s="228"/>
      <c r="II54" s="228"/>
      <c r="IJ54" s="228"/>
      <c r="IK54" s="228"/>
      <c r="IL54" s="564"/>
      <c r="IM54" s="325"/>
      <c r="IN54" s="325"/>
      <c r="IO54" s="325"/>
      <c r="IP54" s="325"/>
      <c r="IQ54" s="325"/>
      <c r="IR54" s="325"/>
      <c r="IS54" s="325"/>
      <c r="IT54" s="325"/>
      <c r="IU54" s="574"/>
      <c r="IV54" s="325"/>
      <c r="IW54" s="325">
        <v>0</v>
      </c>
      <c r="IX54" s="325"/>
      <c r="IY54" s="325"/>
      <c r="IZ54" s="325">
        <v>0</v>
      </c>
      <c r="JA54" s="564">
        <v>0</v>
      </c>
      <c r="JB54" s="325"/>
      <c r="JC54" s="325"/>
      <c r="JD54" s="325"/>
      <c r="JE54" s="325">
        <v>0</v>
      </c>
      <c r="JF54" s="564"/>
      <c r="JG54" s="325"/>
      <c r="JH54" s="325"/>
      <c r="JI54" s="325"/>
      <c r="JJ54" s="325"/>
      <c r="JK54" s="226"/>
      <c r="JL54" s="228"/>
      <c r="JM54" s="228"/>
      <c r="JN54" s="228"/>
      <c r="JO54" s="228"/>
      <c r="JP54" s="226"/>
      <c r="JQ54" s="228"/>
      <c r="JR54" s="228"/>
      <c r="JS54" s="228"/>
      <c r="JT54" s="228"/>
      <c r="JU54" s="226"/>
      <c r="JV54" s="228"/>
      <c r="JW54" s="228"/>
      <c r="JX54" s="228"/>
      <c r="JY54" s="228"/>
      <c r="JZ54" s="226"/>
      <c r="KA54" s="228"/>
      <c r="KB54" s="228"/>
      <c r="KC54" s="228"/>
      <c r="KD54" s="228"/>
      <c r="KE54" s="228"/>
      <c r="KF54" s="228">
        <v>0</v>
      </c>
      <c r="KG54" s="228"/>
      <c r="KH54" s="228"/>
      <c r="KI54" s="228">
        <v>0</v>
      </c>
      <c r="KJ54" s="228">
        <v>0</v>
      </c>
      <c r="KK54" s="228"/>
      <c r="KL54" s="228"/>
      <c r="KM54" s="228"/>
      <c r="KN54" s="228">
        <v>0</v>
      </c>
      <c r="KO54" s="228"/>
      <c r="KP54" s="228"/>
      <c r="KQ54" s="228"/>
      <c r="KR54" s="228"/>
      <c r="KS54" s="228"/>
      <c r="KT54" s="258" t="s">
        <v>185</v>
      </c>
      <c r="KU54" s="259" t="s">
        <v>185</v>
      </c>
      <c r="KV54" s="316"/>
      <c r="KW54" s="318"/>
      <c r="KX54" s="318"/>
      <c r="KY54" s="318"/>
      <c r="KZ54" s="318"/>
      <c r="LA54" s="318"/>
      <c r="LB54" s="318"/>
      <c r="LC54" s="318"/>
      <c r="LD54" s="318"/>
      <c r="LE54" s="316"/>
      <c r="LF54" s="318"/>
      <c r="LG54" s="318"/>
      <c r="LH54" s="318"/>
      <c r="LI54" s="318"/>
      <c r="LJ54" s="318"/>
      <c r="LK54" s="318"/>
      <c r="LL54" s="318"/>
      <c r="LM54" s="318"/>
      <c r="LN54" s="318"/>
      <c r="LO54" s="318"/>
      <c r="LP54" s="318"/>
      <c r="LQ54" s="316"/>
      <c r="LR54" s="318"/>
      <c r="LS54" s="318"/>
      <c r="LT54" s="228"/>
      <c r="LU54" s="318"/>
      <c r="LV54" s="318"/>
      <c r="LW54" s="318"/>
      <c r="LX54" s="318"/>
      <c r="LY54" s="228"/>
      <c r="LZ54" s="318"/>
      <c r="MA54" s="318"/>
      <c r="MB54" s="228"/>
      <c r="MC54" s="318"/>
      <c r="MD54" s="318"/>
      <c r="ME54" s="318"/>
      <c r="MF54" s="318"/>
      <c r="MG54" s="318"/>
      <c r="MH54" s="334"/>
      <c r="MI54" s="334"/>
      <c r="MJ54" s="334"/>
      <c r="MK54" s="318"/>
      <c r="ML54" s="318"/>
      <c r="MM54" s="318"/>
      <c r="MN54" s="226"/>
      <c r="MO54" s="318"/>
      <c r="MP54" s="318"/>
      <c r="MQ54" s="228"/>
      <c r="MR54" s="228"/>
      <c r="MS54" s="318"/>
      <c r="MT54" s="318"/>
      <c r="MU54" s="318"/>
      <c r="MV54" s="318"/>
      <c r="MW54" s="228"/>
      <c r="MX54" s="228"/>
      <c r="MY54" s="318"/>
      <c r="MZ54" s="318"/>
      <c r="NA54" s="228"/>
      <c r="NB54" s="318"/>
      <c r="NC54" s="318"/>
      <c r="ND54" s="228"/>
      <c r="NE54" s="367"/>
      <c r="NF54" s="363"/>
      <c r="NG54" s="336"/>
      <c r="NH54" s="336"/>
      <c r="NI54" s="336"/>
      <c r="NJ54" s="363"/>
      <c r="NK54" s="363"/>
      <c r="NL54" s="363"/>
      <c r="NM54" s="318"/>
      <c r="NN54" s="318"/>
      <c r="NO54" s="318"/>
      <c r="NP54" s="318"/>
      <c r="NQ54" s="338"/>
      <c r="NR54" s="318"/>
      <c r="NS54" s="318"/>
      <c r="NT54" s="325"/>
      <c r="NU54" s="325"/>
      <c r="NV54" s="325"/>
      <c r="NW54" s="364"/>
      <c r="NX54" s="318"/>
      <c r="NY54" s="318"/>
      <c r="NZ54" s="325"/>
      <c r="OA54" s="318"/>
      <c r="OB54" s="318"/>
      <c r="OC54" s="325"/>
      <c r="OD54" s="318"/>
      <c r="OE54" s="318"/>
      <c r="OF54" s="325"/>
      <c r="OG54" s="54"/>
      <c r="OH54" s="54"/>
      <c r="OI54" s="326"/>
      <c r="OJ54" s="318"/>
      <c r="OK54" s="318"/>
      <c r="OL54" s="318"/>
      <c r="OM54" s="325"/>
      <c r="ON54" s="226"/>
      <c r="OO54" s="228"/>
      <c r="OP54" s="228"/>
      <c r="OQ54" s="228"/>
      <c r="OR54" s="228"/>
      <c r="OS54" s="226"/>
      <c r="OT54" s="228"/>
      <c r="OU54" s="228"/>
      <c r="OV54" s="228"/>
      <c r="OW54" s="228"/>
      <c r="OX54" s="226"/>
      <c r="OY54" s="228"/>
      <c r="OZ54" s="228"/>
      <c r="PA54" s="228"/>
      <c r="PB54" s="228"/>
      <c r="PC54" s="226"/>
      <c r="PD54" s="228"/>
      <c r="PE54" s="228"/>
      <c r="PF54" s="228"/>
      <c r="PG54" s="228"/>
      <c r="PH54" s="228"/>
      <c r="PI54" s="228"/>
      <c r="PJ54" s="228"/>
      <c r="PK54" s="228"/>
      <c r="PL54" s="2"/>
      <c r="PM54" s="2">
        <v>0</v>
      </c>
      <c r="PN54" s="2">
        <v>0</v>
      </c>
      <c r="PO54" s="2"/>
      <c r="PP54" s="2"/>
      <c r="PQ54" s="2">
        <v>0</v>
      </c>
      <c r="PR54" s="2">
        <v>0</v>
      </c>
      <c r="PS54" s="2"/>
      <c r="PT54" s="2"/>
      <c r="PU54" s="2"/>
      <c r="PV54" s="2">
        <v>0</v>
      </c>
      <c r="PW54" s="2"/>
      <c r="PX54" s="2"/>
      <c r="PY54" s="2"/>
      <c r="PZ54" s="2"/>
      <c r="QA54" s="2"/>
      <c r="QB54" s="226"/>
      <c r="QC54" s="228"/>
      <c r="QD54" s="228"/>
      <c r="QE54" s="228"/>
      <c r="QF54" s="228"/>
      <c r="QG54" s="226"/>
      <c r="QH54" s="228"/>
      <c r="QI54" s="228"/>
      <c r="QJ54" s="228"/>
      <c r="QK54" s="228"/>
      <c r="QL54" s="226"/>
      <c r="QM54" s="228"/>
      <c r="QN54" s="228"/>
      <c r="QO54" s="228"/>
      <c r="QP54" s="228"/>
      <c r="QQ54" s="226"/>
      <c r="QR54" s="228"/>
      <c r="QS54" s="228"/>
      <c r="QT54" s="228"/>
      <c r="QU54" s="312"/>
      <c r="QV54" s="532"/>
      <c r="QZ54" s="69"/>
      <c r="RB54" s="2">
        <v>0</v>
      </c>
      <c r="RE54" s="2">
        <v>0</v>
      </c>
      <c r="RF54" s="2">
        <v>0</v>
      </c>
      <c r="RJ54" s="2">
        <v>0</v>
      </c>
    </row>
    <row r="55" spans="1:483" ht="14.25" x14ac:dyDescent="0.2">
      <c r="A55" s="218" t="s">
        <v>21</v>
      </c>
      <c r="B55" s="258" t="s">
        <v>185</v>
      </c>
      <c r="C55" s="259" t="s">
        <v>185</v>
      </c>
      <c r="D55" s="259" t="s">
        <v>185</v>
      </c>
      <c r="E55" s="259" t="s">
        <v>185</v>
      </c>
      <c r="F55" s="260" t="s">
        <v>185</v>
      </c>
      <c r="G55" s="5">
        <v>185213</v>
      </c>
      <c r="H55" s="5">
        <v>153772</v>
      </c>
      <c r="I55" s="5">
        <v>15941</v>
      </c>
      <c r="J55" s="5">
        <v>23935</v>
      </c>
      <c r="K55" s="10">
        <v>15500</v>
      </c>
      <c r="L55" s="5">
        <v>132917</v>
      </c>
      <c r="M55" s="5">
        <v>95345</v>
      </c>
      <c r="N55" s="5">
        <v>11880</v>
      </c>
      <c r="O55" s="5">
        <v>33171</v>
      </c>
      <c r="P55" s="10">
        <v>25692</v>
      </c>
      <c r="Q55" s="7">
        <v>113739</v>
      </c>
      <c r="R55" s="7">
        <v>72472</v>
      </c>
      <c r="S55" s="7">
        <v>12508</v>
      </c>
      <c r="T55" s="7">
        <v>44753</v>
      </c>
      <c r="U55" s="577">
        <v>28759</v>
      </c>
      <c r="V55" s="7">
        <v>107430</v>
      </c>
      <c r="W55" s="7">
        <v>67322</v>
      </c>
      <c r="X55" s="7">
        <v>11684</v>
      </c>
      <c r="Y55" s="7">
        <v>44231</v>
      </c>
      <c r="Z55" s="7">
        <v>28285</v>
      </c>
      <c r="AA55" s="7">
        <v>107178</v>
      </c>
      <c r="AB55" s="7">
        <v>44280</v>
      </c>
      <c r="AC55" s="7">
        <v>11240</v>
      </c>
      <c r="AD55" s="7">
        <v>45507</v>
      </c>
      <c r="AE55" s="675">
        <v>30053</v>
      </c>
      <c r="AF55" s="560">
        <v>104772</v>
      </c>
      <c r="AG55" s="560">
        <v>39573</v>
      </c>
      <c r="AH55" s="560">
        <v>10615</v>
      </c>
      <c r="AI55" s="560">
        <v>47036</v>
      </c>
      <c r="AJ55" s="560">
        <v>30517</v>
      </c>
      <c r="AK55" s="560">
        <v>100513</v>
      </c>
      <c r="AL55" s="560">
        <v>37999</v>
      </c>
      <c r="AM55" s="560">
        <v>10574</v>
      </c>
      <c r="AN55" s="560">
        <v>46596</v>
      </c>
      <c r="AO55" s="560">
        <v>27730</v>
      </c>
      <c r="AP55" s="5">
        <v>271995</v>
      </c>
      <c r="AQ55" s="5">
        <v>223361</v>
      </c>
      <c r="AR55" s="5">
        <v>34466</v>
      </c>
      <c r="AS55" s="5">
        <v>22519</v>
      </c>
      <c r="AT55" s="10">
        <v>14168</v>
      </c>
      <c r="AU55" s="5">
        <v>234739</v>
      </c>
      <c r="AV55" s="5">
        <v>171490</v>
      </c>
      <c r="AW55" s="5">
        <v>33858</v>
      </c>
      <c r="AX55" s="5">
        <v>34415</v>
      </c>
      <c r="AY55" s="10">
        <v>29391</v>
      </c>
      <c r="AZ55" s="5">
        <v>163353</v>
      </c>
      <c r="BA55" s="5">
        <v>110327</v>
      </c>
      <c r="BB55" s="5">
        <v>27292</v>
      </c>
      <c r="BC55" s="5">
        <v>37235</v>
      </c>
      <c r="BD55" s="10">
        <v>25734</v>
      </c>
      <c r="BE55" s="5">
        <v>156360</v>
      </c>
      <c r="BF55" s="5">
        <v>105089</v>
      </c>
      <c r="BG55" s="5">
        <v>25613</v>
      </c>
      <c r="BH55" s="5">
        <v>38741</v>
      </c>
      <c r="BI55" s="5">
        <v>25628</v>
      </c>
      <c r="BJ55" s="5">
        <v>149357</v>
      </c>
      <c r="BK55" s="5">
        <v>80352</v>
      </c>
      <c r="BL55" s="5">
        <v>25021</v>
      </c>
      <c r="BM55" s="5">
        <v>38915</v>
      </c>
      <c r="BN55" s="53">
        <v>24474</v>
      </c>
      <c r="BO55" s="53">
        <v>137496</v>
      </c>
      <c r="BP55" s="53">
        <v>68315</v>
      </c>
      <c r="BQ55" s="53">
        <v>22102</v>
      </c>
      <c r="BR55" s="53">
        <v>43320</v>
      </c>
      <c r="BS55" s="53">
        <v>26163</v>
      </c>
      <c r="BT55" s="53">
        <v>133422</v>
      </c>
      <c r="BU55" s="53">
        <v>64828</v>
      </c>
      <c r="BV55" s="53">
        <v>22777</v>
      </c>
      <c r="BW55" s="53">
        <v>41008</v>
      </c>
      <c r="BX55" s="53">
        <v>23984</v>
      </c>
      <c r="BY55" s="12">
        <v>274752</v>
      </c>
      <c r="BZ55" s="5">
        <v>178164</v>
      </c>
      <c r="CA55" s="5">
        <v>39554</v>
      </c>
      <c r="CB55" s="5">
        <v>84101</v>
      </c>
      <c r="CC55" s="290">
        <f t="shared" ref="CC55:CC64" si="569">BY55-BZ55-CA55</f>
        <v>57034</v>
      </c>
      <c r="CD55" s="258" t="s">
        <v>185</v>
      </c>
      <c r="CE55" s="259" t="s">
        <v>185</v>
      </c>
      <c r="CF55" s="259" t="s">
        <v>185</v>
      </c>
      <c r="CG55" s="259" t="s">
        <v>185</v>
      </c>
      <c r="CH55" s="258" t="s">
        <v>185</v>
      </c>
      <c r="CI55" s="259" t="s">
        <v>185</v>
      </c>
      <c r="CJ55" s="259" t="s">
        <v>185</v>
      </c>
      <c r="CK55" s="259" t="s">
        <v>185</v>
      </c>
      <c r="CL55" s="260" t="s">
        <v>185</v>
      </c>
      <c r="CM55" s="5">
        <v>1741755</v>
      </c>
      <c r="CN55" s="5">
        <v>1593488</v>
      </c>
      <c r="CO55" s="5">
        <v>102204</v>
      </c>
      <c r="CP55" s="5">
        <v>53533</v>
      </c>
      <c r="CQ55" s="10">
        <v>46063</v>
      </c>
      <c r="CR55" s="5">
        <v>1927961</v>
      </c>
      <c r="CS55" s="5">
        <v>1682295</v>
      </c>
      <c r="CT55" s="5">
        <v>129789</v>
      </c>
      <c r="CU55" s="5">
        <v>95376</v>
      </c>
      <c r="CV55" s="5">
        <v>115877</v>
      </c>
      <c r="CW55" s="195">
        <v>2061899</v>
      </c>
      <c r="CX55" s="5">
        <v>1750046</v>
      </c>
      <c r="CY55" s="5">
        <v>155099</v>
      </c>
      <c r="CZ55" s="5">
        <v>156754</v>
      </c>
      <c r="DA55" s="5">
        <v>146462</v>
      </c>
      <c r="DB55" s="12">
        <v>2075997</v>
      </c>
      <c r="DC55" s="5">
        <v>1756998</v>
      </c>
      <c r="DD55" s="5">
        <v>157873</v>
      </c>
      <c r="DE55" s="5">
        <v>161126</v>
      </c>
      <c r="DF55" s="5">
        <v>151578</v>
      </c>
      <c r="DG55" s="12">
        <v>2081571</v>
      </c>
      <c r="DH55" s="54">
        <v>1759339</v>
      </c>
      <c r="DI55" s="54">
        <v>161558</v>
      </c>
      <c r="DJ55" s="54">
        <v>160674</v>
      </c>
      <c r="DK55" s="54">
        <v>152240</v>
      </c>
      <c r="DL55" s="12">
        <v>2138942</v>
      </c>
      <c r="DM55" s="5">
        <v>1794772</v>
      </c>
      <c r="DN55" s="5">
        <v>172512</v>
      </c>
      <c r="DO55" s="5">
        <v>168295</v>
      </c>
      <c r="DP55" s="5">
        <v>144720</v>
      </c>
      <c r="DQ55" s="12">
        <v>2159111.6159999999</v>
      </c>
      <c r="DR55" s="5">
        <v>1801440.5499999998</v>
      </c>
      <c r="DS55" s="5">
        <v>177774.304</v>
      </c>
      <c r="DT55" s="5">
        <v>176273.875</v>
      </c>
      <c r="DU55" s="530">
        <f t="shared" ref="DU55:DU64" si="570">DQ55-DR55-DS55</f>
        <v>179896.7620000001</v>
      </c>
      <c r="DV55" s="5">
        <v>2182623</v>
      </c>
      <c r="DW55" s="5">
        <v>1816058</v>
      </c>
      <c r="DX55" s="5">
        <v>183834</v>
      </c>
      <c r="DY55" s="5">
        <v>187392</v>
      </c>
      <c r="DZ55" s="5">
        <v>182023</v>
      </c>
      <c r="EA55" s="5">
        <v>2199635</v>
      </c>
      <c r="EB55" s="5">
        <v>1706706</v>
      </c>
      <c r="EC55" s="5">
        <v>189058</v>
      </c>
      <c r="ED55" s="5">
        <v>195995</v>
      </c>
      <c r="EE55" s="5">
        <v>188893</v>
      </c>
      <c r="EF55" s="5">
        <v>2232450</v>
      </c>
      <c r="EG55" s="5">
        <v>1686054</v>
      </c>
      <c r="EH55" s="5">
        <v>207540</v>
      </c>
      <c r="EI55" s="5">
        <v>220475</v>
      </c>
      <c r="EJ55" s="5">
        <v>204948</v>
      </c>
      <c r="EK55" s="5">
        <v>2233802</v>
      </c>
      <c r="EL55" s="5">
        <v>1675484</v>
      </c>
      <c r="EM55" s="5">
        <v>207783</v>
      </c>
      <c r="EN55" s="5">
        <v>228918</v>
      </c>
      <c r="EO55" s="5">
        <v>207499</v>
      </c>
      <c r="EP55" s="258" t="s">
        <v>185</v>
      </c>
      <c r="EQ55" s="259" t="s">
        <v>185</v>
      </c>
      <c r="ER55" s="259" t="s">
        <v>185</v>
      </c>
      <c r="ES55" s="259" t="s">
        <v>185</v>
      </c>
      <c r="ET55" s="260" t="s">
        <v>185</v>
      </c>
      <c r="EU55" s="12">
        <v>495696</v>
      </c>
      <c r="EV55" s="5">
        <v>449820</v>
      </c>
      <c r="EW55" s="5">
        <v>33515</v>
      </c>
      <c r="EX55" s="5">
        <v>17053</v>
      </c>
      <c r="EY55" s="10">
        <v>12361</v>
      </c>
      <c r="EZ55" s="12">
        <v>553667</v>
      </c>
      <c r="FA55" s="5">
        <v>476127</v>
      </c>
      <c r="FB55" s="5">
        <v>46218</v>
      </c>
      <c r="FC55" s="5">
        <v>31013</v>
      </c>
      <c r="FD55" s="10">
        <v>31322</v>
      </c>
      <c r="FE55" s="12">
        <v>600131</v>
      </c>
      <c r="FF55" s="5">
        <v>494243</v>
      </c>
      <c r="FG55" s="5">
        <v>62856</v>
      </c>
      <c r="FH55" s="5">
        <v>55507</v>
      </c>
      <c r="FI55" s="10">
        <v>43032</v>
      </c>
      <c r="FJ55" s="12">
        <v>607858</v>
      </c>
      <c r="FK55" s="5">
        <v>496880.85499999998</v>
      </c>
      <c r="FL55" s="5">
        <v>66067.712</v>
      </c>
      <c r="FM55" s="5">
        <v>58584.375</v>
      </c>
      <c r="FN55" s="10">
        <v>44909.433000000019</v>
      </c>
      <c r="FO55" s="5">
        <v>613223</v>
      </c>
      <c r="FP55" s="5">
        <v>499990</v>
      </c>
      <c r="FQ55" s="5">
        <v>68027</v>
      </c>
      <c r="FR55" s="5">
        <v>60855</v>
      </c>
      <c r="FS55" s="618">
        <v>44986</v>
      </c>
      <c r="FT55" s="618">
        <v>618421</v>
      </c>
      <c r="FU55" s="618">
        <v>460002</v>
      </c>
      <c r="FV55" s="618">
        <v>71330</v>
      </c>
      <c r="FW55" s="618">
        <v>66132</v>
      </c>
      <c r="FX55" s="618">
        <v>47806</v>
      </c>
      <c r="FY55" s="618">
        <v>605490</v>
      </c>
      <c r="FZ55" s="618">
        <v>436206</v>
      </c>
      <c r="GA55" s="618">
        <v>71396</v>
      </c>
      <c r="GB55" s="618">
        <v>72885</v>
      </c>
      <c r="GC55" s="618">
        <v>52832</v>
      </c>
      <c r="GD55" s="618">
        <v>601438</v>
      </c>
      <c r="GE55" s="618">
        <v>435977</v>
      </c>
      <c r="GF55" s="618">
        <v>74220</v>
      </c>
      <c r="GG55" s="618">
        <v>70403</v>
      </c>
      <c r="GH55" s="618">
        <v>47816</v>
      </c>
      <c r="GI55" s="12">
        <v>145278</v>
      </c>
      <c r="GJ55" s="5">
        <v>133873</v>
      </c>
      <c r="GK55" s="5">
        <v>7812</v>
      </c>
      <c r="GL55" s="5">
        <v>4016</v>
      </c>
      <c r="GM55" s="10">
        <v>3593</v>
      </c>
      <c r="GN55" s="12">
        <v>150926</v>
      </c>
      <c r="GO55" s="5">
        <v>132900</v>
      </c>
      <c r="GP55" s="5">
        <v>10071</v>
      </c>
      <c r="GQ55" s="5">
        <v>6800</v>
      </c>
      <c r="GR55" s="10">
        <v>7955</v>
      </c>
      <c r="GS55" s="12">
        <v>176024</v>
      </c>
      <c r="GT55" s="5">
        <v>148940</v>
      </c>
      <c r="GU55" s="5">
        <v>15323</v>
      </c>
      <c r="GV55" s="5">
        <v>13016</v>
      </c>
      <c r="GW55" s="5">
        <v>11761</v>
      </c>
      <c r="GX55" s="12"/>
      <c r="GY55" s="5"/>
      <c r="GZ55" s="5"/>
      <c r="HA55" s="5"/>
      <c r="HB55" s="10"/>
      <c r="HC55" s="5">
        <v>178335</v>
      </c>
      <c r="HD55" s="5">
        <v>149575</v>
      </c>
      <c r="HE55" s="5">
        <v>16735</v>
      </c>
      <c r="HF55" s="5">
        <v>13493</v>
      </c>
      <c r="HG55" s="5">
        <v>11964</v>
      </c>
      <c r="HH55" s="5">
        <v>181997</v>
      </c>
      <c r="HI55" s="5">
        <v>142002</v>
      </c>
      <c r="HJ55" s="5">
        <v>18121</v>
      </c>
      <c r="HK55" s="5">
        <v>14926</v>
      </c>
      <c r="HL55" s="5">
        <v>12383</v>
      </c>
      <c r="HM55" s="5">
        <v>187970</v>
      </c>
      <c r="HN55" s="5">
        <v>142463</v>
      </c>
      <c r="HO55" s="5">
        <v>18989</v>
      </c>
      <c r="HP55" s="5">
        <v>19257</v>
      </c>
      <c r="HQ55" s="5">
        <v>13460</v>
      </c>
      <c r="HR55" s="5">
        <v>186288</v>
      </c>
      <c r="HS55" s="5">
        <v>143782</v>
      </c>
      <c r="HT55" s="5">
        <v>19888</v>
      </c>
      <c r="HU55" s="5">
        <v>16804</v>
      </c>
      <c r="HV55" s="5">
        <v>12603</v>
      </c>
      <c r="HW55" s="569">
        <f t="shared" ref="HW55" si="571">GI55+JK55+QB55</f>
        <v>742971</v>
      </c>
      <c r="HX55" s="546">
        <f t="shared" ref="HX55" si="572">GJ55+JL55+QC55</f>
        <v>694678</v>
      </c>
      <c r="HY55" s="546">
        <f t="shared" ref="HY55" si="573">GK55+JM55+QD55</f>
        <v>26590</v>
      </c>
      <c r="HZ55" s="546">
        <f t="shared" ref="HZ55" si="574">GL55+JN55+QE55</f>
        <v>16137</v>
      </c>
      <c r="IA55" s="546">
        <f t="shared" ref="IA55" si="575">GM55+JO55+QF55</f>
        <v>21703</v>
      </c>
      <c r="IB55" s="569">
        <f t="shared" ref="IB55" si="576">GN55+JP55+QG55</f>
        <v>871920</v>
      </c>
      <c r="IC55" s="546">
        <f t="shared" ref="IC55" si="577">GO55+JQ55+QH55</f>
        <v>785763</v>
      </c>
      <c r="ID55" s="546">
        <f t="shared" ref="ID55" si="578">GP55+JR55+QI55</f>
        <v>34197</v>
      </c>
      <c r="IE55" s="546">
        <f t="shared" ref="IE55" si="579">GQ55+JS55+QJ55</f>
        <v>25226</v>
      </c>
      <c r="IF55" s="546">
        <f t="shared" ref="IF55" si="580">GR55+JT55+QK55</f>
        <v>51960</v>
      </c>
      <c r="IG55" s="12">
        <v>845786</v>
      </c>
      <c r="IH55" s="5">
        <v>729112</v>
      </c>
      <c r="II55" s="5">
        <v>45469</v>
      </c>
      <c r="IJ55" s="5">
        <v>41399</v>
      </c>
      <c r="IK55" s="5">
        <v>71205</v>
      </c>
      <c r="IL55" s="565"/>
      <c r="IM55" s="7"/>
      <c r="IN55" s="7"/>
      <c r="IO55" s="7"/>
      <c r="IP55" s="7"/>
      <c r="IQ55" s="7">
        <v>1066065</v>
      </c>
      <c r="IR55" s="7">
        <v>918929</v>
      </c>
      <c r="IS55" s="7">
        <v>57077</v>
      </c>
      <c r="IT55" s="7">
        <v>55279</v>
      </c>
      <c r="IU55" s="577">
        <v>89669</v>
      </c>
      <c r="IV55" s="7">
        <v>1087305</v>
      </c>
      <c r="IW55" s="7">
        <v>891889</v>
      </c>
      <c r="IX55" s="7">
        <v>61028</v>
      </c>
      <c r="IY55" s="7">
        <v>58752</v>
      </c>
      <c r="IZ55" s="7">
        <v>95179</v>
      </c>
      <c r="JA55" s="565">
        <v>1136014</v>
      </c>
      <c r="JB55" s="7">
        <v>911499</v>
      </c>
      <c r="JC55" s="7">
        <v>72256</v>
      </c>
      <c r="JD55" s="7">
        <v>69188</v>
      </c>
      <c r="JE55" s="7">
        <v>104206</v>
      </c>
      <c r="JF55" s="565">
        <v>1139876</v>
      </c>
      <c r="JG55" s="7">
        <v>913796</v>
      </c>
      <c r="JH55" s="7">
        <v>66965</v>
      </c>
      <c r="JI55" s="7">
        <v>73465</v>
      </c>
      <c r="JJ55" s="7">
        <v>109977</v>
      </c>
      <c r="JK55" s="12">
        <v>356289</v>
      </c>
      <c r="JL55" s="5">
        <v>335992</v>
      </c>
      <c r="JM55" s="5">
        <v>11332</v>
      </c>
      <c r="JN55" s="5">
        <v>6941</v>
      </c>
      <c r="JO55" s="5">
        <v>8965</v>
      </c>
      <c r="JP55" s="12">
        <v>416751</v>
      </c>
      <c r="JQ55" s="5">
        <v>378681</v>
      </c>
      <c r="JR55" s="5">
        <v>14716</v>
      </c>
      <c r="JS55" s="5">
        <v>10730</v>
      </c>
      <c r="JT55" s="5">
        <v>23354</v>
      </c>
      <c r="JU55" s="12">
        <v>487626</v>
      </c>
      <c r="JV55" s="5">
        <v>422154</v>
      </c>
      <c r="JW55" s="5">
        <v>24044</v>
      </c>
      <c r="JX55" s="5">
        <v>22449</v>
      </c>
      <c r="JY55" s="5">
        <v>41428</v>
      </c>
      <c r="JZ55" s="12">
        <v>491149.26399999997</v>
      </c>
      <c r="KA55" s="5">
        <v>425615.07500000001</v>
      </c>
      <c r="KB55" s="5">
        <v>24340.735999999997</v>
      </c>
      <c r="KC55" s="5">
        <v>23173.375000000004</v>
      </c>
      <c r="KD55" s="5">
        <v>41193.452999999958</v>
      </c>
      <c r="KE55" s="5">
        <v>503028</v>
      </c>
      <c r="KF55" s="5">
        <v>417234</v>
      </c>
      <c r="KG55" s="5">
        <v>25796</v>
      </c>
      <c r="KH55" s="5">
        <v>27213</v>
      </c>
      <c r="KI55" s="5">
        <v>42325</v>
      </c>
      <c r="KJ55" s="5">
        <v>535933</v>
      </c>
      <c r="KK55" s="5">
        <v>433914</v>
      </c>
      <c r="KL55" s="5">
        <v>33535</v>
      </c>
      <c r="KM55" s="5">
        <v>29382</v>
      </c>
      <c r="KN55" s="5">
        <v>48191</v>
      </c>
      <c r="KO55" s="5">
        <v>541369</v>
      </c>
      <c r="KP55" s="5">
        <v>434740</v>
      </c>
      <c r="KQ55" s="5">
        <v>30014</v>
      </c>
      <c r="KR55" s="5">
        <v>37224</v>
      </c>
      <c r="KS55" s="5">
        <v>52222</v>
      </c>
      <c r="KT55" s="258" t="s">
        <v>185</v>
      </c>
      <c r="KU55" s="259" t="s">
        <v>185</v>
      </c>
      <c r="KV55" s="12">
        <v>140535</v>
      </c>
      <c r="KW55" s="332">
        <f t="shared" ref="KW55:KW64" si="581">+KZ55+LC55</f>
        <v>87808</v>
      </c>
      <c r="KX55" s="332">
        <f t="shared" ref="KX55:KX64" si="582">+LA55+LD55</f>
        <v>52727</v>
      </c>
      <c r="KY55" s="332">
        <f t="shared" ref="KY55:KY64" si="583">+KZ55+LA55</f>
        <v>138714</v>
      </c>
      <c r="KZ55" s="318">
        <v>86783</v>
      </c>
      <c r="LA55" s="318">
        <v>51931</v>
      </c>
      <c r="LB55" s="332">
        <f t="shared" ref="LB55:LB64" si="584">+LC55+LD55</f>
        <v>1821</v>
      </c>
      <c r="LC55" s="318">
        <v>1025</v>
      </c>
      <c r="LD55" s="318">
        <v>796</v>
      </c>
      <c r="LE55" s="12">
        <v>68279</v>
      </c>
      <c r="LF55" s="332">
        <f t="shared" ref="LF55:LF64" si="585">+LI55+LL55+LO55</f>
        <v>42178</v>
      </c>
      <c r="LG55" s="332">
        <f t="shared" ref="LG55:LG64" si="586">+LJ55+LM55+LP55</f>
        <v>26101</v>
      </c>
      <c r="LH55" s="332">
        <f t="shared" ref="LH55:LH64" si="587">+LI55+LJ55</f>
        <v>67318</v>
      </c>
      <c r="LI55" s="318">
        <v>41603</v>
      </c>
      <c r="LJ55" s="318">
        <v>25715</v>
      </c>
      <c r="LK55" s="332">
        <f t="shared" ref="LK55:LK64" si="588">+LL55+LM55</f>
        <v>404</v>
      </c>
      <c r="LL55" s="318">
        <v>188</v>
      </c>
      <c r="LM55" s="318">
        <v>216</v>
      </c>
      <c r="LN55" s="332">
        <f t="shared" ref="LN55:LN64" si="589">+LO55+LP55</f>
        <v>557</v>
      </c>
      <c r="LO55" s="318">
        <v>387</v>
      </c>
      <c r="LP55" s="318">
        <v>170</v>
      </c>
      <c r="LQ55" s="12">
        <v>392564</v>
      </c>
      <c r="LR55" s="332">
        <f t="shared" ref="LR55:LR64" si="590">+LU55+LZ55+MC55+MF55</f>
        <v>230687</v>
      </c>
      <c r="LS55" s="332">
        <f t="shared" ref="LS55:LS64" si="591">+LV55+MA55+MD55+MG55</f>
        <v>161877</v>
      </c>
      <c r="LT55" s="342">
        <f t="shared" ref="LT55:LT64" si="592">+LU55+LV55</f>
        <v>372864</v>
      </c>
      <c r="LU55" s="318">
        <v>219858</v>
      </c>
      <c r="LV55" s="318">
        <v>153006</v>
      </c>
      <c r="LW55" s="318">
        <v>10829</v>
      </c>
      <c r="LX55" s="318">
        <v>8871</v>
      </c>
      <c r="LY55" s="342">
        <f t="shared" ref="LY55:LY64" si="593">+LZ55+MA55</f>
        <v>8908</v>
      </c>
      <c r="LZ55" s="318">
        <v>4563</v>
      </c>
      <c r="MA55" s="318">
        <v>4345</v>
      </c>
      <c r="MB55" s="342">
        <f t="shared" ref="MB55:MB64" si="594">+MC55+MD55</f>
        <v>4644</v>
      </c>
      <c r="MC55" s="318">
        <v>2679</v>
      </c>
      <c r="MD55" s="318">
        <v>1965</v>
      </c>
      <c r="ME55" s="333">
        <f t="shared" ref="ME55:ME64" si="595">+MF55+MG55</f>
        <v>6148</v>
      </c>
      <c r="MF55" s="333">
        <f t="shared" ref="MF55:MF64" si="596">+MI55+ML55</f>
        <v>3587</v>
      </c>
      <c r="MG55" s="333">
        <f t="shared" ref="MG55:MG64" si="597">+MJ55+MM55</f>
        <v>2561</v>
      </c>
      <c r="MH55" s="334">
        <f t="shared" ref="MH55:MH64" si="598">+MI55+MJ55</f>
        <v>94</v>
      </c>
      <c r="MI55" s="334">
        <f t="shared" ref="MI55:MI64" si="599">+LW55-LZ55-MC55-ML55</f>
        <v>56</v>
      </c>
      <c r="MJ55" s="334">
        <f t="shared" ref="MJ55:MJ64" si="600">+LX55-MA55-MD55-MM55</f>
        <v>38</v>
      </c>
      <c r="MK55" s="318">
        <v>6054</v>
      </c>
      <c r="ML55" s="318">
        <v>3531</v>
      </c>
      <c r="MM55" s="318">
        <v>2523</v>
      </c>
      <c r="MN55" s="14">
        <f t="shared" ref="MN55:MN64" si="601">+JK55+QB55</f>
        <v>597693</v>
      </c>
      <c r="MO55" s="332">
        <f t="shared" ref="MO55:MO64" si="602">+MS55+MY55+NB55+NE55</f>
        <v>322302</v>
      </c>
      <c r="MP55" s="332">
        <f t="shared" ref="MP55:MP64" si="603">+MT55+MZ55+NC55+NF55</f>
        <v>275391</v>
      </c>
      <c r="MQ55" s="13">
        <f t="shared" ref="MQ55:MQ64" si="604">+JL55+QC55</f>
        <v>560805</v>
      </c>
      <c r="MR55" s="136">
        <f t="shared" ref="MR55:MR64" si="605">+MS55+MT55</f>
        <v>552279</v>
      </c>
      <c r="MS55" s="318">
        <v>299201</v>
      </c>
      <c r="MT55" s="318">
        <v>253078</v>
      </c>
      <c r="MU55" s="318">
        <v>23101</v>
      </c>
      <c r="MV55" s="318">
        <v>22313</v>
      </c>
      <c r="MW55" s="13">
        <f t="shared" ref="MW55:MW64" si="606">+JM55+QD55</f>
        <v>18778</v>
      </c>
      <c r="MX55" s="136">
        <f t="shared" ref="MX55:MX64" si="607">+MY55+MZ55</f>
        <v>18300</v>
      </c>
      <c r="MY55" s="318">
        <v>8517</v>
      </c>
      <c r="MZ55" s="318">
        <v>9783</v>
      </c>
      <c r="NA55" s="13">
        <f t="shared" ref="NA55:NA64" si="608">+NB55+NC55</f>
        <v>12121</v>
      </c>
      <c r="NB55" s="318">
        <v>6216</v>
      </c>
      <c r="NC55" s="318">
        <v>5905</v>
      </c>
      <c r="ND55" s="13">
        <f t="shared" ref="ND55:ND64" si="609">+JO55+QF55</f>
        <v>18110</v>
      </c>
      <c r="NE55" s="368">
        <f t="shared" ref="NE55:NE64" si="610">+NH55+NK55</f>
        <v>8368</v>
      </c>
      <c r="NF55" s="335">
        <f t="shared" ref="NF55:NF64" si="611">+NI55+NL55</f>
        <v>6625</v>
      </c>
      <c r="NG55" s="336">
        <f t="shared" ref="NG55:NG64" si="612">+NH55+NI55</f>
        <v>247</v>
      </c>
      <c r="NH55" s="336">
        <f t="shared" ref="NH55:NH64" si="613">+MU55-MY55-NB55-NK55</f>
        <v>170</v>
      </c>
      <c r="NI55" s="336">
        <f t="shared" ref="NI55:NI64" si="614">+MV55-MZ55-NC55-NL55</f>
        <v>77</v>
      </c>
      <c r="NJ55" s="337">
        <f t="shared" ref="NJ55:NJ64" si="615">+NK55+NL55</f>
        <v>14746</v>
      </c>
      <c r="NK55" s="337">
        <f t="shared" ref="NK55:NK64" si="616">+NM55+NO55</f>
        <v>8198</v>
      </c>
      <c r="NL55" s="337">
        <f t="shared" ref="NL55:NL64" si="617">+NN55+NP55</f>
        <v>6548</v>
      </c>
      <c r="NM55" s="318">
        <v>265</v>
      </c>
      <c r="NN55" s="318">
        <v>266</v>
      </c>
      <c r="NO55" s="318">
        <v>7933</v>
      </c>
      <c r="NP55" s="318">
        <v>6282</v>
      </c>
      <c r="NQ55" s="338">
        <v>720994</v>
      </c>
      <c r="NR55" s="318">
        <v>361679</v>
      </c>
      <c r="NS55" s="318">
        <v>359315</v>
      </c>
      <c r="NT55" s="7">
        <f t="shared" ref="NT55:NT64" si="618">+JQ55+QH55</f>
        <v>652863</v>
      </c>
      <c r="NU55" s="7">
        <v>328763</v>
      </c>
      <c r="NV55" s="7">
        <v>324100</v>
      </c>
      <c r="NW55" s="125">
        <f t="shared" ref="NW55:NW64" si="619">+NX55+NY55</f>
        <v>640851</v>
      </c>
      <c r="NX55" s="318">
        <v>323247</v>
      </c>
      <c r="NY55" s="318">
        <v>317604</v>
      </c>
      <c r="NZ55" s="7">
        <f t="shared" ref="NZ55:NZ64" si="620">+OA55+OB55</f>
        <v>24126</v>
      </c>
      <c r="OA55" s="318">
        <v>10414</v>
      </c>
      <c r="OB55" s="318">
        <v>13712</v>
      </c>
      <c r="OC55" s="7">
        <f t="shared" ref="OC55:OC64" si="621">+OD55+OE55</f>
        <v>18426</v>
      </c>
      <c r="OD55" s="318">
        <v>8319</v>
      </c>
      <c r="OE55" s="318">
        <v>10107</v>
      </c>
      <c r="OF55" s="125">
        <f t="shared" ref="OF55:OF64" si="622">+NQ55-NT55-NZ55</f>
        <v>44005</v>
      </c>
      <c r="OG55" s="125">
        <f t="shared" ref="OG55:OG64" si="623">+NR55-NU55-OA55</f>
        <v>22502</v>
      </c>
      <c r="OH55" s="125">
        <f t="shared" ref="OH55:OH64" si="624">+NS55-NV55-OB55</f>
        <v>21503</v>
      </c>
      <c r="OI55" s="326">
        <v>804909</v>
      </c>
      <c r="OJ55" s="318">
        <v>708026</v>
      </c>
      <c r="OK55" s="318">
        <v>32914</v>
      </c>
      <c r="OL55" s="318">
        <v>63969</v>
      </c>
      <c r="OM55" s="7">
        <v>29969</v>
      </c>
      <c r="ON55" s="338">
        <v>818709</v>
      </c>
      <c r="OO55" s="5">
        <v>716156</v>
      </c>
      <c r="OP55" s="5">
        <v>34646</v>
      </c>
      <c r="OQ55" s="5">
        <v>67907</v>
      </c>
      <c r="OR55" s="5">
        <v>32374</v>
      </c>
      <c r="OS55" s="338">
        <v>834589</v>
      </c>
      <c r="OT55" s="5">
        <v>728265</v>
      </c>
      <c r="OU55" s="5">
        <v>36514</v>
      </c>
      <c r="OV55" s="5">
        <v>69810</v>
      </c>
      <c r="OW55" s="5">
        <v>33312</v>
      </c>
      <c r="OX55" s="12">
        <v>860375</v>
      </c>
      <c r="OY55" s="5">
        <v>747268</v>
      </c>
      <c r="OZ55" s="5">
        <v>37815</v>
      </c>
      <c r="PA55" s="5">
        <v>75292</v>
      </c>
      <c r="PB55" s="5">
        <v>36219</v>
      </c>
      <c r="PC55" s="12">
        <v>870452.65599999996</v>
      </c>
      <c r="PD55" s="5">
        <v>756209.11</v>
      </c>
      <c r="PE55" s="5">
        <v>38684.383999999998</v>
      </c>
      <c r="PF55" s="5">
        <v>37233.625000000007</v>
      </c>
      <c r="PG55" s="5">
        <v>75559.161999999982</v>
      </c>
      <c r="PH55" s="5">
        <v>887730</v>
      </c>
      <c r="PI55" s="5">
        <v>769354</v>
      </c>
      <c r="PJ55" s="5">
        <v>40342</v>
      </c>
      <c r="PK55" s="5">
        <v>41786</v>
      </c>
      <c r="PL55" s="2">
        <v>77705</v>
      </c>
      <c r="PM55" s="2">
        <v>905308</v>
      </c>
      <c r="PN55" s="2">
        <v>749887</v>
      </c>
      <c r="PO55" s="2">
        <v>42907</v>
      </c>
      <c r="PP55" s="2">
        <v>43826</v>
      </c>
      <c r="PQ55" s="2">
        <v>82796</v>
      </c>
      <c r="PR55" s="2">
        <v>948044</v>
      </c>
      <c r="PS55" s="2">
        <v>769036</v>
      </c>
      <c r="PT55" s="2">
        <v>53267</v>
      </c>
      <c r="PU55" s="2">
        <v>49931</v>
      </c>
      <c r="PV55" s="2">
        <v>90746</v>
      </c>
      <c r="PW55" s="2">
        <v>953588</v>
      </c>
      <c r="PX55" s="2">
        <v>770014</v>
      </c>
      <c r="PY55" s="2">
        <v>47077</v>
      </c>
      <c r="PZ55" s="2">
        <v>56661</v>
      </c>
      <c r="QA55" s="2">
        <v>97374</v>
      </c>
      <c r="QB55" s="12">
        <v>241404</v>
      </c>
      <c r="QC55" s="5">
        <v>224813</v>
      </c>
      <c r="QD55" s="5">
        <v>7446</v>
      </c>
      <c r="QE55" s="5">
        <v>5180</v>
      </c>
      <c r="QF55" s="5">
        <v>9145</v>
      </c>
      <c r="QG55" s="12">
        <v>304243</v>
      </c>
      <c r="QH55" s="5">
        <v>274182</v>
      </c>
      <c r="QI55" s="5">
        <v>9410</v>
      </c>
      <c r="QJ55" s="5">
        <v>7696</v>
      </c>
      <c r="QK55" s="5">
        <v>20651</v>
      </c>
      <c r="QL55" s="12">
        <v>372749</v>
      </c>
      <c r="QM55" s="5">
        <v>325114</v>
      </c>
      <c r="QN55" s="5">
        <v>13771</v>
      </c>
      <c r="QO55" s="5">
        <v>13770</v>
      </c>
      <c r="QP55" s="5">
        <v>33864</v>
      </c>
      <c r="QQ55" s="12">
        <v>379303.39199999999</v>
      </c>
      <c r="QR55" s="5">
        <v>330594.03499999997</v>
      </c>
      <c r="QS55" s="5">
        <v>14343.648000000001</v>
      </c>
      <c r="QT55" s="5">
        <v>14060.250000000002</v>
      </c>
      <c r="QU55" s="10">
        <v>34365.709000000017</v>
      </c>
      <c r="QV55" s="1">
        <v>389914</v>
      </c>
      <c r="QW55" s="2">
        <v>338533</v>
      </c>
      <c r="QX55" s="2">
        <v>15462</v>
      </c>
      <c r="QY55" s="2">
        <v>15817</v>
      </c>
      <c r="QZ55" s="69">
        <v>35808</v>
      </c>
      <c r="RA55" s="2">
        <v>402280</v>
      </c>
      <c r="RB55" s="2">
        <v>332653</v>
      </c>
      <c r="RC55" s="2">
        <v>17111</v>
      </c>
      <c r="RD55" s="2">
        <v>16613</v>
      </c>
      <c r="RE55" s="2">
        <v>40471</v>
      </c>
      <c r="RF55" s="2">
        <v>412111</v>
      </c>
      <c r="RG55" s="2">
        <v>335122</v>
      </c>
      <c r="RH55" s="2">
        <v>19732</v>
      </c>
      <c r="RI55" s="2">
        <v>20549</v>
      </c>
      <c r="RJ55" s="2">
        <v>42555</v>
      </c>
      <c r="RK55" s="2">
        <v>412219</v>
      </c>
      <c r="RL55" s="2">
        <v>335274</v>
      </c>
      <c r="RM55" s="2">
        <v>17063</v>
      </c>
      <c r="RN55" s="2">
        <v>19437</v>
      </c>
      <c r="RO55" s="2">
        <v>45152</v>
      </c>
    </row>
    <row r="56" spans="1:483" ht="14.25" x14ac:dyDescent="0.2">
      <c r="A56" s="218" t="s">
        <v>28</v>
      </c>
      <c r="B56" s="258" t="s">
        <v>185</v>
      </c>
      <c r="C56" s="259" t="s">
        <v>185</v>
      </c>
      <c r="D56" s="259" t="s">
        <v>185</v>
      </c>
      <c r="E56" s="259" t="s">
        <v>185</v>
      </c>
      <c r="F56" s="260" t="s">
        <v>185</v>
      </c>
      <c r="G56" s="5">
        <v>70153</v>
      </c>
      <c r="H56" s="5">
        <v>69001</v>
      </c>
      <c r="I56" s="5">
        <v>67</v>
      </c>
      <c r="J56" s="5">
        <v>175</v>
      </c>
      <c r="K56" s="10">
        <v>1085</v>
      </c>
      <c r="L56" s="5">
        <v>47183</v>
      </c>
      <c r="M56" s="5">
        <v>45360</v>
      </c>
      <c r="N56" s="5">
        <v>140</v>
      </c>
      <c r="O56" s="5">
        <v>470</v>
      </c>
      <c r="P56" s="5">
        <v>1683</v>
      </c>
      <c r="Q56" s="565">
        <v>34125</v>
      </c>
      <c r="R56" s="7">
        <v>31472</v>
      </c>
      <c r="S56" s="7">
        <v>530</v>
      </c>
      <c r="T56" s="7">
        <v>516</v>
      </c>
      <c r="U56" s="7">
        <v>2123</v>
      </c>
      <c r="V56" s="7">
        <v>31509</v>
      </c>
      <c r="W56" s="7">
        <v>28697</v>
      </c>
      <c r="X56" s="7">
        <v>797</v>
      </c>
      <c r="Y56" s="7">
        <v>580</v>
      </c>
      <c r="Z56" s="7">
        <v>2015</v>
      </c>
      <c r="AA56" s="7">
        <v>29613</v>
      </c>
      <c r="AB56" s="7">
        <v>26235</v>
      </c>
      <c r="AC56" s="7">
        <v>797</v>
      </c>
      <c r="AD56" s="7">
        <v>648</v>
      </c>
      <c r="AE56" s="675">
        <v>2103</v>
      </c>
      <c r="AF56" s="560">
        <v>27176</v>
      </c>
      <c r="AG56" s="560">
        <v>24375</v>
      </c>
      <c r="AH56" s="560">
        <v>699</v>
      </c>
      <c r="AI56" s="560">
        <v>442</v>
      </c>
      <c r="AJ56" s="560">
        <v>1785</v>
      </c>
      <c r="AK56" s="560">
        <v>25640</v>
      </c>
      <c r="AL56" s="560">
        <v>22798</v>
      </c>
      <c r="AM56" s="560">
        <v>846</v>
      </c>
      <c r="AN56" s="560">
        <v>664</v>
      </c>
      <c r="AO56" s="560">
        <v>1421</v>
      </c>
      <c r="AP56" s="12">
        <v>98307</v>
      </c>
      <c r="AQ56" s="5">
        <v>97091</v>
      </c>
      <c r="AR56" s="5">
        <v>246</v>
      </c>
      <c r="AS56" s="5">
        <v>370</v>
      </c>
      <c r="AT56" s="5">
        <v>970</v>
      </c>
      <c r="AU56" s="5">
        <v>80105</v>
      </c>
      <c r="AV56" s="5">
        <v>77586</v>
      </c>
      <c r="AW56" s="5">
        <v>302</v>
      </c>
      <c r="AX56" s="5">
        <v>465</v>
      </c>
      <c r="AY56" s="10">
        <v>2217</v>
      </c>
      <c r="AZ56" s="5">
        <v>58338</v>
      </c>
      <c r="BA56" s="5">
        <v>55582</v>
      </c>
      <c r="BB56" s="5">
        <v>497</v>
      </c>
      <c r="BC56" s="5">
        <v>455</v>
      </c>
      <c r="BD56" s="10">
        <v>2259</v>
      </c>
      <c r="BE56" s="5">
        <v>53740</v>
      </c>
      <c r="BF56" s="5">
        <v>50576</v>
      </c>
      <c r="BG56" s="5">
        <v>771</v>
      </c>
      <c r="BH56" s="5">
        <v>661</v>
      </c>
      <c r="BI56" s="5">
        <v>2351</v>
      </c>
      <c r="BJ56" s="5">
        <v>51349</v>
      </c>
      <c r="BK56" s="5">
        <v>47554</v>
      </c>
      <c r="BL56" s="5">
        <v>713</v>
      </c>
      <c r="BM56" s="5">
        <v>1030</v>
      </c>
      <c r="BN56" s="53">
        <v>2452</v>
      </c>
      <c r="BO56" s="53">
        <v>52423</v>
      </c>
      <c r="BP56" s="53">
        <v>48326</v>
      </c>
      <c r="BQ56" s="53">
        <v>510</v>
      </c>
      <c r="BR56" s="53">
        <v>274</v>
      </c>
      <c r="BS56" s="53">
        <v>3291</v>
      </c>
      <c r="BT56" s="53">
        <v>48498</v>
      </c>
      <c r="BU56" s="53">
        <v>44866</v>
      </c>
      <c r="BV56" s="53">
        <v>845</v>
      </c>
      <c r="BW56" s="53">
        <v>597</v>
      </c>
      <c r="BX56" s="53">
        <v>2250</v>
      </c>
      <c r="BY56" s="12">
        <v>88186</v>
      </c>
      <c r="BZ56" s="5">
        <v>82562</v>
      </c>
      <c r="CA56" s="5"/>
      <c r="CB56" s="5"/>
      <c r="CC56" s="290">
        <f t="shared" si="569"/>
        <v>5624</v>
      </c>
      <c r="CD56" s="258" t="s">
        <v>185</v>
      </c>
      <c r="CE56" s="259" t="s">
        <v>185</v>
      </c>
      <c r="CF56" s="259" t="s">
        <v>185</v>
      </c>
      <c r="CG56" s="259" t="s">
        <v>185</v>
      </c>
      <c r="CH56" s="258" t="s">
        <v>185</v>
      </c>
      <c r="CI56" s="259" t="s">
        <v>185</v>
      </c>
      <c r="CJ56" s="259" t="s">
        <v>185</v>
      </c>
      <c r="CK56" s="259" t="s">
        <v>185</v>
      </c>
      <c r="CL56" s="260" t="s">
        <v>185</v>
      </c>
      <c r="CM56" s="5">
        <v>627153</v>
      </c>
      <c r="CN56" s="5">
        <v>619443</v>
      </c>
      <c r="CO56" s="5">
        <v>2211</v>
      </c>
      <c r="CP56" s="5">
        <v>2829</v>
      </c>
      <c r="CQ56" s="10">
        <v>5499</v>
      </c>
      <c r="CR56" s="5">
        <v>742605</v>
      </c>
      <c r="CS56" s="5">
        <v>726865</v>
      </c>
      <c r="CT56" s="5">
        <v>2440</v>
      </c>
      <c r="CU56" s="5">
        <v>3569</v>
      </c>
      <c r="CV56" s="5">
        <v>13300</v>
      </c>
      <c r="CW56" s="195">
        <v>815224</v>
      </c>
      <c r="CX56" s="5">
        <v>791839</v>
      </c>
      <c r="CY56" s="5">
        <v>4781</v>
      </c>
      <c r="CZ56" s="5">
        <v>18604</v>
      </c>
      <c r="DA56" s="5">
        <v>6074</v>
      </c>
      <c r="DB56" s="12">
        <v>823994</v>
      </c>
      <c r="DC56" s="5">
        <v>800237</v>
      </c>
      <c r="DD56" s="5">
        <v>4759</v>
      </c>
      <c r="DE56" s="5">
        <v>18998</v>
      </c>
      <c r="DF56" s="5">
        <v>6083</v>
      </c>
      <c r="DG56" s="12">
        <v>829764</v>
      </c>
      <c r="DH56" s="54">
        <v>804875</v>
      </c>
      <c r="DI56" s="54">
        <v>5125</v>
      </c>
      <c r="DJ56" s="54">
        <v>19764</v>
      </c>
      <c r="DK56" s="54">
        <v>6816</v>
      </c>
      <c r="DL56" s="12">
        <v>842373</v>
      </c>
      <c r="DM56" s="5">
        <v>817282</v>
      </c>
      <c r="DN56" s="5">
        <v>5137</v>
      </c>
      <c r="DO56" s="5">
        <v>7052</v>
      </c>
      <c r="DP56" s="5">
        <v>12053</v>
      </c>
      <c r="DQ56" s="12">
        <v>850900.23600000003</v>
      </c>
      <c r="DR56" s="5">
        <v>824712.97500000009</v>
      </c>
      <c r="DS56" s="5"/>
      <c r="DT56" s="5"/>
      <c r="DU56" s="530">
        <f t="shared" si="570"/>
        <v>26187.26099999994</v>
      </c>
      <c r="DV56" s="5">
        <v>857333</v>
      </c>
      <c r="DW56" s="5">
        <v>831285</v>
      </c>
      <c r="DX56" s="5">
        <v>4949</v>
      </c>
      <c r="DY56" s="5">
        <v>7361</v>
      </c>
      <c r="DZ56" s="5">
        <v>20905</v>
      </c>
      <c r="EA56" s="5">
        <v>867024</v>
      </c>
      <c r="EB56" s="5">
        <v>834325</v>
      </c>
      <c r="EC56" s="5">
        <v>5243</v>
      </c>
      <c r="ED56" s="5">
        <v>7543</v>
      </c>
      <c r="EE56" s="5">
        <v>21531</v>
      </c>
      <c r="EF56" s="5">
        <v>881641</v>
      </c>
      <c r="EG56" s="5">
        <v>842827</v>
      </c>
      <c r="EH56" s="5">
        <v>6184</v>
      </c>
      <c r="EI56" s="5">
        <v>8661</v>
      </c>
      <c r="EJ56" s="5">
        <v>24863</v>
      </c>
      <c r="EK56" s="5">
        <v>892431</v>
      </c>
      <c r="EL56" s="5">
        <v>851880</v>
      </c>
      <c r="EM56" s="5">
        <v>6565</v>
      </c>
      <c r="EN56" s="5">
        <v>10105</v>
      </c>
      <c r="EO56" s="5">
        <v>25988</v>
      </c>
      <c r="EP56" s="258" t="s">
        <v>185</v>
      </c>
      <c r="EQ56" s="259" t="s">
        <v>185</v>
      </c>
      <c r="ER56" s="259" t="s">
        <v>185</v>
      </c>
      <c r="ES56" s="259" t="s">
        <v>185</v>
      </c>
      <c r="ET56" s="260" t="s">
        <v>185</v>
      </c>
      <c r="EU56" s="12">
        <v>182727</v>
      </c>
      <c r="EV56" s="5">
        <v>180114</v>
      </c>
      <c r="EW56" s="5">
        <v>893</v>
      </c>
      <c r="EX56" s="5">
        <v>1008</v>
      </c>
      <c r="EY56" s="10">
        <v>1720</v>
      </c>
      <c r="EZ56" s="12">
        <v>229045</v>
      </c>
      <c r="FA56" s="5">
        <v>223458</v>
      </c>
      <c r="FB56" s="5">
        <v>994</v>
      </c>
      <c r="FC56" s="5">
        <v>1436</v>
      </c>
      <c r="FD56" s="10">
        <v>4593</v>
      </c>
      <c r="FE56" s="12">
        <v>271827</v>
      </c>
      <c r="FF56" s="5">
        <v>262840</v>
      </c>
      <c r="FG56" s="5">
        <v>2197</v>
      </c>
      <c r="FH56" s="5">
        <v>2622</v>
      </c>
      <c r="FI56" s="10">
        <v>6790</v>
      </c>
      <c r="FJ56" s="12">
        <v>273001.06800000003</v>
      </c>
      <c r="FK56" s="5">
        <v>263109.75</v>
      </c>
      <c r="FL56" s="5"/>
      <c r="FM56" s="5"/>
      <c r="FN56" s="10">
        <v>9891.3180000000284</v>
      </c>
      <c r="FO56" s="5">
        <v>273628</v>
      </c>
      <c r="FP56" s="5">
        <v>264409</v>
      </c>
      <c r="FQ56" s="5">
        <v>1987</v>
      </c>
      <c r="FR56" s="5">
        <v>2684</v>
      </c>
      <c r="FS56" s="618">
        <v>7064</v>
      </c>
      <c r="FT56" s="618">
        <v>277808</v>
      </c>
      <c r="FU56" s="618">
        <v>266063</v>
      </c>
      <c r="FV56" s="618">
        <v>1784</v>
      </c>
      <c r="FW56" s="618">
        <v>2995</v>
      </c>
      <c r="FX56" s="618">
        <v>7708</v>
      </c>
      <c r="FY56" s="618">
        <v>277756</v>
      </c>
      <c r="FZ56" s="618">
        <v>263844</v>
      </c>
      <c r="GA56" s="618">
        <v>2559</v>
      </c>
      <c r="GB56" s="618">
        <v>2860</v>
      </c>
      <c r="GC56" s="618">
        <v>8906</v>
      </c>
      <c r="GD56" s="618">
        <v>282924</v>
      </c>
      <c r="GE56" s="618">
        <v>266815</v>
      </c>
      <c r="GF56" s="618">
        <v>2388</v>
      </c>
      <c r="GG56" s="618">
        <v>3701</v>
      </c>
      <c r="GH56" s="618">
        <v>11027</v>
      </c>
      <c r="GI56" s="12">
        <v>54928</v>
      </c>
      <c r="GJ56" s="5">
        <v>54292</v>
      </c>
      <c r="GK56" s="5">
        <v>142</v>
      </c>
      <c r="GL56" s="5">
        <v>212</v>
      </c>
      <c r="GM56" s="10">
        <v>494</v>
      </c>
      <c r="GN56" s="12">
        <v>63934</v>
      </c>
      <c r="GO56" s="5">
        <v>62489</v>
      </c>
      <c r="GP56" s="5">
        <v>179</v>
      </c>
      <c r="GQ56" s="5">
        <v>377</v>
      </c>
      <c r="GR56" s="10">
        <v>1266</v>
      </c>
      <c r="GS56" s="12">
        <v>83473</v>
      </c>
      <c r="GT56" s="5">
        <v>80876</v>
      </c>
      <c r="GU56" s="5">
        <v>685</v>
      </c>
      <c r="GV56" s="5">
        <v>657</v>
      </c>
      <c r="GW56" s="5">
        <v>1912</v>
      </c>
      <c r="GX56" s="12"/>
      <c r="GY56" s="5"/>
      <c r="GZ56" s="5"/>
      <c r="HA56" s="5"/>
      <c r="HB56" s="10"/>
      <c r="HC56" s="5">
        <v>84895</v>
      </c>
      <c r="HD56" s="5">
        <v>82210</v>
      </c>
      <c r="HE56" s="5">
        <v>716</v>
      </c>
      <c r="HF56" s="5">
        <v>628</v>
      </c>
      <c r="HG56" s="5">
        <v>1952</v>
      </c>
      <c r="HH56" s="5">
        <v>87806</v>
      </c>
      <c r="HI56" s="5">
        <v>84732</v>
      </c>
      <c r="HJ56" s="5">
        <v>546</v>
      </c>
      <c r="HK56" s="5">
        <v>794</v>
      </c>
      <c r="HL56" s="5">
        <v>1899</v>
      </c>
      <c r="HM56" s="5">
        <v>93335</v>
      </c>
      <c r="HN56" s="5">
        <v>89866</v>
      </c>
      <c r="HO56" s="5">
        <v>659</v>
      </c>
      <c r="HP56" s="5">
        <v>694</v>
      </c>
      <c r="HQ56" s="5">
        <v>2150</v>
      </c>
      <c r="HR56" s="5">
        <v>94984</v>
      </c>
      <c r="HS56" s="5">
        <v>90558</v>
      </c>
      <c r="HT56" s="5">
        <v>922</v>
      </c>
      <c r="HU56" s="5">
        <v>859</v>
      </c>
      <c r="HV56" s="5">
        <v>2863</v>
      </c>
      <c r="HW56" s="569">
        <f t="shared" ref="HW56:HW64" si="625">GI56+JK56+QB56</f>
        <v>204280</v>
      </c>
      <c r="HX56" s="546">
        <f t="shared" ref="HX56:HX64" si="626">GJ56+JL56+QC56</f>
        <v>201782</v>
      </c>
      <c r="HY56" s="546">
        <f t="shared" ref="HY56:HY64" si="627">GK56+JM56+QD56</f>
        <v>706</v>
      </c>
      <c r="HZ56" s="546">
        <f t="shared" ref="HZ56:HZ64" si="628">GL56+JN56+QE56</f>
        <v>1007</v>
      </c>
      <c r="IA56" s="546">
        <f t="shared" ref="IA56:IA64" si="629">GM56+JO56+QF56</f>
        <v>1792</v>
      </c>
      <c r="IB56" s="569">
        <f t="shared" ref="IB56:IB64" si="630">GN56+JP56+QG56</f>
        <v>262894</v>
      </c>
      <c r="IC56" s="546">
        <f t="shared" ref="IC56:IC64" si="631">GO56+JQ56+QH56</f>
        <v>257297</v>
      </c>
      <c r="ID56" s="546">
        <f t="shared" ref="ID56:ID64" si="632">GP56+JR56+QI56</f>
        <v>827</v>
      </c>
      <c r="IE56" s="546">
        <f t="shared" ref="IE56:IE64" si="633">GQ56+JS56+QJ56</f>
        <v>1351</v>
      </c>
      <c r="IF56" s="546">
        <f t="shared" ref="IF56:IF64" si="634">GR56+JT56+QK56</f>
        <v>4770</v>
      </c>
      <c r="IG56" s="12">
        <v>285381</v>
      </c>
      <c r="IH56" s="5">
        <v>276685</v>
      </c>
      <c r="II56" s="5">
        <v>1794</v>
      </c>
      <c r="IJ56" s="5">
        <v>2081</v>
      </c>
      <c r="IK56" s="5">
        <v>6902</v>
      </c>
      <c r="IL56" s="565"/>
      <c r="IM56" s="7"/>
      <c r="IN56" s="7"/>
      <c r="IO56" s="7"/>
      <c r="IP56" s="7"/>
      <c r="IQ56" s="7">
        <v>347335</v>
      </c>
      <c r="IR56" s="7">
        <v>336928</v>
      </c>
      <c r="IS56" s="7">
        <v>1826</v>
      </c>
      <c r="IT56" s="7">
        <v>2850</v>
      </c>
      <c r="IU56" s="577">
        <v>8564</v>
      </c>
      <c r="IV56" s="7">
        <v>355425</v>
      </c>
      <c r="IW56" s="7">
        <v>342040</v>
      </c>
      <c r="IX56" s="7">
        <v>1899</v>
      </c>
      <c r="IY56" s="7">
        <v>3226</v>
      </c>
      <c r="IZ56" s="7">
        <v>8774</v>
      </c>
      <c r="JA56" s="565">
        <v>382888</v>
      </c>
      <c r="JB56" s="7">
        <v>365327</v>
      </c>
      <c r="JC56" s="7">
        <v>2610</v>
      </c>
      <c r="JD56" s="7">
        <v>4789</v>
      </c>
      <c r="JE56" s="7">
        <v>10646</v>
      </c>
      <c r="JF56" s="565">
        <v>386122</v>
      </c>
      <c r="JG56" s="7">
        <v>369027</v>
      </c>
      <c r="JH56" s="7">
        <v>2522</v>
      </c>
      <c r="JI56" s="7">
        <v>4008</v>
      </c>
      <c r="JJ56" s="7">
        <v>11139</v>
      </c>
      <c r="JK56" s="12">
        <v>100788</v>
      </c>
      <c r="JL56" s="5">
        <v>99645</v>
      </c>
      <c r="JM56" s="5">
        <v>352</v>
      </c>
      <c r="JN56" s="5">
        <v>443</v>
      </c>
      <c r="JO56" s="5">
        <v>791</v>
      </c>
      <c r="JP56" s="12">
        <v>129992</v>
      </c>
      <c r="JQ56" s="5">
        <v>127590</v>
      </c>
      <c r="JR56" s="5">
        <v>390</v>
      </c>
      <c r="JS56" s="5">
        <v>607</v>
      </c>
      <c r="JT56" s="5">
        <v>2012</v>
      </c>
      <c r="JU56" s="12">
        <v>159873</v>
      </c>
      <c r="JV56" s="5">
        <v>155233</v>
      </c>
      <c r="JW56" s="5">
        <v>895</v>
      </c>
      <c r="JX56" s="5">
        <v>1059</v>
      </c>
      <c r="JY56" s="5">
        <v>3745</v>
      </c>
      <c r="JZ56" s="12">
        <v>166052.196</v>
      </c>
      <c r="KA56" s="5">
        <v>161494.95000000001</v>
      </c>
      <c r="KB56" s="5"/>
      <c r="KC56" s="5"/>
      <c r="KD56" s="5">
        <v>4557.2459999999846</v>
      </c>
      <c r="KE56" s="5">
        <v>171195</v>
      </c>
      <c r="KF56" s="5">
        <v>165411</v>
      </c>
      <c r="KG56" s="5">
        <v>856</v>
      </c>
      <c r="KH56" s="5">
        <v>1359</v>
      </c>
      <c r="KI56" s="5">
        <v>3720</v>
      </c>
      <c r="KJ56" s="5">
        <v>187513</v>
      </c>
      <c r="KK56" s="5">
        <v>178712</v>
      </c>
      <c r="KL56" s="5">
        <v>1261</v>
      </c>
      <c r="KM56" s="5">
        <v>2880</v>
      </c>
      <c r="KN56" s="5">
        <v>5067</v>
      </c>
      <c r="KO56" s="5">
        <v>181434</v>
      </c>
      <c r="KP56" s="5">
        <v>173838</v>
      </c>
      <c r="KQ56" s="5">
        <v>1336</v>
      </c>
      <c r="KR56" s="5">
        <v>2100</v>
      </c>
      <c r="KS56" s="5">
        <v>4464</v>
      </c>
      <c r="KT56" s="258" t="s">
        <v>185</v>
      </c>
      <c r="KU56" s="259" t="s">
        <v>185</v>
      </c>
      <c r="KV56" s="12">
        <v>29126</v>
      </c>
      <c r="KW56" s="332">
        <f t="shared" si="581"/>
        <v>17492</v>
      </c>
      <c r="KX56" s="332">
        <f t="shared" si="582"/>
        <v>11634</v>
      </c>
      <c r="KY56" s="332">
        <f t="shared" si="583"/>
        <v>29013</v>
      </c>
      <c r="KZ56" s="318">
        <v>17419</v>
      </c>
      <c r="LA56" s="318">
        <v>11594</v>
      </c>
      <c r="LB56" s="332">
        <f t="shared" si="584"/>
        <v>113</v>
      </c>
      <c r="LC56" s="318">
        <v>73</v>
      </c>
      <c r="LD56" s="318">
        <v>40</v>
      </c>
      <c r="LE56" s="12">
        <v>45264</v>
      </c>
      <c r="LF56" s="332">
        <f t="shared" si="585"/>
        <v>26029</v>
      </c>
      <c r="LG56" s="332">
        <f t="shared" si="586"/>
        <v>19235</v>
      </c>
      <c r="LH56" s="332">
        <f t="shared" si="587"/>
        <v>44816</v>
      </c>
      <c r="LI56" s="318">
        <v>25762</v>
      </c>
      <c r="LJ56" s="318">
        <v>19054</v>
      </c>
      <c r="LK56" s="332">
        <f t="shared" si="588"/>
        <v>65</v>
      </c>
      <c r="LL56" s="318">
        <v>42</v>
      </c>
      <c r="LM56" s="318">
        <v>23</v>
      </c>
      <c r="LN56" s="332">
        <f t="shared" si="589"/>
        <v>383</v>
      </c>
      <c r="LO56" s="318">
        <v>225</v>
      </c>
      <c r="LP56" s="318">
        <v>158</v>
      </c>
      <c r="LQ56" s="12">
        <v>95284</v>
      </c>
      <c r="LR56" s="332">
        <f t="shared" si="590"/>
        <v>53362</v>
      </c>
      <c r="LS56" s="332">
        <f t="shared" si="591"/>
        <v>41922</v>
      </c>
      <c r="LT56" s="342">
        <f t="shared" si="592"/>
        <v>94253</v>
      </c>
      <c r="LU56" s="318">
        <v>52730</v>
      </c>
      <c r="LV56" s="318">
        <v>41523</v>
      </c>
      <c r="LW56" s="318">
        <v>632</v>
      </c>
      <c r="LX56" s="318">
        <v>399</v>
      </c>
      <c r="LY56" s="342">
        <f t="shared" si="593"/>
        <v>188</v>
      </c>
      <c r="LZ56" s="318">
        <v>120</v>
      </c>
      <c r="MA56" s="318">
        <v>68</v>
      </c>
      <c r="MB56" s="342">
        <f t="shared" si="594"/>
        <v>277</v>
      </c>
      <c r="MC56" s="318">
        <v>165</v>
      </c>
      <c r="MD56" s="318">
        <v>112</v>
      </c>
      <c r="ME56" s="333">
        <f t="shared" si="595"/>
        <v>566</v>
      </c>
      <c r="MF56" s="333">
        <f t="shared" si="596"/>
        <v>347</v>
      </c>
      <c r="MG56" s="333">
        <f t="shared" si="597"/>
        <v>219</v>
      </c>
      <c r="MH56" s="334">
        <f t="shared" si="598"/>
        <v>44</v>
      </c>
      <c r="MI56" s="334">
        <f t="shared" si="599"/>
        <v>23</v>
      </c>
      <c r="MJ56" s="334">
        <f t="shared" si="600"/>
        <v>21</v>
      </c>
      <c r="MK56" s="318">
        <v>522</v>
      </c>
      <c r="ML56" s="318">
        <v>324</v>
      </c>
      <c r="MM56" s="318">
        <v>198</v>
      </c>
      <c r="MN56" s="14">
        <f t="shared" si="601"/>
        <v>149352</v>
      </c>
      <c r="MO56" s="332">
        <f t="shared" si="602"/>
        <v>77501</v>
      </c>
      <c r="MP56" s="332">
        <f t="shared" si="603"/>
        <v>71851</v>
      </c>
      <c r="MQ56" s="13">
        <f t="shared" si="604"/>
        <v>147490</v>
      </c>
      <c r="MR56" s="136">
        <f t="shared" si="605"/>
        <v>146860</v>
      </c>
      <c r="MS56" s="318">
        <v>76106</v>
      </c>
      <c r="MT56" s="318">
        <v>70754</v>
      </c>
      <c r="MU56" s="318">
        <v>1395</v>
      </c>
      <c r="MV56" s="318">
        <v>1097</v>
      </c>
      <c r="MW56" s="13">
        <f t="shared" si="606"/>
        <v>564</v>
      </c>
      <c r="MX56" s="136">
        <f t="shared" si="607"/>
        <v>542</v>
      </c>
      <c r="MY56" s="318">
        <v>353</v>
      </c>
      <c r="MZ56" s="318">
        <v>189</v>
      </c>
      <c r="NA56" s="13">
        <f t="shared" si="608"/>
        <v>795</v>
      </c>
      <c r="NB56" s="318">
        <v>442</v>
      </c>
      <c r="NC56" s="318">
        <v>353</v>
      </c>
      <c r="ND56" s="13">
        <f t="shared" si="609"/>
        <v>1298</v>
      </c>
      <c r="NE56" s="368">
        <f t="shared" si="610"/>
        <v>600</v>
      </c>
      <c r="NF56" s="335">
        <f t="shared" si="611"/>
        <v>555</v>
      </c>
      <c r="NG56" s="336">
        <f t="shared" si="612"/>
        <v>7</v>
      </c>
      <c r="NH56" s="336">
        <f t="shared" si="613"/>
        <v>0</v>
      </c>
      <c r="NI56" s="336">
        <f t="shared" si="614"/>
        <v>7</v>
      </c>
      <c r="NJ56" s="337">
        <f t="shared" si="615"/>
        <v>1148</v>
      </c>
      <c r="NK56" s="337">
        <f t="shared" si="616"/>
        <v>600</v>
      </c>
      <c r="NL56" s="337">
        <f t="shared" si="617"/>
        <v>548</v>
      </c>
      <c r="NM56" s="318">
        <v>111</v>
      </c>
      <c r="NN56" s="318">
        <v>128</v>
      </c>
      <c r="NO56" s="318">
        <v>489</v>
      </c>
      <c r="NP56" s="318">
        <v>420</v>
      </c>
      <c r="NQ56" s="338">
        <v>198960</v>
      </c>
      <c r="NR56" s="318">
        <v>96264</v>
      </c>
      <c r="NS56" s="318">
        <v>102696</v>
      </c>
      <c r="NT56" s="7">
        <f t="shared" si="618"/>
        <v>194808</v>
      </c>
      <c r="NU56" s="7">
        <v>94276</v>
      </c>
      <c r="NV56" s="7">
        <v>100532</v>
      </c>
      <c r="NW56" s="125">
        <f t="shared" si="619"/>
        <v>194102</v>
      </c>
      <c r="NX56" s="318">
        <v>93927</v>
      </c>
      <c r="NY56" s="318">
        <v>100175</v>
      </c>
      <c r="NZ56" s="7">
        <f t="shared" si="620"/>
        <v>648</v>
      </c>
      <c r="OA56" s="318">
        <v>351</v>
      </c>
      <c r="OB56" s="318">
        <v>297</v>
      </c>
      <c r="OC56" s="7">
        <f t="shared" si="621"/>
        <v>974</v>
      </c>
      <c r="OD56" s="318">
        <v>476</v>
      </c>
      <c r="OE56" s="318">
        <v>498</v>
      </c>
      <c r="OF56" s="125">
        <f t="shared" si="622"/>
        <v>3504</v>
      </c>
      <c r="OG56" s="125">
        <f t="shared" si="623"/>
        <v>1637</v>
      </c>
      <c r="OH56" s="125">
        <f t="shared" si="624"/>
        <v>1867</v>
      </c>
      <c r="OI56" s="326">
        <v>237934</v>
      </c>
      <c r="OJ56" s="318">
        <v>231298</v>
      </c>
      <c r="OK56" s="318">
        <v>1444</v>
      </c>
      <c r="OL56" s="318">
        <v>5192</v>
      </c>
      <c r="OM56" s="7">
        <v>1639</v>
      </c>
      <c r="ON56" s="338">
        <v>239062</v>
      </c>
      <c r="OO56" s="5">
        <v>232353</v>
      </c>
      <c r="OP56" s="5">
        <v>1300</v>
      </c>
      <c r="OQ56" s="5">
        <v>5409</v>
      </c>
      <c r="OR56" s="5">
        <v>1568</v>
      </c>
      <c r="OS56" s="338">
        <v>243549</v>
      </c>
      <c r="OT56" s="5">
        <v>237010</v>
      </c>
      <c r="OU56" s="5">
        <v>1224</v>
      </c>
      <c r="OV56" s="5">
        <v>5315</v>
      </c>
      <c r="OW56" s="5">
        <v>1806</v>
      </c>
      <c r="OX56" s="12">
        <v>247891</v>
      </c>
      <c r="OY56" s="5">
        <v>240592</v>
      </c>
      <c r="OZ56" s="5">
        <v>1149</v>
      </c>
      <c r="PA56" s="5">
        <v>6150</v>
      </c>
      <c r="PB56" s="5">
        <v>1757</v>
      </c>
      <c r="PC56" s="12">
        <v>259866.99599999998</v>
      </c>
      <c r="PD56" s="5">
        <v>252222.45</v>
      </c>
      <c r="PE56" s="5"/>
      <c r="PF56" s="5"/>
      <c r="PG56" s="5">
        <v>7644.545999999973</v>
      </c>
      <c r="PH56" s="5">
        <v>262440</v>
      </c>
      <c r="PI56" s="5">
        <v>254718</v>
      </c>
      <c r="PJ56" s="5">
        <v>1110</v>
      </c>
      <c r="PK56" s="5">
        <v>2222</v>
      </c>
      <c r="PL56" s="2">
        <v>6612</v>
      </c>
      <c r="PM56" s="2">
        <v>267619</v>
      </c>
      <c r="PN56" s="2">
        <v>257308</v>
      </c>
      <c r="PO56" s="2">
        <v>1353</v>
      </c>
      <c r="PP56" s="2">
        <v>2432</v>
      </c>
      <c r="PQ56" s="2">
        <v>6875</v>
      </c>
      <c r="PR56" s="2">
        <v>289553</v>
      </c>
      <c r="PS56" s="2">
        <v>275461</v>
      </c>
      <c r="PT56" s="2">
        <v>1951</v>
      </c>
      <c r="PU56" s="2">
        <v>4095</v>
      </c>
      <c r="PV56" s="2">
        <v>8496</v>
      </c>
      <c r="PW56" s="2">
        <v>291138</v>
      </c>
      <c r="PX56" s="2">
        <v>278469</v>
      </c>
      <c r="PY56" s="2">
        <v>1600</v>
      </c>
      <c r="PZ56" s="2">
        <v>3149</v>
      </c>
      <c r="QA56" s="2">
        <v>8276</v>
      </c>
      <c r="QB56" s="12">
        <v>48564</v>
      </c>
      <c r="QC56" s="5">
        <v>47845</v>
      </c>
      <c r="QD56" s="5">
        <v>212</v>
      </c>
      <c r="QE56" s="5">
        <v>352</v>
      </c>
      <c r="QF56" s="5">
        <v>507</v>
      </c>
      <c r="QG56" s="12">
        <v>68968</v>
      </c>
      <c r="QH56" s="5">
        <v>67218</v>
      </c>
      <c r="QI56" s="5">
        <v>258</v>
      </c>
      <c r="QJ56" s="5">
        <v>367</v>
      </c>
      <c r="QK56" s="5">
        <v>1492</v>
      </c>
      <c r="QL56" s="12">
        <v>88018</v>
      </c>
      <c r="QM56" s="5">
        <v>85359</v>
      </c>
      <c r="QN56" s="5">
        <v>254</v>
      </c>
      <c r="QO56" s="5">
        <v>698</v>
      </c>
      <c r="QP56" s="5">
        <v>2405</v>
      </c>
      <c r="QQ56" s="12">
        <v>93814.8</v>
      </c>
      <c r="QR56" s="5">
        <v>90727.5</v>
      </c>
      <c r="QS56" s="5"/>
      <c r="QT56" s="5"/>
      <c r="QU56" s="10">
        <v>3087.3000000000029</v>
      </c>
      <c r="QV56" s="1">
        <v>94156</v>
      </c>
      <c r="QW56" s="2">
        <v>91010</v>
      </c>
      <c r="QX56" s="2">
        <v>422</v>
      </c>
      <c r="QY56" s="2">
        <v>900</v>
      </c>
      <c r="QZ56" s="69">
        <v>2724</v>
      </c>
      <c r="RA56" s="2">
        <v>96424</v>
      </c>
      <c r="RB56" s="2">
        <v>91897</v>
      </c>
      <c r="RC56" s="2">
        <v>497</v>
      </c>
      <c r="RD56" s="2">
        <v>1073</v>
      </c>
      <c r="RE56" s="2">
        <v>3155</v>
      </c>
      <c r="RF56" s="2">
        <v>102040</v>
      </c>
      <c r="RG56" s="2">
        <v>96749</v>
      </c>
      <c r="RH56" s="2">
        <v>690</v>
      </c>
      <c r="RI56" s="2">
        <v>1215</v>
      </c>
      <c r="RJ56" s="2">
        <v>3429</v>
      </c>
      <c r="RK56" s="2">
        <v>109704</v>
      </c>
      <c r="RL56" s="2">
        <v>104631</v>
      </c>
      <c r="RM56" s="2">
        <v>264</v>
      </c>
      <c r="RN56" s="2">
        <v>1049</v>
      </c>
      <c r="RO56" s="2">
        <v>3812</v>
      </c>
    </row>
    <row r="57" spans="1:483" ht="12.75" customHeight="1" x14ac:dyDescent="0.2">
      <c r="A57" s="217" t="s">
        <v>29</v>
      </c>
      <c r="B57" s="258" t="s">
        <v>185</v>
      </c>
      <c r="C57" s="259" t="s">
        <v>185</v>
      </c>
      <c r="D57" s="259" t="s">
        <v>185</v>
      </c>
      <c r="E57" s="259" t="s">
        <v>185</v>
      </c>
      <c r="F57" s="259" t="s">
        <v>185</v>
      </c>
      <c r="G57" s="12">
        <v>317943</v>
      </c>
      <c r="H57" s="5">
        <v>266299</v>
      </c>
      <c r="I57" s="5">
        <v>17047</v>
      </c>
      <c r="J57" s="5">
        <v>35529</v>
      </c>
      <c r="K57" s="10">
        <v>34597</v>
      </c>
      <c r="L57" s="12">
        <v>247556</v>
      </c>
      <c r="M57" s="5">
        <v>174448</v>
      </c>
      <c r="N57" s="5">
        <v>13827</v>
      </c>
      <c r="O57" s="5">
        <v>47917</v>
      </c>
      <c r="P57" s="10">
        <v>59281</v>
      </c>
      <c r="Q57" s="565">
        <v>216108</v>
      </c>
      <c r="R57" s="7">
        <v>132034</v>
      </c>
      <c r="S57" s="7">
        <v>20425</v>
      </c>
      <c r="T57" s="7">
        <v>61520</v>
      </c>
      <c r="U57" s="577">
        <v>63649</v>
      </c>
      <c r="V57" s="7">
        <v>220418</v>
      </c>
      <c r="W57" s="7">
        <v>130779</v>
      </c>
      <c r="X57" s="7">
        <v>21079</v>
      </c>
      <c r="Y57" s="7">
        <v>66020</v>
      </c>
      <c r="Z57" s="7">
        <v>68488</v>
      </c>
      <c r="AA57" s="7">
        <v>221120</v>
      </c>
      <c r="AB57" s="7">
        <v>101808</v>
      </c>
      <c r="AC57" s="7">
        <v>22622</v>
      </c>
      <c r="AD57" s="7">
        <v>68188</v>
      </c>
      <c r="AE57" s="675">
        <v>68531</v>
      </c>
      <c r="AF57" s="560">
        <v>213496</v>
      </c>
      <c r="AG57" s="560">
        <v>84226</v>
      </c>
      <c r="AH57" s="560">
        <v>21385</v>
      </c>
      <c r="AI57" s="560">
        <v>75044</v>
      </c>
      <c r="AJ57" s="560">
        <v>74665</v>
      </c>
      <c r="AK57" s="560">
        <v>212315</v>
      </c>
      <c r="AL57" s="560">
        <v>84656</v>
      </c>
      <c r="AM57" s="560">
        <v>19943</v>
      </c>
      <c r="AN57" s="560">
        <v>73889</v>
      </c>
      <c r="AO57" s="560">
        <v>75480</v>
      </c>
      <c r="AP57" s="12">
        <v>474714</v>
      </c>
      <c r="AQ57" s="5">
        <v>417689</v>
      </c>
      <c r="AR57" s="5">
        <v>32569</v>
      </c>
      <c r="AS57" s="5">
        <v>26324</v>
      </c>
      <c r="AT57" s="10">
        <v>24456</v>
      </c>
      <c r="AU57" s="12">
        <v>403537</v>
      </c>
      <c r="AV57" s="5">
        <v>318450</v>
      </c>
      <c r="AW57" s="5">
        <v>32055</v>
      </c>
      <c r="AX57" s="5">
        <v>42352</v>
      </c>
      <c r="AY57" s="10">
        <v>53032</v>
      </c>
      <c r="AZ57" s="12">
        <v>272537</v>
      </c>
      <c r="BA57" s="5">
        <v>200325</v>
      </c>
      <c r="BB57" s="5">
        <v>26053</v>
      </c>
      <c r="BC57" s="5">
        <v>48442</v>
      </c>
      <c r="BD57" s="10">
        <v>46159</v>
      </c>
      <c r="BE57" s="5">
        <v>262078</v>
      </c>
      <c r="BF57" s="5">
        <v>186034</v>
      </c>
      <c r="BG57" s="5">
        <v>27403</v>
      </c>
      <c r="BH57" s="5">
        <v>48761</v>
      </c>
      <c r="BI57" s="5">
        <v>48584</v>
      </c>
      <c r="BJ57" s="5">
        <v>253251</v>
      </c>
      <c r="BK57" s="5">
        <v>158410</v>
      </c>
      <c r="BL57" s="5">
        <v>28780</v>
      </c>
      <c r="BM57" s="5">
        <v>48577</v>
      </c>
      <c r="BN57" s="53">
        <v>46022</v>
      </c>
      <c r="BO57" s="53">
        <v>245853</v>
      </c>
      <c r="BP57" s="53">
        <v>146528</v>
      </c>
      <c r="BQ57" s="53">
        <v>27761</v>
      </c>
      <c r="BR57" s="53">
        <v>54105</v>
      </c>
      <c r="BS57" s="53">
        <v>45971</v>
      </c>
      <c r="BT57" s="53">
        <v>240370</v>
      </c>
      <c r="BU57" s="53">
        <v>135566</v>
      </c>
      <c r="BV57" s="53">
        <v>27346</v>
      </c>
      <c r="BW57" s="53">
        <v>58487</v>
      </c>
      <c r="BX57" s="53">
        <v>43164</v>
      </c>
      <c r="BY57" s="12">
        <v>486217</v>
      </c>
      <c r="BZ57" s="5">
        <v>325150</v>
      </c>
      <c r="CA57" s="5">
        <v>46506</v>
      </c>
      <c r="CB57" s="5">
        <v>113223</v>
      </c>
      <c r="CC57" s="290">
        <f t="shared" si="569"/>
        <v>114561</v>
      </c>
      <c r="CD57" s="258" t="s">
        <v>185</v>
      </c>
      <c r="CE57" s="259" t="s">
        <v>185</v>
      </c>
      <c r="CF57" s="259" t="s">
        <v>185</v>
      </c>
      <c r="CG57" s="259" t="s">
        <v>185</v>
      </c>
      <c r="CH57" s="258" t="s">
        <v>185</v>
      </c>
      <c r="CI57" s="259" t="s">
        <v>185</v>
      </c>
      <c r="CJ57" s="259" t="s">
        <v>185</v>
      </c>
      <c r="CK57" s="259" t="s">
        <v>185</v>
      </c>
      <c r="CL57" s="260" t="s">
        <v>185</v>
      </c>
      <c r="CM57" s="12">
        <v>3169566</v>
      </c>
      <c r="CN57" s="5">
        <v>2958347</v>
      </c>
      <c r="CO57" s="5">
        <v>115710</v>
      </c>
      <c r="CP57" s="5">
        <v>67123</v>
      </c>
      <c r="CQ57" s="10">
        <v>95509</v>
      </c>
      <c r="CR57" s="12">
        <v>3622182</v>
      </c>
      <c r="CS57" s="5">
        <v>3238585</v>
      </c>
      <c r="CT57" s="5">
        <v>147998</v>
      </c>
      <c r="CU57" s="5">
        <v>120926</v>
      </c>
      <c r="CV57" s="5">
        <v>235599</v>
      </c>
      <c r="CW57" s="195">
        <v>3829730</v>
      </c>
      <c r="CX57" s="5">
        <v>3335720</v>
      </c>
      <c r="CY57" s="5">
        <v>184825</v>
      </c>
      <c r="CZ57" s="5">
        <v>309185</v>
      </c>
      <c r="DA57" s="5">
        <v>180786</v>
      </c>
      <c r="DB57" s="12">
        <v>3863872</v>
      </c>
      <c r="DC57" s="5">
        <v>3363118</v>
      </c>
      <c r="DD57" s="5">
        <v>188276</v>
      </c>
      <c r="DE57" s="5">
        <v>312478</v>
      </c>
      <c r="DF57" s="5">
        <v>187207</v>
      </c>
      <c r="DG57" s="12">
        <v>3943642</v>
      </c>
      <c r="DH57" s="54">
        <v>3433141</v>
      </c>
      <c r="DI57" s="54">
        <v>195369</v>
      </c>
      <c r="DJ57" s="54">
        <v>315132</v>
      </c>
      <c r="DK57" s="54">
        <v>192722</v>
      </c>
      <c r="DL57" s="12">
        <v>3929610</v>
      </c>
      <c r="DM57" s="5">
        <v>3387060</v>
      </c>
      <c r="DN57" s="5">
        <v>211012</v>
      </c>
      <c r="DO57" s="5">
        <v>207791</v>
      </c>
      <c r="DP57" s="5">
        <v>279210</v>
      </c>
      <c r="DQ57" s="12">
        <v>3974490.8279999997</v>
      </c>
      <c r="DR57" s="5">
        <v>3412208.767</v>
      </c>
      <c r="DS57" s="5">
        <v>216239.13500000001</v>
      </c>
      <c r="DT57" s="5">
        <v>218168.54</v>
      </c>
      <c r="DU57" s="530">
        <f t="shared" si="570"/>
        <v>346042.92599999974</v>
      </c>
      <c r="DV57" s="5">
        <v>4027303</v>
      </c>
      <c r="DW57" s="5">
        <v>3443057</v>
      </c>
      <c r="DX57" s="5">
        <v>222598</v>
      </c>
      <c r="DY57" s="5">
        <v>230782</v>
      </c>
      <c r="DZ57" s="5">
        <v>361044</v>
      </c>
      <c r="EA57" s="5">
        <v>4082244</v>
      </c>
      <c r="EB57" s="5">
        <v>3344721</v>
      </c>
      <c r="EC57" s="5">
        <v>228990</v>
      </c>
      <c r="ED57" s="5">
        <v>245837</v>
      </c>
      <c r="EE57" s="5">
        <v>382754</v>
      </c>
      <c r="EF57" s="5">
        <v>4247295</v>
      </c>
      <c r="EG57" s="5">
        <v>3391182</v>
      </c>
      <c r="EH57" s="5">
        <v>259713</v>
      </c>
      <c r="EI57" s="5">
        <v>286452</v>
      </c>
      <c r="EJ57" s="5">
        <v>428556</v>
      </c>
      <c r="EK57" s="5">
        <v>4274830</v>
      </c>
      <c r="EL57" s="5">
        <v>3388337</v>
      </c>
      <c r="EM57" s="5">
        <v>268826</v>
      </c>
      <c r="EN57" s="5">
        <v>298422</v>
      </c>
      <c r="EO57" s="5">
        <v>448270</v>
      </c>
      <c r="EP57" s="258" t="s">
        <v>185</v>
      </c>
      <c r="EQ57" s="259" t="s">
        <v>185</v>
      </c>
      <c r="ER57" s="259" t="s">
        <v>185</v>
      </c>
      <c r="ES57" s="259" t="s">
        <v>185</v>
      </c>
      <c r="ET57" s="260" t="s">
        <v>185</v>
      </c>
      <c r="EU57" s="12">
        <v>912058</v>
      </c>
      <c r="EV57" s="5">
        <v>846805</v>
      </c>
      <c r="EW57" s="5">
        <v>40817</v>
      </c>
      <c r="EX57" s="5">
        <v>21286</v>
      </c>
      <c r="EY57" s="10">
        <v>24436</v>
      </c>
      <c r="EZ57" s="12">
        <v>1038398</v>
      </c>
      <c r="FA57" s="5">
        <v>924797</v>
      </c>
      <c r="FB57" s="5">
        <v>53583</v>
      </c>
      <c r="FC57" s="5">
        <v>39129</v>
      </c>
      <c r="FD57" s="10">
        <v>60018</v>
      </c>
      <c r="FE57" s="12">
        <v>1069569</v>
      </c>
      <c r="FF57" s="5">
        <v>915393</v>
      </c>
      <c r="FG57" s="5">
        <v>80332</v>
      </c>
      <c r="FH57" s="5">
        <v>65429</v>
      </c>
      <c r="FI57" s="10">
        <v>73844</v>
      </c>
      <c r="FJ57" s="12">
        <v>1079491.3359999999</v>
      </c>
      <c r="FK57" s="5">
        <v>923127.67299999995</v>
      </c>
      <c r="FL57" s="5">
        <v>81450.95</v>
      </c>
      <c r="FM57" s="5">
        <v>69191.539999999994</v>
      </c>
      <c r="FN57" s="10">
        <v>74912.712999999945</v>
      </c>
      <c r="FO57" s="5">
        <v>1088662</v>
      </c>
      <c r="FP57" s="5">
        <v>925053</v>
      </c>
      <c r="FQ57" s="5">
        <v>82748</v>
      </c>
      <c r="FR57" s="5">
        <v>73976</v>
      </c>
      <c r="FS57" s="618">
        <v>80680</v>
      </c>
      <c r="FT57" s="618">
        <v>1099350</v>
      </c>
      <c r="FU57" s="618">
        <v>891084</v>
      </c>
      <c r="FV57" s="618">
        <v>83552</v>
      </c>
      <c r="FW57" s="618">
        <v>80249</v>
      </c>
      <c r="FX57" s="618">
        <v>85867</v>
      </c>
      <c r="FY57" s="618">
        <v>1111183</v>
      </c>
      <c r="FZ57" s="618">
        <v>873790</v>
      </c>
      <c r="GA57" s="618">
        <v>97127</v>
      </c>
      <c r="GB57" s="618">
        <v>86658</v>
      </c>
      <c r="GC57" s="618">
        <v>92701</v>
      </c>
      <c r="GD57" s="618">
        <v>1097988</v>
      </c>
      <c r="GE57" s="618">
        <v>854387</v>
      </c>
      <c r="GF57" s="618">
        <v>92916</v>
      </c>
      <c r="GG57" s="618">
        <v>95726</v>
      </c>
      <c r="GH57" s="618">
        <v>98306</v>
      </c>
      <c r="GI57" s="12">
        <v>287114</v>
      </c>
      <c r="GJ57" s="5">
        <v>268396</v>
      </c>
      <c r="GK57" s="5">
        <v>10961</v>
      </c>
      <c r="GL57" s="5">
        <v>5762</v>
      </c>
      <c r="GM57" s="10">
        <v>7757</v>
      </c>
      <c r="GN57" s="12">
        <v>308263</v>
      </c>
      <c r="GO57" s="5">
        <v>277415</v>
      </c>
      <c r="GP57" s="5">
        <v>14185</v>
      </c>
      <c r="GQ57" s="5">
        <v>9484</v>
      </c>
      <c r="GR57" s="10">
        <v>16663</v>
      </c>
      <c r="GS57" s="12">
        <v>338746</v>
      </c>
      <c r="GT57" s="5">
        <v>295144</v>
      </c>
      <c r="GU57" s="5">
        <v>22112</v>
      </c>
      <c r="GV57" s="5">
        <v>16621</v>
      </c>
      <c r="GW57" s="5">
        <v>21490</v>
      </c>
      <c r="GX57" s="12"/>
      <c r="GY57" s="5"/>
      <c r="GZ57" s="5"/>
      <c r="HA57" s="5"/>
      <c r="HB57" s="10"/>
      <c r="HC57" s="5">
        <v>344547</v>
      </c>
      <c r="HD57" s="5">
        <v>300368</v>
      </c>
      <c r="HE57" s="5">
        <v>21859</v>
      </c>
      <c r="HF57" s="5">
        <v>17294</v>
      </c>
      <c r="HG57" s="5">
        <v>22299</v>
      </c>
      <c r="HH57" s="5">
        <v>351164</v>
      </c>
      <c r="HI57" s="5">
        <v>296209</v>
      </c>
      <c r="HJ57" s="5">
        <v>21671</v>
      </c>
      <c r="HK57" s="5">
        <v>18429</v>
      </c>
      <c r="HL57" s="5">
        <v>23503</v>
      </c>
      <c r="HM57" s="5">
        <v>362478</v>
      </c>
      <c r="HN57" s="5">
        <v>296907</v>
      </c>
      <c r="HO57" s="5">
        <v>26558</v>
      </c>
      <c r="HP57" s="5">
        <v>23301</v>
      </c>
      <c r="HQ57" s="5">
        <v>25862</v>
      </c>
      <c r="HR57" s="5">
        <v>363356</v>
      </c>
      <c r="HS57" s="5">
        <v>294587</v>
      </c>
      <c r="HT57" s="5">
        <v>25178</v>
      </c>
      <c r="HU57" s="5">
        <v>23083</v>
      </c>
      <c r="HV57" s="5">
        <v>31178</v>
      </c>
      <c r="HW57" s="569">
        <f t="shared" si="625"/>
        <v>1366113</v>
      </c>
      <c r="HX57" s="546">
        <f t="shared" si="626"/>
        <v>1277866</v>
      </c>
      <c r="HY57" s="546">
        <f t="shared" si="627"/>
        <v>39046</v>
      </c>
      <c r="HZ57" s="546">
        <f t="shared" si="628"/>
        <v>23284</v>
      </c>
      <c r="IA57" s="546">
        <f t="shared" si="629"/>
        <v>49201</v>
      </c>
      <c r="IB57" s="569">
        <f t="shared" si="630"/>
        <v>1726558</v>
      </c>
      <c r="IC57" s="546">
        <f t="shared" si="631"/>
        <v>1555536</v>
      </c>
      <c r="ID57" s="546">
        <f t="shared" si="632"/>
        <v>52434</v>
      </c>
      <c r="IE57" s="546">
        <f t="shared" si="633"/>
        <v>39229</v>
      </c>
      <c r="IF57" s="546">
        <f t="shared" si="634"/>
        <v>118588</v>
      </c>
      <c r="IG57" s="12">
        <v>1665606</v>
      </c>
      <c r="IH57" s="5">
        <v>1453493</v>
      </c>
      <c r="II57" s="5">
        <v>69175</v>
      </c>
      <c r="IJ57" s="5">
        <v>58238</v>
      </c>
      <c r="IK57" s="5">
        <v>142938</v>
      </c>
      <c r="IL57" s="565"/>
      <c r="IM57" s="7"/>
      <c r="IN57" s="7"/>
      <c r="IO57" s="7"/>
      <c r="IP57" s="7"/>
      <c r="IQ57" s="7">
        <v>2112473</v>
      </c>
      <c r="IR57" s="7">
        <v>1832997</v>
      </c>
      <c r="IS57" s="7">
        <v>82692</v>
      </c>
      <c r="IT57" s="7">
        <v>75385</v>
      </c>
      <c r="IU57" s="577">
        <v>196503</v>
      </c>
      <c r="IV57" s="7">
        <v>2155925</v>
      </c>
      <c r="IW57" s="7">
        <v>1811572</v>
      </c>
      <c r="IX57" s="7">
        <v>86664</v>
      </c>
      <c r="IY57" s="7">
        <v>81061</v>
      </c>
      <c r="IZ57" s="7">
        <v>206831</v>
      </c>
      <c r="JA57" s="565">
        <v>2314167</v>
      </c>
      <c r="JB57" s="7">
        <v>1908019</v>
      </c>
      <c r="JC57" s="7">
        <v>97348</v>
      </c>
      <c r="JD57" s="7">
        <v>97052</v>
      </c>
      <c r="JE57" s="7">
        <v>245884</v>
      </c>
      <c r="JF57" s="565">
        <v>2383702</v>
      </c>
      <c r="JG57" s="7">
        <v>1955855</v>
      </c>
      <c r="JH57" s="7">
        <v>104146</v>
      </c>
      <c r="JI57" s="7">
        <v>100441</v>
      </c>
      <c r="JJ57" s="7">
        <v>257535</v>
      </c>
      <c r="JK57" s="12">
        <v>657161</v>
      </c>
      <c r="JL57" s="5">
        <v>619656</v>
      </c>
      <c r="JM57" s="5">
        <v>17304</v>
      </c>
      <c r="JN57" s="5">
        <v>10017</v>
      </c>
      <c r="JO57" s="5">
        <v>20201</v>
      </c>
      <c r="JP57" s="12">
        <v>834554</v>
      </c>
      <c r="JQ57" s="5">
        <v>759773</v>
      </c>
      <c r="JR57" s="5">
        <v>23463</v>
      </c>
      <c r="JS57" s="5">
        <v>16757</v>
      </c>
      <c r="JT57" s="5">
        <v>51318</v>
      </c>
      <c r="JU57" s="12">
        <v>971837</v>
      </c>
      <c r="JV57" s="5">
        <v>855592</v>
      </c>
      <c r="JW57" s="5">
        <v>38109</v>
      </c>
      <c r="JX57" s="5">
        <v>33470</v>
      </c>
      <c r="JY57" s="5">
        <v>78136</v>
      </c>
      <c r="JZ57" s="12">
        <v>985816.46799999999</v>
      </c>
      <c r="KA57" s="5">
        <v>863329.929</v>
      </c>
      <c r="KB57" s="5">
        <v>38360.769999999997</v>
      </c>
      <c r="KC57" s="5">
        <v>34430.240000000005</v>
      </c>
      <c r="KD57" s="5">
        <v>84125.769</v>
      </c>
      <c r="KE57" s="5">
        <v>1018465</v>
      </c>
      <c r="KF57" s="5">
        <v>866395</v>
      </c>
      <c r="KG57" s="5">
        <v>41385</v>
      </c>
      <c r="KH57" s="5">
        <v>37705</v>
      </c>
      <c r="KI57" s="5">
        <v>87609</v>
      </c>
      <c r="KJ57" s="5">
        <v>1086715</v>
      </c>
      <c r="KK57" s="5">
        <v>908404</v>
      </c>
      <c r="KL57" s="5">
        <v>45681</v>
      </c>
      <c r="KM57" s="5">
        <v>42780</v>
      </c>
      <c r="KN57" s="5">
        <v>106406</v>
      </c>
      <c r="KO57" s="5">
        <v>1124295</v>
      </c>
      <c r="KP57" s="5">
        <v>937737</v>
      </c>
      <c r="KQ57" s="5">
        <v>49487</v>
      </c>
      <c r="KR57" s="5">
        <v>46466</v>
      </c>
      <c r="KS57" s="5">
        <v>106719</v>
      </c>
      <c r="KT57" s="258" t="s">
        <v>185</v>
      </c>
      <c r="KU57" s="259" t="s">
        <v>185</v>
      </c>
      <c r="KV57" s="12">
        <v>265402</v>
      </c>
      <c r="KW57" s="332">
        <f t="shared" si="581"/>
        <v>166362</v>
      </c>
      <c r="KX57" s="332">
        <f t="shared" si="582"/>
        <v>99040</v>
      </c>
      <c r="KY57" s="332">
        <f t="shared" si="583"/>
        <v>261349</v>
      </c>
      <c r="KZ57" s="318">
        <v>164005</v>
      </c>
      <c r="LA57" s="318">
        <v>97344</v>
      </c>
      <c r="LB57" s="332">
        <f t="shared" si="584"/>
        <v>4053</v>
      </c>
      <c r="LC57" s="318">
        <v>2357</v>
      </c>
      <c r="LD57" s="318">
        <v>1696</v>
      </c>
      <c r="LE57" s="12">
        <v>394081</v>
      </c>
      <c r="LF57" s="332">
        <f t="shared" si="585"/>
        <v>239657</v>
      </c>
      <c r="LG57" s="332">
        <f t="shared" si="586"/>
        <v>154424</v>
      </c>
      <c r="LH57" s="332">
        <f t="shared" si="587"/>
        <v>385589</v>
      </c>
      <c r="LI57" s="318">
        <v>234565</v>
      </c>
      <c r="LJ57" s="318">
        <v>151024</v>
      </c>
      <c r="LK57" s="332">
        <f t="shared" si="588"/>
        <v>4370</v>
      </c>
      <c r="LL57" s="318">
        <v>2371</v>
      </c>
      <c r="LM57" s="318">
        <v>1999</v>
      </c>
      <c r="LN57" s="332">
        <f t="shared" si="589"/>
        <v>4122</v>
      </c>
      <c r="LO57" s="318">
        <v>2721</v>
      </c>
      <c r="LP57" s="318">
        <v>1401</v>
      </c>
      <c r="LQ57" s="12">
        <v>693630</v>
      </c>
      <c r="LR57" s="332">
        <f t="shared" si="590"/>
        <v>397358</v>
      </c>
      <c r="LS57" s="332">
        <f t="shared" si="591"/>
        <v>296272</v>
      </c>
      <c r="LT57" s="342">
        <f t="shared" si="592"/>
        <v>660310</v>
      </c>
      <c r="LU57" s="318">
        <v>378542</v>
      </c>
      <c r="LV57" s="318">
        <v>281768</v>
      </c>
      <c r="LW57" s="318">
        <v>18816</v>
      </c>
      <c r="LX57" s="318">
        <v>14504</v>
      </c>
      <c r="LY57" s="342">
        <f t="shared" si="593"/>
        <v>12779</v>
      </c>
      <c r="LZ57" s="318">
        <v>6879</v>
      </c>
      <c r="MA57" s="318">
        <v>5900</v>
      </c>
      <c r="MB57" s="342">
        <f t="shared" si="594"/>
        <v>7143</v>
      </c>
      <c r="MC57" s="318">
        <v>4098</v>
      </c>
      <c r="MD57" s="318">
        <v>3045</v>
      </c>
      <c r="ME57" s="333">
        <f t="shared" si="595"/>
        <v>13398</v>
      </c>
      <c r="MF57" s="333">
        <f t="shared" si="596"/>
        <v>7839</v>
      </c>
      <c r="MG57" s="333">
        <f t="shared" si="597"/>
        <v>5559</v>
      </c>
      <c r="MH57" s="334">
        <f t="shared" si="598"/>
        <v>970</v>
      </c>
      <c r="MI57" s="334">
        <f t="shared" si="599"/>
        <v>516</v>
      </c>
      <c r="MJ57" s="334">
        <f t="shared" si="600"/>
        <v>454</v>
      </c>
      <c r="MK57" s="318">
        <v>12428</v>
      </c>
      <c r="ML57" s="318">
        <v>7323</v>
      </c>
      <c r="MM57" s="318">
        <v>5105</v>
      </c>
      <c r="MN57" s="14">
        <f t="shared" si="601"/>
        <v>1078999</v>
      </c>
      <c r="MO57" s="332">
        <f t="shared" si="602"/>
        <v>569017</v>
      </c>
      <c r="MP57" s="332">
        <f t="shared" si="603"/>
        <v>509982</v>
      </c>
      <c r="MQ57" s="13">
        <f t="shared" si="604"/>
        <v>1009470</v>
      </c>
      <c r="MR57" s="136">
        <f t="shared" si="605"/>
        <v>997510</v>
      </c>
      <c r="MS57" s="318">
        <v>525794</v>
      </c>
      <c r="MT57" s="318">
        <v>471716</v>
      </c>
      <c r="MU57" s="318">
        <v>43223</v>
      </c>
      <c r="MV57" s="318">
        <v>38266</v>
      </c>
      <c r="MW57" s="13">
        <f t="shared" si="606"/>
        <v>28085</v>
      </c>
      <c r="MX57" s="136">
        <f t="shared" si="607"/>
        <v>27172</v>
      </c>
      <c r="MY57" s="318">
        <v>13893</v>
      </c>
      <c r="MZ57" s="318">
        <v>13279</v>
      </c>
      <c r="NA57" s="13">
        <f t="shared" si="608"/>
        <v>17522</v>
      </c>
      <c r="NB57" s="318">
        <v>8881</v>
      </c>
      <c r="NC57" s="318">
        <v>8641</v>
      </c>
      <c r="ND57" s="13">
        <f t="shared" si="609"/>
        <v>41444</v>
      </c>
      <c r="NE57" s="368">
        <f t="shared" si="610"/>
        <v>20449</v>
      </c>
      <c r="NF57" s="335">
        <f t="shared" si="611"/>
        <v>16346</v>
      </c>
      <c r="NG57" s="336">
        <f t="shared" si="612"/>
        <v>3760</v>
      </c>
      <c r="NH57" s="336">
        <f t="shared" si="613"/>
        <v>467</v>
      </c>
      <c r="NI57" s="336">
        <f t="shared" si="614"/>
        <v>3293</v>
      </c>
      <c r="NJ57" s="337">
        <f t="shared" si="615"/>
        <v>33035</v>
      </c>
      <c r="NK57" s="337">
        <f t="shared" si="616"/>
        <v>19982</v>
      </c>
      <c r="NL57" s="337">
        <f t="shared" si="617"/>
        <v>13053</v>
      </c>
      <c r="NM57" s="318">
        <v>495</v>
      </c>
      <c r="NN57" s="318">
        <v>527</v>
      </c>
      <c r="NO57" s="318">
        <v>19487</v>
      </c>
      <c r="NP57" s="318">
        <v>12526</v>
      </c>
      <c r="NQ57" s="338">
        <v>1418295</v>
      </c>
      <c r="NR57" s="318">
        <v>705781</v>
      </c>
      <c r="NS57" s="318">
        <v>712514</v>
      </c>
      <c r="NT57" s="7">
        <f t="shared" si="618"/>
        <v>1278121</v>
      </c>
      <c r="NU57" s="7">
        <v>635038</v>
      </c>
      <c r="NV57" s="7">
        <v>643083</v>
      </c>
      <c r="NW57" s="125">
        <f t="shared" si="619"/>
        <v>1260183</v>
      </c>
      <c r="NX57" s="318">
        <v>626840</v>
      </c>
      <c r="NY57" s="318">
        <v>633343</v>
      </c>
      <c r="NZ57" s="7">
        <f t="shared" si="620"/>
        <v>38249</v>
      </c>
      <c r="OA57" s="318">
        <v>18066</v>
      </c>
      <c r="OB57" s="318">
        <v>20183</v>
      </c>
      <c r="OC57" s="7">
        <f t="shared" si="621"/>
        <v>29745</v>
      </c>
      <c r="OD57" s="318">
        <v>13278</v>
      </c>
      <c r="OE57" s="318">
        <v>16467</v>
      </c>
      <c r="OF57" s="125">
        <f t="shared" si="622"/>
        <v>101925</v>
      </c>
      <c r="OG57" s="125">
        <f t="shared" si="623"/>
        <v>52677</v>
      </c>
      <c r="OH57" s="125">
        <f t="shared" si="624"/>
        <v>49248</v>
      </c>
      <c r="OI57" s="326">
        <v>1614605</v>
      </c>
      <c r="OJ57" s="318">
        <v>1421989</v>
      </c>
      <c r="OK57" s="318">
        <v>47308</v>
      </c>
      <c r="OL57" s="318">
        <v>145308</v>
      </c>
      <c r="OM57" s="7">
        <v>43908</v>
      </c>
      <c r="ON57" s="338">
        <v>1648874</v>
      </c>
      <c r="OO57" s="5">
        <v>1448823</v>
      </c>
      <c r="OP57" s="5">
        <v>50867</v>
      </c>
      <c r="OQ57" s="5">
        <v>149184</v>
      </c>
      <c r="OR57" s="5">
        <v>45154</v>
      </c>
      <c r="OS57" s="338">
        <v>1698004</v>
      </c>
      <c r="OT57" s="5">
        <v>1493150</v>
      </c>
      <c r="OU57" s="5">
        <v>54287</v>
      </c>
      <c r="OV57" s="5">
        <v>150567</v>
      </c>
      <c r="OW57" s="5">
        <v>46585</v>
      </c>
      <c r="OX57" s="12">
        <v>1702998</v>
      </c>
      <c r="OY57" s="5">
        <v>1482005</v>
      </c>
      <c r="OZ57" s="5">
        <v>58351</v>
      </c>
      <c r="PA57" s="5">
        <v>162642</v>
      </c>
      <c r="PB57" s="5">
        <v>52489</v>
      </c>
      <c r="PC57" s="12">
        <v>1730754.7039999999</v>
      </c>
      <c r="PD57" s="5">
        <v>1502418.318</v>
      </c>
      <c r="PE57" s="5">
        <v>58854.879999999997</v>
      </c>
      <c r="PF57" s="5">
        <v>55287.020000000004</v>
      </c>
      <c r="PG57" s="5">
        <v>169481.50599999994</v>
      </c>
      <c r="PH57" s="5">
        <v>1767926</v>
      </c>
      <c r="PI57" s="5">
        <v>1532629</v>
      </c>
      <c r="PJ57" s="5">
        <v>60833</v>
      </c>
      <c r="PK57" s="5">
        <v>58091</v>
      </c>
      <c r="PL57" s="2">
        <v>174204</v>
      </c>
      <c r="PM57" s="2">
        <v>1804761</v>
      </c>
      <c r="PN57" s="2">
        <v>1515363</v>
      </c>
      <c r="PO57" s="2">
        <v>64993</v>
      </c>
      <c r="PP57" s="2">
        <v>62632</v>
      </c>
      <c r="PQ57" s="2">
        <v>183328</v>
      </c>
      <c r="PR57" s="2">
        <v>1951689</v>
      </c>
      <c r="PS57" s="2">
        <v>1611112</v>
      </c>
      <c r="PT57" s="2">
        <v>70790</v>
      </c>
      <c r="PU57" s="2">
        <v>73751</v>
      </c>
      <c r="PV57" s="2">
        <v>220022</v>
      </c>
      <c r="PW57" s="2">
        <v>2020346</v>
      </c>
      <c r="PX57" s="2">
        <v>1661268</v>
      </c>
      <c r="PY57" s="2">
        <v>78968</v>
      </c>
      <c r="PZ57" s="2">
        <v>77358</v>
      </c>
      <c r="QA57" s="2">
        <v>226357</v>
      </c>
      <c r="QB57" s="12">
        <v>421838</v>
      </c>
      <c r="QC57" s="5">
        <v>389814</v>
      </c>
      <c r="QD57" s="5">
        <v>10781</v>
      </c>
      <c r="QE57" s="5">
        <v>7505</v>
      </c>
      <c r="QF57" s="5">
        <v>21243</v>
      </c>
      <c r="QG57" s="12">
        <v>583741</v>
      </c>
      <c r="QH57" s="5">
        <v>518348</v>
      </c>
      <c r="QI57" s="5">
        <v>14786</v>
      </c>
      <c r="QJ57" s="5">
        <v>12988</v>
      </c>
      <c r="QK57" s="5">
        <v>50607</v>
      </c>
      <c r="QL57" s="12">
        <v>731161</v>
      </c>
      <c r="QM57" s="5">
        <v>626413</v>
      </c>
      <c r="QN57" s="5">
        <v>20242</v>
      </c>
      <c r="QO57" s="5">
        <v>19019</v>
      </c>
      <c r="QP57" s="5">
        <v>84506</v>
      </c>
      <c r="QQ57" s="12">
        <v>744938.23599999992</v>
      </c>
      <c r="QR57" s="5">
        <v>639088.38900000008</v>
      </c>
      <c r="QS57" s="5">
        <v>20494.11</v>
      </c>
      <c r="QT57" s="5">
        <v>20856.78</v>
      </c>
      <c r="QU57" s="10">
        <v>85355.736999999834</v>
      </c>
      <c r="QV57" s="1">
        <v>763033</v>
      </c>
      <c r="QW57" s="2">
        <v>651872</v>
      </c>
      <c r="QX57" s="2">
        <v>21917</v>
      </c>
      <c r="QY57" s="2">
        <v>22335</v>
      </c>
      <c r="QZ57" s="69">
        <v>89111</v>
      </c>
      <c r="RA57" s="2">
        <v>786296</v>
      </c>
      <c r="RB57" s="2">
        <v>648968</v>
      </c>
      <c r="RC57" s="2">
        <v>23608</v>
      </c>
      <c r="RD57" s="2">
        <v>24927</v>
      </c>
      <c r="RE57" s="2">
        <v>95719</v>
      </c>
      <c r="RF57" s="2">
        <v>864974</v>
      </c>
      <c r="RG57" s="2">
        <v>702708</v>
      </c>
      <c r="RH57" s="2">
        <v>25109</v>
      </c>
      <c r="RI57" s="2">
        <v>30971</v>
      </c>
      <c r="RJ57" s="2">
        <v>113616</v>
      </c>
      <c r="RK57" s="2">
        <v>896051</v>
      </c>
      <c r="RL57" s="2">
        <v>723531</v>
      </c>
      <c r="RM57" s="2">
        <v>29481</v>
      </c>
      <c r="RN57" s="2">
        <v>30892</v>
      </c>
      <c r="RO57" s="2">
        <v>119638</v>
      </c>
    </row>
    <row r="58" spans="1:483" ht="12.75" customHeight="1" x14ac:dyDescent="0.2">
      <c r="A58" s="218" t="s">
        <v>36</v>
      </c>
      <c r="B58" s="259" t="s">
        <v>185</v>
      </c>
      <c r="C58" s="259" t="s">
        <v>185</v>
      </c>
      <c r="D58" s="259" t="s">
        <v>185</v>
      </c>
      <c r="E58" s="259" t="s">
        <v>185</v>
      </c>
      <c r="F58" s="259" t="s">
        <v>185</v>
      </c>
      <c r="G58" s="12">
        <v>47691</v>
      </c>
      <c r="H58" s="5">
        <v>46599</v>
      </c>
      <c r="I58" s="5">
        <v>188</v>
      </c>
      <c r="J58" s="5">
        <v>709</v>
      </c>
      <c r="K58" s="5">
        <v>904</v>
      </c>
      <c r="L58" s="12">
        <v>32426</v>
      </c>
      <c r="M58" s="5">
        <v>30318</v>
      </c>
      <c r="N58" s="5">
        <v>239</v>
      </c>
      <c r="O58" s="5">
        <v>1212</v>
      </c>
      <c r="P58" s="5">
        <v>1869</v>
      </c>
      <c r="Q58" s="565">
        <v>26054</v>
      </c>
      <c r="R58" s="7">
        <v>23104</v>
      </c>
      <c r="S58" s="7">
        <v>429</v>
      </c>
      <c r="T58" s="7">
        <v>2480</v>
      </c>
      <c r="U58" s="7">
        <v>2521</v>
      </c>
      <c r="V58" s="7">
        <v>24019</v>
      </c>
      <c r="W58" s="7">
        <v>20551</v>
      </c>
      <c r="X58" s="7">
        <v>673</v>
      </c>
      <c r="Y58" s="7">
        <v>2497</v>
      </c>
      <c r="Z58" s="7">
        <v>2795</v>
      </c>
      <c r="AA58" s="7">
        <v>24422</v>
      </c>
      <c r="AB58" s="7">
        <v>19358</v>
      </c>
      <c r="AC58" s="7">
        <v>912</v>
      </c>
      <c r="AD58" s="7">
        <v>2435</v>
      </c>
      <c r="AE58" s="675">
        <v>2715</v>
      </c>
      <c r="AF58" s="560">
        <v>18249</v>
      </c>
      <c r="AG58" s="560">
        <v>14340</v>
      </c>
      <c r="AH58" s="560">
        <v>286</v>
      </c>
      <c r="AI58" s="560">
        <v>1996</v>
      </c>
      <c r="AJ58" s="560">
        <v>1707</v>
      </c>
      <c r="AK58" s="560">
        <v>20623</v>
      </c>
      <c r="AL58" s="560">
        <v>15353</v>
      </c>
      <c r="AM58" s="560">
        <v>612</v>
      </c>
      <c r="AN58" s="560">
        <v>2961</v>
      </c>
      <c r="AO58" s="560">
        <v>2546</v>
      </c>
      <c r="AP58" s="12">
        <v>79732</v>
      </c>
      <c r="AQ58" s="5">
        <v>78574</v>
      </c>
      <c r="AR58" s="5">
        <v>311</v>
      </c>
      <c r="AS58" s="5">
        <v>531</v>
      </c>
      <c r="AT58" s="5">
        <v>847</v>
      </c>
      <c r="AU58" s="12">
        <v>71328</v>
      </c>
      <c r="AV58" s="5">
        <v>68309</v>
      </c>
      <c r="AW58" s="5">
        <v>562</v>
      </c>
      <c r="AX58" s="5">
        <v>1408</v>
      </c>
      <c r="AY58" s="5">
        <v>2457</v>
      </c>
      <c r="AZ58" s="12">
        <v>53187</v>
      </c>
      <c r="BA58" s="5">
        <v>50202</v>
      </c>
      <c r="BB58" s="5">
        <v>743</v>
      </c>
      <c r="BC58" s="5">
        <v>1884</v>
      </c>
      <c r="BD58" s="5">
        <v>2242</v>
      </c>
      <c r="BE58" s="5">
        <v>52839</v>
      </c>
      <c r="BF58" s="5">
        <v>49783</v>
      </c>
      <c r="BG58" s="5">
        <v>621</v>
      </c>
      <c r="BH58" s="5">
        <v>1965</v>
      </c>
      <c r="BI58" s="5">
        <v>2435</v>
      </c>
      <c r="BJ58" s="5">
        <v>48940</v>
      </c>
      <c r="BK58" s="5">
        <v>44618</v>
      </c>
      <c r="BL58" s="5">
        <v>451</v>
      </c>
      <c r="BM58" s="5">
        <v>1983</v>
      </c>
      <c r="BN58" s="53">
        <v>2466</v>
      </c>
      <c r="BO58" s="53">
        <v>46392</v>
      </c>
      <c r="BP58" s="53">
        <v>40826</v>
      </c>
      <c r="BQ58" s="53">
        <v>978</v>
      </c>
      <c r="BR58" s="53">
        <v>2875</v>
      </c>
      <c r="BS58" s="53">
        <v>1767</v>
      </c>
      <c r="BT58" s="53">
        <v>47275</v>
      </c>
      <c r="BU58" s="53">
        <v>42011</v>
      </c>
      <c r="BV58" s="53">
        <v>608</v>
      </c>
      <c r="BW58" s="53">
        <v>3084</v>
      </c>
      <c r="BX58" s="53">
        <v>1795</v>
      </c>
      <c r="BY58" s="12">
        <v>77142</v>
      </c>
      <c r="BZ58" s="5">
        <v>71017</v>
      </c>
      <c r="CA58" s="5"/>
      <c r="CB58" s="5">
        <v>4361</v>
      </c>
      <c r="CC58" s="290">
        <f t="shared" si="569"/>
        <v>6125</v>
      </c>
      <c r="CD58" s="258" t="s">
        <v>185</v>
      </c>
      <c r="CE58" s="259" t="s">
        <v>185</v>
      </c>
      <c r="CF58" s="259" t="s">
        <v>185</v>
      </c>
      <c r="CG58" s="259" t="s">
        <v>185</v>
      </c>
      <c r="CH58" s="258" t="s">
        <v>185</v>
      </c>
      <c r="CI58" s="259" t="s">
        <v>185</v>
      </c>
      <c r="CJ58" s="259" t="s">
        <v>185</v>
      </c>
      <c r="CK58" s="259" t="s">
        <v>185</v>
      </c>
      <c r="CL58" s="259" t="s">
        <v>185</v>
      </c>
      <c r="CM58" s="12">
        <v>586471</v>
      </c>
      <c r="CN58" s="5">
        <v>577148</v>
      </c>
      <c r="CO58" s="5">
        <v>3082</v>
      </c>
      <c r="CP58" s="5">
        <v>4455</v>
      </c>
      <c r="CQ58" s="5">
        <v>6241</v>
      </c>
      <c r="CR58" s="12">
        <v>720233</v>
      </c>
      <c r="CS58" s="5">
        <v>698189</v>
      </c>
      <c r="CT58" s="5">
        <v>4326</v>
      </c>
      <c r="CU58" s="5">
        <v>7290</v>
      </c>
      <c r="CV58" s="5">
        <v>17718</v>
      </c>
      <c r="CW58" s="195">
        <v>799074</v>
      </c>
      <c r="CX58" s="5">
        <v>767121</v>
      </c>
      <c r="CY58" s="5">
        <v>5639</v>
      </c>
      <c r="CZ58" s="5">
        <v>26314</v>
      </c>
      <c r="DA58" s="5">
        <v>14053</v>
      </c>
      <c r="DB58" s="12">
        <v>810462</v>
      </c>
      <c r="DC58" s="5">
        <v>778062</v>
      </c>
      <c r="DD58" s="5">
        <v>5724</v>
      </c>
      <c r="DE58" s="5">
        <v>26676</v>
      </c>
      <c r="DF58" s="5">
        <v>14376</v>
      </c>
      <c r="DG58" s="12">
        <v>815266</v>
      </c>
      <c r="DH58" s="54">
        <v>783456</v>
      </c>
      <c r="DI58" s="54">
        <v>6328</v>
      </c>
      <c r="DJ58" s="54">
        <v>25482</v>
      </c>
      <c r="DK58" s="54">
        <v>13948</v>
      </c>
      <c r="DL58" s="12">
        <v>822476</v>
      </c>
      <c r="DM58" s="5">
        <v>788450</v>
      </c>
      <c r="DN58" s="5">
        <v>6537</v>
      </c>
      <c r="DO58" s="5">
        <v>13534</v>
      </c>
      <c r="DP58" s="5">
        <v>20308</v>
      </c>
      <c r="DQ58" s="12">
        <v>830412.82499999995</v>
      </c>
      <c r="DR58" s="5">
        <v>795049.50599999994</v>
      </c>
      <c r="DS58" s="5"/>
      <c r="DT58" s="5">
        <v>14039.2</v>
      </c>
      <c r="DU58" s="530">
        <f t="shared" si="570"/>
        <v>35363.319000000018</v>
      </c>
      <c r="DV58" s="5">
        <v>836894</v>
      </c>
      <c r="DW58" s="5">
        <v>800367</v>
      </c>
      <c r="DX58" s="5">
        <v>7562</v>
      </c>
      <c r="DY58" s="5">
        <v>14927</v>
      </c>
      <c r="DZ58" s="5">
        <v>28829</v>
      </c>
      <c r="EA58" s="5">
        <v>846254</v>
      </c>
      <c r="EB58" s="5">
        <v>795794</v>
      </c>
      <c r="EC58" s="5">
        <v>7992</v>
      </c>
      <c r="ED58" s="5">
        <v>16310</v>
      </c>
      <c r="EE58" s="5">
        <v>30475</v>
      </c>
      <c r="EF58" s="5">
        <v>872573</v>
      </c>
      <c r="EG58" s="5">
        <v>815112</v>
      </c>
      <c r="EH58" s="5">
        <v>10608</v>
      </c>
      <c r="EI58" s="5">
        <v>18470</v>
      </c>
      <c r="EJ58" s="5">
        <v>28264</v>
      </c>
      <c r="EK58" s="5">
        <v>879688</v>
      </c>
      <c r="EL58" s="5">
        <v>819493</v>
      </c>
      <c r="EM58" s="5">
        <v>9603</v>
      </c>
      <c r="EN58" s="5">
        <v>19323</v>
      </c>
      <c r="EO58" s="5">
        <v>34825</v>
      </c>
      <c r="EP58" s="258" t="s">
        <v>185</v>
      </c>
      <c r="EQ58" s="259" t="s">
        <v>185</v>
      </c>
      <c r="ER58" s="259" t="s">
        <v>185</v>
      </c>
      <c r="ES58" s="259" t="s">
        <v>185</v>
      </c>
      <c r="ET58" s="259" t="s">
        <v>185</v>
      </c>
      <c r="EU58" s="12">
        <v>186263</v>
      </c>
      <c r="EV58" s="5">
        <v>183379</v>
      </c>
      <c r="EW58" s="5">
        <v>1257</v>
      </c>
      <c r="EX58" s="5">
        <v>1588</v>
      </c>
      <c r="EY58" s="5">
        <v>1627</v>
      </c>
      <c r="EZ58" s="12">
        <v>236406</v>
      </c>
      <c r="FA58" s="5">
        <v>229804</v>
      </c>
      <c r="FB58" s="5">
        <v>1601</v>
      </c>
      <c r="FC58" s="5">
        <v>2741</v>
      </c>
      <c r="FD58" s="5">
        <v>5001</v>
      </c>
      <c r="FE58" s="12">
        <v>261192</v>
      </c>
      <c r="FF58" s="5">
        <v>251476</v>
      </c>
      <c r="FG58" s="5">
        <v>2770</v>
      </c>
      <c r="FH58" s="5">
        <v>4653</v>
      </c>
      <c r="FI58" s="5">
        <v>6946</v>
      </c>
      <c r="FJ58" s="12">
        <v>263190.94999999995</v>
      </c>
      <c r="FK58" s="5">
        <v>253757.63099999999</v>
      </c>
      <c r="FL58" s="5"/>
      <c r="FM58" s="5">
        <v>4986.4000000000005</v>
      </c>
      <c r="FN58" s="5">
        <v>9433.3189999999595</v>
      </c>
      <c r="FO58" s="5">
        <v>259618</v>
      </c>
      <c r="FP58" s="5">
        <v>249932</v>
      </c>
      <c r="FQ58" s="5">
        <v>2561</v>
      </c>
      <c r="FR58" s="5">
        <v>5032</v>
      </c>
      <c r="FS58" s="618">
        <v>7098</v>
      </c>
      <c r="FT58" s="618">
        <v>262412</v>
      </c>
      <c r="FU58" s="618">
        <v>248596</v>
      </c>
      <c r="FV58" s="618">
        <v>2632</v>
      </c>
      <c r="FW58" s="618">
        <v>5340</v>
      </c>
      <c r="FX58" s="618">
        <v>7379</v>
      </c>
      <c r="FY58" s="618">
        <v>271182</v>
      </c>
      <c r="FZ58" s="618">
        <v>254429</v>
      </c>
      <c r="GA58" s="618">
        <v>5221</v>
      </c>
      <c r="GB58" s="618">
        <v>6430</v>
      </c>
      <c r="GC58" s="618">
        <v>5182</v>
      </c>
      <c r="GD58" s="618">
        <v>276765</v>
      </c>
      <c r="GE58" s="618">
        <v>260967</v>
      </c>
      <c r="GF58" s="618">
        <v>2879</v>
      </c>
      <c r="GG58" s="618">
        <v>6897</v>
      </c>
      <c r="GH58" s="618">
        <v>7095</v>
      </c>
      <c r="GI58" s="12">
        <v>57568</v>
      </c>
      <c r="GJ58" s="5">
        <v>56889</v>
      </c>
      <c r="GK58" s="5">
        <v>246</v>
      </c>
      <c r="GL58" s="5">
        <v>425</v>
      </c>
      <c r="GM58" s="5">
        <v>433</v>
      </c>
      <c r="GN58" s="12">
        <v>71772</v>
      </c>
      <c r="GO58" s="5">
        <v>69798</v>
      </c>
      <c r="GP58" s="5">
        <v>375</v>
      </c>
      <c r="GQ58" s="5">
        <v>689</v>
      </c>
      <c r="GR58" s="5">
        <v>1599</v>
      </c>
      <c r="GS58" s="12">
        <v>87123</v>
      </c>
      <c r="GT58" s="5">
        <v>84215</v>
      </c>
      <c r="GU58" s="5">
        <v>732</v>
      </c>
      <c r="GV58" s="5">
        <v>1448</v>
      </c>
      <c r="GW58" s="5">
        <v>2176</v>
      </c>
      <c r="GX58" s="12"/>
      <c r="GY58" s="5"/>
      <c r="GZ58" s="5"/>
      <c r="HA58" s="5"/>
      <c r="HB58" s="10"/>
      <c r="HC58" s="5">
        <v>88093</v>
      </c>
      <c r="HD58" s="5">
        <v>85027</v>
      </c>
      <c r="HE58" s="5">
        <v>740</v>
      </c>
      <c r="HF58" s="5">
        <v>1447</v>
      </c>
      <c r="HG58" s="5">
        <v>2326</v>
      </c>
      <c r="HH58" s="5">
        <v>86971</v>
      </c>
      <c r="HI58" s="5">
        <v>82991</v>
      </c>
      <c r="HJ58" s="5">
        <v>845</v>
      </c>
      <c r="HK58" s="5">
        <v>1362</v>
      </c>
      <c r="HL58" s="5">
        <v>2160</v>
      </c>
      <c r="HM58" s="5">
        <v>91199</v>
      </c>
      <c r="HN58" s="5">
        <v>87658</v>
      </c>
      <c r="HO58" s="5">
        <v>991</v>
      </c>
      <c r="HP58" s="5">
        <v>1186</v>
      </c>
      <c r="HQ58" s="5">
        <v>1217</v>
      </c>
      <c r="HR58" s="5">
        <v>97488</v>
      </c>
      <c r="HS58" s="5">
        <v>91787</v>
      </c>
      <c r="HT58" s="5">
        <v>426</v>
      </c>
      <c r="HU58" s="5">
        <v>2381</v>
      </c>
      <c r="HV58" s="5">
        <v>3295</v>
      </c>
      <c r="HW58" s="569">
        <f t="shared" si="625"/>
        <v>231509</v>
      </c>
      <c r="HX58" s="546">
        <f t="shared" si="626"/>
        <v>226955</v>
      </c>
      <c r="HY58" s="546">
        <f t="shared" si="627"/>
        <v>1167</v>
      </c>
      <c r="HZ58" s="546">
        <f t="shared" si="628"/>
        <v>1877</v>
      </c>
      <c r="IA58" s="546">
        <f t="shared" si="629"/>
        <v>3387</v>
      </c>
      <c r="IB58" s="569">
        <f t="shared" si="630"/>
        <v>307876</v>
      </c>
      <c r="IC58" s="546">
        <f t="shared" si="631"/>
        <v>296800</v>
      </c>
      <c r="ID58" s="546">
        <f t="shared" si="632"/>
        <v>1799</v>
      </c>
      <c r="IE58" s="546">
        <f t="shared" si="633"/>
        <v>2938</v>
      </c>
      <c r="IF58" s="546">
        <f t="shared" si="634"/>
        <v>9277</v>
      </c>
      <c r="IG58" s="12">
        <v>329434</v>
      </c>
      <c r="IH58" s="5">
        <v>314143</v>
      </c>
      <c r="II58" s="5">
        <v>2521</v>
      </c>
      <c r="IJ58" s="5">
        <v>4933</v>
      </c>
      <c r="IK58" s="5">
        <v>12770</v>
      </c>
      <c r="IL58" s="565"/>
      <c r="IM58" s="7"/>
      <c r="IN58" s="7"/>
      <c r="IO58" s="7"/>
      <c r="IP58" s="7"/>
      <c r="IQ58" s="7">
        <v>395690</v>
      </c>
      <c r="IR58" s="7">
        <v>375327</v>
      </c>
      <c r="IS58" s="7">
        <v>3343</v>
      </c>
      <c r="IT58" s="7">
        <v>6152</v>
      </c>
      <c r="IU58" s="577">
        <v>16911</v>
      </c>
      <c r="IV58" s="7">
        <v>401490</v>
      </c>
      <c r="IW58" s="7">
        <v>376055</v>
      </c>
      <c r="IX58" s="7">
        <v>3514</v>
      </c>
      <c r="IY58" s="7">
        <v>6172</v>
      </c>
      <c r="IZ58" s="7">
        <v>17199</v>
      </c>
      <c r="JA58" s="565">
        <v>425512</v>
      </c>
      <c r="JB58" s="7">
        <v>396309</v>
      </c>
      <c r="JC58" s="7">
        <v>3477</v>
      </c>
      <c r="JD58" s="7">
        <v>7310</v>
      </c>
      <c r="JE58" s="7">
        <v>18253</v>
      </c>
      <c r="JF58" s="565">
        <v>444166</v>
      </c>
      <c r="JG58" s="7">
        <v>411849</v>
      </c>
      <c r="JH58" s="7">
        <v>3609</v>
      </c>
      <c r="JI58" s="7">
        <v>9776</v>
      </c>
      <c r="JJ58" s="7">
        <v>21109</v>
      </c>
      <c r="JK58" s="12">
        <v>117260</v>
      </c>
      <c r="JL58" s="5">
        <v>115120</v>
      </c>
      <c r="JM58" s="5">
        <v>580</v>
      </c>
      <c r="JN58" s="5">
        <v>851</v>
      </c>
      <c r="JO58" s="5">
        <v>1560</v>
      </c>
      <c r="JP58" s="12">
        <v>153874</v>
      </c>
      <c r="JQ58" s="5">
        <v>148823</v>
      </c>
      <c r="JR58" s="5">
        <v>866</v>
      </c>
      <c r="JS58" s="5">
        <v>1479</v>
      </c>
      <c r="JT58" s="5">
        <v>4185</v>
      </c>
      <c r="JU58" s="12">
        <v>187448</v>
      </c>
      <c r="JV58" s="5">
        <v>179153</v>
      </c>
      <c r="JW58" s="5">
        <v>1427</v>
      </c>
      <c r="JX58" s="5">
        <v>2785</v>
      </c>
      <c r="JY58" s="5">
        <v>6868</v>
      </c>
      <c r="JZ58" s="12">
        <v>188771.44</v>
      </c>
      <c r="KA58" s="5">
        <v>179275.86899999998</v>
      </c>
      <c r="KB58" s="5"/>
      <c r="KC58" s="5">
        <v>2668</v>
      </c>
      <c r="KD58" s="5">
        <v>9495.5710000000254</v>
      </c>
      <c r="KE58" s="5">
        <v>199474</v>
      </c>
      <c r="KF58" s="5">
        <v>187307</v>
      </c>
      <c r="KG58" s="5">
        <v>1822</v>
      </c>
      <c r="KH58" s="5">
        <v>3042</v>
      </c>
      <c r="KI58" s="5">
        <v>7850</v>
      </c>
      <c r="KJ58" s="5">
        <v>205513</v>
      </c>
      <c r="KK58" s="5">
        <v>191022</v>
      </c>
      <c r="KL58" s="5">
        <v>1975</v>
      </c>
      <c r="KM58" s="5">
        <v>3652</v>
      </c>
      <c r="KN58" s="5">
        <v>8773</v>
      </c>
      <c r="KO58" s="5">
        <v>213461</v>
      </c>
      <c r="KP58" s="5">
        <v>199726</v>
      </c>
      <c r="KQ58" s="5">
        <v>1529</v>
      </c>
      <c r="KR58" s="5">
        <v>4419</v>
      </c>
      <c r="KS58" s="5">
        <v>8978</v>
      </c>
      <c r="KT58" s="258" t="s">
        <v>185</v>
      </c>
      <c r="KU58" s="259" t="s">
        <v>185</v>
      </c>
      <c r="KV58" s="12">
        <v>24540</v>
      </c>
      <c r="KW58" s="332">
        <f t="shared" si="581"/>
        <v>14528</v>
      </c>
      <c r="KX58" s="332">
        <f t="shared" si="582"/>
        <v>10012</v>
      </c>
      <c r="KY58" s="332">
        <f t="shared" si="583"/>
        <v>24447</v>
      </c>
      <c r="KZ58" s="318">
        <v>14479</v>
      </c>
      <c r="LA58" s="318">
        <v>9968</v>
      </c>
      <c r="LB58" s="332">
        <f t="shared" si="584"/>
        <v>93</v>
      </c>
      <c r="LC58" s="318">
        <v>49</v>
      </c>
      <c r="LD58" s="318">
        <v>44</v>
      </c>
      <c r="LE58" s="12">
        <v>43206</v>
      </c>
      <c r="LF58" s="332">
        <f t="shared" si="585"/>
        <v>25397</v>
      </c>
      <c r="LG58" s="332">
        <f t="shared" si="586"/>
        <v>17809</v>
      </c>
      <c r="LH58" s="332">
        <f t="shared" si="587"/>
        <v>42865</v>
      </c>
      <c r="LI58" s="318">
        <v>25178</v>
      </c>
      <c r="LJ58" s="318">
        <v>17687</v>
      </c>
      <c r="LK58" s="332">
        <f t="shared" si="588"/>
        <v>166</v>
      </c>
      <c r="LL58" s="318">
        <v>98</v>
      </c>
      <c r="LM58" s="318">
        <v>68</v>
      </c>
      <c r="LN58" s="332">
        <f t="shared" si="589"/>
        <v>175</v>
      </c>
      <c r="LO58" s="318">
        <v>121</v>
      </c>
      <c r="LP58" s="318">
        <v>54</v>
      </c>
      <c r="LQ58" s="12">
        <v>98684</v>
      </c>
      <c r="LR58" s="332">
        <f t="shared" si="590"/>
        <v>57747</v>
      </c>
      <c r="LS58" s="332">
        <f t="shared" si="591"/>
        <v>40937</v>
      </c>
      <c r="LT58" s="342">
        <f t="shared" si="592"/>
        <v>97028</v>
      </c>
      <c r="LU58" s="318">
        <v>56767</v>
      </c>
      <c r="LV58" s="318">
        <v>40261</v>
      </c>
      <c r="LW58" s="318">
        <v>980</v>
      </c>
      <c r="LX58" s="318">
        <v>676</v>
      </c>
      <c r="LY58" s="342">
        <f t="shared" si="593"/>
        <v>425</v>
      </c>
      <c r="LZ58" s="318">
        <v>253</v>
      </c>
      <c r="MA58" s="318">
        <v>172</v>
      </c>
      <c r="MB58" s="342">
        <f t="shared" si="594"/>
        <v>399</v>
      </c>
      <c r="MC58" s="318">
        <v>257</v>
      </c>
      <c r="MD58" s="318">
        <v>142</v>
      </c>
      <c r="ME58" s="333">
        <f t="shared" si="595"/>
        <v>832</v>
      </c>
      <c r="MF58" s="333">
        <f t="shared" si="596"/>
        <v>470</v>
      </c>
      <c r="MG58" s="333">
        <f t="shared" si="597"/>
        <v>362</v>
      </c>
      <c r="MH58" s="334">
        <f t="shared" si="598"/>
        <v>59</v>
      </c>
      <c r="MI58" s="334">
        <f t="shared" si="599"/>
        <v>40</v>
      </c>
      <c r="MJ58" s="334">
        <f t="shared" si="600"/>
        <v>19</v>
      </c>
      <c r="MK58" s="318">
        <v>773</v>
      </c>
      <c r="ML58" s="318">
        <v>430</v>
      </c>
      <c r="MM58" s="318">
        <v>343</v>
      </c>
      <c r="MN58" s="14">
        <f t="shared" si="601"/>
        <v>173941</v>
      </c>
      <c r="MO58" s="332">
        <f t="shared" si="602"/>
        <v>94252</v>
      </c>
      <c r="MP58" s="332">
        <f t="shared" si="603"/>
        <v>79689</v>
      </c>
      <c r="MQ58" s="13">
        <f t="shared" si="604"/>
        <v>170066</v>
      </c>
      <c r="MR58" s="136">
        <f t="shared" si="605"/>
        <v>168965</v>
      </c>
      <c r="MS58" s="318">
        <v>91440</v>
      </c>
      <c r="MT58" s="318">
        <v>77525</v>
      </c>
      <c r="MU58" s="318">
        <v>2812</v>
      </c>
      <c r="MV58" s="318">
        <v>2164</v>
      </c>
      <c r="MW58" s="13">
        <f t="shared" si="606"/>
        <v>921</v>
      </c>
      <c r="MX58" s="136">
        <f t="shared" si="607"/>
        <v>879</v>
      </c>
      <c r="MY58" s="318">
        <v>497</v>
      </c>
      <c r="MZ58" s="318">
        <v>382</v>
      </c>
      <c r="NA58" s="13">
        <f t="shared" si="608"/>
        <v>1452</v>
      </c>
      <c r="NB58" s="318">
        <v>784</v>
      </c>
      <c r="NC58" s="318">
        <v>668</v>
      </c>
      <c r="ND58" s="13">
        <f t="shared" si="609"/>
        <v>2954</v>
      </c>
      <c r="NE58" s="368">
        <f t="shared" si="610"/>
        <v>1531</v>
      </c>
      <c r="NF58" s="335">
        <f t="shared" si="611"/>
        <v>1114</v>
      </c>
      <c r="NG58" s="336">
        <f t="shared" si="612"/>
        <v>37</v>
      </c>
      <c r="NH58" s="336">
        <f t="shared" si="613"/>
        <v>9</v>
      </c>
      <c r="NI58" s="336">
        <f t="shared" si="614"/>
        <v>28</v>
      </c>
      <c r="NJ58" s="337">
        <f t="shared" si="615"/>
        <v>2608</v>
      </c>
      <c r="NK58" s="337">
        <f t="shared" si="616"/>
        <v>1522</v>
      </c>
      <c r="NL58" s="337">
        <f t="shared" si="617"/>
        <v>1086</v>
      </c>
      <c r="NM58" s="318">
        <v>158</v>
      </c>
      <c r="NN58" s="318">
        <v>85</v>
      </c>
      <c r="NO58" s="318">
        <v>1364</v>
      </c>
      <c r="NP58" s="318">
        <v>1001</v>
      </c>
      <c r="NQ58" s="338">
        <v>236104</v>
      </c>
      <c r="NR58" s="318">
        <v>121832</v>
      </c>
      <c r="NS58" s="318">
        <v>114272</v>
      </c>
      <c r="NT58" s="7">
        <f t="shared" si="618"/>
        <v>227002</v>
      </c>
      <c r="NU58" s="7">
        <v>116699</v>
      </c>
      <c r="NV58" s="7">
        <v>110303</v>
      </c>
      <c r="NW58" s="125">
        <f t="shared" si="619"/>
        <v>225333</v>
      </c>
      <c r="NX58" s="318">
        <v>115869</v>
      </c>
      <c r="NY58" s="318">
        <v>109464</v>
      </c>
      <c r="NZ58" s="7">
        <f t="shared" si="620"/>
        <v>1424</v>
      </c>
      <c r="OA58" s="318">
        <v>814</v>
      </c>
      <c r="OB58" s="318">
        <v>610</v>
      </c>
      <c r="OC58" s="7">
        <f t="shared" si="621"/>
        <v>2249</v>
      </c>
      <c r="OD58" s="318">
        <v>1166</v>
      </c>
      <c r="OE58" s="318">
        <v>1083</v>
      </c>
      <c r="OF58" s="125">
        <f t="shared" si="622"/>
        <v>7678</v>
      </c>
      <c r="OG58" s="125">
        <f t="shared" si="623"/>
        <v>4319</v>
      </c>
      <c r="OH58" s="125">
        <f t="shared" si="624"/>
        <v>3359</v>
      </c>
      <c r="OI58" s="326">
        <v>282433</v>
      </c>
      <c r="OJ58" s="318">
        <v>267546</v>
      </c>
      <c r="OK58" s="318">
        <v>267546</v>
      </c>
      <c r="OL58" s="318">
        <v>12662</v>
      </c>
      <c r="OM58" s="7">
        <v>4595</v>
      </c>
      <c r="ON58" s="338">
        <v>291746</v>
      </c>
      <c r="OO58" s="5">
        <v>276581</v>
      </c>
      <c r="OP58" s="5">
        <v>1962</v>
      </c>
      <c r="OQ58" s="5">
        <v>13203</v>
      </c>
      <c r="OR58" s="5">
        <v>4869</v>
      </c>
      <c r="OS58" s="338">
        <v>292534</v>
      </c>
      <c r="OT58" s="5">
        <v>278190</v>
      </c>
      <c r="OU58" s="5">
        <v>1854</v>
      </c>
      <c r="OV58" s="5">
        <v>12490</v>
      </c>
      <c r="OW58" s="5">
        <v>4234</v>
      </c>
      <c r="OX58" s="12">
        <v>295718</v>
      </c>
      <c r="OY58" s="5">
        <v>280119</v>
      </c>
      <c r="OZ58" s="5">
        <v>2084</v>
      </c>
      <c r="PA58" s="5">
        <v>13515</v>
      </c>
      <c r="PB58" s="5">
        <v>4173</v>
      </c>
      <c r="PC58" s="12">
        <v>298585.59499999997</v>
      </c>
      <c r="PD58" s="5">
        <v>281471.77499999997</v>
      </c>
      <c r="PE58" s="5"/>
      <c r="PF58" s="5">
        <v>4140</v>
      </c>
      <c r="PG58" s="5">
        <v>17113.820000000007</v>
      </c>
      <c r="PH58" s="5">
        <v>307597</v>
      </c>
      <c r="PI58" s="5">
        <v>290300</v>
      </c>
      <c r="PJ58" s="5">
        <v>2603</v>
      </c>
      <c r="PK58" s="5">
        <v>4705</v>
      </c>
      <c r="PL58" s="2">
        <v>14585</v>
      </c>
      <c r="PM58" s="2">
        <v>314519</v>
      </c>
      <c r="PN58" s="2">
        <v>293064</v>
      </c>
      <c r="PO58" s="2">
        <v>2669</v>
      </c>
      <c r="PP58" s="2">
        <v>4810</v>
      </c>
      <c r="PQ58" s="2">
        <v>15039</v>
      </c>
      <c r="PR58" s="2">
        <v>334313</v>
      </c>
      <c r="PS58" s="2">
        <v>308651</v>
      </c>
      <c r="PT58" s="2">
        <v>2486</v>
      </c>
      <c r="PU58" s="2">
        <v>6124</v>
      </c>
      <c r="PV58" s="2">
        <v>17036</v>
      </c>
      <c r="PW58" s="2">
        <v>346678</v>
      </c>
      <c r="PX58" s="2">
        <v>320062</v>
      </c>
      <c r="PY58" s="2">
        <v>3183</v>
      </c>
      <c r="PZ58" s="2">
        <v>7395</v>
      </c>
      <c r="QA58" s="2">
        <v>17814</v>
      </c>
      <c r="QB58" s="12">
        <v>56681</v>
      </c>
      <c r="QC58" s="5">
        <v>54946</v>
      </c>
      <c r="QD58" s="5">
        <v>341</v>
      </c>
      <c r="QE58" s="5">
        <v>601</v>
      </c>
      <c r="QF58" s="5">
        <v>1394</v>
      </c>
      <c r="QG58" s="12">
        <v>82230</v>
      </c>
      <c r="QH58" s="5">
        <v>78179</v>
      </c>
      <c r="QI58" s="5">
        <v>558</v>
      </c>
      <c r="QJ58" s="5">
        <v>770</v>
      </c>
      <c r="QK58" s="5">
        <v>3493</v>
      </c>
      <c r="QL58" s="12">
        <v>108270</v>
      </c>
      <c r="QM58" s="5">
        <v>100966</v>
      </c>
      <c r="QN58" s="5">
        <v>657</v>
      </c>
      <c r="QO58" s="5">
        <v>1388</v>
      </c>
      <c r="QP58" s="5">
        <v>6647</v>
      </c>
      <c r="QQ58" s="12">
        <v>109814.155</v>
      </c>
      <c r="QR58" s="5">
        <v>102195.906</v>
      </c>
      <c r="QS58" s="5"/>
      <c r="QT58" s="5">
        <v>1472</v>
      </c>
      <c r="QU58" s="10">
        <v>7618.2489999999962</v>
      </c>
      <c r="QV58" s="1">
        <v>114454</v>
      </c>
      <c r="QW58" s="2">
        <v>106673</v>
      </c>
      <c r="QX58" s="2">
        <v>781</v>
      </c>
      <c r="QY58" s="2">
        <v>1713</v>
      </c>
      <c r="QZ58" s="69">
        <v>6944</v>
      </c>
      <c r="RA58" s="2">
        <v>115045</v>
      </c>
      <c r="RB58" s="2">
        <v>105757</v>
      </c>
      <c r="RC58" s="2">
        <v>847</v>
      </c>
      <c r="RD58" s="2">
        <v>1768</v>
      </c>
      <c r="RE58" s="2">
        <v>7189</v>
      </c>
      <c r="RF58" s="2">
        <v>128800</v>
      </c>
      <c r="RG58" s="2">
        <v>117629</v>
      </c>
      <c r="RH58" s="2">
        <v>511</v>
      </c>
      <c r="RI58" s="2">
        <v>2472</v>
      </c>
      <c r="RJ58" s="2">
        <v>8263</v>
      </c>
      <c r="RK58" s="2">
        <v>133217</v>
      </c>
      <c r="RL58" s="2">
        <v>120336</v>
      </c>
      <c r="RM58" s="2">
        <v>1654</v>
      </c>
      <c r="RN58" s="2">
        <v>2976</v>
      </c>
      <c r="RO58" s="2">
        <v>8836</v>
      </c>
    </row>
    <row r="59" spans="1:483" ht="12.75" customHeight="1" x14ac:dyDescent="0.2">
      <c r="A59" s="218" t="s">
        <v>37</v>
      </c>
      <c r="B59" s="259" t="s">
        <v>185</v>
      </c>
      <c r="C59" s="259" t="s">
        <v>185</v>
      </c>
      <c r="D59" s="259" t="s">
        <v>185</v>
      </c>
      <c r="E59" s="259" t="s">
        <v>185</v>
      </c>
      <c r="F59" s="259" t="s">
        <v>185</v>
      </c>
      <c r="G59" s="12">
        <v>486210</v>
      </c>
      <c r="H59" s="5">
        <v>370586</v>
      </c>
      <c r="I59" s="5">
        <v>63378</v>
      </c>
      <c r="J59" s="5">
        <v>103601</v>
      </c>
      <c r="K59" s="5">
        <v>52246</v>
      </c>
      <c r="L59" s="12">
        <v>373429</v>
      </c>
      <c r="M59" s="5">
        <v>238054</v>
      </c>
      <c r="N59" s="5">
        <v>44267</v>
      </c>
      <c r="O59" s="5">
        <v>131847</v>
      </c>
      <c r="P59" s="5">
        <v>91108</v>
      </c>
      <c r="Q59" s="565">
        <v>326336</v>
      </c>
      <c r="R59" s="7">
        <v>198280</v>
      </c>
      <c r="S59" s="7">
        <v>36069</v>
      </c>
      <c r="T59" s="7">
        <v>162967</v>
      </c>
      <c r="U59" s="7">
        <v>91987</v>
      </c>
      <c r="V59" s="7">
        <v>327199</v>
      </c>
      <c r="W59" s="7">
        <v>194473</v>
      </c>
      <c r="X59" s="7">
        <v>34082</v>
      </c>
      <c r="Y59" s="7">
        <v>170068</v>
      </c>
      <c r="Z59" s="7">
        <v>98644</v>
      </c>
      <c r="AA59" s="7">
        <v>329209</v>
      </c>
      <c r="AB59" s="7">
        <v>98176</v>
      </c>
      <c r="AC59" s="7">
        <v>33692</v>
      </c>
      <c r="AD59" s="7">
        <v>174293</v>
      </c>
      <c r="AE59" s="675">
        <v>102423</v>
      </c>
      <c r="AF59" s="560">
        <v>319454</v>
      </c>
      <c r="AG59" s="560">
        <v>83361</v>
      </c>
      <c r="AH59" s="560">
        <v>31771</v>
      </c>
      <c r="AI59" s="560">
        <v>173365</v>
      </c>
      <c r="AJ59" s="560">
        <v>107923</v>
      </c>
      <c r="AK59" s="560">
        <v>317182</v>
      </c>
      <c r="AL59" s="560">
        <v>82158</v>
      </c>
      <c r="AM59" s="560">
        <v>31739</v>
      </c>
      <c r="AN59" s="560">
        <v>181056</v>
      </c>
      <c r="AO59" s="560">
        <v>89531</v>
      </c>
      <c r="AP59" s="12">
        <v>718996</v>
      </c>
      <c r="AQ59" s="5">
        <v>537921</v>
      </c>
      <c r="AR59" s="5">
        <v>135454</v>
      </c>
      <c r="AS59" s="5">
        <v>84764</v>
      </c>
      <c r="AT59" s="5">
        <v>45621</v>
      </c>
      <c r="AU59" s="12">
        <v>641048</v>
      </c>
      <c r="AV59" s="5">
        <v>418852</v>
      </c>
      <c r="AW59" s="5">
        <v>128527</v>
      </c>
      <c r="AX59" s="5">
        <v>126826</v>
      </c>
      <c r="AY59" s="5">
        <v>93669</v>
      </c>
      <c r="AZ59" s="12">
        <v>406304</v>
      </c>
      <c r="BA59" s="5">
        <v>255405</v>
      </c>
      <c r="BB59" s="5">
        <v>85038</v>
      </c>
      <c r="BC59" s="5">
        <v>105439</v>
      </c>
      <c r="BD59" s="5">
        <v>65861</v>
      </c>
      <c r="BE59" s="5">
        <v>385791</v>
      </c>
      <c r="BF59" s="5">
        <v>235407</v>
      </c>
      <c r="BG59" s="5">
        <v>79397</v>
      </c>
      <c r="BH59" s="5">
        <v>107402</v>
      </c>
      <c r="BI59" s="5">
        <v>70987</v>
      </c>
      <c r="BJ59" s="5">
        <v>376225</v>
      </c>
      <c r="BK59" s="5">
        <v>170393</v>
      </c>
      <c r="BL59" s="5">
        <v>76072</v>
      </c>
      <c r="BM59" s="5">
        <v>108271</v>
      </c>
      <c r="BN59" s="53">
        <v>71198</v>
      </c>
      <c r="BO59" s="53">
        <v>355305</v>
      </c>
      <c r="BP59" s="53">
        <v>152203</v>
      </c>
      <c r="BQ59" s="53">
        <v>64221</v>
      </c>
      <c r="BR59" s="53">
        <v>118399</v>
      </c>
      <c r="BS59" s="53">
        <v>67521</v>
      </c>
      <c r="BT59" s="53">
        <v>343494</v>
      </c>
      <c r="BU59" s="53">
        <v>145692</v>
      </c>
      <c r="BV59" s="53">
        <v>61065</v>
      </c>
      <c r="BW59" s="53">
        <v>111781</v>
      </c>
      <c r="BX59" s="53">
        <v>69946</v>
      </c>
      <c r="BY59" s="12">
        <v>722090</v>
      </c>
      <c r="BZ59" s="5">
        <v>438988</v>
      </c>
      <c r="CA59" s="5">
        <v>116176</v>
      </c>
      <c r="CB59" s="5">
        <v>271419</v>
      </c>
      <c r="CC59" s="290">
        <f t="shared" si="569"/>
        <v>166926</v>
      </c>
      <c r="CD59" s="258" t="s">
        <v>185</v>
      </c>
      <c r="CE59" s="259" t="s">
        <v>185</v>
      </c>
      <c r="CF59" s="259" t="s">
        <v>185</v>
      </c>
      <c r="CG59" s="259" t="s">
        <v>185</v>
      </c>
      <c r="CH59" s="258" t="s">
        <v>185</v>
      </c>
      <c r="CI59" s="259" t="s">
        <v>185</v>
      </c>
      <c r="CJ59" s="259" t="s">
        <v>185</v>
      </c>
      <c r="CK59" s="259" t="s">
        <v>185</v>
      </c>
      <c r="CL59" s="259" t="s">
        <v>185</v>
      </c>
      <c r="CM59" s="12">
        <v>3961027</v>
      </c>
      <c r="CN59" s="5">
        <v>3336602</v>
      </c>
      <c r="CO59" s="5">
        <v>402876</v>
      </c>
      <c r="CP59" s="5">
        <v>220196</v>
      </c>
      <c r="CQ59" s="5">
        <v>221549</v>
      </c>
      <c r="CR59" s="12">
        <v>4643322</v>
      </c>
      <c r="CS59" s="5">
        <v>3623329</v>
      </c>
      <c r="CT59" s="5">
        <v>505116</v>
      </c>
      <c r="CU59" s="5">
        <v>380227</v>
      </c>
      <c r="CV59" s="5">
        <v>514877</v>
      </c>
      <c r="CW59" s="195">
        <v>5033379</v>
      </c>
      <c r="CX59" s="5">
        <v>3737157</v>
      </c>
      <c r="CY59" s="5">
        <v>588940</v>
      </c>
      <c r="CZ59" s="5">
        <v>707282</v>
      </c>
      <c r="DA59" s="5">
        <v>549250</v>
      </c>
      <c r="DB59" s="12">
        <v>5069611</v>
      </c>
      <c r="DC59" s="5">
        <v>3766074</v>
      </c>
      <c r="DD59" s="5">
        <v>596937</v>
      </c>
      <c r="DE59" s="5">
        <v>706600</v>
      </c>
      <c r="DF59" s="5">
        <v>568635</v>
      </c>
      <c r="DG59" s="12">
        <v>5124081</v>
      </c>
      <c r="DH59" s="54">
        <v>3818082</v>
      </c>
      <c r="DI59" s="54">
        <v>611219</v>
      </c>
      <c r="DJ59" s="54">
        <v>694780</v>
      </c>
      <c r="DK59" s="54">
        <v>577601</v>
      </c>
      <c r="DL59" s="12">
        <v>5193129</v>
      </c>
      <c r="DM59" s="5">
        <v>3844351</v>
      </c>
      <c r="DN59" s="5">
        <v>618593</v>
      </c>
      <c r="DO59" s="5">
        <v>618963</v>
      </c>
      <c r="DP59" s="5">
        <v>659519</v>
      </c>
      <c r="DQ59" s="12">
        <v>5245595.9939999999</v>
      </c>
      <c r="DR59" s="5">
        <v>3864814.196</v>
      </c>
      <c r="DS59" s="5">
        <v>628539.46000000008</v>
      </c>
      <c r="DT59" s="5">
        <v>644619.36500000011</v>
      </c>
      <c r="DU59" s="530">
        <f t="shared" si="570"/>
        <v>752242.33799999987</v>
      </c>
      <c r="DV59" s="5">
        <v>5300241</v>
      </c>
      <c r="DW59" s="5">
        <v>3882743</v>
      </c>
      <c r="DX59" s="5">
        <v>641301</v>
      </c>
      <c r="DY59" s="5">
        <v>669192</v>
      </c>
      <c r="DZ59" s="5">
        <v>776197</v>
      </c>
      <c r="EA59" s="5">
        <v>5341964</v>
      </c>
      <c r="EB59" s="5">
        <v>3458803</v>
      </c>
      <c r="EC59" s="5">
        <v>653432</v>
      </c>
      <c r="ED59" s="5">
        <v>691940</v>
      </c>
      <c r="EE59" s="5">
        <v>800013</v>
      </c>
      <c r="EF59" s="5">
        <v>5491625</v>
      </c>
      <c r="EG59" s="5">
        <v>3441892</v>
      </c>
      <c r="EH59" s="5">
        <v>689784</v>
      </c>
      <c r="EI59" s="5">
        <v>769665</v>
      </c>
      <c r="EJ59" s="5">
        <v>888094</v>
      </c>
      <c r="EK59" s="5">
        <v>5510496</v>
      </c>
      <c r="EL59" s="5">
        <v>3421439</v>
      </c>
      <c r="EM59" s="5">
        <v>694065</v>
      </c>
      <c r="EN59" s="5">
        <v>786528</v>
      </c>
      <c r="EO59" s="5">
        <v>877418</v>
      </c>
      <c r="EP59" s="258" t="s">
        <v>185</v>
      </c>
      <c r="EQ59" s="259" t="s">
        <v>185</v>
      </c>
      <c r="ER59" s="259" t="s">
        <v>185</v>
      </c>
      <c r="ES59" s="259" t="s">
        <v>185</v>
      </c>
      <c r="ET59" s="259" t="s">
        <v>185</v>
      </c>
      <c r="EU59" s="12">
        <v>1070455</v>
      </c>
      <c r="EV59" s="5">
        <v>882106</v>
      </c>
      <c r="EW59" s="5">
        <v>135625</v>
      </c>
      <c r="EX59" s="5">
        <v>71592</v>
      </c>
      <c r="EY59" s="5">
        <v>52724</v>
      </c>
      <c r="EZ59" s="12">
        <v>1296968</v>
      </c>
      <c r="FA59" s="5">
        <v>990775</v>
      </c>
      <c r="FB59" s="5">
        <v>181539</v>
      </c>
      <c r="FC59" s="5">
        <v>127762</v>
      </c>
      <c r="FD59" s="5">
        <v>124654</v>
      </c>
      <c r="FE59" s="12">
        <v>1385747</v>
      </c>
      <c r="FF59" s="5">
        <v>1016366</v>
      </c>
      <c r="FG59" s="5">
        <v>221142</v>
      </c>
      <c r="FH59" s="5">
        <v>189525</v>
      </c>
      <c r="FI59" s="5">
        <v>148239</v>
      </c>
      <c r="FJ59" s="12">
        <v>1390470.838</v>
      </c>
      <c r="FK59" s="5">
        <v>1015697.2720000001</v>
      </c>
      <c r="FL59" s="5">
        <v>222669.785</v>
      </c>
      <c r="FM59" s="5">
        <v>198979.23499999999</v>
      </c>
      <c r="FN59" s="5">
        <v>152103.78099999987</v>
      </c>
      <c r="FO59" s="5">
        <v>1398073</v>
      </c>
      <c r="FP59" s="5">
        <v>1011039</v>
      </c>
      <c r="FQ59" s="5">
        <v>227175</v>
      </c>
      <c r="FR59" s="5">
        <v>208116</v>
      </c>
      <c r="FS59" s="618">
        <v>159859</v>
      </c>
      <c r="FT59" s="618">
        <v>1405458</v>
      </c>
      <c r="FU59" s="618">
        <v>876180</v>
      </c>
      <c r="FV59" s="618">
        <v>230376</v>
      </c>
      <c r="FW59" s="618">
        <v>218004</v>
      </c>
      <c r="FX59" s="618">
        <v>164053</v>
      </c>
      <c r="FY59" s="618">
        <v>1416175</v>
      </c>
      <c r="FZ59" s="618">
        <v>846696</v>
      </c>
      <c r="GA59" s="618">
        <v>236492</v>
      </c>
      <c r="GB59" s="618">
        <v>245136</v>
      </c>
      <c r="GC59" s="618">
        <v>185233</v>
      </c>
      <c r="GD59" s="618">
        <v>1424621</v>
      </c>
      <c r="GE59" s="618">
        <v>847193</v>
      </c>
      <c r="GF59" s="618">
        <v>238215</v>
      </c>
      <c r="GG59" s="618">
        <v>244181</v>
      </c>
      <c r="GH59" s="618">
        <v>184270</v>
      </c>
      <c r="GI59" s="12">
        <v>268664</v>
      </c>
      <c r="GJ59" s="5">
        <v>222278</v>
      </c>
      <c r="GK59" s="5">
        <v>29205</v>
      </c>
      <c r="GL59" s="5">
        <v>17119</v>
      </c>
      <c r="GM59" s="5">
        <v>17181</v>
      </c>
      <c r="GN59" s="12">
        <v>298096</v>
      </c>
      <c r="GO59" s="5">
        <v>231568</v>
      </c>
      <c r="GP59" s="5">
        <v>35672</v>
      </c>
      <c r="GQ59" s="5">
        <v>24523</v>
      </c>
      <c r="GR59" s="5">
        <v>30856</v>
      </c>
      <c r="GS59" s="12">
        <v>367653</v>
      </c>
      <c r="GT59" s="5">
        <v>271945</v>
      </c>
      <c r="GU59" s="5">
        <v>51072</v>
      </c>
      <c r="GV59" s="5">
        <v>46471</v>
      </c>
      <c r="GW59" s="5">
        <v>44636</v>
      </c>
      <c r="GX59" s="12"/>
      <c r="GY59" s="5"/>
      <c r="GZ59" s="5"/>
      <c r="HA59" s="5"/>
      <c r="HB59" s="10"/>
      <c r="HC59" s="5">
        <v>370481</v>
      </c>
      <c r="HD59" s="5">
        <v>273436</v>
      </c>
      <c r="HE59" s="5">
        <v>51525</v>
      </c>
      <c r="HF59" s="5">
        <v>50127</v>
      </c>
      <c r="HG59" s="5">
        <v>45520</v>
      </c>
      <c r="HH59" s="5">
        <v>377352</v>
      </c>
      <c r="HI59" s="5">
        <v>244962</v>
      </c>
      <c r="HJ59" s="5">
        <v>52624</v>
      </c>
      <c r="HK59" s="5">
        <v>52075</v>
      </c>
      <c r="HL59" s="5">
        <v>46324</v>
      </c>
      <c r="HM59" s="5">
        <v>392077</v>
      </c>
      <c r="HN59" s="5">
        <v>245078</v>
      </c>
      <c r="HO59" s="5">
        <v>54002</v>
      </c>
      <c r="HP59" s="5">
        <v>60267</v>
      </c>
      <c r="HQ59" s="5">
        <v>55104</v>
      </c>
      <c r="HR59" s="5">
        <v>400332</v>
      </c>
      <c r="HS59" s="5">
        <v>247359</v>
      </c>
      <c r="HT59" s="5">
        <v>58433</v>
      </c>
      <c r="HU59" s="5">
        <v>61430</v>
      </c>
      <c r="HV59" s="5">
        <v>55060</v>
      </c>
      <c r="HW59" s="569">
        <f t="shared" si="625"/>
        <v>1552681</v>
      </c>
      <c r="HX59" s="546">
        <f t="shared" si="626"/>
        <v>1317403</v>
      </c>
      <c r="HY59" s="546">
        <f t="shared" si="627"/>
        <v>110895</v>
      </c>
      <c r="HZ59" s="546">
        <f t="shared" si="628"/>
        <v>61102</v>
      </c>
      <c r="IA59" s="546">
        <f t="shared" si="629"/>
        <v>124383</v>
      </c>
      <c r="IB59" s="569">
        <f t="shared" si="630"/>
        <v>1982957</v>
      </c>
      <c r="IC59" s="546">
        <f t="shared" si="631"/>
        <v>1559049</v>
      </c>
      <c r="ID59" s="546">
        <f t="shared" si="632"/>
        <v>145175</v>
      </c>
      <c r="IE59" s="546">
        <f t="shared" si="633"/>
        <v>104491</v>
      </c>
      <c r="IF59" s="546">
        <f t="shared" si="634"/>
        <v>278733</v>
      </c>
      <c r="IG59" s="12">
        <v>2061122</v>
      </c>
      <c r="IH59" s="5">
        <v>1525739</v>
      </c>
      <c r="II59" s="5">
        <v>172558</v>
      </c>
      <c r="IJ59" s="5">
        <v>164269</v>
      </c>
      <c r="IK59" s="5">
        <v>362825</v>
      </c>
      <c r="IL59" s="565"/>
      <c r="IM59" s="7"/>
      <c r="IN59" s="7"/>
      <c r="IO59" s="7"/>
      <c r="IP59" s="7"/>
      <c r="IQ59" s="7">
        <v>2520298</v>
      </c>
      <c r="IR59" s="7">
        <v>1848005</v>
      </c>
      <c r="IS59" s="7">
        <v>210903</v>
      </c>
      <c r="IT59" s="7">
        <v>199092</v>
      </c>
      <c r="IU59" s="577">
        <v>461390</v>
      </c>
      <c r="IV59" s="7">
        <v>2562201</v>
      </c>
      <c r="IW59" s="7">
        <v>1723625</v>
      </c>
      <c r="IX59" s="7">
        <v>214821</v>
      </c>
      <c r="IY59" s="7">
        <v>208724</v>
      </c>
      <c r="IZ59" s="7">
        <v>482380</v>
      </c>
      <c r="JA59" s="565">
        <v>2710150</v>
      </c>
      <c r="JB59" s="7">
        <v>1779475</v>
      </c>
      <c r="JC59" s="7">
        <v>225218</v>
      </c>
      <c r="JD59" s="7">
        <v>249719</v>
      </c>
      <c r="JE59" s="7">
        <v>541373</v>
      </c>
      <c r="JF59" s="565">
        <v>2780134</v>
      </c>
      <c r="JG59" s="7">
        <v>1817557</v>
      </c>
      <c r="JH59" s="7">
        <v>242977</v>
      </c>
      <c r="JI59" s="7">
        <v>248281</v>
      </c>
      <c r="JJ59" s="7">
        <v>543770</v>
      </c>
      <c r="JK59" s="12">
        <v>826887</v>
      </c>
      <c r="JL59" s="5">
        <v>707817</v>
      </c>
      <c r="JM59" s="5">
        <v>55334</v>
      </c>
      <c r="JN59" s="5">
        <v>28510</v>
      </c>
      <c r="JO59" s="5">
        <v>63736</v>
      </c>
      <c r="JP59" s="12">
        <v>1063665</v>
      </c>
      <c r="JQ59" s="5">
        <v>841431</v>
      </c>
      <c r="JR59" s="5">
        <v>73219</v>
      </c>
      <c r="JS59" s="5">
        <v>51395</v>
      </c>
      <c r="JT59" s="5">
        <v>149015</v>
      </c>
      <c r="JU59" s="12">
        <v>1293271</v>
      </c>
      <c r="JV59" s="5">
        <v>960869</v>
      </c>
      <c r="JW59" s="5">
        <v>101358</v>
      </c>
      <c r="JX59" s="5">
        <v>98979</v>
      </c>
      <c r="JY59" s="5">
        <v>231044</v>
      </c>
      <c r="JZ59" s="12">
        <v>1312890.92</v>
      </c>
      <c r="KA59" s="5">
        <v>972659.25199999998</v>
      </c>
      <c r="KB59" s="5">
        <v>102770.67000000001</v>
      </c>
      <c r="KC59" s="5">
        <v>100865.05</v>
      </c>
      <c r="KD59" s="5">
        <v>237460.99799999993</v>
      </c>
      <c r="KE59" s="5">
        <v>1356074</v>
      </c>
      <c r="KF59" s="5">
        <v>921409</v>
      </c>
      <c r="KG59" s="5">
        <v>105133</v>
      </c>
      <c r="KH59" s="5">
        <v>109433</v>
      </c>
      <c r="KI59" s="5">
        <v>255516</v>
      </c>
      <c r="KJ59" s="5">
        <v>1437307</v>
      </c>
      <c r="KK59" s="5">
        <v>948860</v>
      </c>
      <c r="KL59" s="5">
        <v>114564</v>
      </c>
      <c r="KM59" s="5">
        <v>136836</v>
      </c>
      <c r="KN59" s="5">
        <v>284561</v>
      </c>
      <c r="KO59" s="5">
        <v>1460518</v>
      </c>
      <c r="KP59" s="5">
        <v>975284</v>
      </c>
      <c r="KQ59" s="5">
        <v>120479</v>
      </c>
      <c r="KR59" s="5">
        <v>128512</v>
      </c>
      <c r="KS59" s="5">
        <v>274005</v>
      </c>
      <c r="KT59" s="258" t="s">
        <v>185</v>
      </c>
      <c r="KU59" s="259" t="s">
        <v>185</v>
      </c>
      <c r="KV59" s="12">
        <v>302876</v>
      </c>
      <c r="KW59" s="332">
        <f t="shared" si="581"/>
        <v>200977</v>
      </c>
      <c r="KX59" s="332">
        <f t="shared" si="582"/>
        <v>101899</v>
      </c>
      <c r="KY59" s="332">
        <f t="shared" si="583"/>
        <v>294295</v>
      </c>
      <c r="KZ59" s="318">
        <v>196585</v>
      </c>
      <c r="LA59" s="318">
        <v>97710</v>
      </c>
      <c r="LB59" s="332">
        <f t="shared" si="584"/>
        <v>8581</v>
      </c>
      <c r="LC59" s="318">
        <v>4392</v>
      </c>
      <c r="LD59" s="318">
        <v>4189</v>
      </c>
      <c r="LE59" s="12">
        <v>474964</v>
      </c>
      <c r="LF59" s="332">
        <f t="shared" si="585"/>
        <v>305630</v>
      </c>
      <c r="LG59" s="332">
        <f t="shared" si="586"/>
        <v>169334</v>
      </c>
      <c r="LH59" s="332">
        <f t="shared" si="587"/>
        <v>459274</v>
      </c>
      <c r="LI59" s="318">
        <v>297986</v>
      </c>
      <c r="LJ59" s="318">
        <v>161288</v>
      </c>
      <c r="LK59" s="332">
        <f t="shared" si="588"/>
        <v>14647</v>
      </c>
      <c r="LL59" s="318">
        <v>7021</v>
      </c>
      <c r="LM59" s="318">
        <v>7626</v>
      </c>
      <c r="LN59" s="332">
        <f t="shared" si="589"/>
        <v>1043</v>
      </c>
      <c r="LO59" s="318">
        <v>623</v>
      </c>
      <c r="LP59" s="318">
        <v>420</v>
      </c>
      <c r="LQ59" s="12">
        <v>826040</v>
      </c>
      <c r="LR59" s="332">
        <f t="shared" si="590"/>
        <v>495716</v>
      </c>
      <c r="LS59" s="332">
        <f t="shared" si="591"/>
        <v>330324</v>
      </c>
      <c r="LT59" s="342">
        <f t="shared" si="592"/>
        <v>729566</v>
      </c>
      <c r="LU59" s="318">
        <v>445854</v>
      </c>
      <c r="LV59" s="318">
        <v>283712</v>
      </c>
      <c r="LW59" s="318">
        <v>49862</v>
      </c>
      <c r="LX59" s="318">
        <v>46612</v>
      </c>
      <c r="LY59" s="342">
        <f t="shared" si="593"/>
        <v>39724</v>
      </c>
      <c r="LZ59" s="318">
        <v>18416</v>
      </c>
      <c r="MA59" s="318">
        <v>21308</v>
      </c>
      <c r="MB59" s="342">
        <f t="shared" si="594"/>
        <v>19774</v>
      </c>
      <c r="MC59" s="318">
        <v>10915</v>
      </c>
      <c r="MD59" s="318">
        <v>8859</v>
      </c>
      <c r="ME59" s="333">
        <f t="shared" si="595"/>
        <v>36976</v>
      </c>
      <c r="MF59" s="333">
        <f t="shared" si="596"/>
        <v>20531</v>
      </c>
      <c r="MG59" s="333">
        <f t="shared" si="597"/>
        <v>16445</v>
      </c>
      <c r="MH59" s="334">
        <f t="shared" si="598"/>
        <v>579</v>
      </c>
      <c r="MI59" s="334">
        <f t="shared" si="599"/>
        <v>394</v>
      </c>
      <c r="MJ59" s="334">
        <f t="shared" si="600"/>
        <v>185</v>
      </c>
      <c r="MK59" s="318">
        <v>36397</v>
      </c>
      <c r="ML59" s="318">
        <v>20137</v>
      </c>
      <c r="MM59" s="318">
        <v>16260</v>
      </c>
      <c r="MN59" s="14">
        <f t="shared" si="601"/>
        <v>1284017</v>
      </c>
      <c r="MO59" s="332">
        <f t="shared" si="602"/>
        <v>707222</v>
      </c>
      <c r="MP59" s="332">
        <f t="shared" si="603"/>
        <v>576795</v>
      </c>
      <c r="MQ59" s="13">
        <f t="shared" si="604"/>
        <v>1095125</v>
      </c>
      <c r="MR59" s="136">
        <f t="shared" si="605"/>
        <v>1064716</v>
      </c>
      <c r="MS59" s="318">
        <v>596851</v>
      </c>
      <c r="MT59" s="318">
        <v>467865</v>
      </c>
      <c r="MU59" s="318">
        <v>110371</v>
      </c>
      <c r="MV59" s="318">
        <v>108930</v>
      </c>
      <c r="MW59" s="13">
        <f t="shared" si="606"/>
        <v>81690</v>
      </c>
      <c r="MX59" s="136">
        <f t="shared" si="607"/>
        <v>79492</v>
      </c>
      <c r="MY59" s="318">
        <v>35680</v>
      </c>
      <c r="MZ59" s="318">
        <v>43812</v>
      </c>
      <c r="NA59" s="13">
        <f t="shared" si="608"/>
        <v>43983</v>
      </c>
      <c r="NB59" s="318">
        <v>22218</v>
      </c>
      <c r="NC59" s="318">
        <v>21765</v>
      </c>
      <c r="ND59" s="13">
        <f t="shared" si="609"/>
        <v>107202</v>
      </c>
      <c r="NE59" s="368">
        <f t="shared" si="610"/>
        <v>52473</v>
      </c>
      <c r="NF59" s="335">
        <f t="shared" si="611"/>
        <v>43353</v>
      </c>
      <c r="NG59" s="336">
        <f t="shared" si="612"/>
        <v>713</v>
      </c>
      <c r="NH59" s="336">
        <f t="shared" si="613"/>
        <v>361</v>
      </c>
      <c r="NI59" s="336">
        <f t="shared" si="614"/>
        <v>352</v>
      </c>
      <c r="NJ59" s="337">
        <f t="shared" si="615"/>
        <v>95113</v>
      </c>
      <c r="NK59" s="337">
        <f t="shared" si="616"/>
        <v>52112</v>
      </c>
      <c r="NL59" s="337">
        <f t="shared" si="617"/>
        <v>43001</v>
      </c>
      <c r="NM59" s="318">
        <v>635</v>
      </c>
      <c r="NN59" s="318">
        <v>682</v>
      </c>
      <c r="NO59" s="318">
        <v>51477</v>
      </c>
      <c r="NP59" s="318">
        <v>42319</v>
      </c>
      <c r="NQ59" s="338">
        <v>1684861</v>
      </c>
      <c r="NR59" s="318">
        <v>864039</v>
      </c>
      <c r="NS59" s="318">
        <v>820822</v>
      </c>
      <c r="NT59" s="7">
        <f t="shared" si="618"/>
        <v>1327481</v>
      </c>
      <c r="NU59" s="7">
        <v>689755</v>
      </c>
      <c r="NV59" s="7">
        <v>637726</v>
      </c>
      <c r="NW59" s="125">
        <f t="shared" si="619"/>
        <v>1277101</v>
      </c>
      <c r="NX59" s="318">
        <v>666396</v>
      </c>
      <c r="NY59" s="318">
        <v>610705</v>
      </c>
      <c r="NZ59" s="7">
        <f t="shared" si="620"/>
        <v>109503</v>
      </c>
      <c r="OA59" s="318">
        <v>46557</v>
      </c>
      <c r="OB59" s="318">
        <v>62946</v>
      </c>
      <c r="OC59" s="7">
        <f t="shared" si="621"/>
        <v>79968</v>
      </c>
      <c r="OD59" s="318">
        <v>36721</v>
      </c>
      <c r="OE59" s="318">
        <v>43247</v>
      </c>
      <c r="OF59" s="125">
        <f t="shared" si="622"/>
        <v>247877</v>
      </c>
      <c r="OG59" s="125">
        <f t="shared" si="623"/>
        <v>127727</v>
      </c>
      <c r="OH59" s="125">
        <f t="shared" si="624"/>
        <v>120150</v>
      </c>
      <c r="OI59" s="326">
        <v>1963896</v>
      </c>
      <c r="OJ59" s="318">
        <v>1464418</v>
      </c>
      <c r="OK59" s="318">
        <v>145970</v>
      </c>
      <c r="OL59" s="318">
        <v>353508</v>
      </c>
      <c r="OM59" s="7">
        <v>122526</v>
      </c>
      <c r="ON59" s="338">
        <v>1982528</v>
      </c>
      <c r="OO59" s="5">
        <v>1476646</v>
      </c>
      <c r="OP59" s="5">
        <v>146464</v>
      </c>
      <c r="OQ59" s="5">
        <v>359418</v>
      </c>
      <c r="OR59" s="5">
        <v>127186</v>
      </c>
      <c r="OS59" s="338">
        <v>2014596</v>
      </c>
      <c r="OT59" s="5">
        <v>1506565</v>
      </c>
      <c r="OU59" s="5">
        <v>148170</v>
      </c>
      <c r="OV59" s="5">
        <v>359861</v>
      </c>
      <c r="OW59" s="5">
        <v>129692</v>
      </c>
      <c r="OX59" s="12">
        <v>2069190</v>
      </c>
      <c r="OY59" s="5">
        <v>1527640</v>
      </c>
      <c r="OZ59" s="5">
        <v>150987</v>
      </c>
      <c r="PA59" s="5">
        <v>390563</v>
      </c>
      <c r="PB59" s="5">
        <v>141175</v>
      </c>
      <c r="PC59" s="12">
        <v>2100625.4720000001</v>
      </c>
      <c r="PD59" s="5">
        <v>1545064.9180000001</v>
      </c>
      <c r="PE59" s="5">
        <v>155645.435</v>
      </c>
      <c r="PF59" s="5">
        <v>143044.98000000001</v>
      </c>
      <c r="PG59" s="5">
        <v>399915.11900000001</v>
      </c>
      <c r="PH59" s="5">
        <v>2149817</v>
      </c>
      <c r="PI59" s="5">
        <v>1574569</v>
      </c>
      <c r="PJ59" s="5">
        <v>159378</v>
      </c>
      <c r="PK59" s="5">
        <v>148965</v>
      </c>
      <c r="PL59" s="2">
        <v>415870</v>
      </c>
      <c r="PM59" s="2">
        <v>2184849</v>
      </c>
      <c r="PN59" s="2">
        <v>1478663</v>
      </c>
      <c r="PO59" s="2">
        <v>162197</v>
      </c>
      <c r="PP59" s="2">
        <v>156649</v>
      </c>
      <c r="PQ59" s="2">
        <v>436056</v>
      </c>
      <c r="PR59" s="2">
        <v>2318073</v>
      </c>
      <c r="PS59" s="2">
        <v>1534397</v>
      </c>
      <c r="PT59" s="2">
        <v>171216</v>
      </c>
      <c r="PU59" s="2">
        <v>189452</v>
      </c>
      <c r="PV59" s="2">
        <v>486269</v>
      </c>
      <c r="PW59" s="2">
        <v>2379802</v>
      </c>
      <c r="PX59" s="2">
        <v>1570198</v>
      </c>
      <c r="PY59" s="2">
        <v>184544</v>
      </c>
      <c r="PZ59" s="2">
        <v>186851</v>
      </c>
      <c r="QA59" s="2">
        <v>488710</v>
      </c>
      <c r="QB59" s="12">
        <v>457130</v>
      </c>
      <c r="QC59" s="5">
        <v>387308</v>
      </c>
      <c r="QD59" s="5">
        <v>26356</v>
      </c>
      <c r="QE59" s="5">
        <v>15473</v>
      </c>
      <c r="QF59" s="5">
        <v>43466</v>
      </c>
      <c r="QG59" s="12">
        <v>621196</v>
      </c>
      <c r="QH59" s="5">
        <v>486050</v>
      </c>
      <c r="QI59" s="5">
        <v>36284</v>
      </c>
      <c r="QJ59" s="5">
        <v>28573</v>
      </c>
      <c r="QK59" s="5">
        <v>98862</v>
      </c>
      <c r="QL59" s="12">
        <v>775919</v>
      </c>
      <c r="QM59" s="5">
        <v>566771</v>
      </c>
      <c r="QN59" s="5">
        <v>49629</v>
      </c>
      <c r="QO59" s="5">
        <v>42196</v>
      </c>
      <c r="QP59" s="5">
        <v>159519</v>
      </c>
      <c r="QQ59" s="12">
        <v>787734.55200000003</v>
      </c>
      <c r="QR59" s="5">
        <v>572405.66600000008</v>
      </c>
      <c r="QS59" s="5">
        <v>52874.764999999992</v>
      </c>
      <c r="QT59" s="5">
        <v>42179.93</v>
      </c>
      <c r="QU59" s="10">
        <v>162454.12099999996</v>
      </c>
      <c r="QV59" s="1">
        <v>811397</v>
      </c>
      <c r="QW59" s="2">
        <v>586221</v>
      </c>
      <c r="QX59" s="2">
        <v>55289</v>
      </c>
      <c r="QY59" s="2">
        <v>44327</v>
      </c>
      <c r="QZ59" s="69">
        <v>169887</v>
      </c>
      <c r="RA59" s="2">
        <v>828775</v>
      </c>
      <c r="RB59" s="2">
        <v>557254</v>
      </c>
      <c r="RC59" s="2">
        <v>57064</v>
      </c>
      <c r="RD59" s="2">
        <v>47216</v>
      </c>
      <c r="RE59" s="2">
        <v>180540</v>
      </c>
      <c r="RF59" s="2">
        <v>880766</v>
      </c>
      <c r="RG59" s="2">
        <v>585537</v>
      </c>
      <c r="RH59" s="2">
        <v>56652</v>
      </c>
      <c r="RI59" s="2">
        <v>52616</v>
      </c>
      <c r="RJ59" s="2">
        <v>201708</v>
      </c>
      <c r="RK59" s="2">
        <v>919284</v>
      </c>
      <c r="RL59" s="2">
        <v>594914</v>
      </c>
      <c r="RM59" s="2">
        <v>64065</v>
      </c>
      <c r="RN59" s="2">
        <v>58339</v>
      </c>
      <c r="RO59" s="2">
        <v>214705</v>
      </c>
    </row>
    <row r="60" spans="1:483" ht="12.75" customHeight="1" x14ac:dyDescent="0.2">
      <c r="A60" s="218" t="s">
        <v>39</v>
      </c>
      <c r="B60" s="259" t="s">
        <v>185</v>
      </c>
      <c r="C60" s="259" t="s">
        <v>185</v>
      </c>
      <c r="D60" s="259" t="s">
        <v>185</v>
      </c>
      <c r="E60" s="259" t="s">
        <v>185</v>
      </c>
      <c r="F60" s="259" t="s">
        <v>185</v>
      </c>
      <c r="G60" s="12">
        <v>1200827</v>
      </c>
      <c r="H60" s="5">
        <v>778242</v>
      </c>
      <c r="I60" s="5">
        <v>197324</v>
      </c>
      <c r="J60" s="5">
        <v>313968</v>
      </c>
      <c r="K60" s="5">
        <v>225261</v>
      </c>
      <c r="L60" s="12">
        <v>1005805</v>
      </c>
      <c r="M60" s="5">
        <v>515028</v>
      </c>
      <c r="N60" s="5">
        <v>140771</v>
      </c>
      <c r="O60" s="5">
        <v>377392</v>
      </c>
      <c r="P60" s="5">
        <v>350006</v>
      </c>
      <c r="Q60" s="565">
        <v>917406</v>
      </c>
      <c r="R60" s="7">
        <v>416853</v>
      </c>
      <c r="S60" s="7">
        <v>132004</v>
      </c>
      <c r="T60" s="7">
        <v>406049</v>
      </c>
      <c r="U60" s="7">
        <v>368549</v>
      </c>
      <c r="V60" s="7">
        <v>903906</v>
      </c>
      <c r="W60" s="7">
        <v>386093</v>
      </c>
      <c r="X60" s="7">
        <v>128107</v>
      </c>
      <c r="Y60" s="7">
        <v>411911</v>
      </c>
      <c r="Z60" s="7">
        <v>389706</v>
      </c>
      <c r="AA60" s="7">
        <v>899229</v>
      </c>
      <c r="AB60" s="7">
        <v>219557</v>
      </c>
      <c r="AC60" s="7">
        <v>132077</v>
      </c>
      <c r="AD60" s="7">
        <v>411876</v>
      </c>
      <c r="AE60" s="675">
        <v>389345</v>
      </c>
      <c r="AF60" s="560">
        <v>903295</v>
      </c>
      <c r="AG60" s="560">
        <v>205800</v>
      </c>
      <c r="AH60" s="560">
        <v>117327</v>
      </c>
      <c r="AI60" s="560">
        <v>418150</v>
      </c>
      <c r="AJ60" s="560">
        <v>425711</v>
      </c>
      <c r="AK60" s="560">
        <v>865976</v>
      </c>
      <c r="AL60" s="560">
        <v>191792</v>
      </c>
      <c r="AM60" s="560">
        <v>114280</v>
      </c>
      <c r="AN60" s="560">
        <v>407334</v>
      </c>
      <c r="AO60" s="560">
        <v>405815</v>
      </c>
      <c r="AP60" s="12">
        <v>1776777</v>
      </c>
      <c r="AQ60" s="5">
        <v>1188067</v>
      </c>
      <c r="AR60" s="5">
        <v>397368</v>
      </c>
      <c r="AS60" s="5">
        <v>289309</v>
      </c>
      <c r="AT60" s="5">
        <v>191342</v>
      </c>
      <c r="AU60" s="12">
        <v>1620519</v>
      </c>
      <c r="AV60" s="5">
        <v>915826</v>
      </c>
      <c r="AW60" s="5">
        <v>383322</v>
      </c>
      <c r="AX60" s="5">
        <v>354354</v>
      </c>
      <c r="AY60" s="5">
        <v>321371</v>
      </c>
      <c r="AZ60" s="12">
        <v>1089877</v>
      </c>
      <c r="BA60" s="5">
        <v>592345</v>
      </c>
      <c r="BB60" s="5">
        <v>246335</v>
      </c>
      <c r="BC60" s="5">
        <v>301060</v>
      </c>
      <c r="BD60" s="5">
        <v>251197</v>
      </c>
      <c r="BE60" s="5">
        <v>1067250</v>
      </c>
      <c r="BF60" s="5">
        <v>551367</v>
      </c>
      <c r="BG60" s="5">
        <v>237630</v>
      </c>
      <c r="BH60" s="5">
        <v>311120</v>
      </c>
      <c r="BI60" s="5">
        <v>278253</v>
      </c>
      <c r="BJ60" s="5">
        <v>1055220</v>
      </c>
      <c r="BK60" s="5">
        <v>415015</v>
      </c>
      <c r="BL60" s="5">
        <v>232910</v>
      </c>
      <c r="BM60" s="5">
        <v>309241</v>
      </c>
      <c r="BN60" s="53">
        <v>285817</v>
      </c>
      <c r="BO60" s="53">
        <v>1012572</v>
      </c>
      <c r="BP60" s="53">
        <v>366565</v>
      </c>
      <c r="BQ60" s="53">
        <v>222492</v>
      </c>
      <c r="BR60" s="53">
        <v>318475</v>
      </c>
      <c r="BS60" s="53">
        <v>294542</v>
      </c>
      <c r="BT60" s="53">
        <v>1002316</v>
      </c>
      <c r="BU60" s="53">
        <v>364618</v>
      </c>
      <c r="BV60" s="53">
        <v>223311</v>
      </c>
      <c r="BW60" s="53">
        <v>307085</v>
      </c>
      <c r="BX60" s="53">
        <v>289924</v>
      </c>
      <c r="BY60" s="12">
        <v>1990516</v>
      </c>
      <c r="BZ60" s="5">
        <v>970896</v>
      </c>
      <c r="CA60" s="5">
        <v>369229</v>
      </c>
      <c r="CB60" s="5">
        <v>713765</v>
      </c>
      <c r="CC60" s="290">
        <f t="shared" si="569"/>
        <v>650391</v>
      </c>
      <c r="CD60" s="258" t="s">
        <v>185</v>
      </c>
      <c r="CE60" s="259" t="s">
        <v>185</v>
      </c>
      <c r="CF60" s="259" t="s">
        <v>185</v>
      </c>
      <c r="CG60" s="259" t="s">
        <v>185</v>
      </c>
      <c r="CH60" s="258" t="s">
        <v>185</v>
      </c>
      <c r="CI60" s="259" t="s">
        <v>185</v>
      </c>
      <c r="CJ60" s="259" t="s">
        <v>185</v>
      </c>
      <c r="CK60" s="259" t="s">
        <v>185</v>
      </c>
      <c r="CL60" s="259" t="s">
        <v>185</v>
      </c>
      <c r="CM60" s="12">
        <v>8840965</v>
      </c>
      <c r="CN60" s="5">
        <v>7175569</v>
      </c>
      <c r="CO60" s="5">
        <v>1088842</v>
      </c>
      <c r="CP60" s="5">
        <v>613378</v>
      </c>
      <c r="CQ60" s="5">
        <v>576554</v>
      </c>
      <c r="CR60" s="12">
        <v>9916212</v>
      </c>
      <c r="CS60" s="5">
        <v>7506789</v>
      </c>
      <c r="CT60" s="5">
        <v>1260693</v>
      </c>
      <c r="CU60" s="5">
        <v>895367</v>
      </c>
      <c r="CV60" s="5">
        <v>1148730</v>
      </c>
      <c r="CW60" s="195">
        <v>10790327</v>
      </c>
      <c r="CX60" s="5">
        <v>7833508</v>
      </c>
      <c r="CY60" s="5">
        <v>1452447</v>
      </c>
      <c r="CZ60" s="5">
        <v>1504372</v>
      </c>
      <c r="DA60" s="5">
        <v>1189901</v>
      </c>
      <c r="DB60" s="12">
        <v>10928747</v>
      </c>
      <c r="DC60" s="5">
        <v>7950198</v>
      </c>
      <c r="DD60" s="5">
        <v>1478222</v>
      </c>
      <c r="DE60" s="5">
        <v>1500327</v>
      </c>
      <c r="DF60" s="5">
        <v>1214544</v>
      </c>
      <c r="DG60" s="12">
        <v>11066646</v>
      </c>
      <c r="DH60" s="54">
        <v>8109185</v>
      </c>
      <c r="DI60" s="54">
        <v>1512441</v>
      </c>
      <c r="DJ60" s="54">
        <v>1445020</v>
      </c>
      <c r="DK60" s="54">
        <v>1209695</v>
      </c>
      <c r="DL60" s="12">
        <v>10986178</v>
      </c>
      <c r="DM60" s="5">
        <v>7979460</v>
      </c>
      <c r="DN60" s="5">
        <v>1519578</v>
      </c>
      <c r="DO60" s="5">
        <v>1274227</v>
      </c>
      <c r="DP60" s="5">
        <v>1332141</v>
      </c>
      <c r="DQ60" s="12">
        <v>11118080.349000001</v>
      </c>
      <c r="DR60" s="5">
        <v>8027870.8610000005</v>
      </c>
      <c r="DS60" s="5">
        <v>1545788.84</v>
      </c>
      <c r="DT60" s="5">
        <v>1317720.3120000002</v>
      </c>
      <c r="DU60" s="530">
        <f t="shared" si="570"/>
        <v>1544420.6480000007</v>
      </c>
      <c r="DV60" s="5">
        <v>11234085</v>
      </c>
      <c r="DW60" s="5">
        <v>8061215</v>
      </c>
      <c r="DX60" s="5">
        <v>1562098</v>
      </c>
      <c r="DY60" s="5">
        <v>1358427</v>
      </c>
      <c r="DZ60" s="5">
        <v>1610772</v>
      </c>
      <c r="EA60" s="5">
        <v>11365266</v>
      </c>
      <c r="EB60" s="5">
        <v>7453651</v>
      </c>
      <c r="EC60" s="5">
        <v>1588460</v>
      </c>
      <c r="ED60" s="5">
        <v>1404392</v>
      </c>
      <c r="EE60" s="5">
        <v>1664847</v>
      </c>
      <c r="EF60" s="5">
        <v>11725606</v>
      </c>
      <c r="EG60" s="5">
        <v>7472297</v>
      </c>
      <c r="EH60" s="5">
        <v>1676477</v>
      </c>
      <c r="EI60" s="5">
        <v>1540260</v>
      </c>
      <c r="EJ60" s="5">
        <v>1639716</v>
      </c>
      <c r="EK60" s="5">
        <v>11785300</v>
      </c>
      <c r="EL60" s="5">
        <v>7447577</v>
      </c>
      <c r="EM60" s="5">
        <v>1708101</v>
      </c>
      <c r="EN60" s="5">
        <v>1584888</v>
      </c>
      <c r="EO60" s="5">
        <v>1677707</v>
      </c>
      <c r="EP60" s="258" t="s">
        <v>185</v>
      </c>
      <c r="EQ60" s="259" t="s">
        <v>185</v>
      </c>
      <c r="ER60" s="259" t="s">
        <v>185</v>
      </c>
      <c r="ES60" s="259" t="s">
        <v>185</v>
      </c>
      <c r="ET60" s="259" t="s">
        <v>185</v>
      </c>
      <c r="EU60" s="12">
        <v>2621450</v>
      </c>
      <c r="EV60" s="5">
        <v>2058145</v>
      </c>
      <c r="EW60" s="5">
        <v>398977</v>
      </c>
      <c r="EX60" s="5">
        <v>214944</v>
      </c>
      <c r="EY60" s="5">
        <v>164328</v>
      </c>
      <c r="EZ60" s="12">
        <v>3002232</v>
      </c>
      <c r="FA60" s="5">
        <v>2197137</v>
      </c>
      <c r="FB60" s="5">
        <v>475192</v>
      </c>
      <c r="FC60" s="5">
        <v>323856</v>
      </c>
      <c r="FD60" s="5">
        <v>329903</v>
      </c>
      <c r="FE60" s="12">
        <v>3203816</v>
      </c>
      <c r="FF60" s="5">
        <v>2266326</v>
      </c>
      <c r="FG60" s="5">
        <v>553615</v>
      </c>
      <c r="FH60" s="5">
        <v>430291</v>
      </c>
      <c r="FI60" s="5">
        <v>383875</v>
      </c>
      <c r="FJ60" s="12">
        <v>3234588.747</v>
      </c>
      <c r="FK60" s="5">
        <v>2274413.5810000002</v>
      </c>
      <c r="FL60" s="5">
        <v>558626.65999999992</v>
      </c>
      <c r="FM60" s="5">
        <v>447374.18</v>
      </c>
      <c r="FN60" s="5">
        <v>401548.50599999982</v>
      </c>
      <c r="FO60" s="5">
        <v>3266374</v>
      </c>
      <c r="FP60" s="5">
        <v>2279678</v>
      </c>
      <c r="FQ60" s="5">
        <v>565400</v>
      </c>
      <c r="FR60" s="5">
        <v>459741</v>
      </c>
      <c r="FS60" s="618">
        <v>421296</v>
      </c>
      <c r="FT60" s="618">
        <v>3299008</v>
      </c>
      <c r="FU60" s="618">
        <v>2072639</v>
      </c>
      <c r="FV60" s="618">
        <v>573483</v>
      </c>
      <c r="FW60" s="618">
        <v>471584</v>
      </c>
      <c r="FX60" s="618">
        <v>439799</v>
      </c>
      <c r="FY60" s="618">
        <v>3332120</v>
      </c>
      <c r="FZ60" s="618">
        <v>2044106</v>
      </c>
      <c r="GA60" s="618">
        <v>579952</v>
      </c>
      <c r="GB60" s="618">
        <v>512178</v>
      </c>
      <c r="GC60" s="618">
        <v>476378</v>
      </c>
      <c r="GD60" s="618">
        <v>3342674</v>
      </c>
      <c r="GE60" s="618">
        <v>2019539</v>
      </c>
      <c r="GF60" s="618">
        <v>601960</v>
      </c>
      <c r="GG60" s="618">
        <v>522573</v>
      </c>
      <c r="GH60" s="618">
        <v>493089</v>
      </c>
      <c r="GI60" s="12">
        <v>770268</v>
      </c>
      <c r="GJ60" s="5">
        <v>620777</v>
      </c>
      <c r="GK60" s="5">
        <v>100055</v>
      </c>
      <c r="GL60" s="5">
        <v>53348</v>
      </c>
      <c r="GM60" s="5">
        <v>49436</v>
      </c>
      <c r="GN60" s="12">
        <v>898828</v>
      </c>
      <c r="GO60" s="5">
        <v>680557</v>
      </c>
      <c r="GP60" s="5">
        <v>124679</v>
      </c>
      <c r="GQ60" s="5">
        <v>78684</v>
      </c>
      <c r="GR60" s="5">
        <v>93592</v>
      </c>
      <c r="GS60" s="12">
        <v>1071501</v>
      </c>
      <c r="GT60" s="5">
        <v>787948</v>
      </c>
      <c r="GU60" s="5">
        <v>161900</v>
      </c>
      <c r="GV60" s="5">
        <v>119592</v>
      </c>
      <c r="GW60" s="5">
        <v>121653</v>
      </c>
      <c r="GX60" s="12"/>
      <c r="GY60" s="5"/>
      <c r="GZ60" s="5"/>
      <c r="HA60" s="5"/>
      <c r="HB60" s="10"/>
      <c r="HC60" s="5">
        <v>1098932</v>
      </c>
      <c r="HD60" s="5">
        <v>806419</v>
      </c>
      <c r="HE60" s="5">
        <v>157729</v>
      </c>
      <c r="HF60" s="5">
        <v>129768</v>
      </c>
      <c r="HG60" s="5">
        <v>134784</v>
      </c>
      <c r="HH60" s="5">
        <v>1128760</v>
      </c>
      <c r="HI60" s="5">
        <v>755809</v>
      </c>
      <c r="HJ60" s="5">
        <v>160904</v>
      </c>
      <c r="HK60" s="5">
        <v>134598</v>
      </c>
      <c r="HL60" s="5">
        <v>148522</v>
      </c>
      <c r="HM60" s="5">
        <v>1155067</v>
      </c>
      <c r="HN60" s="5">
        <v>758937</v>
      </c>
      <c r="HO60" s="5">
        <v>172275</v>
      </c>
      <c r="HP60" s="5">
        <v>142825</v>
      </c>
      <c r="HQ60" s="5">
        <v>157733</v>
      </c>
      <c r="HR60" s="5">
        <v>1191816</v>
      </c>
      <c r="HS60" s="5">
        <v>773931</v>
      </c>
      <c r="HT60" s="5">
        <v>182548</v>
      </c>
      <c r="HU60" s="5">
        <v>154725</v>
      </c>
      <c r="HV60" s="5">
        <v>166673</v>
      </c>
      <c r="HW60" s="569">
        <f t="shared" si="625"/>
        <v>3504097</v>
      </c>
      <c r="HX60" s="546">
        <f t="shared" si="626"/>
        <v>2934511</v>
      </c>
      <c r="HY60" s="546">
        <f t="shared" si="627"/>
        <v>311950</v>
      </c>
      <c r="HZ60" s="546">
        <f t="shared" si="628"/>
        <v>166230</v>
      </c>
      <c r="IA60" s="546">
        <f t="shared" si="629"/>
        <v>257636</v>
      </c>
      <c r="IB60" s="569">
        <f t="shared" si="630"/>
        <v>4332040</v>
      </c>
      <c r="IC60" s="546">
        <f t="shared" si="631"/>
        <v>3402761</v>
      </c>
      <c r="ID60" s="546">
        <f t="shared" si="632"/>
        <v>407394</v>
      </c>
      <c r="IE60" s="546">
        <f t="shared" si="633"/>
        <v>265567</v>
      </c>
      <c r="IF60" s="546">
        <f t="shared" si="634"/>
        <v>521885</v>
      </c>
      <c r="IG60" s="12">
        <v>4292256</v>
      </c>
      <c r="IH60" s="5">
        <v>3201977</v>
      </c>
      <c r="II60" s="5">
        <v>462527</v>
      </c>
      <c r="IJ60" s="5">
        <v>368969</v>
      </c>
      <c r="IK60" s="5">
        <v>627752</v>
      </c>
      <c r="IL60" s="565"/>
      <c r="IM60" s="7"/>
      <c r="IN60" s="7"/>
      <c r="IO60" s="7"/>
      <c r="IP60" s="7"/>
      <c r="IQ60" s="7">
        <v>5455007</v>
      </c>
      <c r="IR60" s="7">
        <v>4103782</v>
      </c>
      <c r="IS60" s="7">
        <v>557627</v>
      </c>
      <c r="IT60" s="7">
        <v>460177</v>
      </c>
      <c r="IU60" s="577">
        <v>793598</v>
      </c>
      <c r="IV60" s="7">
        <v>5596436</v>
      </c>
      <c r="IW60" s="7">
        <v>3933178</v>
      </c>
      <c r="IX60" s="7">
        <v>574560</v>
      </c>
      <c r="IY60" s="7">
        <v>484967</v>
      </c>
      <c r="IZ60" s="7">
        <v>836506</v>
      </c>
      <c r="JA60" s="565">
        <v>5933530</v>
      </c>
      <c r="JB60" s="7">
        <v>4055188</v>
      </c>
      <c r="JC60" s="7">
        <v>642250</v>
      </c>
      <c r="JD60" s="7">
        <v>543972</v>
      </c>
      <c r="JE60" s="7">
        <v>845883</v>
      </c>
      <c r="JF60" s="565">
        <v>6059628</v>
      </c>
      <c r="JG60" s="7">
        <v>4140649</v>
      </c>
      <c r="JH60" s="7">
        <v>664065</v>
      </c>
      <c r="JI60" s="7">
        <v>571713</v>
      </c>
      <c r="JJ60" s="7">
        <v>847228</v>
      </c>
      <c r="JK60" s="12">
        <v>1561719</v>
      </c>
      <c r="JL60" s="5">
        <v>1302724</v>
      </c>
      <c r="JM60" s="5">
        <v>135719</v>
      </c>
      <c r="JN60" s="5">
        <v>68196</v>
      </c>
      <c r="JO60" s="5">
        <v>123276</v>
      </c>
      <c r="JP60" s="12">
        <v>1954242</v>
      </c>
      <c r="JQ60" s="5">
        <v>1513361</v>
      </c>
      <c r="JR60" s="5">
        <v>179782</v>
      </c>
      <c r="JS60" s="5">
        <v>113026</v>
      </c>
      <c r="JT60" s="5">
        <v>261099</v>
      </c>
      <c r="JU60" s="12">
        <v>2393968</v>
      </c>
      <c r="JV60" s="5">
        <v>1751253</v>
      </c>
      <c r="JW60" s="5">
        <v>251625</v>
      </c>
      <c r="JX60" s="5">
        <v>206466</v>
      </c>
      <c r="JY60" s="5">
        <v>391090</v>
      </c>
      <c r="JZ60" s="12">
        <v>2435763.1860000002</v>
      </c>
      <c r="KA60" s="5">
        <v>1779975.8460000001</v>
      </c>
      <c r="KB60" s="5">
        <v>256356.07</v>
      </c>
      <c r="KC60" s="5">
        <v>209452.45700000002</v>
      </c>
      <c r="KD60" s="5">
        <v>399431.27000000008</v>
      </c>
      <c r="KE60" s="5">
        <v>2536442</v>
      </c>
      <c r="KF60" s="5">
        <v>1728819</v>
      </c>
      <c r="KG60" s="5">
        <v>264895</v>
      </c>
      <c r="KH60" s="5">
        <v>229592</v>
      </c>
      <c r="KI60" s="5">
        <v>426392</v>
      </c>
      <c r="KJ60" s="5">
        <v>2727078</v>
      </c>
      <c r="KK60" s="5">
        <v>1801204</v>
      </c>
      <c r="KL60" s="5">
        <v>298957</v>
      </c>
      <c r="KM60" s="5">
        <v>264429</v>
      </c>
      <c r="KN60" s="5">
        <v>496029</v>
      </c>
      <c r="KO60" s="5">
        <v>2749619</v>
      </c>
      <c r="KP60" s="5">
        <v>1820611</v>
      </c>
      <c r="KQ60" s="5">
        <v>307985</v>
      </c>
      <c r="KR60" s="5">
        <v>273248</v>
      </c>
      <c r="KS60" s="5">
        <v>486872</v>
      </c>
      <c r="KT60" s="258" t="s">
        <v>185</v>
      </c>
      <c r="KU60" s="259" t="s">
        <v>185</v>
      </c>
      <c r="KV60" s="12">
        <v>902100</v>
      </c>
      <c r="KW60" s="332">
        <f t="shared" si="581"/>
        <v>557843</v>
      </c>
      <c r="KX60" s="332">
        <f t="shared" si="582"/>
        <v>344257</v>
      </c>
      <c r="KY60" s="332">
        <f t="shared" si="583"/>
        <v>868995</v>
      </c>
      <c r="KZ60" s="318">
        <v>540607</v>
      </c>
      <c r="LA60" s="318">
        <v>328388</v>
      </c>
      <c r="LB60" s="332">
        <f t="shared" si="584"/>
        <v>33105</v>
      </c>
      <c r="LC60" s="318">
        <v>17236</v>
      </c>
      <c r="LD60" s="318">
        <v>15869</v>
      </c>
      <c r="LE60" s="12">
        <v>1219088</v>
      </c>
      <c r="LF60" s="332">
        <f t="shared" si="585"/>
        <v>727600</v>
      </c>
      <c r="LG60" s="332">
        <f t="shared" si="586"/>
        <v>491488</v>
      </c>
      <c r="LH60" s="332">
        <f t="shared" si="587"/>
        <v>1168895</v>
      </c>
      <c r="LI60" s="318">
        <v>702555</v>
      </c>
      <c r="LJ60" s="318">
        <v>466340</v>
      </c>
      <c r="LK60" s="332">
        <f t="shared" si="588"/>
        <v>45698</v>
      </c>
      <c r="LL60" s="318">
        <v>22550</v>
      </c>
      <c r="LM60" s="318">
        <v>23148</v>
      </c>
      <c r="LN60" s="332">
        <f t="shared" si="589"/>
        <v>4495</v>
      </c>
      <c r="LO60" s="318">
        <v>2495</v>
      </c>
      <c r="LP60" s="318">
        <v>2000</v>
      </c>
      <c r="LQ60" s="12">
        <v>1923547</v>
      </c>
      <c r="LR60" s="332">
        <f t="shared" si="590"/>
        <v>1086569</v>
      </c>
      <c r="LS60" s="332">
        <f t="shared" si="591"/>
        <v>836978</v>
      </c>
      <c r="LT60" s="342">
        <f t="shared" si="592"/>
        <v>1678463</v>
      </c>
      <c r="LU60" s="318">
        <v>959057</v>
      </c>
      <c r="LV60" s="318">
        <v>719406</v>
      </c>
      <c r="LW60" s="318">
        <v>127512</v>
      </c>
      <c r="LX60" s="318">
        <v>117572</v>
      </c>
      <c r="LY60" s="342">
        <f t="shared" si="593"/>
        <v>108632</v>
      </c>
      <c r="LZ60" s="318">
        <v>50731</v>
      </c>
      <c r="MA60" s="318">
        <v>57901</v>
      </c>
      <c r="MB60" s="342">
        <f t="shared" si="594"/>
        <v>56488</v>
      </c>
      <c r="MC60" s="318">
        <v>30947</v>
      </c>
      <c r="MD60" s="318">
        <v>25541</v>
      </c>
      <c r="ME60" s="333">
        <f t="shared" si="595"/>
        <v>79964</v>
      </c>
      <c r="MF60" s="333">
        <f t="shared" si="596"/>
        <v>45834</v>
      </c>
      <c r="MG60" s="333">
        <f t="shared" si="597"/>
        <v>34130</v>
      </c>
      <c r="MH60" s="334">
        <f t="shared" si="598"/>
        <v>2237</v>
      </c>
      <c r="MI60" s="334">
        <f t="shared" si="599"/>
        <v>1386</v>
      </c>
      <c r="MJ60" s="334">
        <f t="shared" si="600"/>
        <v>851</v>
      </c>
      <c r="MK60" s="318">
        <v>77727</v>
      </c>
      <c r="ML60" s="318">
        <v>44448</v>
      </c>
      <c r="MM60" s="318">
        <v>33279</v>
      </c>
      <c r="MN60" s="14">
        <f t="shared" si="601"/>
        <v>2733829</v>
      </c>
      <c r="MO60" s="332">
        <f t="shared" si="602"/>
        <v>1431718</v>
      </c>
      <c r="MP60" s="332">
        <f t="shared" si="603"/>
        <v>1302111</v>
      </c>
      <c r="MQ60" s="13">
        <f t="shared" si="604"/>
        <v>2313734</v>
      </c>
      <c r="MR60" s="136">
        <f t="shared" si="605"/>
        <v>2247189</v>
      </c>
      <c r="MS60" s="318">
        <v>1197907</v>
      </c>
      <c r="MT60" s="318">
        <v>1049282</v>
      </c>
      <c r="MU60" s="318">
        <v>233811</v>
      </c>
      <c r="MV60" s="318">
        <v>252829</v>
      </c>
      <c r="MW60" s="13">
        <f t="shared" si="606"/>
        <v>211895</v>
      </c>
      <c r="MX60" s="136">
        <f t="shared" si="607"/>
        <v>199679</v>
      </c>
      <c r="MY60" s="318">
        <v>83552</v>
      </c>
      <c r="MZ60" s="318">
        <v>116127</v>
      </c>
      <c r="NA60" s="13">
        <f t="shared" si="608"/>
        <v>112882</v>
      </c>
      <c r="NB60" s="318">
        <v>55935</v>
      </c>
      <c r="NC60" s="318">
        <v>56947</v>
      </c>
      <c r="ND60" s="13">
        <f t="shared" si="609"/>
        <v>208200</v>
      </c>
      <c r="NE60" s="368">
        <f t="shared" si="610"/>
        <v>94324</v>
      </c>
      <c r="NF60" s="335">
        <f t="shared" si="611"/>
        <v>79755</v>
      </c>
      <c r="NG60" s="336">
        <f t="shared" si="612"/>
        <v>1838</v>
      </c>
      <c r="NH60" s="336">
        <f t="shared" si="613"/>
        <v>925</v>
      </c>
      <c r="NI60" s="336">
        <f t="shared" si="614"/>
        <v>913</v>
      </c>
      <c r="NJ60" s="337">
        <f t="shared" si="615"/>
        <v>172241</v>
      </c>
      <c r="NK60" s="337">
        <f t="shared" si="616"/>
        <v>93399</v>
      </c>
      <c r="NL60" s="337">
        <f t="shared" si="617"/>
        <v>78842</v>
      </c>
      <c r="NM60" s="318">
        <v>1891</v>
      </c>
      <c r="NN60" s="318">
        <v>2226</v>
      </c>
      <c r="NO60" s="318">
        <v>91508</v>
      </c>
      <c r="NP60" s="318">
        <v>76616</v>
      </c>
      <c r="NQ60" s="338">
        <v>3433212</v>
      </c>
      <c r="NR60" s="318">
        <v>1685798</v>
      </c>
      <c r="NS60" s="318">
        <v>1747414</v>
      </c>
      <c r="NT60" s="7">
        <f t="shared" si="618"/>
        <v>2722204</v>
      </c>
      <c r="NU60" s="7">
        <v>1361909</v>
      </c>
      <c r="NV60" s="7">
        <v>1360295</v>
      </c>
      <c r="NW60" s="125">
        <f t="shared" si="619"/>
        <v>2622785</v>
      </c>
      <c r="NX60" s="318">
        <v>1316187</v>
      </c>
      <c r="NY60" s="318">
        <v>1306598</v>
      </c>
      <c r="NZ60" s="7">
        <f t="shared" si="620"/>
        <v>282715</v>
      </c>
      <c r="OA60" s="318">
        <v>112351</v>
      </c>
      <c r="OB60" s="318">
        <v>170364</v>
      </c>
      <c r="OC60" s="7">
        <f t="shared" si="621"/>
        <v>186883</v>
      </c>
      <c r="OD60" s="318">
        <v>82522</v>
      </c>
      <c r="OE60" s="318">
        <v>104361</v>
      </c>
      <c r="OF60" s="125">
        <f t="shared" si="622"/>
        <v>428293</v>
      </c>
      <c r="OG60" s="125">
        <f t="shared" si="623"/>
        <v>211538</v>
      </c>
      <c r="OH60" s="125">
        <f t="shared" si="624"/>
        <v>216755</v>
      </c>
      <c r="OI60" s="326">
        <v>4009270</v>
      </c>
      <c r="OJ60" s="318">
        <v>3067120</v>
      </c>
      <c r="OK60" s="318">
        <v>358483</v>
      </c>
      <c r="OL60" s="318">
        <v>583667</v>
      </c>
      <c r="OM60" s="7">
        <v>277187</v>
      </c>
      <c r="ON60" s="338">
        <v>4109649</v>
      </c>
      <c r="OO60" s="5">
        <v>3145923</v>
      </c>
      <c r="OP60" s="5">
        <v>369093</v>
      </c>
      <c r="OQ60" s="5">
        <v>594633</v>
      </c>
      <c r="OR60" s="5">
        <v>289000</v>
      </c>
      <c r="OS60" s="338">
        <v>4228298</v>
      </c>
      <c r="OT60" s="5">
        <v>3249577</v>
      </c>
      <c r="OU60" s="5">
        <v>386231</v>
      </c>
      <c r="OV60" s="5">
        <v>592490</v>
      </c>
      <c r="OW60" s="5">
        <v>292714</v>
      </c>
      <c r="OX60" s="12">
        <v>4200035</v>
      </c>
      <c r="OY60" s="5">
        <v>3187956</v>
      </c>
      <c r="OZ60" s="5">
        <v>386477</v>
      </c>
      <c r="PA60" s="5">
        <v>625602</v>
      </c>
      <c r="PB60" s="5">
        <v>312803</v>
      </c>
      <c r="PC60" s="12">
        <v>4269133.3260000004</v>
      </c>
      <c r="PD60" s="5">
        <v>3236319.72</v>
      </c>
      <c r="PE60" s="5">
        <v>396012.73499999999</v>
      </c>
      <c r="PF60" s="5">
        <v>319262.48300000001</v>
      </c>
      <c r="PG60" s="5">
        <v>636800.87100000016</v>
      </c>
      <c r="PH60" s="5">
        <v>4356075</v>
      </c>
      <c r="PI60" s="5">
        <v>3297363</v>
      </c>
      <c r="PJ60" s="5">
        <v>399898</v>
      </c>
      <c r="PK60" s="5">
        <v>330409</v>
      </c>
      <c r="PL60" s="2">
        <v>658814</v>
      </c>
      <c r="PM60" s="2">
        <v>4467676</v>
      </c>
      <c r="PN60" s="2">
        <v>3177369</v>
      </c>
      <c r="PO60" s="2">
        <v>413656</v>
      </c>
      <c r="PP60" s="2">
        <v>350369</v>
      </c>
      <c r="PQ60" s="2">
        <v>687984</v>
      </c>
      <c r="PR60" s="2">
        <v>4778463</v>
      </c>
      <c r="PS60" s="2">
        <v>3296251</v>
      </c>
      <c r="PT60" s="2">
        <v>469975</v>
      </c>
      <c r="PU60" s="2">
        <v>401147</v>
      </c>
      <c r="PV60" s="2">
        <v>709966</v>
      </c>
      <c r="PW60" s="2">
        <v>4867812</v>
      </c>
      <c r="PX60" s="2">
        <v>3366718</v>
      </c>
      <c r="PY60" s="2">
        <v>481517</v>
      </c>
      <c r="PZ60" s="2">
        <v>416988</v>
      </c>
      <c r="QA60" s="2">
        <v>703996</v>
      </c>
      <c r="QB60" s="12">
        <v>1172110</v>
      </c>
      <c r="QC60" s="5">
        <v>1011010</v>
      </c>
      <c r="QD60" s="5">
        <v>76176</v>
      </c>
      <c r="QE60" s="5">
        <v>44686</v>
      </c>
      <c r="QF60" s="5">
        <v>84924</v>
      </c>
      <c r="QG60" s="12">
        <v>1478970</v>
      </c>
      <c r="QH60" s="5">
        <v>1208843</v>
      </c>
      <c r="QI60" s="5">
        <v>102933</v>
      </c>
      <c r="QJ60" s="5">
        <v>73857</v>
      </c>
      <c r="QK60" s="5">
        <v>167194</v>
      </c>
      <c r="QL60" s="12">
        <v>1806067</v>
      </c>
      <c r="QM60" s="5">
        <v>1436703</v>
      </c>
      <c r="QN60" s="5">
        <v>134852</v>
      </c>
      <c r="QO60" s="5">
        <v>106337</v>
      </c>
      <c r="QP60" s="5">
        <v>234512</v>
      </c>
      <c r="QQ60" s="12">
        <v>1833370.1400000001</v>
      </c>
      <c r="QR60" s="5">
        <v>1456343.8740000001</v>
      </c>
      <c r="QS60" s="5">
        <v>139656.66499999998</v>
      </c>
      <c r="QT60" s="5">
        <v>109810.02600000001</v>
      </c>
      <c r="QU60" s="10">
        <v>237369.60100000008</v>
      </c>
      <c r="QV60" s="1">
        <v>1876289</v>
      </c>
      <c r="QW60" s="2">
        <v>1485303</v>
      </c>
      <c r="QX60" s="2">
        <v>141953</v>
      </c>
      <c r="QY60" s="2">
        <v>114774</v>
      </c>
      <c r="QZ60" s="69">
        <v>249033</v>
      </c>
      <c r="RA60" s="2">
        <v>1931234</v>
      </c>
      <c r="RB60" s="2">
        <v>1448550</v>
      </c>
      <c r="RC60" s="2">
        <v>148761</v>
      </c>
      <c r="RD60" s="2">
        <v>120777</v>
      </c>
      <c r="RE60" s="2">
        <v>261592</v>
      </c>
      <c r="RF60" s="2">
        <v>2051385</v>
      </c>
      <c r="RG60" s="2">
        <v>1495047</v>
      </c>
      <c r="RH60" s="2">
        <v>171018</v>
      </c>
      <c r="RI60" s="2">
        <v>136718</v>
      </c>
      <c r="RJ60" s="2">
        <v>302992</v>
      </c>
      <c r="RK60" s="2">
        <v>2118193</v>
      </c>
      <c r="RL60" s="2">
        <v>1546107</v>
      </c>
      <c r="RM60" s="2">
        <v>173532</v>
      </c>
      <c r="RN60" s="2">
        <v>143740</v>
      </c>
      <c r="RO60" s="2">
        <v>313245</v>
      </c>
    </row>
    <row r="61" spans="1:483" ht="12.75" customHeight="1" x14ac:dyDescent="0.2">
      <c r="A61" s="218" t="s">
        <v>43</v>
      </c>
      <c r="B61" s="259" t="s">
        <v>185</v>
      </c>
      <c r="C61" s="259" t="s">
        <v>185</v>
      </c>
      <c r="D61" s="259" t="s">
        <v>185</v>
      </c>
      <c r="E61" s="259" t="s">
        <v>185</v>
      </c>
      <c r="F61" s="259" t="s">
        <v>185</v>
      </c>
      <c r="G61" s="12">
        <v>741167</v>
      </c>
      <c r="H61" s="5">
        <v>650161</v>
      </c>
      <c r="I61" s="5">
        <v>64272</v>
      </c>
      <c r="J61" s="5">
        <v>25274</v>
      </c>
      <c r="K61" s="5">
        <v>26734</v>
      </c>
      <c r="L61" s="12">
        <v>452069</v>
      </c>
      <c r="M61" s="5">
        <v>369595</v>
      </c>
      <c r="N61" s="5">
        <v>40132</v>
      </c>
      <c r="O61" s="5">
        <v>37353</v>
      </c>
      <c r="P61" s="5">
        <v>42342</v>
      </c>
      <c r="Q61" s="565">
        <v>337073</v>
      </c>
      <c r="R61" s="7">
        <v>253837</v>
      </c>
      <c r="S61" s="7">
        <v>32361</v>
      </c>
      <c r="T61" s="7">
        <v>59888</v>
      </c>
      <c r="U61" s="7">
        <v>50875</v>
      </c>
      <c r="V61" s="7">
        <v>319189</v>
      </c>
      <c r="W61" s="7">
        <v>232102</v>
      </c>
      <c r="X61" s="7">
        <v>31137</v>
      </c>
      <c r="Y61" s="7">
        <v>61446</v>
      </c>
      <c r="Z61" s="7">
        <v>55861</v>
      </c>
      <c r="AA61" s="7">
        <v>315630</v>
      </c>
      <c r="AB61" s="7">
        <v>196714</v>
      </c>
      <c r="AC61" s="7">
        <v>30122</v>
      </c>
      <c r="AD61" s="7">
        <v>61206</v>
      </c>
      <c r="AE61" s="675">
        <v>57447</v>
      </c>
      <c r="AF61" s="560">
        <v>297088</v>
      </c>
      <c r="AG61" s="560">
        <v>173254</v>
      </c>
      <c r="AH61" s="560">
        <v>29442</v>
      </c>
      <c r="AI61" s="560">
        <v>62845</v>
      </c>
      <c r="AJ61" s="560">
        <v>59591</v>
      </c>
      <c r="AK61" s="560">
        <v>289165</v>
      </c>
      <c r="AL61" s="560">
        <v>161483</v>
      </c>
      <c r="AM61" s="560">
        <v>28314</v>
      </c>
      <c r="AN61" s="560">
        <v>69223</v>
      </c>
      <c r="AO61" s="560">
        <v>60788</v>
      </c>
      <c r="AP61" s="12">
        <v>1253111</v>
      </c>
      <c r="AQ61" s="5">
        <v>1059225</v>
      </c>
      <c r="AR61" s="5">
        <v>169968</v>
      </c>
      <c r="AS61" s="5">
        <v>25290</v>
      </c>
      <c r="AT61" s="5">
        <v>23918</v>
      </c>
      <c r="AU61" s="12">
        <v>1044036</v>
      </c>
      <c r="AV61" s="5">
        <v>833641</v>
      </c>
      <c r="AW61" s="5">
        <v>160494</v>
      </c>
      <c r="AX61" s="5">
        <v>44975</v>
      </c>
      <c r="AY61" s="5">
        <v>49901</v>
      </c>
      <c r="AZ61" s="12">
        <v>703766</v>
      </c>
      <c r="BA61" s="5">
        <v>540424</v>
      </c>
      <c r="BB61" s="5">
        <v>109877</v>
      </c>
      <c r="BC61" s="5">
        <v>58110</v>
      </c>
      <c r="BD61" s="5">
        <v>53465</v>
      </c>
      <c r="BE61" s="5">
        <v>669882</v>
      </c>
      <c r="BF61" s="5">
        <v>504199</v>
      </c>
      <c r="BG61" s="5">
        <v>111268</v>
      </c>
      <c r="BH61" s="5">
        <v>63649</v>
      </c>
      <c r="BI61" s="5">
        <v>54052</v>
      </c>
      <c r="BJ61" s="5">
        <v>657606</v>
      </c>
      <c r="BK61" s="5">
        <v>462930</v>
      </c>
      <c r="BL61" s="5">
        <v>107014</v>
      </c>
      <c r="BM61" s="5">
        <v>66733</v>
      </c>
      <c r="BN61" s="53">
        <v>56137</v>
      </c>
      <c r="BO61" s="53">
        <v>620062</v>
      </c>
      <c r="BP61" s="53">
        <v>422082</v>
      </c>
      <c r="BQ61" s="53">
        <v>105722</v>
      </c>
      <c r="BR61" s="53">
        <v>73278</v>
      </c>
      <c r="BS61" s="53">
        <v>53865</v>
      </c>
      <c r="BT61" s="53">
        <v>591181</v>
      </c>
      <c r="BU61" s="53">
        <v>398865</v>
      </c>
      <c r="BV61" s="53">
        <v>99548</v>
      </c>
      <c r="BW61" s="53">
        <v>71147</v>
      </c>
      <c r="BX61" s="53">
        <v>55183</v>
      </c>
      <c r="BY61" s="12">
        <v>1013512</v>
      </c>
      <c r="BZ61" s="5">
        <v>761506</v>
      </c>
      <c r="CA61" s="5">
        <v>143313</v>
      </c>
      <c r="CB61" s="5">
        <v>122590</v>
      </c>
      <c r="CC61" s="290">
        <f t="shared" si="569"/>
        <v>108693</v>
      </c>
      <c r="CD61" s="258" t="s">
        <v>185</v>
      </c>
      <c r="CE61" s="259" t="s">
        <v>185</v>
      </c>
      <c r="CF61" s="259" t="s">
        <v>185</v>
      </c>
      <c r="CG61" s="259" t="s">
        <v>185</v>
      </c>
      <c r="CH61" s="258" t="s">
        <v>185</v>
      </c>
      <c r="CI61" s="259" t="s">
        <v>185</v>
      </c>
      <c r="CJ61" s="259" t="s">
        <v>185</v>
      </c>
      <c r="CK61" s="259" t="s">
        <v>185</v>
      </c>
      <c r="CL61" s="259" t="s">
        <v>185</v>
      </c>
      <c r="CM61" s="12">
        <v>5878654</v>
      </c>
      <c r="CN61" s="5">
        <v>5384435</v>
      </c>
      <c r="CO61" s="5">
        <v>407861</v>
      </c>
      <c r="CP61" s="5">
        <v>55159</v>
      </c>
      <c r="CQ61" s="5">
        <v>86358</v>
      </c>
      <c r="CR61" s="12">
        <v>6770179</v>
      </c>
      <c r="CS61" s="5">
        <v>6048662</v>
      </c>
      <c r="CT61" s="5">
        <v>511896</v>
      </c>
      <c r="CU61" s="5">
        <v>108578</v>
      </c>
      <c r="CV61" s="5">
        <v>209621</v>
      </c>
      <c r="CW61" s="195">
        <v>7257181</v>
      </c>
      <c r="CX61" s="5">
        <v>6363826</v>
      </c>
      <c r="CY61" s="5">
        <v>603509</v>
      </c>
      <c r="CZ61" s="5">
        <v>289846</v>
      </c>
      <c r="DA61" s="5">
        <v>175504</v>
      </c>
      <c r="DB61" s="12">
        <v>7329388</v>
      </c>
      <c r="DC61" s="5">
        <v>6415974</v>
      </c>
      <c r="DD61" s="5">
        <v>617903</v>
      </c>
      <c r="DE61" s="5">
        <v>295511</v>
      </c>
      <c r="DF61" s="5">
        <v>185648</v>
      </c>
      <c r="DG61" s="12">
        <v>7479483</v>
      </c>
      <c r="DH61" s="54">
        <v>6542287</v>
      </c>
      <c r="DI61" s="54">
        <v>638248</v>
      </c>
      <c r="DJ61" s="54">
        <v>298948</v>
      </c>
      <c r="DK61" s="54">
        <v>200517</v>
      </c>
      <c r="DL61" s="12">
        <v>7563268</v>
      </c>
      <c r="DM61" s="5">
        <v>6570871</v>
      </c>
      <c r="DN61" s="5">
        <v>667056</v>
      </c>
      <c r="DO61" s="5">
        <v>227694</v>
      </c>
      <c r="DP61" s="5">
        <v>263677</v>
      </c>
      <c r="DQ61" s="12">
        <v>7657642.9279999994</v>
      </c>
      <c r="DR61" s="5">
        <v>6639152.8680000007</v>
      </c>
      <c r="DS61" s="5">
        <v>680325.81400000001</v>
      </c>
      <c r="DT61" s="5">
        <v>242260.4</v>
      </c>
      <c r="DU61" s="530">
        <f t="shared" si="570"/>
        <v>338164.24599999865</v>
      </c>
      <c r="DV61" s="5">
        <v>7719911</v>
      </c>
      <c r="DW61" s="5">
        <v>6674420</v>
      </c>
      <c r="DX61" s="5">
        <v>692370</v>
      </c>
      <c r="DY61" s="5">
        <v>257045</v>
      </c>
      <c r="DZ61" s="5">
        <v>351571</v>
      </c>
      <c r="EA61" s="5">
        <v>7790896</v>
      </c>
      <c r="EB61" s="5">
        <v>6551086</v>
      </c>
      <c r="EC61" s="5">
        <v>708260</v>
      </c>
      <c r="ED61" s="5">
        <v>273076</v>
      </c>
      <c r="EE61" s="5">
        <v>371866</v>
      </c>
      <c r="EF61" s="5">
        <v>7978577</v>
      </c>
      <c r="EG61" s="5">
        <v>6617939</v>
      </c>
      <c r="EH61" s="5">
        <v>742924</v>
      </c>
      <c r="EI61" s="5">
        <v>315639</v>
      </c>
      <c r="EJ61" s="5">
        <v>427955</v>
      </c>
      <c r="EK61" s="5">
        <v>8041629</v>
      </c>
      <c r="EL61" s="5">
        <v>6636695</v>
      </c>
      <c r="EM61" s="5">
        <v>758472</v>
      </c>
      <c r="EN61" s="5">
        <v>332475</v>
      </c>
      <c r="EO61" s="5">
        <v>448088</v>
      </c>
      <c r="EP61" s="258" t="s">
        <v>185</v>
      </c>
      <c r="EQ61" s="259" t="s">
        <v>185</v>
      </c>
      <c r="ER61" s="259" t="s">
        <v>185</v>
      </c>
      <c r="ES61" s="259" t="s">
        <v>185</v>
      </c>
      <c r="ET61" s="259" t="s">
        <v>185</v>
      </c>
      <c r="EU61" s="12">
        <v>1430828</v>
      </c>
      <c r="EV61" s="5">
        <v>1284555</v>
      </c>
      <c r="EW61" s="5">
        <v>126761</v>
      </c>
      <c r="EX61" s="5">
        <v>16297</v>
      </c>
      <c r="EY61" s="5">
        <v>19512</v>
      </c>
      <c r="EZ61" s="12">
        <v>1772535</v>
      </c>
      <c r="FA61" s="5">
        <v>1543822</v>
      </c>
      <c r="FB61" s="5">
        <v>175659</v>
      </c>
      <c r="FC61" s="5">
        <v>34118</v>
      </c>
      <c r="FD61" s="5">
        <v>53054</v>
      </c>
      <c r="FE61" s="12">
        <v>2048500</v>
      </c>
      <c r="FF61" s="5">
        <v>1738316</v>
      </c>
      <c r="FG61" s="5">
        <v>231875</v>
      </c>
      <c r="FH61" s="5">
        <v>71571</v>
      </c>
      <c r="FI61" s="5">
        <v>78309</v>
      </c>
      <c r="FJ61" s="12">
        <v>2078998.0799999998</v>
      </c>
      <c r="FK61" s="5">
        <v>1759597.3080000002</v>
      </c>
      <c r="FL61" s="5">
        <v>238855.31</v>
      </c>
      <c r="FM61" s="5">
        <v>78077.899999999994</v>
      </c>
      <c r="FN61" s="5">
        <v>80545.46199999965</v>
      </c>
      <c r="FO61" s="5">
        <v>2099060</v>
      </c>
      <c r="FP61" s="5">
        <v>1766659</v>
      </c>
      <c r="FQ61" s="5">
        <v>245186</v>
      </c>
      <c r="FR61" s="5">
        <v>84112</v>
      </c>
      <c r="FS61" s="618">
        <v>86444</v>
      </c>
      <c r="FT61" s="618">
        <v>2116594</v>
      </c>
      <c r="FU61" s="618">
        <v>1723271</v>
      </c>
      <c r="FV61" s="618">
        <v>251803</v>
      </c>
      <c r="FW61" s="618">
        <v>87380</v>
      </c>
      <c r="FX61" s="618">
        <v>90947</v>
      </c>
      <c r="FY61" s="618">
        <v>2162752</v>
      </c>
      <c r="FZ61" s="618">
        <v>1736049</v>
      </c>
      <c r="GA61" s="618">
        <v>261610</v>
      </c>
      <c r="GB61" s="618">
        <v>104644</v>
      </c>
      <c r="GC61" s="618">
        <v>103629</v>
      </c>
      <c r="GD61" s="618">
        <v>2161448</v>
      </c>
      <c r="GE61" s="618">
        <v>1720656</v>
      </c>
      <c r="GF61" s="618">
        <v>270256</v>
      </c>
      <c r="GG61" s="618">
        <v>109564</v>
      </c>
      <c r="GH61" s="618">
        <v>106972</v>
      </c>
      <c r="GI61" s="12">
        <v>412931</v>
      </c>
      <c r="GJ61" s="5">
        <v>377828</v>
      </c>
      <c r="GK61" s="5">
        <v>29044</v>
      </c>
      <c r="GL61" s="5">
        <v>3956</v>
      </c>
      <c r="GM61" s="5">
        <v>6059</v>
      </c>
      <c r="GN61" s="12">
        <v>487804</v>
      </c>
      <c r="GO61" s="5">
        <v>434445</v>
      </c>
      <c r="GP61" s="5">
        <v>39642</v>
      </c>
      <c r="GQ61" s="5">
        <v>7753</v>
      </c>
      <c r="GR61" s="5">
        <v>13717</v>
      </c>
      <c r="GS61" s="12">
        <v>629749</v>
      </c>
      <c r="GT61" s="5">
        <v>553319</v>
      </c>
      <c r="GU61" s="5">
        <v>54299</v>
      </c>
      <c r="GV61" s="5">
        <v>16847</v>
      </c>
      <c r="GW61" s="5">
        <v>22131</v>
      </c>
      <c r="GX61" s="12"/>
      <c r="GY61" s="5"/>
      <c r="GZ61" s="5"/>
      <c r="HA61" s="5"/>
      <c r="HB61" s="10"/>
      <c r="HC61" s="5">
        <v>662053</v>
      </c>
      <c r="HD61" s="5">
        <v>581781</v>
      </c>
      <c r="HE61" s="5">
        <v>57205</v>
      </c>
      <c r="HF61" s="5">
        <v>20101</v>
      </c>
      <c r="HG61" s="5">
        <v>22954</v>
      </c>
      <c r="HH61" s="5">
        <v>679921</v>
      </c>
      <c r="HI61" s="5">
        <v>583465</v>
      </c>
      <c r="HJ61" s="5">
        <v>59684</v>
      </c>
      <c r="HK61" s="5">
        <v>19898</v>
      </c>
      <c r="HL61" s="5">
        <v>24915</v>
      </c>
      <c r="HM61" s="5">
        <v>739478</v>
      </c>
      <c r="HN61" s="5">
        <v>618053</v>
      </c>
      <c r="HO61" s="5">
        <v>67930</v>
      </c>
      <c r="HP61" s="5">
        <v>30267</v>
      </c>
      <c r="HQ61" s="5">
        <v>33099</v>
      </c>
      <c r="HR61" s="5">
        <v>730217</v>
      </c>
      <c r="HS61" s="5">
        <v>608789</v>
      </c>
      <c r="HT61" s="5">
        <v>67308</v>
      </c>
      <c r="HU61" s="5">
        <v>31347</v>
      </c>
      <c r="HV61" s="5">
        <v>36507</v>
      </c>
      <c r="HW61" s="569">
        <f t="shared" si="625"/>
        <v>1825677</v>
      </c>
      <c r="HX61" s="546">
        <f t="shared" si="626"/>
        <v>1688290</v>
      </c>
      <c r="HY61" s="546">
        <f t="shared" si="627"/>
        <v>93102</v>
      </c>
      <c r="HZ61" s="546">
        <f t="shared" si="628"/>
        <v>16413</v>
      </c>
      <c r="IA61" s="546">
        <f t="shared" si="629"/>
        <v>44285</v>
      </c>
      <c r="IB61" s="569">
        <f t="shared" si="630"/>
        <v>2335435</v>
      </c>
      <c r="IC61" s="546">
        <f t="shared" si="631"/>
        <v>2109537</v>
      </c>
      <c r="ID61" s="546">
        <f t="shared" si="632"/>
        <v>124804</v>
      </c>
      <c r="IE61" s="546">
        <f t="shared" si="633"/>
        <v>30675</v>
      </c>
      <c r="IF61" s="546">
        <f t="shared" si="634"/>
        <v>101094</v>
      </c>
      <c r="IG61" s="12">
        <v>2486175</v>
      </c>
      <c r="IH61" s="5">
        <v>2202351</v>
      </c>
      <c r="II61" s="5">
        <v>147411</v>
      </c>
      <c r="IJ61" s="5">
        <v>54318</v>
      </c>
      <c r="IK61" s="5">
        <v>136413</v>
      </c>
      <c r="IL61" s="565"/>
      <c r="IM61" s="7"/>
      <c r="IN61" s="7"/>
      <c r="IO61" s="7"/>
      <c r="IP61" s="7"/>
      <c r="IQ61" s="7">
        <v>3043251</v>
      </c>
      <c r="IR61" s="7">
        <v>2678831</v>
      </c>
      <c r="IS61" s="7">
        <v>183418</v>
      </c>
      <c r="IT61" s="7">
        <v>71100</v>
      </c>
      <c r="IU61" s="577">
        <v>180603</v>
      </c>
      <c r="IV61" s="7">
        <v>3123992</v>
      </c>
      <c r="IW61" s="7">
        <v>2684429</v>
      </c>
      <c r="IX61" s="7">
        <v>194951</v>
      </c>
      <c r="IY61" s="7">
        <v>76821</v>
      </c>
      <c r="IZ61" s="7">
        <v>192468</v>
      </c>
      <c r="JA61" s="565">
        <v>3380501</v>
      </c>
      <c r="JB61" s="7">
        <v>2863530</v>
      </c>
      <c r="JC61" s="7">
        <v>217673</v>
      </c>
      <c r="JD61" s="7">
        <v>98691</v>
      </c>
      <c r="JE61" s="7">
        <v>230189</v>
      </c>
      <c r="JF61" s="565">
        <v>3477954</v>
      </c>
      <c r="JG61" s="7">
        <v>2924185</v>
      </c>
      <c r="JH61" s="7">
        <v>240175</v>
      </c>
      <c r="JI61" s="7">
        <v>104572</v>
      </c>
      <c r="JJ61" s="7">
        <v>244347</v>
      </c>
      <c r="JK61" s="12">
        <v>890660</v>
      </c>
      <c r="JL61" s="5">
        <v>830823</v>
      </c>
      <c r="JM61" s="5">
        <v>41541</v>
      </c>
      <c r="JN61" s="5">
        <v>7018</v>
      </c>
      <c r="JO61" s="5">
        <v>18296</v>
      </c>
      <c r="JP61" s="12">
        <v>1153383</v>
      </c>
      <c r="JQ61" s="5">
        <v>1055399</v>
      </c>
      <c r="JR61" s="5">
        <v>54596</v>
      </c>
      <c r="JS61" s="5">
        <v>13106</v>
      </c>
      <c r="JT61" s="5">
        <v>43388</v>
      </c>
      <c r="JU61" s="12">
        <v>1415386</v>
      </c>
      <c r="JV61" s="5">
        <v>1264594</v>
      </c>
      <c r="JW61" s="5">
        <v>75172</v>
      </c>
      <c r="JX61" s="5">
        <v>28889</v>
      </c>
      <c r="JY61" s="5">
        <v>75620</v>
      </c>
      <c r="JZ61" s="12">
        <v>1429311.1800000002</v>
      </c>
      <c r="KA61" s="5">
        <v>1279035.0180000002</v>
      </c>
      <c r="KB61" s="5">
        <v>77422.066000000006</v>
      </c>
      <c r="KC61" s="5">
        <v>29917.699999999997</v>
      </c>
      <c r="KD61" s="5">
        <v>72854.096000000005</v>
      </c>
      <c r="KE61" s="5">
        <v>1492526</v>
      </c>
      <c r="KF61" s="5">
        <v>1297060</v>
      </c>
      <c r="KG61" s="5">
        <v>86243</v>
      </c>
      <c r="KH61" s="5">
        <v>35095</v>
      </c>
      <c r="KI61" s="5">
        <v>85467</v>
      </c>
      <c r="KJ61" s="5">
        <v>1611499</v>
      </c>
      <c r="KK61" s="5">
        <v>1380709</v>
      </c>
      <c r="KL61" s="5">
        <v>95445</v>
      </c>
      <c r="KM61" s="5">
        <v>43293</v>
      </c>
      <c r="KN61" s="5">
        <v>103410</v>
      </c>
      <c r="KO61" s="5">
        <v>1676971</v>
      </c>
      <c r="KP61" s="5">
        <v>1426027</v>
      </c>
      <c r="KQ61" s="5">
        <v>107656</v>
      </c>
      <c r="KR61" s="5">
        <v>47584</v>
      </c>
      <c r="KS61" s="5">
        <v>110960</v>
      </c>
      <c r="KT61" s="258" t="s">
        <v>185</v>
      </c>
      <c r="KU61" s="259" t="s">
        <v>185</v>
      </c>
      <c r="KV61" s="12">
        <v>424865</v>
      </c>
      <c r="KW61" s="332">
        <f t="shared" si="581"/>
        <v>271235</v>
      </c>
      <c r="KX61" s="332">
        <f t="shared" si="582"/>
        <v>153630</v>
      </c>
      <c r="KY61" s="332">
        <f t="shared" si="583"/>
        <v>412222</v>
      </c>
      <c r="KZ61" s="318">
        <v>264594</v>
      </c>
      <c r="LA61" s="318">
        <v>147628</v>
      </c>
      <c r="LB61" s="332">
        <f t="shared" si="584"/>
        <v>12643</v>
      </c>
      <c r="LC61" s="318">
        <v>6641</v>
      </c>
      <c r="LD61" s="318">
        <v>6002</v>
      </c>
      <c r="LE61" s="12">
        <v>580375</v>
      </c>
      <c r="LF61" s="332">
        <f t="shared" si="585"/>
        <v>359527</v>
      </c>
      <c r="LG61" s="332">
        <f t="shared" si="586"/>
        <v>220848</v>
      </c>
      <c r="LH61" s="332">
        <f t="shared" si="587"/>
        <v>562575</v>
      </c>
      <c r="LI61" s="318">
        <v>351046</v>
      </c>
      <c r="LJ61" s="318">
        <v>211529</v>
      </c>
      <c r="LK61" s="332">
        <f t="shared" si="588"/>
        <v>17421</v>
      </c>
      <c r="LL61" s="318">
        <v>8256</v>
      </c>
      <c r="LM61" s="318">
        <v>9165</v>
      </c>
      <c r="LN61" s="332">
        <f t="shared" si="589"/>
        <v>379</v>
      </c>
      <c r="LO61" s="318">
        <v>225</v>
      </c>
      <c r="LP61" s="318">
        <v>154</v>
      </c>
      <c r="LQ61" s="12">
        <v>981416</v>
      </c>
      <c r="LR61" s="332">
        <f t="shared" si="590"/>
        <v>582062</v>
      </c>
      <c r="LS61" s="332">
        <f t="shared" si="591"/>
        <v>399354</v>
      </c>
      <c r="LT61" s="342">
        <f t="shared" si="592"/>
        <v>920052</v>
      </c>
      <c r="LU61" s="318">
        <v>549678</v>
      </c>
      <c r="LV61" s="318">
        <v>370374</v>
      </c>
      <c r="LW61" s="318">
        <v>32384</v>
      </c>
      <c r="LX61" s="318">
        <v>28980</v>
      </c>
      <c r="LY61" s="342">
        <f t="shared" si="593"/>
        <v>36037</v>
      </c>
      <c r="LZ61" s="318">
        <v>17246</v>
      </c>
      <c r="MA61" s="318">
        <v>18791</v>
      </c>
      <c r="MB61" s="342">
        <f t="shared" si="594"/>
        <v>7346</v>
      </c>
      <c r="MC61" s="318">
        <v>4430</v>
      </c>
      <c r="MD61" s="318">
        <v>2916</v>
      </c>
      <c r="ME61" s="333">
        <f t="shared" si="595"/>
        <v>17981</v>
      </c>
      <c r="MF61" s="333">
        <f t="shared" si="596"/>
        <v>10708</v>
      </c>
      <c r="MG61" s="333">
        <f t="shared" si="597"/>
        <v>7273</v>
      </c>
      <c r="MH61" s="334">
        <f t="shared" si="598"/>
        <v>525</v>
      </c>
      <c r="MI61" s="334">
        <f t="shared" si="599"/>
        <v>314</v>
      </c>
      <c r="MJ61" s="334">
        <f t="shared" si="600"/>
        <v>211</v>
      </c>
      <c r="MK61" s="318">
        <v>17456</v>
      </c>
      <c r="ML61" s="318">
        <v>10394</v>
      </c>
      <c r="MM61" s="318">
        <v>7062</v>
      </c>
      <c r="MN61" s="14">
        <f t="shared" si="601"/>
        <v>1412746</v>
      </c>
      <c r="MO61" s="332">
        <f t="shared" si="602"/>
        <v>768715</v>
      </c>
      <c r="MP61" s="332">
        <f t="shared" si="603"/>
        <v>644031</v>
      </c>
      <c r="MQ61" s="13">
        <f t="shared" si="604"/>
        <v>1310462</v>
      </c>
      <c r="MR61" s="136">
        <f t="shared" si="605"/>
        <v>1301673</v>
      </c>
      <c r="MS61" s="318">
        <v>714098</v>
      </c>
      <c r="MT61" s="318">
        <v>587575</v>
      </c>
      <c r="MU61" s="318">
        <v>54617</v>
      </c>
      <c r="MV61" s="318">
        <v>56456</v>
      </c>
      <c r="MW61" s="13">
        <f t="shared" si="606"/>
        <v>64058</v>
      </c>
      <c r="MX61" s="136">
        <f t="shared" si="607"/>
        <v>63540</v>
      </c>
      <c r="MY61" s="318">
        <v>27673</v>
      </c>
      <c r="MZ61" s="318">
        <v>35867</v>
      </c>
      <c r="NA61" s="13">
        <f t="shared" si="608"/>
        <v>12457</v>
      </c>
      <c r="NB61" s="318">
        <v>6716</v>
      </c>
      <c r="NC61" s="318">
        <v>5741</v>
      </c>
      <c r="ND61" s="13">
        <f t="shared" si="609"/>
        <v>38226</v>
      </c>
      <c r="NE61" s="368">
        <f t="shared" si="610"/>
        <v>20228</v>
      </c>
      <c r="NF61" s="335">
        <f t="shared" si="611"/>
        <v>14848</v>
      </c>
      <c r="NG61" s="336">
        <f t="shared" si="612"/>
        <v>470</v>
      </c>
      <c r="NH61" s="336">
        <f t="shared" si="613"/>
        <v>237</v>
      </c>
      <c r="NI61" s="336">
        <f t="shared" si="614"/>
        <v>233</v>
      </c>
      <c r="NJ61" s="337">
        <f t="shared" si="615"/>
        <v>34606</v>
      </c>
      <c r="NK61" s="337">
        <f t="shared" si="616"/>
        <v>19991</v>
      </c>
      <c r="NL61" s="337">
        <f t="shared" si="617"/>
        <v>14615</v>
      </c>
      <c r="NM61" s="318">
        <v>551</v>
      </c>
      <c r="NN61" s="318">
        <v>501</v>
      </c>
      <c r="NO61" s="318">
        <v>19440</v>
      </c>
      <c r="NP61" s="318">
        <v>14114</v>
      </c>
      <c r="NQ61" s="338">
        <v>1847631</v>
      </c>
      <c r="NR61" s="318">
        <v>943074</v>
      </c>
      <c r="NS61" s="318">
        <v>904557</v>
      </c>
      <c r="NT61" s="7">
        <f t="shared" si="618"/>
        <v>1675092</v>
      </c>
      <c r="NU61" s="7">
        <v>860992</v>
      </c>
      <c r="NV61" s="7">
        <v>814100</v>
      </c>
      <c r="NW61" s="125">
        <f t="shared" si="619"/>
        <v>1660683</v>
      </c>
      <c r="NX61" s="318">
        <v>854075</v>
      </c>
      <c r="NY61" s="318">
        <v>806608</v>
      </c>
      <c r="NZ61" s="7">
        <f t="shared" si="620"/>
        <v>85162</v>
      </c>
      <c r="OA61" s="318">
        <v>35846</v>
      </c>
      <c r="OB61" s="318">
        <v>49316</v>
      </c>
      <c r="OC61" s="7">
        <f t="shared" si="621"/>
        <v>22922</v>
      </c>
      <c r="OD61" s="318">
        <v>10949</v>
      </c>
      <c r="OE61" s="318">
        <v>11973</v>
      </c>
      <c r="OF61" s="125">
        <f t="shared" si="622"/>
        <v>87377</v>
      </c>
      <c r="OG61" s="125">
        <f t="shared" si="623"/>
        <v>46236</v>
      </c>
      <c r="OH61" s="125">
        <f t="shared" si="624"/>
        <v>41141</v>
      </c>
      <c r="OI61" s="326">
        <v>2148875</v>
      </c>
      <c r="OJ61" s="318">
        <v>1912691</v>
      </c>
      <c r="OK61" s="318">
        <v>109862</v>
      </c>
      <c r="OL61" s="318">
        <v>126322</v>
      </c>
      <c r="OM61" s="7">
        <v>35970</v>
      </c>
      <c r="ON61" s="338">
        <v>2190012</v>
      </c>
      <c r="OO61" s="5">
        <v>1945098</v>
      </c>
      <c r="OP61" s="5">
        <v>113955</v>
      </c>
      <c r="OQ61" s="5">
        <v>130959</v>
      </c>
      <c r="OR61" s="5">
        <v>38690</v>
      </c>
      <c r="OS61" s="338">
        <v>2251760</v>
      </c>
      <c r="OT61" s="5">
        <v>2005186</v>
      </c>
      <c r="OU61" s="5">
        <v>115961</v>
      </c>
      <c r="OV61" s="5">
        <v>130613</v>
      </c>
      <c r="OW61" s="5">
        <v>42035</v>
      </c>
      <c r="OX61" s="12">
        <v>2295019</v>
      </c>
      <c r="OY61" s="5">
        <v>2027781</v>
      </c>
      <c r="OZ61" s="5">
        <v>120297</v>
      </c>
      <c r="PA61" s="5">
        <v>146941</v>
      </c>
      <c r="PB61" s="5">
        <v>47033</v>
      </c>
      <c r="PC61" s="12">
        <v>2330210.3480000002</v>
      </c>
      <c r="PD61" s="5">
        <v>2062721.2140000002</v>
      </c>
      <c r="PE61" s="5">
        <v>121898.57200000001</v>
      </c>
      <c r="PF61" s="5">
        <v>48525.049999999996</v>
      </c>
      <c r="PG61" s="5">
        <v>145590.56200000006</v>
      </c>
      <c r="PH61" s="5">
        <v>2381198</v>
      </c>
      <c r="PI61" s="5">
        <v>2097050</v>
      </c>
      <c r="PJ61" s="5">
        <v>126213</v>
      </c>
      <c r="PK61" s="5">
        <v>50999</v>
      </c>
      <c r="PL61" s="2">
        <v>157649</v>
      </c>
      <c r="PM61" s="2">
        <v>2444071</v>
      </c>
      <c r="PN61" s="2">
        <v>2100964</v>
      </c>
      <c r="PO61" s="2">
        <v>135267</v>
      </c>
      <c r="PP61" s="2">
        <v>56923</v>
      </c>
      <c r="PQ61" s="2">
        <v>167553</v>
      </c>
      <c r="PR61" s="2">
        <v>2641023</v>
      </c>
      <c r="PS61" s="2">
        <v>2245477</v>
      </c>
      <c r="PT61" s="2">
        <v>149743</v>
      </c>
      <c r="PU61" s="2">
        <v>68424</v>
      </c>
      <c r="PV61" s="2">
        <v>197090</v>
      </c>
      <c r="PW61" s="2">
        <v>2747737</v>
      </c>
      <c r="PX61" s="2">
        <v>2315396</v>
      </c>
      <c r="PY61" s="2">
        <v>172867</v>
      </c>
      <c r="PZ61" s="2">
        <v>73225</v>
      </c>
      <c r="QA61" s="2">
        <v>207840</v>
      </c>
      <c r="QB61" s="12">
        <v>522086</v>
      </c>
      <c r="QC61" s="5">
        <v>479639</v>
      </c>
      <c r="QD61" s="5">
        <v>22517</v>
      </c>
      <c r="QE61" s="5">
        <v>5439</v>
      </c>
      <c r="QF61" s="5">
        <v>19930</v>
      </c>
      <c r="QG61" s="12">
        <v>694248</v>
      </c>
      <c r="QH61" s="5">
        <v>619693</v>
      </c>
      <c r="QI61" s="5">
        <v>30566</v>
      </c>
      <c r="QJ61" s="5">
        <v>9816</v>
      </c>
      <c r="QK61" s="5">
        <v>43989</v>
      </c>
      <c r="QL61" s="12">
        <v>879633</v>
      </c>
      <c r="QM61" s="5">
        <v>763187</v>
      </c>
      <c r="QN61" s="5">
        <v>45125</v>
      </c>
      <c r="QO61" s="5">
        <v>18144</v>
      </c>
      <c r="QP61" s="5">
        <v>71321</v>
      </c>
      <c r="QQ61" s="12">
        <v>900899.16800000006</v>
      </c>
      <c r="QR61" s="5">
        <v>783686.196</v>
      </c>
      <c r="QS61" s="5">
        <v>44476.506000000008</v>
      </c>
      <c r="QT61" s="5">
        <v>18607.349999999999</v>
      </c>
      <c r="QU61" s="10">
        <v>72736.466000000059</v>
      </c>
      <c r="QV61" s="1">
        <v>921968</v>
      </c>
      <c r="QW61" s="2">
        <v>797256</v>
      </c>
      <c r="QX61" s="2">
        <v>46802</v>
      </c>
      <c r="QY61" s="2">
        <v>19311</v>
      </c>
      <c r="QZ61" s="69">
        <v>77851</v>
      </c>
      <c r="RA61" s="2">
        <v>951545</v>
      </c>
      <c r="RB61" s="2">
        <v>803904</v>
      </c>
      <c r="RC61" s="2">
        <v>49024</v>
      </c>
      <c r="RD61" s="2">
        <v>21828</v>
      </c>
      <c r="RE61" s="2">
        <v>82086</v>
      </c>
      <c r="RF61" s="2">
        <v>1029524</v>
      </c>
      <c r="RG61" s="2">
        <v>864768</v>
      </c>
      <c r="RH61" s="2">
        <v>54298</v>
      </c>
      <c r="RI61" s="2">
        <v>25131</v>
      </c>
      <c r="RJ61" s="2">
        <v>93680</v>
      </c>
      <c r="RK61" s="2">
        <v>1070766</v>
      </c>
      <c r="RL61" s="2">
        <v>889369</v>
      </c>
      <c r="RM61" s="2">
        <v>65211</v>
      </c>
      <c r="RN61" s="2">
        <v>25641</v>
      </c>
      <c r="RO61" s="2">
        <v>96880</v>
      </c>
    </row>
    <row r="62" spans="1:483" ht="12.75" customHeight="1" x14ac:dyDescent="0.2">
      <c r="A62" s="218" t="s">
        <v>44</v>
      </c>
      <c r="B62" s="259" t="s">
        <v>185</v>
      </c>
      <c r="C62" s="259" t="s">
        <v>185</v>
      </c>
      <c r="D62" s="259" t="s">
        <v>185</v>
      </c>
      <c r="E62" s="259" t="s">
        <v>185</v>
      </c>
      <c r="F62" s="259" t="s">
        <v>185</v>
      </c>
      <c r="G62" s="12">
        <v>72842</v>
      </c>
      <c r="H62" s="5">
        <v>63998</v>
      </c>
      <c r="I62" s="5">
        <v>2457</v>
      </c>
      <c r="J62" s="5">
        <v>6057</v>
      </c>
      <c r="K62" s="5">
        <v>6387</v>
      </c>
      <c r="L62" s="12">
        <v>56312</v>
      </c>
      <c r="M62" s="5">
        <v>42082</v>
      </c>
      <c r="N62" s="5">
        <v>2265</v>
      </c>
      <c r="O62" s="5">
        <v>10963</v>
      </c>
      <c r="P62" s="5">
        <v>11965</v>
      </c>
      <c r="Q62" s="565">
        <v>49131</v>
      </c>
      <c r="R62" s="7">
        <v>32790</v>
      </c>
      <c r="S62" s="7">
        <v>4599</v>
      </c>
      <c r="T62" s="7">
        <v>15269</v>
      </c>
      <c r="U62" s="7">
        <v>11742</v>
      </c>
      <c r="V62" s="7">
        <v>48116</v>
      </c>
      <c r="W62" s="7">
        <v>29885</v>
      </c>
      <c r="X62" s="7">
        <v>4577</v>
      </c>
      <c r="Y62" s="7">
        <v>17078</v>
      </c>
      <c r="Z62" s="7">
        <v>13654</v>
      </c>
      <c r="AA62" s="7">
        <v>44940</v>
      </c>
      <c r="AB62" s="7">
        <v>21761</v>
      </c>
      <c r="AC62" s="7">
        <v>4294</v>
      </c>
      <c r="AD62" s="7">
        <v>16074</v>
      </c>
      <c r="AE62" s="675">
        <v>13206</v>
      </c>
      <c r="AF62" s="560">
        <v>40319</v>
      </c>
      <c r="AG62" s="560">
        <v>20600</v>
      </c>
      <c r="AH62" s="560">
        <v>3145</v>
      </c>
      <c r="AI62" s="560">
        <v>14521</v>
      </c>
      <c r="AJ62" s="560">
        <v>12130</v>
      </c>
      <c r="AK62" s="560">
        <v>38405</v>
      </c>
      <c r="AL62" s="560">
        <v>19581</v>
      </c>
      <c r="AM62" s="560">
        <v>2705</v>
      </c>
      <c r="AN62" s="560">
        <v>14186</v>
      </c>
      <c r="AO62" s="560">
        <v>9299</v>
      </c>
      <c r="AP62" s="12">
        <v>111502</v>
      </c>
      <c r="AQ62" s="5">
        <v>102243</v>
      </c>
      <c r="AR62" s="5">
        <v>4378</v>
      </c>
      <c r="AS62" s="5">
        <v>5353</v>
      </c>
      <c r="AT62" s="5">
        <v>4881</v>
      </c>
      <c r="AU62" s="12">
        <v>96774</v>
      </c>
      <c r="AV62" s="5">
        <v>80251</v>
      </c>
      <c r="AW62" s="5">
        <v>4810</v>
      </c>
      <c r="AX62" s="5">
        <v>10267</v>
      </c>
      <c r="AY62" s="5">
        <v>11713</v>
      </c>
      <c r="AZ62" s="12">
        <v>63910</v>
      </c>
      <c r="BA62" s="5">
        <v>51239</v>
      </c>
      <c r="BB62" s="5">
        <v>4141</v>
      </c>
      <c r="BC62" s="5">
        <v>11055</v>
      </c>
      <c r="BD62" s="5">
        <v>8530</v>
      </c>
      <c r="BE62" s="5">
        <v>59903</v>
      </c>
      <c r="BF62" s="5">
        <v>47443</v>
      </c>
      <c r="BG62" s="5">
        <v>4345</v>
      </c>
      <c r="BH62" s="5">
        <v>10096</v>
      </c>
      <c r="BI62" s="5">
        <v>8115</v>
      </c>
      <c r="BJ62" s="5">
        <v>57673</v>
      </c>
      <c r="BK62" s="5">
        <v>40452</v>
      </c>
      <c r="BL62" s="5">
        <v>4812</v>
      </c>
      <c r="BM62" s="5">
        <v>10111</v>
      </c>
      <c r="BN62" s="53">
        <v>7998</v>
      </c>
      <c r="BO62" s="53">
        <v>49725</v>
      </c>
      <c r="BP62" s="53">
        <v>34082</v>
      </c>
      <c r="BQ62" s="53">
        <v>3592</v>
      </c>
      <c r="BR62" s="53">
        <v>9452</v>
      </c>
      <c r="BS62" s="53">
        <v>7885</v>
      </c>
      <c r="BT62" s="53">
        <v>45778</v>
      </c>
      <c r="BU62" s="53">
        <v>30941</v>
      </c>
      <c r="BV62" s="53">
        <v>3511</v>
      </c>
      <c r="BW62" s="53">
        <v>9443</v>
      </c>
      <c r="BX62" s="53">
        <v>6886</v>
      </c>
      <c r="BY62" s="12">
        <v>109957</v>
      </c>
      <c r="BZ62" s="5">
        <v>80037</v>
      </c>
      <c r="CA62" s="5">
        <v>8236</v>
      </c>
      <c r="CB62" s="5">
        <v>26614</v>
      </c>
      <c r="CC62" s="290">
        <f t="shared" si="569"/>
        <v>21684</v>
      </c>
      <c r="CD62" s="258" t="s">
        <v>185</v>
      </c>
      <c r="CE62" s="259" t="s">
        <v>185</v>
      </c>
      <c r="CF62" s="259" t="s">
        <v>185</v>
      </c>
      <c r="CG62" s="259" t="s">
        <v>185</v>
      </c>
      <c r="CH62" s="258" t="s">
        <v>185</v>
      </c>
      <c r="CI62" s="259" t="s">
        <v>185</v>
      </c>
      <c r="CJ62" s="259" t="s">
        <v>185</v>
      </c>
      <c r="CK62" s="259" t="s">
        <v>185</v>
      </c>
      <c r="CL62" s="259" t="s">
        <v>185</v>
      </c>
      <c r="CM62" s="12">
        <v>474612</v>
      </c>
      <c r="CN62" s="5">
        <v>449581</v>
      </c>
      <c r="CO62" s="5">
        <v>13207</v>
      </c>
      <c r="CP62" s="5">
        <v>10022</v>
      </c>
      <c r="CQ62" s="5">
        <v>11824</v>
      </c>
      <c r="CR62" s="12">
        <v>541487</v>
      </c>
      <c r="CS62" s="5">
        <v>492690</v>
      </c>
      <c r="CT62" s="5">
        <v>17283</v>
      </c>
      <c r="CU62" s="5">
        <v>21560</v>
      </c>
      <c r="CV62" s="5">
        <v>31514</v>
      </c>
      <c r="CW62" s="195">
        <v>588344</v>
      </c>
      <c r="CX62" s="5">
        <v>519743</v>
      </c>
      <c r="CY62" s="5">
        <v>24154</v>
      </c>
      <c r="CZ62" s="5">
        <v>44447</v>
      </c>
      <c r="DA62" s="5">
        <v>36247</v>
      </c>
      <c r="DB62" s="12">
        <v>588200</v>
      </c>
      <c r="DC62" s="5">
        <v>519666</v>
      </c>
      <c r="DD62" s="5">
        <v>24144</v>
      </c>
      <c r="DE62" s="5">
        <v>44390</v>
      </c>
      <c r="DF62" s="5">
        <v>37041</v>
      </c>
      <c r="DG62" s="12">
        <v>598629</v>
      </c>
      <c r="DH62" s="54">
        <v>528229</v>
      </c>
      <c r="DI62" s="54">
        <v>25067</v>
      </c>
      <c r="DJ62" s="54">
        <v>45333</v>
      </c>
      <c r="DK62" s="54">
        <v>39170</v>
      </c>
      <c r="DL62" s="12">
        <v>595609</v>
      </c>
      <c r="DM62" s="5">
        <v>523015</v>
      </c>
      <c r="DN62" s="5">
        <v>26021</v>
      </c>
      <c r="DO62" s="5">
        <v>38690</v>
      </c>
      <c r="DP62" s="5">
        <v>38448</v>
      </c>
      <c r="DQ62" s="12">
        <v>600151.554</v>
      </c>
      <c r="DR62" s="5">
        <v>525700.24800000002</v>
      </c>
      <c r="DS62" s="5">
        <v>26369.01</v>
      </c>
      <c r="DT62" s="5">
        <v>40659.629999999997</v>
      </c>
      <c r="DU62" s="530">
        <f t="shared" si="570"/>
        <v>48082.295999999988</v>
      </c>
      <c r="DV62" s="5">
        <v>602883</v>
      </c>
      <c r="DW62" s="5">
        <v>528328</v>
      </c>
      <c r="DX62" s="5">
        <v>27924</v>
      </c>
      <c r="DY62" s="5">
        <v>41858</v>
      </c>
      <c r="DZ62" s="5">
        <v>46451</v>
      </c>
      <c r="EA62" s="5">
        <v>611912</v>
      </c>
      <c r="EB62" s="5">
        <v>512428</v>
      </c>
      <c r="EC62" s="5">
        <v>29343</v>
      </c>
      <c r="ED62" s="5">
        <v>45242</v>
      </c>
      <c r="EE62" s="5">
        <v>48417</v>
      </c>
      <c r="EF62" s="5">
        <v>640039</v>
      </c>
      <c r="EG62" s="5">
        <v>518861</v>
      </c>
      <c r="EH62" s="5">
        <v>33416</v>
      </c>
      <c r="EI62" s="5">
        <v>57241</v>
      </c>
      <c r="EJ62" s="5">
        <v>54045</v>
      </c>
      <c r="EK62" s="5">
        <v>649862</v>
      </c>
      <c r="EL62" s="5">
        <v>521988</v>
      </c>
      <c r="EM62" s="5">
        <v>35404</v>
      </c>
      <c r="EN62" s="5">
        <v>61152</v>
      </c>
      <c r="EO62" s="5">
        <v>54419</v>
      </c>
      <c r="EP62" s="258" t="s">
        <v>185</v>
      </c>
      <c r="EQ62" s="259" t="s">
        <v>185</v>
      </c>
      <c r="ER62" s="259" t="s">
        <v>185</v>
      </c>
      <c r="ES62" s="259" t="s">
        <v>185</v>
      </c>
      <c r="ET62" s="259" t="s">
        <v>185</v>
      </c>
      <c r="EU62" s="12">
        <v>140388</v>
      </c>
      <c r="EV62" s="5">
        <v>132358</v>
      </c>
      <c r="EW62" s="5">
        <v>4370</v>
      </c>
      <c r="EX62" s="5">
        <v>3262</v>
      </c>
      <c r="EY62" s="5">
        <v>3660</v>
      </c>
      <c r="EZ62" s="12">
        <v>170756</v>
      </c>
      <c r="FA62" s="5">
        <v>154490</v>
      </c>
      <c r="FB62" s="5">
        <v>6205</v>
      </c>
      <c r="FC62" s="5">
        <v>7387</v>
      </c>
      <c r="FD62" s="5">
        <v>10061</v>
      </c>
      <c r="FE62" s="12">
        <v>184085</v>
      </c>
      <c r="FF62" s="5">
        <v>159927</v>
      </c>
      <c r="FG62" s="5">
        <v>9160</v>
      </c>
      <c r="FH62" s="5">
        <v>14592</v>
      </c>
      <c r="FI62" s="5">
        <v>14998</v>
      </c>
      <c r="FJ62" s="12">
        <v>188700.13400000002</v>
      </c>
      <c r="FK62" s="5">
        <v>162500.19200000001</v>
      </c>
      <c r="FL62" s="5">
        <v>10935.18</v>
      </c>
      <c r="FM62" s="5">
        <v>15591.791999999999</v>
      </c>
      <c r="FN62" s="5">
        <v>15264.76200000001</v>
      </c>
      <c r="FO62" s="5">
        <v>189559</v>
      </c>
      <c r="FP62" s="5">
        <v>163084</v>
      </c>
      <c r="FQ62" s="5">
        <v>12381</v>
      </c>
      <c r="FR62" s="5">
        <v>15107</v>
      </c>
      <c r="FS62" s="618">
        <v>14094</v>
      </c>
      <c r="FT62" s="618">
        <v>192272</v>
      </c>
      <c r="FU62" s="618">
        <v>156933</v>
      </c>
      <c r="FV62" s="618">
        <v>12645</v>
      </c>
      <c r="FW62" s="618">
        <v>16409</v>
      </c>
      <c r="FX62" s="618">
        <v>15380</v>
      </c>
      <c r="FY62" s="618">
        <v>196926</v>
      </c>
      <c r="FZ62" s="618">
        <v>156247</v>
      </c>
      <c r="GA62" s="618">
        <v>12884</v>
      </c>
      <c r="GB62" s="618">
        <v>21735</v>
      </c>
      <c r="GC62" s="618">
        <v>16964</v>
      </c>
      <c r="GD62" s="618">
        <v>195552</v>
      </c>
      <c r="GE62" s="618">
        <v>153015</v>
      </c>
      <c r="GF62" s="618">
        <v>14618</v>
      </c>
      <c r="GG62" s="618">
        <v>19980</v>
      </c>
      <c r="GH62" s="618">
        <v>17271</v>
      </c>
      <c r="GI62" s="12">
        <v>41296</v>
      </c>
      <c r="GJ62" s="5">
        <v>39126</v>
      </c>
      <c r="GK62" s="5">
        <v>1172</v>
      </c>
      <c r="GL62" s="5">
        <v>889</v>
      </c>
      <c r="GM62" s="5">
        <v>998</v>
      </c>
      <c r="GN62" s="12">
        <v>48495</v>
      </c>
      <c r="GO62" s="5">
        <v>44009</v>
      </c>
      <c r="GP62" s="5">
        <v>1688</v>
      </c>
      <c r="GQ62" s="5">
        <v>1739</v>
      </c>
      <c r="GR62" s="5">
        <v>2798</v>
      </c>
      <c r="GS62" s="12">
        <v>55046</v>
      </c>
      <c r="GT62" s="5">
        <v>49055</v>
      </c>
      <c r="GU62" s="5">
        <v>2685</v>
      </c>
      <c r="GV62" s="5">
        <v>3018</v>
      </c>
      <c r="GW62" s="5">
        <v>3306</v>
      </c>
      <c r="GX62" s="12"/>
      <c r="GY62" s="5"/>
      <c r="GZ62" s="5"/>
      <c r="HA62" s="5"/>
      <c r="HB62" s="10"/>
      <c r="HC62" s="5">
        <v>58548</v>
      </c>
      <c r="HD62" s="5">
        <v>51653</v>
      </c>
      <c r="HE62" s="5">
        <v>3445</v>
      </c>
      <c r="HF62" s="5">
        <v>3236</v>
      </c>
      <c r="HG62" s="5">
        <v>3450</v>
      </c>
      <c r="HH62" s="5">
        <v>60792</v>
      </c>
      <c r="HI62" s="5">
        <v>52015</v>
      </c>
      <c r="HJ62" s="5">
        <v>3337</v>
      </c>
      <c r="HK62" s="5">
        <v>3650</v>
      </c>
      <c r="HL62" s="5">
        <v>3765</v>
      </c>
      <c r="HM62" s="5">
        <v>62153</v>
      </c>
      <c r="HN62" s="5">
        <v>50836</v>
      </c>
      <c r="HO62" s="5">
        <v>2857</v>
      </c>
      <c r="HP62" s="5">
        <v>5922</v>
      </c>
      <c r="HQ62" s="5">
        <v>5668</v>
      </c>
      <c r="HR62" s="5">
        <v>60183</v>
      </c>
      <c r="HS62" s="5">
        <v>48444</v>
      </c>
      <c r="HT62" s="5">
        <v>4455</v>
      </c>
      <c r="HU62" s="5">
        <v>4911</v>
      </c>
      <c r="HV62" s="5">
        <v>5138</v>
      </c>
      <c r="HW62" s="569">
        <f t="shared" si="625"/>
        <v>181456</v>
      </c>
      <c r="HX62" s="546">
        <f t="shared" si="626"/>
        <v>173396</v>
      </c>
      <c r="HY62" s="546">
        <f t="shared" si="627"/>
        <v>3709</v>
      </c>
      <c r="HZ62" s="546">
        <f t="shared" si="628"/>
        <v>2804</v>
      </c>
      <c r="IA62" s="546">
        <f t="shared" si="629"/>
        <v>4351</v>
      </c>
      <c r="IB62" s="569">
        <f t="shared" si="630"/>
        <v>226312</v>
      </c>
      <c r="IC62" s="546">
        <f t="shared" si="631"/>
        <v>209074</v>
      </c>
      <c r="ID62" s="546">
        <f t="shared" si="632"/>
        <v>5754</v>
      </c>
      <c r="IE62" s="546">
        <f t="shared" si="633"/>
        <v>5412</v>
      </c>
      <c r="IF62" s="546">
        <f t="shared" si="634"/>
        <v>11484</v>
      </c>
      <c r="IG62" s="12">
        <v>226067</v>
      </c>
      <c r="IH62" s="5">
        <v>203878</v>
      </c>
      <c r="II62" s="5">
        <v>7990</v>
      </c>
      <c r="IJ62" s="5">
        <v>9622</v>
      </c>
      <c r="IK62" s="5">
        <v>14199</v>
      </c>
      <c r="IL62" s="565"/>
      <c r="IM62" s="7"/>
      <c r="IN62" s="7"/>
      <c r="IO62" s="7"/>
      <c r="IP62" s="7"/>
      <c r="IQ62" s="7">
        <v>278974</v>
      </c>
      <c r="IR62" s="7">
        <v>251785</v>
      </c>
      <c r="IS62" s="7">
        <v>9661</v>
      </c>
      <c r="IT62" s="7">
        <v>10973</v>
      </c>
      <c r="IU62" s="577">
        <v>17505</v>
      </c>
      <c r="IV62" s="7">
        <v>287871</v>
      </c>
      <c r="IW62" s="7">
        <v>251414</v>
      </c>
      <c r="IX62" s="7">
        <v>10342</v>
      </c>
      <c r="IY62" s="7">
        <v>12334</v>
      </c>
      <c r="IZ62" s="7">
        <v>18779</v>
      </c>
      <c r="JA62" s="565">
        <v>300971</v>
      </c>
      <c r="JB62" s="7">
        <v>254515</v>
      </c>
      <c r="JC62" s="7">
        <v>10558</v>
      </c>
      <c r="JD62" s="7">
        <v>17155</v>
      </c>
      <c r="JE62" s="7">
        <v>25505</v>
      </c>
      <c r="JF62" s="565">
        <v>310448</v>
      </c>
      <c r="JG62" s="7">
        <v>263416</v>
      </c>
      <c r="JH62" s="7">
        <v>13142</v>
      </c>
      <c r="JI62" s="7">
        <v>16128</v>
      </c>
      <c r="JJ62" s="7">
        <v>24553</v>
      </c>
      <c r="JK62" s="12">
        <v>88634</v>
      </c>
      <c r="JL62" s="5">
        <v>85174</v>
      </c>
      <c r="JM62" s="5">
        <v>1695</v>
      </c>
      <c r="JN62" s="5">
        <v>1194</v>
      </c>
      <c r="JO62" s="5">
        <v>1765</v>
      </c>
      <c r="JP62" s="12">
        <v>110175</v>
      </c>
      <c r="JQ62" s="5">
        <v>102440</v>
      </c>
      <c r="JR62" s="5">
        <v>2705</v>
      </c>
      <c r="JS62" s="5">
        <v>2131</v>
      </c>
      <c r="JT62" s="5">
        <v>5030</v>
      </c>
      <c r="JU62" s="12">
        <v>131268</v>
      </c>
      <c r="JV62" s="5">
        <v>118834</v>
      </c>
      <c r="JW62" s="5">
        <v>4349</v>
      </c>
      <c r="JX62" s="5">
        <v>5596</v>
      </c>
      <c r="JY62" s="5">
        <v>8085</v>
      </c>
      <c r="JZ62" s="12">
        <v>131948.21400000001</v>
      </c>
      <c r="KA62" s="5">
        <v>119449.76799999998</v>
      </c>
      <c r="KB62" s="5">
        <v>4117.9949999999999</v>
      </c>
      <c r="KC62" s="5">
        <v>5443.6860000000006</v>
      </c>
      <c r="KD62" s="5">
        <v>8380.4510000000264</v>
      </c>
      <c r="KE62" s="5">
        <v>137086</v>
      </c>
      <c r="KF62" s="5">
        <v>119910</v>
      </c>
      <c r="KG62" s="5">
        <v>4454</v>
      </c>
      <c r="KH62" s="5">
        <v>6090</v>
      </c>
      <c r="KI62" s="5">
        <v>9165</v>
      </c>
      <c r="KJ62" s="5">
        <v>141131</v>
      </c>
      <c r="KK62" s="5">
        <v>119324</v>
      </c>
      <c r="KL62" s="5">
        <v>5735</v>
      </c>
      <c r="KM62" s="5">
        <v>7737</v>
      </c>
      <c r="KN62" s="5">
        <v>11129</v>
      </c>
      <c r="KO62" s="5">
        <v>151195</v>
      </c>
      <c r="KP62" s="5">
        <v>129298</v>
      </c>
      <c r="KQ62" s="5">
        <v>5193</v>
      </c>
      <c r="KR62" s="5">
        <v>8399</v>
      </c>
      <c r="KS62" s="5">
        <v>11399</v>
      </c>
      <c r="KT62" s="258" t="s">
        <v>185</v>
      </c>
      <c r="KU62" s="259" t="s">
        <v>185</v>
      </c>
      <c r="KV62" s="12">
        <v>32783</v>
      </c>
      <c r="KW62" s="332">
        <f t="shared" si="581"/>
        <v>20204</v>
      </c>
      <c r="KX62" s="332">
        <f t="shared" si="582"/>
        <v>12579</v>
      </c>
      <c r="KY62" s="332">
        <f t="shared" si="583"/>
        <v>32420</v>
      </c>
      <c r="KZ62" s="318">
        <v>19966</v>
      </c>
      <c r="LA62" s="318">
        <v>12454</v>
      </c>
      <c r="LB62" s="332">
        <f t="shared" si="584"/>
        <v>363</v>
      </c>
      <c r="LC62" s="318">
        <v>238</v>
      </c>
      <c r="LD62" s="318">
        <v>125</v>
      </c>
      <c r="LE62" s="12">
        <v>49003</v>
      </c>
      <c r="LF62" s="332">
        <f t="shared" si="585"/>
        <v>30109</v>
      </c>
      <c r="LG62" s="332">
        <f t="shared" si="586"/>
        <v>18894</v>
      </c>
      <c r="LH62" s="332">
        <f t="shared" si="587"/>
        <v>48237</v>
      </c>
      <c r="LI62" s="318">
        <v>29641</v>
      </c>
      <c r="LJ62" s="318">
        <v>18596</v>
      </c>
      <c r="LK62" s="332">
        <f t="shared" si="588"/>
        <v>389</v>
      </c>
      <c r="LL62" s="318">
        <v>215</v>
      </c>
      <c r="LM62" s="318">
        <v>174</v>
      </c>
      <c r="LN62" s="332">
        <f t="shared" si="589"/>
        <v>377</v>
      </c>
      <c r="LO62" s="318">
        <v>253</v>
      </c>
      <c r="LP62" s="318">
        <v>124</v>
      </c>
      <c r="LQ62" s="12">
        <v>88768</v>
      </c>
      <c r="LR62" s="332">
        <f t="shared" si="590"/>
        <v>52274</v>
      </c>
      <c r="LS62" s="332">
        <f t="shared" si="591"/>
        <v>36494</v>
      </c>
      <c r="LT62" s="342">
        <f t="shared" si="592"/>
        <v>85876</v>
      </c>
      <c r="LU62" s="318">
        <v>50479</v>
      </c>
      <c r="LV62" s="318">
        <v>35397</v>
      </c>
      <c r="LW62" s="318">
        <v>1795</v>
      </c>
      <c r="LX62" s="318">
        <v>1097</v>
      </c>
      <c r="LY62" s="342">
        <f t="shared" si="593"/>
        <v>1044</v>
      </c>
      <c r="LZ62" s="318">
        <v>580</v>
      </c>
      <c r="MA62" s="318">
        <v>464</v>
      </c>
      <c r="MB62" s="342">
        <f t="shared" si="594"/>
        <v>667</v>
      </c>
      <c r="MC62" s="318">
        <v>471</v>
      </c>
      <c r="MD62" s="318">
        <v>196</v>
      </c>
      <c r="ME62" s="333">
        <f t="shared" si="595"/>
        <v>1181</v>
      </c>
      <c r="MF62" s="333">
        <f t="shared" si="596"/>
        <v>744</v>
      </c>
      <c r="MG62" s="333">
        <f t="shared" si="597"/>
        <v>437</v>
      </c>
      <c r="MH62" s="334">
        <f t="shared" si="598"/>
        <v>95</v>
      </c>
      <c r="MI62" s="334">
        <f t="shared" si="599"/>
        <v>37</v>
      </c>
      <c r="MJ62" s="334">
        <f t="shared" si="600"/>
        <v>58</v>
      </c>
      <c r="MK62" s="318">
        <v>1086</v>
      </c>
      <c r="ML62" s="318">
        <v>707</v>
      </c>
      <c r="MM62" s="318">
        <v>379</v>
      </c>
      <c r="MN62" s="14">
        <f t="shared" si="601"/>
        <v>140160</v>
      </c>
      <c r="MO62" s="332">
        <f t="shared" si="602"/>
        <v>76182</v>
      </c>
      <c r="MP62" s="332">
        <f t="shared" si="603"/>
        <v>63978</v>
      </c>
      <c r="MQ62" s="13">
        <f t="shared" si="604"/>
        <v>134270</v>
      </c>
      <c r="MR62" s="136">
        <f t="shared" si="605"/>
        <v>132893</v>
      </c>
      <c r="MS62" s="318">
        <v>72117</v>
      </c>
      <c r="MT62" s="318">
        <v>60776</v>
      </c>
      <c r="MU62" s="318">
        <v>4065</v>
      </c>
      <c r="MV62" s="318">
        <v>3202</v>
      </c>
      <c r="MW62" s="13">
        <f t="shared" si="606"/>
        <v>2537</v>
      </c>
      <c r="MX62" s="136">
        <f t="shared" si="607"/>
        <v>2442</v>
      </c>
      <c r="MY62" s="318">
        <v>1439</v>
      </c>
      <c r="MZ62" s="318">
        <v>1003</v>
      </c>
      <c r="NA62" s="13">
        <f t="shared" si="608"/>
        <v>1915</v>
      </c>
      <c r="NB62" s="318">
        <v>1006</v>
      </c>
      <c r="NC62" s="318">
        <v>909</v>
      </c>
      <c r="ND62" s="13">
        <f t="shared" si="609"/>
        <v>3353</v>
      </c>
      <c r="NE62" s="368">
        <f t="shared" si="610"/>
        <v>1620</v>
      </c>
      <c r="NF62" s="335">
        <f t="shared" si="611"/>
        <v>1290</v>
      </c>
      <c r="NG62" s="336">
        <f t="shared" si="612"/>
        <v>98</v>
      </c>
      <c r="NH62" s="336">
        <f t="shared" si="613"/>
        <v>63</v>
      </c>
      <c r="NI62" s="336">
        <f t="shared" si="614"/>
        <v>35</v>
      </c>
      <c r="NJ62" s="337">
        <f t="shared" si="615"/>
        <v>2812</v>
      </c>
      <c r="NK62" s="337">
        <f t="shared" si="616"/>
        <v>1557</v>
      </c>
      <c r="NL62" s="337">
        <f t="shared" si="617"/>
        <v>1255</v>
      </c>
      <c r="NM62" s="318">
        <v>96</v>
      </c>
      <c r="NN62" s="318">
        <v>88</v>
      </c>
      <c r="NO62" s="318">
        <v>1461</v>
      </c>
      <c r="NP62" s="318">
        <v>1167</v>
      </c>
      <c r="NQ62" s="338">
        <v>177817</v>
      </c>
      <c r="NR62" s="318">
        <v>89775</v>
      </c>
      <c r="NS62" s="318">
        <v>88042</v>
      </c>
      <c r="NT62" s="7">
        <f t="shared" si="618"/>
        <v>165065</v>
      </c>
      <c r="NU62" s="7">
        <v>83061</v>
      </c>
      <c r="NV62" s="7">
        <v>82004</v>
      </c>
      <c r="NW62" s="125">
        <f t="shared" si="619"/>
        <v>163274</v>
      </c>
      <c r="NX62" s="318">
        <v>82270</v>
      </c>
      <c r="NY62" s="318">
        <v>81004</v>
      </c>
      <c r="NZ62" s="7">
        <f t="shared" si="620"/>
        <v>4066</v>
      </c>
      <c r="OA62" s="318">
        <v>2305</v>
      </c>
      <c r="OB62" s="318">
        <v>1761</v>
      </c>
      <c r="OC62" s="7">
        <f t="shared" si="621"/>
        <v>3673</v>
      </c>
      <c r="OD62" s="318">
        <v>1734</v>
      </c>
      <c r="OE62" s="318">
        <v>1939</v>
      </c>
      <c r="OF62" s="125">
        <f t="shared" si="622"/>
        <v>8686</v>
      </c>
      <c r="OG62" s="125">
        <f t="shared" si="623"/>
        <v>4409</v>
      </c>
      <c r="OH62" s="125">
        <f t="shared" si="624"/>
        <v>4277</v>
      </c>
      <c r="OI62" s="326">
        <v>209264</v>
      </c>
      <c r="OJ62" s="318">
        <v>189244</v>
      </c>
      <c r="OK62" s="318">
        <v>6007</v>
      </c>
      <c r="OL62" s="318">
        <v>14013</v>
      </c>
      <c r="OM62" s="7">
        <v>8320</v>
      </c>
      <c r="ON62" s="338">
        <v>211070</v>
      </c>
      <c r="OO62" s="5">
        <v>192076</v>
      </c>
      <c r="OP62" s="5">
        <v>6063</v>
      </c>
      <c r="OQ62" s="5">
        <v>12931</v>
      </c>
      <c r="OR62" s="5">
        <v>7922</v>
      </c>
      <c r="OS62" s="338">
        <v>214728</v>
      </c>
      <c r="OT62" s="5">
        <v>194895</v>
      </c>
      <c r="OU62" s="5">
        <v>6408</v>
      </c>
      <c r="OV62" s="5">
        <v>13425</v>
      </c>
      <c r="OW62" s="5">
        <v>7904</v>
      </c>
      <c r="OX62" s="12">
        <v>215204</v>
      </c>
      <c r="OY62" s="5">
        <v>195026</v>
      </c>
      <c r="OZ62" s="5">
        <v>6413</v>
      </c>
      <c r="PA62" s="5">
        <v>13765</v>
      </c>
      <c r="PB62" s="5">
        <v>7546</v>
      </c>
      <c r="PC62" s="12">
        <v>218494.89199999999</v>
      </c>
      <c r="PD62" s="5">
        <v>198274.48799999998</v>
      </c>
      <c r="PE62" s="5">
        <v>6228.9</v>
      </c>
      <c r="PF62" s="5">
        <v>7527.0720000000001</v>
      </c>
      <c r="PG62" s="5">
        <v>13991.50400000001</v>
      </c>
      <c r="PH62" s="5">
        <v>220426</v>
      </c>
      <c r="PI62" s="5">
        <v>200132</v>
      </c>
      <c r="PJ62" s="5">
        <v>6216</v>
      </c>
      <c r="PK62" s="5">
        <v>7737</v>
      </c>
      <c r="PL62" s="2">
        <v>14055</v>
      </c>
      <c r="PM62" s="2">
        <v>227079</v>
      </c>
      <c r="PN62" s="2">
        <v>199399</v>
      </c>
      <c r="PO62" s="2">
        <v>7005</v>
      </c>
      <c r="PP62" s="2">
        <v>8684</v>
      </c>
      <c r="PQ62" s="2">
        <v>15014</v>
      </c>
      <c r="PR62" s="2">
        <v>238818</v>
      </c>
      <c r="PS62" s="2">
        <v>203679</v>
      </c>
      <c r="PT62" s="2">
        <v>7701</v>
      </c>
      <c r="PU62" s="2">
        <v>11233</v>
      </c>
      <c r="PV62" s="2">
        <v>19837</v>
      </c>
      <c r="PW62" s="2">
        <v>250265</v>
      </c>
      <c r="PX62" s="2">
        <v>214972</v>
      </c>
      <c r="PY62" s="2">
        <v>8687</v>
      </c>
      <c r="PZ62" s="2">
        <v>11217</v>
      </c>
      <c r="QA62" s="2">
        <v>19415</v>
      </c>
      <c r="QB62" s="12">
        <v>51526</v>
      </c>
      <c r="QC62" s="5">
        <v>49096</v>
      </c>
      <c r="QD62" s="5">
        <v>842</v>
      </c>
      <c r="QE62" s="5">
        <v>721</v>
      </c>
      <c r="QF62" s="5">
        <v>1588</v>
      </c>
      <c r="QG62" s="12">
        <v>67642</v>
      </c>
      <c r="QH62" s="5">
        <v>62625</v>
      </c>
      <c r="QI62" s="5">
        <v>1361</v>
      </c>
      <c r="QJ62" s="5">
        <v>1542</v>
      </c>
      <c r="QK62" s="5">
        <v>3656</v>
      </c>
      <c r="QL62" s="12">
        <v>83936</v>
      </c>
      <c r="QM62" s="5">
        <v>76192</v>
      </c>
      <c r="QN62" s="5">
        <v>2064</v>
      </c>
      <c r="QO62" s="5">
        <v>1950</v>
      </c>
      <c r="QP62" s="5">
        <v>5680</v>
      </c>
      <c r="QQ62" s="12">
        <v>86546.678</v>
      </c>
      <c r="QR62" s="5">
        <v>78824.72</v>
      </c>
      <c r="QS62" s="5">
        <v>2110.9049999999997</v>
      </c>
      <c r="QT62" s="5">
        <v>2083.386</v>
      </c>
      <c r="QU62" s="10">
        <v>5611.052999999999</v>
      </c>
      <c r="QV62" s="1">
        <v>88450</v>
      </c>
      <c r="QW62" s="2">
        <v>80217</v>
      </c>
      <c r="QX62" s="2">
        <v>2052</v>
      </c>
      <c r="QY62" s="2">
        <v>2228</v>
      </c>
      <c r="QZ62" s="69">
        <v>6158</v>
      </c>
      <c r="RA62" s="2">
        <v>89993</v>
      </c>
      <c r="RB62" s="2">
        <v>79489</v>
      </c>
      <c r="RC62" s="2">
        <v>2551</v>
      </c>
      <c r="RD62" s="2">
        <v>2594</v>
      </c>
      <c r="RE62" s="2">
        <v>5849</v>
      </c>
      <c r="RF62" s="2">
        <v>97687</v>
      </c>
      <c r="RG62" s="2">
        <v>84355</v>
      </c>
      <c r="RH62" s="2">
        <v>1966</v>
      </c>
      <c r="RI62" s="2">
        <v>3496</v>
      </c>
      <c r="RJ62" s="2">
        <v>8708</v>
      </c>
      <c r="RK62" s="2">
        <v>99070</v>
      </c>
      <c r="RL62" s="2">
        <v>85674</v>
      </c>
      <c r="RM62" s="2">
        <v>3494</v>
      </c>
      <c r="RN62" s="2">
        <v>2818</v>
      </c>
      <c r="RO62" s="2">
        <v>8016</v>
      </c>
    </row>
    <row r="63" spans="1:483" ht="12.75" customHeight="1" x14ac:dyDescent="0.2">
      <c r="A63" s="218" t="s">
        <v>47</v>
      </c>
      <c r="B63" s="259" t="s">
        <v>185</v>
      </c>
      <c r="C63" s="259" t="s">
        <v>185</v>
      </c>
      <c r="D63" s="259" t="s">
        <v>185</v>
      </c>
      <c r="E63" s="259" t="s">
        <v>185</v>
      </c>
      <c r="F63" s="259" t="s">
        <v>185</v>
      </c>
      <c r="G63" s="12">
        <v>30945</v>
      </c>
      <c r="H63" s="5">
        <v>30631</v>
      </c>
      <c r="I63" s="5">
        <v>36</v>
      </c>
      <c r="J63" s="5">
        <v>131</v>
      </c>
      <c r="K63" s="5">
        <v>278</v>
      </c>
      <c r="L63" s="12">
        <v>20769</v>
      </c>
      <c r="M63" s="5">
        <v>19878</v>
      </c>
      <c r="N63" s="5">
        <v>66</v>
      </c>
      <c r="O63" s="5">
        <v>144</v>
      </c>
      <c r="P63" s="5">
        <v>825</v>
      </c>
      <c r="Q63" s="565">
        <v>13447</v>
      </c>
      <c r="R63" s="7">
        <v>12330</v>
      </c>
      <c r="S63" s="7">
        <v>126</v>
      </c>
      <c r="T63" s="7">
        <v>269</v>
      </c>
      <c r="U63" s="7">
        <v>991</v>
      </c>
      <c r="V63" s="7">
        <v>12444</v>
      </c>
      <c r="W63" s="7">
        <v>11101</v>
      </c>
      <c r="X63" s="7">
        <v>157</v>
      </c>
      <c r="Y63" s="7">
        <v>242</v>
      </c>
      <c r="Z63" s="7">
        <v>1186</v>
      </c>
      <c r="AA63" s="7">
        <v>12828</v>
      </c>
      <c r="AB63" s="7">
        <v>11059</v>
      </c>
      <c r="AC63" s="7">
        <v>320</v>
      </c>
      <c r="AD63" s="7">
        <v>325</v>
      </c>
      <c r="AE63" s="457">
        <v>4725</v>
      </c>
      <c r="AF63" s="560">
        <v>12303</v>
      </c>
      <c r="AG63" s="560">
        <v>10743</v>
      </c>
      <c r="AH63" s="560">
        <v>149</v>
      </c>
      <c r="AI63" s="560">
        <v>143</v>
      </c>
      <c r="AJ63" s="560">
        <v>1055</v>
      </c>
      <c r="AK63" s="560">
        <v>11087</v>
      </c>
      <c r="AL63" s="560">
        <v>9802</v>
      </c>
      <c r="AM63" s="560">
        <v>0</v>
      </c>
      <c r="AN63" s="560">
        <v>266</v>
      </c>
      <c r="AO63" s="560">
        <v>958</v>
      </c>
      <c r="AP63" s="12">
        <v>37692</v>
      </c>
      <c r="AQ63" s="5">
        <v>37261</v>
      </c>
      <c r="AR63" s="5">
        <v>96</v>
      </c>
      <c r="AS63" s="5">
        <v>157</v>
      </c>
      <c r="AT63" s="5">
        <v>335</v>
      </c>
      <c r="AU63" s="12">
        <v>34127</v>
      </c>
      <c r="AV63" s="5">
        <v>33005</v>
      </c>
      <c r="AW63" s="5">
        <v>136</v>
      </c>
      <c r="AX63" s="5">
        <v>226</v>
      </c>
      <c r="AY63" s="5">
        <v>986</v>
      </c>
      <c r="AZ63" s="12">
        <v>25441</v>
      </c>
      <c r="BA63" s="5">
        <v>24365</v>
      </c>
      <c r="BB63" s="5">
        <v>257</v>
      </c>
      <c r="BC63" s="5">
        <v>123</v>
      </c>
      <c r="BD63" s="5">
        <v>819</v>
      </c>
      <c r="BE63" s="5">
        <v>24539</v>
      </c>
      <c r="BF63" s="5">
        <v>23415</v>
      </c>
      <c r="BG63" s="5">
        <v>240</v>
      </c>
      <c r="BH63" s="5">
        <v>206</v>
      </c>
      <c r="BI63" s="5">
        <v>884</v>
      </c>
      <c r="BJ63" s="5">
        <v>23584</v>
      </c>
      <c r="BK63" s="5">
        <v>22240</v>
      </c>
      <c r="BL63" s="5">
        <v>234</v>
      </c>
      <c r="BM63" s="5">
        <v>293</v>
      </c>
      <c r="BN63" s="53">
        <v>2949</v>
      </c>
      <c r="BO63" s="53">
        <v>24166</v>
      </c>
      <c r="BP63" s="53">
        <v>20880</v>
      </c>
      <c r="BQ63" s="53">
        <v>235</v>
      </c>
      <c r="BR63" s="53">
        <v>590</v>
      </c>
      <c r="BS63" s="53">
        <v>2315</v>
      </c>
      <c r="BT63" s="53">
        <v>23483</v>
      </c>
      <c r="BU63" s="53">
        <v>21845</v>
      </c>
      <c r="BV63" s="53">
        <v>0</v>
      </c>
      <c r="BW63" s="53">
        <v>521</v>
      </c>
      <c r="BX63" s="53">
        <v>513</v>
      </c>
      <c r="BY63" s="12">
        <v>37571</v>
      </c>
      <c r="BZ63" s="5">
        <v>35030</v>
      </c>
      <c r="CA63" s="5"/>
      <c r="CB63" s="5"/>
      <c r="CC63" s="290">
        <f t="shared" si="569"/>
        <v>2541</v>
      </c>
      <c r="CD63" s="258" t="s">
        <v>185</v>
      </c>
      <c r="CE63" s="259" t="s">
        <v>185</v>
      </c>
      <c r="CF63" s="259" t="s">
        <v>185</v>
      </c>
      <c r="CG63" s="259" t="s">
        <v>185</v>
      </c>
      <c r="CH63" s="258" t="s">
        <v>185</v>
      </c>
      <c r="CI63" s="259" t="s">
        <v>185</v>
      </c>
      <c r="CJ63" s="259" t="s">
        <v>185</v>
      </c>
      <c r="CK63" s="259" t="s">
        <v>185</v>
      </c>
      <c r="CL63" s="259" t="s">
        <v>185</v>
      </c>
      <c r="CM63" s="12">
        <v>288608</v>
      </c>
      <c r="CN63" s="5">
        <v>285579</v>
      </c>
      <c r="CO63" s="5">
        <v>805</v>
      </c>
      <c r="CP63" s="5">
        <v>1598</v>
      </c>
      <c r="CQ63" s="5">
        <v>2224</v>
      </c>
      <c r="CR63" s="12">
        <v>349327</v>
      </c>
      <c r="CS63" s="5">
        <v>341304</v>
      </c>
      <c r="CT63" s="5">
        <v>1073</v>
      </c>
      <c r="CU63" s="5">
        <v>2202</v>
      </c>
      <c r="CV63" s="5">
        <v>6950</v>
      </c>
      <c r="CW63" s="195">
        <v>380913</v>
      </c>
      <c r="CX63" s="5">
        <v>370761</v>
      </c>
      <c r="CY63" s="5">
        <v>1557</v>
      </c>
      <c r="CZ63" s="5">
        <v>8595</v>
      </c>
      <c r="DA63" s="5">
        <v>3912</v>
      </c>
      <c r="DB63" s="12">
        <v>386361</v>
      </c>
      <c r="DC63" s="5">
        <v>375587</v>
      </c>
      <c r="DD63" s="5">
        <v>2058</v>
      </c>
      <c r="DE63" s="5">
        <v>8716</v>
      </c>
      <c r="DF63" s="5">
        <v>4117</v>
      </c>
      <c r="DG63" s="12">
        <v>383747</v>
      </c>
      <c r="DH63" s="54">
        <v>372931</v>
      </c>
      <c r="DI63" s="54">
        <v>2060</v>
      </c>
      <c r="DJ63" s="54">
        <v>8756</v>
      </c>
      <c r="DK63" s="54">
        <v>4432</v>
      </c>
      <c r="DL63" s="12">
        <v>390122</v>
      </c>
      <c r="DM63" s="5">
        <v>378158</v>
      </c>
      <c r="DN63" s="5">
        <v>2431</v>
      </c>
      <c r="DO63" s="5">
        <v>4447</v>
      </c>
      <c r="DP63" s="5">
        <v>4358</v>
      </c>
      <c r="DQ63" s="12">
        <v>394279.05000000005</v>
      </c>
      <c r="DR63" s="5">
        <v>381993.984</v>
      </c>
      <c r="DS63" s="5"/>
      <c r="DT63" s="5"/>
      <c r="DU63" s="530">
        <f t="shared" si="570"/>
        <v>12285.06600000005</v>
      </c>
      <c r="DV63" s="5">
        <v>396852</v>
      </c>
      <c r="DW63" s="5">
        <v>384220</v>
      </c>
      <c r="DX63" s="5">
        <v>2502</v>
      </c>
      <c r="DY63" s="5">
        <v>4222</v>
      </c>
      <c r="DZ63" s="5">
        <v>10016</v>
      </c>
      <c r="EA63" s="5">
        <v>398732</v>
      </c>
      <c r="EB63" s="5">
        <v>382237</v>
      </c>
      <c r="EC63" s="5">
        <v>2658</v>
      </c>
      <c r="ED63" s="5">
        <v>4622</v>
      </c>
      <c r="EE63" s="5">
        <v>19148</v>
      </c>
      <c r="EF63" s="5">
        <v>402185</v>
      </c>
      <c r="EG63" s="5">
        <v>384401</v>
      </c>
      <c r="EH63" s="5">
        <v>3622</v>
      </c>
      <c r="EI63" s="5">
        <v>4809</v>
      </c>
      <c r="EJ63" s="5">
        <v>3771</v>
      </c>
      <c r="EK63" s="5">
        <v>404993</v>
      </c>
      <c r="EL63" s="5">
        <v>383557</v>
      </c>
      <c r="EM63" s="5">
        <v>0</v>
      </c>
      <c r="EN63" s="5">
        <v>5482</v>
      </c>
      <c r="EO63" s="5">
        <v>5141</v>
      </c>
      <c r="EP63" s="258" t="s">
        <v>185</v>
      </c>
      <c r="EQ63" s="259" t="s">
        <v>185</v>
      </c>
      <c r="ER63" s="259" t="s">
        <v>185</v>
      </c>
      <c r="ES63" s="259" t="s">
        <v>185</v>
      </c>
      <c r="ET63" s="259" t="s">
        <v>185</v>
      </c>
      <c r="EU63" s="12">
        <v>78324</v>
      </c>
      <c r="EV63" s="5">
        <v>77486</v>
      </c>
      <c r="EW63" s="5">
        <v>286</v>
      </c>
      <c r="EX63" s="5">
        <v>441</v>
      </c>
      <c r="EY63" s="5">
        <v>552</v>
      </c>
      <c r="EZ63" s="12">
        <v>99498</v>
      </c>
      <c r="FA63" s="5">
        <v>96988</v>
      </c>
      <c r="FB63" s="5">
        <v>389</v>
      </c>
      <c r="FC63" s="5">
        <v>678</v>
      </c>
      <c r="FD63" s="5">
        <v>2121</v>
      </c>
      <c r="FE63" s="12">
        <v>110335</v>
      </c>
      <c r="FF63" s="5">
        <v>106267</v>
      </c>
      <c r="FG63" s="5">
        <v>913</v>
      </c>
      <c r="FH63" s="5">
        <v>1375</v>
      </c>
      <c r="FI63" s="5">
        <v>3155</v>
      </c>
      <c r="FJ63" s="12">
        <v>112712.85</v>
      </c>
      <c r="FK63" s="5">
        <v>108843.26400000001</v>
      </c>
      <c r="FL63" s="5"/>
      <c r="FM63" s="5"/>
      <c r="FN63" s="5">
        <v>3869.5859999999957</v>
      </c>
      <c r="FO63" s="5">
        <v>112405</v>
      </c>
      <c r="FP63" s="5">
        <v>108486</v>
      </c>
      <c r="FQ63" s="5">
        <v>849</v>
      </c>
      <c r="FR63" s="5">
        <v>1287</v>
      </c>
      <c r="FS63" s="619">
        <v>3036</v>
      </c>
      <c r="FT63" s="670">
        <v>111496</v>
      </c>
      <c r="FU63" s="669">
        <v>106346</v>
      </c>
      <c r="FV63" s="669">
        <v>918</v>
      </c>
      <c r="FW63" s="669">
        <v>1537</v>
      </c>
      <c r="FX63" s="2">
        <v>5243</v>
      </c>
      <c r="FY63" s="2">
        <v>112986</v>
      </c>
      <c r="FZ63" s="2">
        <v>106980</v>
      </c>
      <c r="GA63" s="2">
        <v>1535</v>
      </c>
      <c r="GB63" s="2">
        <v>1543</v>
      </c>
      <c r="GC63" s="2">
        <v>2419</v>
      </c>
      <c r="GD63" s="2">
        <v>116371</v>
      </c>
      <c r="GE63" s="2">
        <v>108962</v>
      </c>
      <c r="GF63" s="2">
        <v>0</v>
      </c>
      <c r="GG63" s="2">
        <v>1930</v>
      </c>
      <c r="GH63" s="2">
        <v>3095</v>
      </c>
      <c r="GI63" s="12">
        <v>25730</v>
      </c>
      <c r="GJ63" s="5">
        <v>25532</v>
      </c>
      <c r="GK63" s="5">
        <v>76</v>
      </c>
      <c r="GL63" s="5">
        <v>151</v>
      </c>
      <c r="GM63" s="5">
        <v>122</v>
      </c>
      <c r="GN63" s="12">
        <v>31058</v>
      </c>
      <c r="GO63" s="5">
        <v>30411</v>
      </c>
      <c r="GP63" s="5">
        <v>115</v>
      </c>
      <c r="GQ63" s="5">
        <v>196</v>
      </c>
      <c r="GR63" s="5">
        <v>532</v>
      </c>
      <c r="GS63" s="12">
        <v>36017</v>
      </c>
      <c r="GT63" s="5">
        <v>35076</v>
      </c>
      <c r="GU63" s="5">
        <v>108</v>
      </c>
      <c r="GV63" s="5">
        <v>365</v>
      </c>
      <c r="GW63" s="5">
        <v>833</v>
      </c>
      <c r="GX63" s="12"/>
      <c r="GY63" s="5"/>
      <c r="GZ63" s="5"/>
      <c r="HA63" s="5"/>
      <c r="HB63" s="10"/>
      <c r="HC63" s="5">
        <v>37574</v>
      </c>
      <c r="HD63" s="5">
        <v>36401</v>
      </c>
      <c r="HE63" s="5">
        <v>201</v>
      </c>
      <c r="HF63" s="5">
        <v>359</v>
      </c>
      <c r="HG63" s="5">
        <v>972</v>
      </c>
      <c r="HH63" s="5">
        <v>37455</v>
      </c>
      <c r="HI63" s="5">
        <v>35741</v>
      </c>
      <c r="HJ63" s="5">
        <v>343</v>
      </c>
      <c r="HK63" s="5">
        <v>526</v>
      </c>
      <c r="HL63" s="5">
        <v>1416</v>
      </c>
      <c r="HM63" s="5">
        <v>37916</v>
      </c>
      <c r="HN63" s="5">
        <v>36130</v>
      </c>
      <c r="HO63" s="5">
        <v>350</v>
      </c>
      <c r="HP63" s="5">
        <v>363</v>
      </c>
      <c r="HQ63" s="5">
        <v>1028</v>
      </c>
      <c r="HR63" s="5">
        <v>40499</v>
      </c>
      <c r="HS63" s="5">
        <v>38607</v>
      </c>
      <c r="HT63" s="5">
        <v>0</v>
      </c>
      <c r="HU63" s="5">
        <v>412</v>
      </c>
      <c r="HV63" s="5">
        <v>947</v>
      </c>
      <c r="HW63" s="569">
        <f t="shared" si="625"/>
        <v>112584</v>
      </c>
      <c r="HX63" s="546">
        <f t="shared" si="626"/>
        <v>111161</v>
      </c>
      <c r="HY63" s="546">
        <f t="shared" si="627"/>
        <v>362</v>
      </c>
      <c r="HZ63" s="546">
        <f t="shared" si="628"/>
        <v>683</v>
      </c>
      <c r="IA63" s="546">
        <f t="shared" si="629"/>
        <v>1061</v>
      </c>
      <c r="IB63" s="569">
        <f t="shared" si="630"/>
        <v>150083</v>
      </c>
      <c r="IC63" s="546">
        <f t="shared" si="631"/>
        <v>146523</v>
      </c>
      <c r="ID63" s="546">
        <f t="shared" si="632"/>
        <v>559</v>
      </c>
      <c r="IE63" s="546">
        <f t="shared" si="633"/>
        <v>1143</v>
      </c>
      <c r="IF63" s="546">
        <f t="shared" si="634"/>
        <v>3001</v>
      </c>
      <c r="IG63" s="12">
        <v>148451</v>
      </c>
      <c r="IH63" s="5">
        <v>144123</v>
      </c>
      <c r="II63" s="5">
        <v>771</v>
      </c>
      <c r="IJ63" s="5">
        <v>1738</v>
      </c>
      <c r="IK63" s="5">
        <v>3557</v>
      </c>
      <c r="IL63" s="565"/>
      <c r="IM63" s="7"/>
      <c r="IN63" s="7"/>
      <c r="IO63" s="7"/>
      <c r="IP63" s="7"/>
      <c r="IQ63" s="7">
        <v>188569</v>
      </c>
      <c r="IR63" s="7">
        <v>181869</v>
      </c>
      <c r="IS63" s="7">
        <v>1307</v>
      </c>
      <c r="IT63" s="7">
        <v>2374</v>
      </c>
      <c r="IU63" s="577">
        <v>5362</v>
      </c>
      <c r="IV63" s="7">
        <v>192797</v>
      </c>
      <c r="IW63" s="7">
        <v>183516</v>
      </c>
      <c r="IX63" s="7">
        <v>1518</v>
      </c>
      <c r="IY63" s="7">
        <v>2687</v>
      </c>
      <c r="IZ63" s="7">
        <v>9830</v>
      </c>
      <c r="JA63" s="565">
        <v>199988</v>
      </c>
      <c r="JB63" s="7">
        <v>190599</v>
      </c>
      <c r="JC63" s="7">
        <v>1858</v>
      </c>
      <c r="JD63" s="7">
        <v>2400</v>
      </c>
      <c r="JE63" s="7">
        <v>2755</v>
      </c>
      <c r="JF63" s="565">
        <v>200354</v>
      </c>
      <c r="JG63" s="7">
        <v>189972</v>
      </c>
      <c r="JH63" s="7">
        <v>0</v>
      </c>
      <c r="JI63" s="7">
        <v>2638</v>
      </c>
      <c r="JJ63" s="7">
        <v>3343</v>
      </c>
      <c r="JK63" s="12">
        <v>55120</v>
      </c>
      <c r="JL63" s="5">
        <v>54448</v>
      </c>
      <c r="JM63" s="5">
        <v>191</v>
      </c>
      <c r="JN63" s="5">
        <v>266</v>
      </c>
      <c r="JO63" s="5">
        <v>481</v>
      </c>
      <c r="JP63" s="12">
        <v>74124</v>
      </c>
      <c r="JQ63" s="5">
        <v>72516</v>
      </c>
      <c r="JR63" s="5">
        <v>243</v>
      </c>
      <c r="JS63" s="5">
        <v>418</v>
      </c>
      <c r="JT63" s="5">
        <v>1365</v>
      </c>
      <c r="JU63" s="12">
        <v>86025</v>
      </c>
      <c r="JV63" s="5">
        <v>83638</v>
      </c>
      <c r="JW63" s="5">
        <v>339</v>
      </c>
      <c r="JX63" s="5">
        <v>982</v>
      </c>
      <c r="JY63" s="5">
        <v>2048</v>
      </c>
      <c r="JZ63" s="12">
        <v>88097.4</v>
      </c>
      <c r="KA63" s="5">
        <v>85489.919999999998</v>
      </c>
      <c r="KB63" s="5"/>
      <c r="KC63" s="5"/>
      <c r="KD63" s="5">
        <v>2607.4799999999959</v>
      </c>
      <c r="KE63" s="5">
        <v>94279</v>
      </c>
      <c r="KF63" s="5">
        <v>89788</v>
      </c>
      <c r="KG63" s="5">
        <v>697</v>
      </c>
      <c r="KH63" s="5">
        <v>1159</v>
      </c>
      <c r="KI63" s="5">
        <v>4605</v>
      </c>
      <c r="KJ63" s="5">
        <v>97824</v>
      </c>
      <c r="KK63" s="5">
        <v>94515</v>
      </c>
      <c r="KL63" s="5">
        <v>705</v>
      </c>
      <c r="KM63" s="5">
        <v>731</v>
      </c>
      <c r="KN63" s="5">
        <v>1531</v>
      </c>
      <c r="KO63" s="5">
        <v>92871</v>
      </c>
      <c r="KP63" s="5">
        <v>87896</v>
      </c>
      <c r="KQ63" s="5">
        <v>0</v>
      </c>
      <c r="KR63" s="5">
        <v>1356</v>
      </c>
      <c r="KS63" s="5">
        <v>2744</v>
      </c>
      <c r="KT63" s="258" t="s">
        <v>185</v>
      </c>
      <c r="KU63" s="259" t="s">
        <v>185</v>
      </c>
      <c r="KV63" s="12">
        <v>15614</v>
      </c>
      <c r="KW63" s="332">
        <f t="shared" si="581"/>
        <v>8700</v>
      </c>
      <c r="KX63" s="332">
        <f t="shared" si="582"/>
        <v>6914</v>
      </c>
      <c r="KY63" s="332">
        <f t="shared" si="583"/>
        <v>15565</v>
      </c>
      <c r="KZ63" s="318">
        <v>8654</v>
      </c>
      <c r="LA63" s="318">
        <v>6911</v>
      </c>
      <c r="LB63" s="332">
        <f t="shared" si="584"/>
        <v>49</v>
      </c>
      <c r="LC63" s="318">
        <v>46</v>
      </c>
      <c r="LD63" s="318">
        <v>3</v>
      </c>
      <c r="LE63" s="12">
        <v>26823</v>
      </c>
      <c r="LF63" s="332">
        <f t="shared" si="585"/>
        <v>15185</v>
      </c>
      <c r="LG63" s="332">
        <f t="shared" si="586"/>
        <v>11638</v>
      </c>
      <c r="LH63" s="332">
        <f t="shared" si="587"/>
        <v>26467</v>
      </c>
      <c r="LI63" s="318">
        <v>14972</v>
      </c>
      <c r="LJ63" s="318">
        <v>11495</v>
      </c>
      <c r="LK63" s="332">
        <f t="shared" si="588"/>
        <v>88</v>
      </c>
      <c r="LL63" s="318">
        <v>52</v>
      </c>
      <c r="LM63" s="318">
        <v>36</v>
      </c>
      <c r="LN63" s="332">
        <f t="shared" si="589"/>
        <v>268</v>
      </c>
      <c r="LO63" s="318">
        <v>161</v>
      </c>
      <c r="LP63" s="318">
        <v>107</v>
      </c>
      <c r="LQ63" s="12">
        <v>56184</v>
      </c>
      <c r="LR63" s="332">
        <f t="shared" si="590"/>
        <v>30283</v>
      </c>
      <c r="LS63" s="332">
        <f t="shared" si="591"/>
        <v>25901</v>
      </c>
      <c r="LT63" s="342">
        <f t="shared" si="592"/>
        <v>55214</v>
      </c>
      <c r="LU63" s="318">
        <v>29723</v>
      </c>
      <c r="LV63" s="318">
        <v>25491</v>
      </c>
      <c r="LW63" s="318">
        <v>560</v>
      </c>
      <c r="LX63" s="318">
        <v>410</v>
      </c>
      <c r="LY63" s="342">
        <f t="shared" si="593"/>
        <v>146</v>
      </c>
      <c r="LZ63" s="318">
        <v>95</v>
      </c>
      <c r="MA63" s="318">
        <v>51</v>
      </c>
      <c r="MB63" s="342">
        <f t="shared" si="594"/>
        <v>351</v>
      </c>
      <c r="MC63" s="318">
        <v>193</v>
      </c>
      <c r="MD63" s="318">
        <v>158</v>
      </c>
      <c r="ME63" s="333">
        <f t="shared" si="595"/>
        <v>473</v>
      </c>
      <c r="MF63" s="333">
        <f t="shared" si="596"/>
        <v>272</v>
      </c>
      <c r="MG63" s="333">
        <f t="shared" si="597"/>
        <v>201</v>
      </c>
      <c r="MH63" s="334">
        <f t="shared" si="598"/>
        <v>19</v>
      </c>
      <c r="MI63" s="334">
        <f t="shared" si="599"/>
        <v>12</v>
      </c>
      <c r="MJ63" s="334">
        <f t="shared" si="600"/>
        <v>7</v>
      </c>
      <c r="MK63" s="318">
        <v>454</v>
      </c>
      <c r="ML63" s="318">
        <v>260</v>
      </c>
      <c r="MM63" s="318">
        <v>194</v>
      </c>
      <c r="MN63" s="14">
        <f t="shared" si="601"/>
        <v>86854</v>
      </c>
      <c r="MO63" s="332">
        <f t="shared" si="602"/>
        <v>43571</v>
      </c>
      <c r="MP63" s="332">
        <f t="shared" si="603"/>
        <v>43283</v>
      </c>
      <c r="MQ63" s="13">
        <f t="shared" si="604"/>
        <v>85629</v>
      </c>
      <c r="MR63" s="136">
        <f t="shared" si="605"/>
        <v>85170</v>
      </c>
      <c r="MS63" s="318">
        <v>42674</v>
      </c>
      <c r="MT63" s="318">
        <v>42496</v>
      </c>
      <c r="MU63" s="318">
        <v>897</v>
      </c>
      <c r="MV63" s="318">
        <v>787</v>
      </c>
      <c r="MW63" s="13">
        <f t="shared" si="606"/>
        <v>286</v>
      </c>
      <c r="MX63" s="136">
        <f t="shared" si="607"/>
        <v>279</v>
      </c>
      <c r="MY63" s="318">
        <v>170</v>
      </c>
      <c r="MZ63" s="318">
        <v>109</v>
      </c>
      <c r="NA63" s="13">
        <f t="shared" si="608"/>
        <v>532</v>
      </c>
      <c r="NB63" s="318">
        <v>274</v>
      </c>
      <c r="NC63" s="318">
        <v>258</v>
      </c>
      <c r="ND63" s="13">
        <f t="shared" si="609"/>
        <v>939</v>
      </c>
      <c r="NE63" s="368">
        <f t="shared" si="610"/>
        <v>453</v>
      </c>
      <c r="NF63" s="335">
        <f t="shared" si="611"/>
        <v>420</v>
      </c>
      <c r="NG63" s="336">
        <f t="shared" si="612"/>
        <v>21</v>
      </c>
      <c r="NH63" s="336">
        <f t="shared" si="613"/>
        <v>21</v>
      </c>
      <c r="NI63" s="336">
        <f t="shared" si="614"/>
        <v>0</v>
      </c>
      <c r="NJ63" s="337">
        <f t="shared" si="615"/>
        <v>852</v>
      </c>
      <c r="NK63" s="337">
        <f t="shared" si="616"/>
        <v>432</v>
      </c>
      <c r="NL63" s="337">
        <f t="shared" si="617"/>
        <v>420</v>
      </c>
      <c r="NM63" s="318">
        <v>77</v>
      </c>
      <c r="NN63" s="318">
        <v>53</v>
      </c>
      <c r="NO63" s="318">
        <v>355</v>
      </c>
      <c r="NP63" s="318">
        <v>367</v>
      </c>
      <c r="NQ63" s="338">
        <v>119025</v>
      </c>
      <c r="NR63" s="318">
        <v>56718</v>
      </c>
      <c r="NS63" s="318">
        <v>62307</v>
      </c>
      <c r="NT63" s="7">
        <f t="shared" si="618"/>
        <v>116112</v>
      </c>
      <c r="NU63" s="7">
        <v>55302</v>
      </c>
      <c r="NV63" s="7">
        <v>60810</v>
      </c>
      <c r="NW63" s="125">
        <f t="shared" si="619"/>
        <v>115364</v>
      </c>
      <c r="NX63" s="318">
        <v>54910</v>
      </c>
      <c r="NY63" s="318">
        <v>60454</v>
      </c>
      <c r="NZ63" s="7">
        <f t="shared" si="620"/>
        <v>444</v>
      </c>
      <c r="OA63" s="318">
        <v>266</v>
      </c>
      <c r="OB63" s="318">
        <v>178</v>
      </c>
      <c r="OC63" s="7">
        <f t="shared" si="621"/>
        <v>947</v>
      </c>
      <c r="OD63" s="318">
        <v>498</v>
      </c>
      <c r="OE63" s="318">
        <v>449</v>
      </c>
      <c r="OF63" s="125">
        <f t="shared" si="622"/>
        <v>2469</v>
      </c>
      <c r="OG63" s="125">
        <f t="shared" si="623"/>
        <v>1150</v>
      </c>
      <c r="OH63" s="125">
        <f t="shared" si="624"/>
        <v>1319</v>
      </c>
      <c r="OI63" s="326">
        <v>139002</v>
      </c>
      <c r="OJ63" s="318">
        <v>134541</v>
      </c>
      <c r="OK63" s="318">
        <v>609</v>
      </c>
      <c r="OL63" s="318">
        <v>3852</v>
      </c>
      <c r="OM63" s="7">
        <v>1623</v>
      </c>
      <c r="ON63" s="338">
        <v>141376</v>
      </c>
      <c r="OO63" s="5">
        <v>136574</v>
      </c>
      <c r="OP63" s="5">
        <v>1001</v>
      </c>
      <c r="OQ63" s="5">
        <v>3801</v>
      </c>
      <c r="OR63" s="5">
        <v>1648</v>
      </c>
      <c r="OS63" s="338">
        <v>140668</v>
      </c>
      <c r="OT63" s="5">
        <v>136553</v>
      </c>
      <c r="OU63" s="5">
        <v>854</v>
      </c>
      <c r="OV63" s="5">
        <v>3261</v>
      </c>
      <c r="OW63" s="5">
        <v>1898</v>
      </c>
      <c r="OX63" s="12">
        <v>142310</v>
      </c>
      <c r="OY63" s="5">
        <v>137773</v>
      </c>
      <c r="OZ63" s="5">
        <v>992</v>
      </c>
      <c r="PA63" s="5">
        <v>3545</v>
      </c>
      <c r="PB63" s="5">
        <v>1895</v>
      </c>
      <c r="PC63" s="12">
        <v>146829</v>
      </c>
      <c r="PD63" s="5">
        <v>141788.16</v>
      </c>
      <c r="PE63" s="5"/>
      <c r="PF63" s="5"/>
      <c r="PG63" s="5">
        <v>5040.8399999999965</v>
      </c>
      <c r="PH63" s="5">
        <v>150995</v>
      </c>
      <c r="PI63" s="5">
        <v>145468</v>
      </c>
      <c r="PJ63" s="5">
        <v>1106</v>
      </c>
      <c r="PK63" s="5">
        <v>2015</v>
      </c>
      <c r="PL63" s="2">
        <v>4390</v>
      </c>
      <c r="PM63" s="2">
        <v>155342</v>
      </c>
      <c r="PN63" s="2">
        <v>147775</v>
      </c>
      <c r="PO63" s="2">
        <v>1175</v>
      </c>
      <c r="PP63" s="2">
        <v>2161</v>
      </c>
      <c r="PQ63" s="2">
        <v>8414</v>
      </c>
      <c r="PR63" s="2">
        <v>162072</v>
      </c>
      <c r="PS63" s="2">
        <v>154469</v>
      </c>
      <c r="PT63" s="2">
        <v>1508</v>
      </c>
      <c r="PU63" s="2">
        <v>2037</v>
      </c>
      <c r="PV63" s="2">
        <v>2112</v>
      </c>
      <c r="PW63" s="2">
        <v>159855</v>
      </c>
      <c r="PX63" s="2">
        <v>151365</v>
      </c>
      <c r="PY63" s="2"/>
      <c r="PZ63" s="2">
        <v>2226</v>
      </c>
      <c r="QA63" s="2">
        <v>3129</v>
      </c>
      <c r="QB63" s="12">
        <v>31734</v>
      </c>
      <c r="QC63" s="5">
        <v>31181</v>
      </c>
      <c r="QD63" s="5">
        <v>95</v>
      </c>
      <c r="QE63" s="5">
        <v>266</v>
      </c>
      <c r="QF63" s="5">
        <v>458</v>
      </c>
      <c r="QG63" s="12">
        <v>44901</v>
      </c>
      <c r="QH63" s="5">
        <v>43596</v>
      </c>
      <c r="QI63" s="5">
        <v>201</v>
      </c>
      <c r="QJ63" s="5">
        <v>529</v>
      </c>
      <c r="QK63" s="5">
        <v>1104</v>
      </c>
      <c r="QL63" s="12">
        <v>56285</v>
      </c>
      <c r="QM63" s="5">
        <v>54135</v>
      </c>
      <c r="QN63" s="5">
        <v>653</v>
      </c>
      <c r="QO63" s="5">
        <v>913</v>
      </c>
      <c r="QP63" s="5">
        <v>1497</v>
      </c>
      <c r="QQ63" s="12">
        <v>58731.600000000006</v>
      </c>
      <c r="QR63" s="5">
        <v>56298.240000000005</v>
      </c>
      <c r="QS63" s="5"/>
      <c r="QT63" s="5"/>
      <c r="QU63" s="10">
        <v>2433.3600000000006</v>
      </c>
      <c r="QV63" s="3">
        <v>58959</v>
      </c>
      <c r="QW63" s="3">
        <v>56679</v>
      </c>
      <c r="QX63" s="3">
        <v>559</v>
      </c>
      <c r="QY63" s="3">
        <v>1046</v>
      </c>
      <c r="QZ63" s="213">
        <v>1721</v>
      </c>
      <c r="RA63" s="2">
        <v>61063</v>
      </c>
      <c r="RB63" s="2">
        <v>57987</v>
      </c>
      <c r="RC63" s="2">
        <v>478</v>
      </c>
      <c r="RD63" s="2">
        <v>1002</v>
      </c>
      <c r="RE63" s="2">
        <v>3809</v>
      </c>
      <c r="RF63" s="2">
        <v>64248</v>
      </c>
      <c r="RG63" s="2">
        <v>59954</v>
      </c>
      <c r="RH63" s="2">
        <v>803</v>
      </c>
      <c r="RI63" s="2">
        <v>1306</v>
      </c>
      <c r="RJ63" s="2">
        <v>2013</v>
      </c>
      <c r="RK63" s="2">
        <v>66984</v>
      </c>
      <c r="RL63" s="2">
        <v>63469</v>
      </c>
      <c r="RN63" s="2">
        <v>870</v>
      </c>
      <c r="RO63" s="2">
        <v>2262</v>
      </c>
    </row>
    <row r="64" spans="1:483" ht="12.75" customHeight="1" x14ac:dyDescent="0.2">
      <c r="A64" s="130" t="s">
        <v>62</v>
      </c>
      <c r="B64" s="264" t="s">
        <v>185</v>
      </c>
      <c r="C64" s="264" t="s">
        <v>185</v>
      </c>
      <c r="D64" s="264" t="s">
        <v>185</v>
      </c>
      <c r="E64" s="264" t="s">
        <v>185</v>
      </c>
      <c r="F64" s="264" t="s">
        <v>185</v>
      </c>
      <c r="G64" s="236">
        <v>39107</v>
      </c>
      <c r="H64" s="234">
        <v>4687</v>
      </c>
      <c r="I64" s="234">
        <v>29960</v>
      </c>
      <c r="J64" s="234">
        <v>6288</v>
      </c>
      <c r="K64" s="234">
        <v>4460</v>
      </c>
      <c r="L64" s="236">
        <v>29803</v>
      </c>
      <c r="M64" s="234">
        <v>4032</v>
      </c>
      <c r="N64" s="234">
        <v>17822</v>
      </c>
      <c r="O64" s="234">
        <v>9633</v>
      </c>
      <c r="P64" s="234">
        <v>7949</v>
      </c>
      <c r="Q64" s="567">
        <v>19671</v>
      </c>
      <c r="R64" s="239">
        <v>6669</v>
      </c>
      <c r="S64" s="239">
        <v>9483</v>
      </c>
      <c r="T64" s="239">
        <v>9586</v>
      </c>
      <c r="U64" s="239">
        <v>3519</v>
      </c>
      <c r="V64" s="239">
        <v>20315</v>
      </c>
      <c r="W64" s="239">
        <v>5899</v>
      </c>
      <c r="X64" s="239">
        <v>9846</v>
      </c>
      <c r="Y64" s="239">
        <v>9347</v>
      </c>
      <c r="Z64" s="239">
        <v>4570</v>
      </c>
      <c r="AA64" s="239">
        <v>19690</v>
      </c>
      <c r="AB64" s="239">
        <v>391</v>
      </c>
      <c r="AC64" s="239">
        <v>10196</v>
      </c>
      <c r="AD64" s="239">
        <v>8066</v>
      </c>
      <c r="AE64" s="457">
        <v>1260</v>
      </c>
      <c r="AF64" s="694">
        <v>20227</v>
      </c>
      <c r="AG64" s="695">
        <v>382</v>
      </c>
      <c r="AH64" s="695">
        <v>9859</v>
      </c>
      <c r="AI64" s="695">
        <v>9041</v>
      </c>
      <c r="AJ64" s="696">
        <v>8981</v>
      </c>
      <c r="AK64" s="695">
        <v>17097</v>
      </c>
      <c r="AL64" s="695">
        <v>513</v>
      </c>
      <c r="AM64" s="695">
        <v>7974</v>
      </c>
      <c r="AN64" s="695">
        <v>8572</v>
      </c>
      <c r="AO64" s="695">
        <v>5724</v>
      </c>
      <c r="AP64" s="236">
        <v>70759</v>
      </c>
      <c r="AQ64" s="234">
        <v>4449</v>
      </c>
      <c r="AR64" s="234">
        <v>64046</v>
      </c>
      <c r="AS64" s="234">
        <v>2643</v>
      </c>
      <c r="AT64" s="234">
        <v>2264</v>
      </c>
      <c r="AU64" s="236">
        <v>55446</v>
      </c>
      <c r="AV64" s="234">
        <v>3147</v>
      </c>
      <c r="AW64" s="234">
        <v>48346</v>
      </c>
      <c r="AX64" s="234">
        <v>4154</v>
      </c>
      <c r="AY64" s="234">
        <v>3953</v>
      </c>
      <c r="AZ64" s="236">
        <v>32673</v>
      </c>
      <c r="BA64" s="234">
        <v>3339</v>
      </c>
      <c r="BB64" s="234">
        <v>27601</v>
      </c>
      <c r="BC64" s="234">
        <v>3668</v>
      </c>
      <c r="BD64" s="234">
        <v>1733</v>
      </c>
      <c r="BE64" s="234">
        <v>32206</v>
      </c>
      <c r="BF64" s="234">
        <v>2347</v>
      </c>
      <c r="BG64" s="234">
        <v>27524</v>
      </c>
      <c r="BH64" s="234">
        <v>3800</v>
      </c>
      <c r="BI64" s="234">
        <v>2335</v>
      </c>
      <c r="BJ64" s="234">
        <v>30794</v>
      </c>
      <c r="BK64" s="234">
        <v>348</v>
      </c>
      <c r="BL64" s="234">
        <v>25948</v>
      </c>
      <c r="BM64" s="234">
        <v>3931</v>
      </c>
      <c r="BN64" s="292">
        <v>873</v>
      </c>
      <c r="BO64" s="292">
        <v>28022</v>
      </c>
      <c r="BP64" s="53">
        <v>406</v>
      </c>
      <c r="BQ64" s="53">
        <v>23333</v>
      </c>
      <c r="BR64" s="53">
        <v>3773</v>
      </c>
      <c r="BS64" s="53">
        <v>2917</v>
      </c>
      <c r="BT64" s="53">
        <v>28646</v>
      </c>
      <c r="BU64" s="53">
        <v>555</v>
      </c>
      <c r="BV64" s="53">
        <v>21617</v>
      </c>
      <c r="BW64" s="53">
        <v>6611</v>
      </c>
      <c r="BX64" s="53">
        <v>4677</v>
      </c>
      <c r="BY64" s="236">
        <v>52503</v>
      </c>
      <c r="BZ64" s="234">
        <v>9014</v>
      </c>
      <c r="CA64" s="234">
        <v>37504</v>
      </c>
      <c r="CB64" s="234">
        <v>13136</v>
      </c>
      <c r="CC64" s="272">
        <f t="shared" si="569"/>
        <v>5985</v>
      </c>
      <c r="CD64" s="276" t="s">
        <v>185</v>
      </c>
      <c r="CE64" s="264" t="s">
        <v>185</v>
      </c>
      <c r="CF64" s="264" t="s">
        <v>185</v>
      </c>
      <c r="CG64" s="264" t="s">
        <v>185</v>
      </c>
      <c r="CH64" s="276" t="s">
        <v>185</v>
      </c>
      <c r="CI64" s="264" t="s">
        <v>185</v>
      </c>
      <c r="CJ64" s="264" t="s">
        <v>185</v>
      </c>
      <c r="CK64" s="264" t="s">
        <v>185</v>
      </c>
      <c r="CL64" s="264" t="s">
        <v>185</v>
      </c>
      <c r="CM64" s="236">
        <v>299265</v>
      </c>
      <c r="CN64" s="234">
        <v>122841</v>
      </c>
      <c r="CO64" s="234">
        <v>165922</v>
      </c>
      <c r="CP64" s="234">
        <v>9905</v>
      </c>
      <c r="CQ64" s="234">
        <v>10502</v>
      </c>
      <c r="CR64" s="236">
        <v>299286</v>
      </c>
      <c r="CS64" s="234">
        <v>121675</v>
      </c>
      <c r="CT64" s="234">
        <v>157124</v>
      </c>
      <c r="CU64" s="234">
        <v>12636</v>
      </c>
      <c r="CV64" s="234">
        <v>20487</v>
      </c>
      <c r="CW64" s="254">
        <v>334661</v>
      </c>
      <c r="CX64" s="234">
        <v>139780</v>
      </c>
      <c r="CY64" s="234">
        <v>167214</v>
      </c>
      <c r="CZ64" s="234">
        <v>27667</v>
      </c>
      <c r="DA64" s="234">
        <v>17663</v>
      </c>
      <c r="DB64" s="236">
        <v>342095</v>
      </c>
      <c r="DC64" s="234">
        <v>145538</v>
      </c>
      <c r="DD64" s="234">
        <v>169257</v>
      </c>
      <c r="DE64" s="235">
        <v>27300</v>
      </c>
      <c r="DF64" s="234">
        <v>18027</v>
      </c>
      <c r="DG64" s="236">
        <v>352495</v>
      </c>
      <c r="DH64" s="235">
        <v>153882</v>
      </c>
      <c r="DI64" s="235">
        <v>173306</v>
      </c>
      <c r="DJ64" s="235">
        <v>25307</v>
      </c>
      <c r="DK64" s="235">
        <v>18375</v>
      </c>
      <c r="DL64" s="236">
        <v>353389</v>
      </c>
      <c r="DM64" s="234">
        <v>159051</v>
      </c>
      <c r="DN64" s="234">
        <v>166401</v>
      </c>
      <c r="DO64" s="234">
        <v>20155</v>
      </c>
      <c r="DP64" s="234">
        <v>19960</v>
      </c>
      <c r="DQ64" s="236">
        <v>363771.24300000002</v>
      </c>
      <c r="DR64" s="234">
        <v>167901.1</v>
      </c>
      <c r="DS64" s="234">
        <v>167436.79700000002</v>
      </c>
      <c r="DT64" s="234">
        <v>22270.374000000003</v>
      </c>
      <c r="DU64" s="584">
        <f t="shared" si="570"/>
        <v>28433.34599999999</v>
      </c>
      <c r="DV64" s="234">
        <v>376076</v>
      </c>
      <c r="DW64" s="234">
        <v>174167</v>
      </c>
      <c r="DX64" s="234">
        <v>169763</v>
      </c>
      <c r="DY64" s="234">
        <v>24324</v>
      </c>
      <c r="DZ64" s="234">
        <v>32041</v>
      </c>
      <c r="EA64" s="234">
        <v>392468</v>
      </c>
      <c r="EB64" s="234">
        <v>170136</v>
      </c>
      <c r="EC64" s="234">
        <v>172522</v>
      </c>
      <c r="ED64" s="234">
        <v>28036</v>
      </c>
      <c r="EE64" s="234">
        <v>24045</v>
      </c>
      <c r="EF64" s="234">
        <v>424635</v>
      </c>
      <c r="EG64" s="234">
        <v>183888</v>
      </c>
      <c r="EH64" s="234">
        <v>181721</v>
      </c>
      <c r="EI64" s="234">
        <v>32788</v>
      </c>
      <c r="EJ64" s="234">
        <v>41773</v>
      </c>
      <c r="EK64" s="234">
        <v>434415</v>
      </c>
      <c r="EL64" s="234">
        <v>188238</v>
      </c>
      <c r="EM64" s="234">
        <v>187820</v>
      </c>
      <c r="EN64" s="234">
        <v>31992</v>
      </c>
      <c r="EO64" s="234">
        <v>41075</v>
      </c>
      <c r="EP64" s="276" t="s">
        <v>185</v>
      </c>
      <c r="EQ64" s="264" t="s">
        <v>185</v>
      </c>
      <c r="ER64" s="264" t="s">
        <v>185</v>
      </c>
      <c r="ES64" s="264" t="s">
        <v>185</v>
      </c>
      <c r="ET64" s="264" t="s">
        <v>185</v>
      </c>
      <c r="EU64" s="236">
        <v>76224</v>
      </c>
      <c r="EV64" s="234">
        <v>20114</v>
      </c>
      <c r="EW64" s="234">
        <v>53514</v>
      </c>
      <c r="EX64" s="234">
        <v>2650</v>
      </c>
      <c r="EY64" s="234">
        <v>2596</v>
      </c>
      <c r="EZ64" s="236">
        <v>69880</v>
      </c>
      <c r="FA64" s="234">
        <v>14673</v>
      </c>
      <c r="FB64" s="234">
        <v>50924</v>
      </c>
      <c r="FC64" s="234">
        <v>2844</v>
      </c>
      <c r="FD64" s="234">
        <v>4283</v>
      </c>
      <c r="FE64" s="236">
        <v>71139</v>
      </c>
      <c r="FF64" s="234">
        <v>15052</v>
      </c>
      <c r="FG64" s="234">
        <v>52340</v>
      </c>
      <c r="FH64" s="234">
        <v>4352</v>
      </c>
      <c r="FI64" s="234">
        <v>3747</v>
      </c>
      <c r="FJ64" s="236">
        <v>72504.233999999997</v>
      </c>
      <c r="FK64" s="234">
        <v>15199.467999999999</v>
      </c>
      <c r="FL64" s="234">
        <v>53489.601000000002</v>
      </c>
      <c r="FM64" s="234">
        <v>4531.9679999999998</v>
      </c>
      <c r="FN64" s="234">
        <v>3815.1649999999936</v>
      </c>
      <c r="FO64" s="234">
        <v>73143</v>
      </c>
      <c r="FP64" s="234">
        <v>14750</v>
      </c>
      <c r="FQ64" s="234">
        <v>53191</v>
      </c>
      <c r="FR64" s="234">
        <v>5154</v>
      </c>
      <c r="FS64" s="619">
        <v>5202</v>
      </c>
      <c r="FT64" s="668">
        <v>74771</v>
      </c>
      <c r="FU64" s="698">
        <v>11682</v>
      </c>
      <c r="FV64" s="698">
        <v>55145</v>
      </c>
      <c r="FW64" s="698">
        <v>5487</v>
      </c>
      <c r="FX64" s="698">
        <v>2710</v>
      </c>
      <c r="FY64" s="698">
        <v>74109</v>
      </c>
      <c r="FZ64" s="698">
        <v>10861</v>
      </c>
      <c r="GA64" s="698">
        <v>54471</v>
      </c>
      <c r="GB64" s="698">
        <v>5993</v>
      </c>
      <c r="GC64" s="699">
        <v>6604</v>
      </c>
      <c r="GD64" s="698">
        <v>76292</v>
      </c>
      <c r="GE64" s="698">
        <v>9947</v>
      </c>
      <c r="GF64" s="698">
        <v>58472</v>
      </c>
      <c r="GG64" s="698">
        <v>5619</v>
      </c>
      <c r="GH64" s="698">
        <v>5945</v>
      </c>
      <c r="GI64" s="236">
        <v>12547</v>
      </c>
      <c r="GJ64" s="234">
        <v>3941</v>
      </c>
      <c r="GK64" s="234">
        <v>8011</v>
      </c>
      <c r="GL64" s="234">
        <v>533</v>
      </c>
      <c r="GM64" s="234">
        <v>595</v>
      </c>
      <c r="GN64" s="236">
        <v>10599</v>
      </c>
      <c r="GO64" s="234">
        <v>2916</v>
      </c>
      <c r="GP64" s="234">
        <v>6898</v>
      </c>
      <c r="GQ64" s="234">
        <v>543</v>
      </c>
      <c r="GR64" s="234">
        <v>785</v>
      </c>
      <c r="GS64" s="236">
        <v>11758</v>
      </c>
      <c r="GT64" s="234">
        <v>2955</v>
      </c>
      <c r="GU64" s="234">
        <v>8146</v>
      </c>
      <c r="GV64" s="234">
        <v>898</v>
      </c>
      <c r="GW64" s="234">
        <v>657</v>
      </c>
      <c r="GX64" s="236"/>
      <c r="GY64" s="234"/>
      <c r="GZ64" s="234"/>
      <c r="HA64" s="234"/>
      <c r="HB64" s="588"/>
      <c r="HC64" s="234">
        <v>13048</v>
      </c>
      <c r="HD64" s="234">
        <v>3549</v>
      </c>
      <c r="HE64" s="234">
        <v>8443</v>
      </c>
      <c r="HF64" s="234">
        <v>1018</v>
      </c>
      <c r="HG64" s="234">
        <v>1056</v>
      </c>
      <c r="HH64" s="234">
        <v>13366</v>
      </c>
      <c r="HI64" s="234">
        <v>2633</v>
      </c>
      <c r="HJ64" s="234">
        <v>8895</v>
      </c>
      <c r="HK64" s="234">
        <v>1245</v>
      </c>
      <c r="HL64" s="234">
        <v>746</v>
      </c>
      <c r="HM64" s="234">
        <v>14002</v>
      </c>
      <c r="HN64" s="234">
        <v>2594</v>
      </c>
      <c r="HO64" s="234">
        <v>9378</v>
      </c>
      <c r="HP64" s="234">
        <v>694</v>
      </c>
      <c r="HQ64" s="234">
        <v>1336</v>
      </c>
      <c r="HR64" s="234">
        <v>14086</v>
      </c>
      <c r="HS64" s="234">
        <v>2540</v>
      </c>
      <c r="HT64" s="234">
        <v>10013</v>
      </c>
      <c r="HU64" s="234">
        <v>905</v>
      </c>
      <c r="HV64" s="234">
        <v>1137</v>
      </c>
      <c r="HW64" s="570">
        <f t="shared" si="625"/>
        <v>148832</v>
      </c>
      <c r="HX64" s="305">
        <f t="shared" si="626"/>
        <v>94947</v>
      </c>
      <c r="HY64" s="305">
        <f t="shared" si="627"/>
        <v>47814</v>
      </c>
      <c r="HZ64" s="305">
        <f t="shared" si="628"/>
        <v>5045</v>
      </c>
      <c r="IA64" s="305">
        <f t="shared" si="629"/>
        <v>6071</v>
      </c>
      <c r="IB64" s="570">
        <f t="shared" si="630"/>
        <v>160836</v>
      </c>
      <c r="IC64" s="305">
        <f t="shared" si="631"/>
        <v>102525</v>
      </c>
      <c r="ID64" s="305">
        <f t="shared" si="632"/>
        <v>45968</v>
      </c>
      <c r="IE64" s="305">
        <f t="shared" si="633"/>
        <v>7084</v>
      </c>
      <c r="IF64" s="571">
        <f t="shared" si="634"/>
        <v>12343</v>
      </c>
      <c r="IG64" s="236">
        <v>155948</v>
      </c>
      <c r="IH64" s="234">
        <v>101775</v>
      </c>
      <c r="II64" s="234">
        <v>40167</v>
      </c>
      <c r="IJ64" s="234">
        <v>9468</v>
      </c>
      <c r="IK64" s="234">
        <v>14006</v>
      </c>
      <c r="IL64" s="567"/>
      <c r="IM64" s="239"/>
      <c r="IN64" s="239"/>
      <c r="IO64" s="239"/>
      <c r="IP64" s="239"/>
      <c r="IQ64" s="239">
        <v>234699</v>
      </c>
      <c r="IR64" s="239">
        <v>156076</v>
      </c>
      <c r="IS64" s="239">
        <v>55895</v>
      </c>
      <c r="IT64" s="239">
        <v>14410</v>
      </c>
      <c r="IU64" s="673">
        <v>22653</v>
      </c>
      <c r="IV64" s="239">
        <v>250290</v>
      </c>
      <c r="IW64" s="239">
        <v>156649</v>
      </c>
      <c r="IX64" s="239">
        <v>57909</v>
      </c>
      <c r="IY64" s="239">
        <v>17310</v>
      </c>
      <c r="IZ64" s="239">
        <v>19695</v>
      </c>
      <c r="JA64" s="567">
        <v>282347</v>
      </c>
      <c r="JB64" s="239">
        <v>171800</v>
      </c>
      <c r="JC64" s="239">
        <v>65654</v>
      </c>
      <c r="JD64" s="239">
        <v>20878</v>
      </c>
      <c r="JE64" s="239">
        <v>30562</v>
      </c>
      <c r="JF64" s="567">
        <v>286961</v>
      </c>
      <c r="JG64" s="239">
        <v>176762</v>
      </c>
      <c r="JH64" s="239">
        <v>65701</v>
      </c>
      <c r="JI64" s="239">
        <v>20498</v>
      </c>
      <c r="JJ64" s="239">
        <v>30790</v>
      </c>
      <c r="JK64" s="236">
        <v>65892</v>
      </c>
      <c r="JL64" s="234">
        <v>40251</v>
      </c>
      <c r="JM64" s="234">
        <v>22937</v>
      </c>
      <c r="JN64" s="234">
        <v>2118</v>
      </c>
      <c r="JO64" s="234">
        <v>2704</v>
      </c>
      <c r="JP64" s="236">
        <v>69496</v>
      </c>
      <c r="JQ64" s="234">
        <v>41360</v>
      </c>
      <c r="JR64" s="234">
        <v>22591</v>
      </c>
      <c r="JS64" s="234">
        <v>2838</v>
      </c>
      <c r="JT64" s="234">
        <v>5545</v>
      </c>
      <c r="JU64" s="236">
        <v>90088</v>
      </c>
      <c r="JV64" s="234">
        <v>57747</v>
      </c>
      <c r="JW64" s="234">
        <v>24457</v>
      </c>
      <c r="JX64" s="234">
        <v>5267</v>
      </c>
      <c r="JY64" s="234">
        <v>7884</v>
      </c>
      <c r="JZ64" s="236">
        <v>93755.475000000006</v>
      </c>
      <c r="KA64" s="234">
        <v>60621.133999999998</v>
      </c>
      <c r="KB64" s="234">
        <v>24797.861000000001</v>
      </c>
      <c r="KC64" s="234">
        <v>5487.93</v>
      </c>
      <c r="KD64" s="234">
        <v>8336.4800000000068</v>
      </c>
      <c r="KE64" s="234">
        <v>101725</v>
      </c>
      <c r="KF64" s="234">
        <v>61455</v>
      </c>
      <c r="KG64" s="234">
        <v>27087</v>
      </c>
      <c r="KH64" s="234">
        <v>6301</v>
      </c>
      <c r="KI64" s="234">
        <v>7454</v>
      </c>
      <c r="KJ64" s="234">
        <v>112629</v>
      </c>
      <c r="KK64" s="234">
        <v>66926</v>
      </c>
      <c r="KL64" s="234">
        <v>28911</v>
      </c>
      <c r="KM64" s="234">
        <v>8529</v>
      </c>
      <c r="KN64" s="234">
        <v>11148</v>
      </c>
      <c r="KO64" s="234">
        <v>115097</v>
      </c>
      <c r="KP64" s="234">
        <v>66672</v>
      </c>
      <c r="KQ64" s="234">
        <v>30711</v>
      </c>
      <c r="KR64" s="234">
        <v>7877</v>
      </c>
      <c r="KS64" s="234">
        <v>12295</v>
      </c>
      <c r="KT64" s="276" t="s">
        <v>185</v>
      </c>
      <c r="KU64" s="264" t="s">
        <v>185</v>
      </c>
      <c r="KV64" s="236">
        <v>65761</v>
      </c>
      <c r="KW64" s="369">
        <f t="shared" si="581"/>
        <v>37458</v>
      </c>
      <c r="KX64" s="369">
        <f t="shared" si="582"/>
        <v>28303</v>
      </c>
      <c r="KY64" s="369">
        <f t="shared" si="583"/>
        <v>49863</v>
      </c>
      <c r="KZ64" s="370">
        <v>29717</v>
      </c>
      <c r="LA64" s="370">
        <v>20146</v>
      </c>
      <c r="LB64" s="369">
        <f t="shared" si="584"/>
        <v>15898</v>
      </c>
      <c r="LC64" s="370">
        <v>7741</v>
      </c>
      <c r="LD64" s="370">
        <v>8157</v>
      </c>
      <c r="LE64" s="236">
        <v>75495</v>
      </c>
      <c r="LF64" s="369">
        <f t="shared" si="585"/>
        <v>41045</v>
      </c>
      <c r="LG64" s="369">
        <f t="shared" si="586"/>
        <v>34450</v>
      </c>
      <c r="LH64" s="369">
        <f t="shared" si="587"/>
        <v>52752</v>
      </c>
      <c r="LI64" s="370">
        <v>30314</v>
      </c>
      <c r="LJ64" s="370">
        <v>22438</v>
      </c>
      <c r="LK64" s="369">
        <f t="shared" si="588"/>
        <v>20880</v>
      </c>
      <c r="LL64" s="370">
        <v>9591</v>
      </c>
      <c r="LM64" s="370">
        <v>11289</v>
      </c>
      <c r="LN64" s="369">
        <f t="shared" si="589"/>
        <v>1863</v>
      </c>
      <c r="LO64" s="370">
        <v>1140</v>
      </c>
      <c r="LP64" s="370">
        <v>723</v>
      </c>
      <c r="LQ64" s="236">
        <v>109478</v>
      </c>
      <c r="LR64" s="369">
        <f t="shared" si="590"/>
        <v>56556</v>
      </c>
      <c r="LS64" s="369">
        <f t="shared" si="591"/>
        <v>52922</v>
      </c>
      <c r="LT64" s="371">
        <f t="shared" si="592"/>
        <v>72628</v>
      </c>
      <c r="LU64" s="370">
        <v>39374</v>
      </c>
      <c r="LV64" s="370">
        <v>33254</v>
      </c>
      <c r="LW64" s="370">
        <v>17182</v>
      </c>
      <c r="LX64" s="370">
        <v>19668</v>
      </c>
      <c r="LY64" s="371">
        <f t="shared" si="593"/>
        <v>31456</v>
      </c>
      <c r="LZ64" s="370">
        <v>14165</v>
      </c>
      <c r="MA64" s="370">
        <v>17291</v>
      </c>
      <c r="MB64" s="371">
        <f t="shared" si="594"/>
        <v>2754</v>
      </c>
      <c r="MC64" s="370">
        <v>1586</v>
      </c>
      <c r="MD64" s="370">
        <v>1168</v>
      </c>
      <c r="ME64" s="372">
        <f t="shared" si="595"/>
        <v>2640</v>
      </c>
      <c r="MF64" s="372">
        <f t="shared" si="596"/>
        <v>1431</v>
      </c>
      <c r="MG64" s="372">
        <f t="shared" si="597"/>
        <v>1209</v>
      </c>
      <c r="MH64" s="373">
        <f t="shared" si="598"/>
        <v>368</v>
      </c>
      <c r="MI64" s="373">
        <f t="shared" si="599"/>
        <v>221</v>
      </c>
      <c r="MJ64" s="373">
        <f t="shared" si="600"/>
        <v>147</v>
      </c>
      <c r="MK64" s="374">
        <v>2272</v>
      </c>
      <c r="ML64" s="374">
        <v>1210</v>
      </c>
      <c r="MM64" s="374">
        <v>1062</v>
      </c>
      <c r="MN64" s="255">
        <f t="shared" si="601"/>
        <v>136285</v>
      </c>
      <c r="MO64" s="369">
        <f t="shared" si="602"/>
        <v>67382</v>
      </c>
      <c r="MP64" s="369">
        <f t="shared" si="603"/>
        <v>68903</v>
      </c>
      <c r="MQ64" s="237">
        <f t="shared" si="604"/>
        <v>91006</v>
      </c>
      <c r="MR64" s="238">
        <f t="shared" si="605"/>
        <v>88176</v>
      </c>
      <c r="MS64" s="370">
        <v>46081</v>
      </c>
      <c r="MT64" s="370">
        <v>42095</v>
      </c>
      <c r="MU64" s="370">
        <v>21301</v>
      </c>
      <c r="MV64" s="370">
        <v>26808</v>
      </c>
      <c r="MW64" s="237">
        <f t="shared" si="606"/>
        <v>39803</v>
      </c>
      <c r="MX64" s="238">
        <f t="shared" si="607"/>
        <v>39448</v>
      </c>
      <c r="MY64" s="370">
        <v>17094</v>
      </c>
      <c r="MZ64" s="370">
        <v>22354</v>
      </c>
      <c r="NA64" s="237">
        <f t="shared" si="608"/>
        <v>4512</v>
      </c>
      <c r="NB64" s="370">
        <v>2199</v>
      </c>
      <c r="NC64" s="370">
        <v>2313</v>
      </c>
      <c r="ND64" s="237">
        <f t="shared" si="609"/>
        <v>5476</v>
      </c>
      <c r="NE64" s="375">
        <f t="shared" si="610"/>
        <v>2008</v>
      </c>
      <c r="NF64" s="376">
        <f t="shared" si="611"/>
        <v>2141</v>
      </c>
      <c r="NG64" s="377">
        <f t="shared" si="612"/>
        <v>151</v>
      </c>
      <c r="NH64" s="377">
        <f t="shared" si="613"/>
        <v>67</v>
      </c>
      <c r="NI64" s="377">
        <f t="shared" si="614"/>
        <v>84</v>
      </c>
      <c r="NJ64" s="378">
        <f t="shared" si="615"/>
        <v>3998</v>
      </c>
      <c r="NK64" s="378">
        <f t="shared" si="616"/>
        <v>1941</v>
      </c>
      <c r="NL64" s="378">
        <f t="shared" si="617"/>
        <v>2057</v>
      </c>
      <c r="NM64" s="370">
        <v>95</v>
      </c>
      <c r="NN64" s="370">
        <v>75</v>
      </c>
      <c r="NO64" s="370">
        <v>1846</v>
      </c>
      <c r="NP64" s="370">
        <v>1982</v>
      </c>
      <c r="NQ64" s="379">
        <v>150237</v>
      </c>
      <c r="NR64" s="374">
        <v>74203</v>
      </c>
      <c r="NS64" s="370">
        <v>76034</v>
      </c>
      <c r="NT64" s="239">
        <f t="shared" si="618"/>
        <v>99609</v>
      </c>
      <c r="NU64" s="239">
        <v>52181</v>
      </c>
      <c r="NV64" s="239">
        <v>47428</v>
      </c>
      <c r="NW64" s="240">
        <f t="shared" si="619"/>
        <v>95247</v>
      </c>
      <c r="NX64" s="370">
        <v>49794</v>
      </c>
      <c r="NY64" s="370">
        <v>45453</v>
      </c>
      <c r="NZ64" s="239">
        <f t="shared" si="620"/>
        <v>39070</v>
      </c>
      <c r="OA64" s="370">
        <v>16676</v>
      </c>
      <c r="OB64" s="370">
        <v>22394</v>
      </c>
      <c r="OC64" s="239">
        <f t="shared" si="621"/>
        <v>6541</v>
      </c>
      <c r="OD64" s="370">
        <v>3387</v>
      </c>
      <c r="OE64" s="370">
        <v>3154</v>
      </c>
      <c r="OF64" s="240">
        <f t="shared" si="622"/>
        <v>11558</v>
      </c>
      <c r="OG64" s="240">
        <f t="shared" si="623"/>
        <v>5346</v>
      </c>
      <c r="OH64" s="240">
        <f t="shared" si="624"/>
        <v>6212</v>
      </c>
      <c r="OI64" s="380">
        <v>180612</v>
      </c>
      <c r="OJ64" s="374">
        <v>119750</v>
      </c>
      <c r="OK64" s="370">
        <v>44211</v>
      </c>
      <c r="OL64" s="370">
        <v>16651</v>
      </c>
      <c r="OM64" s="239">
        <v>9620</v>
      </c>
      <c r="ON64" s="379">
        <v>189395</v>
      </c>
      <c r="OO64" s="234">
        <v>126038</v>
      </c>
      <c r="OP64" s="234">
        <v>45186</v>
      </c>
      <c r="OQ64" s="235">
        <v>18171</v>
      </c>
      <c r="OR64" s="234">
        <v>10390</v>
      </c>
      <c r="OS64" s="379">
        <v>196824</v>
      </c>
      <c r="OT64" s="234">
        <v>133069</v>
      </c>
      <c r="OU64" s="234">
        <v>46357</v>
      </c>
      <c r="OV64" s="235">
        <v>17398</v>
      </c>
      <c r="OW64" s="234">
        <v>10642</v>
      </c>
      <c r="OX64" s="236">
        <v>201887</v>
      </c>
      <c r="OY64" s="234">
        <v>137253</v>
      </c>
      <c r="OZ64" s="234">
        <v>44663</v>
      </c>
      <c r="PA64" s="234">
        <v>19971</v>
      </c>
      <c r="PB64" s="234">
        <v>11743</v>
      </c>
      <c r="PC64" s="236">
        <v>211262.337</v>
      </c>
      <c r="PD64" s="234">
        <v>145632.11199999999</v>
      </c>
      <c r="PE64" s="234">
        <v>45291.961000000003</v>
      </c>
      <c r="PF64" s="234">
        <v>13064.814</v>
      </c>
      <c r="PG64" s="234">
        <v>20338.264000000003</v>
      </c>
      <c r="PH64" s="234">
        <v>221651</v>
      </c>
      <c r="PI64" s="234">
        <v>152527</v>
      </c>
      <c r="PJ64" s="234">
        <v>47452</v>
      </c>
      <c r="PK64" s="234">
        <v>13392</v>
      </c>
      <c r="PL64" s="2">
        <v>21597</v>
      </c>
      <c r="PM64" s="2">
        <v>236924</v>
      </c>
      <c r="PN64" s="2">
        <v>154016</v>
      </c>
      <c r="PO64" s="2">
        <v>49014</v>
      </c>
      <c r="PP64" s="2">
        <v>16065</v>
      </c>
      <c r="PQ64" s="2">
        <v>18949</v>
      </c>
      <c r="PR64" s="2">
        <v>268345</v>
      </c>
      <c r="PS64" s="2">
        <v>169206</v>
      </c>
      <c r="PT64" s="2">
        <v>56276</v>
      </c>
      <c r="PU64" s="2">
        <v>20184</v>
      </c>
      <c r="PV64" s="2">
        <v>29226</v>
      </c>
      <c r="PW64" s="2">
        <v>272875</v>
      </c>
      <c r="PX64" s="2">
        <v>174222</v>
      </c>
      <c r="PY64" s="2">
        <v>55688</v>
      </c>
      <c r="PZ64" s="2">
        <v>19593</v>
      </c>
      <c r="QA64" s="2">
        <v>29653</v>
      </c>
      <c r="QB64" s="236">
        <v>70393</v>
      </c>
      <c r="QC64" s="234">
        <v>50755</v>
      </c>
      <c r="QD64" s="234">
        <v>16866</v>
      </c>
      <c r="QE64" s="234">
        <v>2394</v>
      </c>
      <c r="QF64" s="234">
        <v>2772</v>
      </c>
      <c r="QG64" s="236">
        <v>80741</v>
      </c>
      <c r="QH64" s="234">
        <v>58249</v>
      </c>
      <c r="QI64" s="234">
        <v>16479</v>
      </c>
      <c r="QJ64" s="234">
        <v>3703</v>
      </c>
      <c r="QK64" s="234">
        <v>6013</v>
      </c>
      <c r="QL64" s="236">
        <v>111799</v>
      </c>
      <c r="QM64" s="234">
        <v>79506</v>
      </c>
      <c r="QN64" s="234">
        <v>20206</v>
      </c>
      <c r="QO64" s="234">
        <v>6476</v>
      </c>
      <c r="QP64" s="234">
        <v>12087</v>
      </c>
      <c r="QQ64" s="236">
        <v>117506.86199999999</v>
      </c>
      <c r="QR64" s="234">
        <v>85010.978000000003</v>
      </c>
      <c r="QS64" s="234">
        <v>20494.100000000002</v>
      </c>
      <c r="QT64" s="234">
        <v>7576.884</v>
      </c>
      <c r="QU64" s="588">
        <v>12001.783999999989</v>
      </c>
      <c r="QV64" s="3">
        <v>122548</v>
      </c>
      <c r="QW64" s="3">
        <v>88643</v>
      </c>
      <c r="QX64" s="3">
        <v>21225</v>
      </c>
      <c r="QY64" s="3">
        <v>8154</v>
      </c>
      <c r="QZ64" s="213">
        <v>12662</v>
      </c>
      <c r="RA64" s="179">
        <v>135199</v>
      </c>
      <c r="RB64" s="173">
        <v>92561</v>
      </c>
      <c r="RC64" s="173">
        <v>21927</v>
      </c>
      <c r="RD64" s="173">
        <v>9764</v>
      </c>
      <c r="RE64" s="173">
        <v>11495</v>
      </c>
      <c r="RF64" s="173">
        <v>155716</v>
      </c>
      <c r="RG64" s="173">
        <v>102280</v>
      </c>
      <c r="RH64" s="173">
        <v>27365</v>
      </c>
      <c r="RI64" s="173">
        <v>11655</v>
      </c>
      <c r="RJ64" s="173">
        <v>18078</v>
      </c>
      <c r="RK64" s="173">
        <v>157778</v>
      </c>
      <c r="RL64" s="173">
        <v>107550</v>
      </c>
      <c r="RM64" s="173">
        <v>24977</v>
      </c>
      <c r="RN64" s="173">
        <v>11716</v>
      </c>
      <c r="RO64" s="173">
        <v>17358</v>
      </c>
    </row>
    <row r="65" spans="2:483" ht="12.75" customHeight="1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689"/>
      <c r="AG65" s="689"/>
      <c r="AH65" s="689"/>
      <c r="AI65" s="689"/>
      <c r="AJ65" s="689"/>
      <c r="AK65" s="834"/>
      <c r="AL65" s="834"/>
      <c r="AM65" s="834"/>
      <c r="AN65" s="834"/>
      <c r="AO65" s="83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514"/>
      <c r="BA65" s="514"/>
      <c r="BB65" s="514"/>
      <c r="BC65" s="514"/>
      <c r="BD65" s="514"/>
      <c r="BE65" s="572"/>
      <c r="BF65" s="572"/>
      <c r="BG65" s="572"/>
      <c r="BH65" s="572"/>
      <c r="BI65" s="572"/>
      <c r="BJ65" s="621"/>
      <c r="BK65" s="621"/>
      <c r="BL65" s="621"/>
      <c r="BM65" s="621"/>
      <c r="BN65" s="621"/>
      <c r="BO65" s="690"/>
      <c r="BP65" s="690"/>
      <c r="BQ65" s="690"/>
      <c r="BR65" s="690"/>
      <c r="BS65" s="690"/>
      <c r="BT65" s="692"/>
      <c r="BU65" s="692"/>
      <c r="BV65" s="692"/>
      <c r="BW65" s="692"/>
      <c r="BX65" s="692"/>
      <c r="BY65" s="539"/>
      <c r="BZ65" s="539"/>
      <c r="CA65" s="539"/>
      <c r="CB65" s="539"/>
      <c r="CC65" s="539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188"/>
      <c r="DH65" s="227"/>
      <c r="DI65" s="227"/>
      <c r="DJ65" s="227"/>
      <c r="DK65" s="227"/>
      <c r="DL65" s="514"/>
      <c r="DM65" s="514"/>
      <c r="DN65" s="514"/>
      <c r="DO65" s="514"/>
      <c r="DP65" s="514"/>
      <c r="DQ65" s="540"/>
      <c r="DR65" s="540"/>
      <c r="DS65" s="540"/>
      <c r="DT65" s="540"/>
      <c r="DU65" s="549"/>
      <c r="DV65" s="549"/>
      <c r="DW65" s="549"/>
      <c r="DX65" s="549"/>
      <c r="DY65" s="549"/>
      <c r="DZ65" s="549"/>
      <c r="EA65" s="549"/>
      <c r="EB65" s="549"/>
      <c r="EC65" s="549"/>
      <c r="ED65" s="549"/>
      <c r="EE65" s="549"/>
      <c r="EF65" s="549">
        <v>188621037</v>
      </c>
      <c r="EG65" s="549"/>
      <c r="EH65" s="549"/>
      <c r="EI65" s="549"/>
      <c r="EJ65" s="549"/>
      <c r="EK65" s="549"/>
      <c r="EL65" s="549"/>
      <c r="EM65" s="549"/>
      <c r="EN65" s="549"/>
      <c r="EO65" s="549"/>
      <c r="EP65" s="214"/>
      <c r="EQ65" s="214"/>
      <c r="ER65" s="214"/>
      <c r="ES65" s="214"/>
      <c r="ET65" s="214"/>
      <c r="EU65" s="214"/>
      <c r="EV65" s="214"/>
      <c r="EW65" s="214"/>
      <c r="EX65" s="214"/>
      <c r="EY65" s="214"/>
      <c r="EZ65" s="214"/>
      <c r="FA65" s="214"/>
      <c r="FB65" s="214"/>
      <c r="FC65" s="214"/>
      <c r="FD65" s="214"/>
      <c r="FE65" s="540"/>
      <c r="FF65" s="540"/>
      <c r="FG65" s="540"/>
      <c r="FH65" s="540"/>
      <c r="FI65" s="540"/>
      <c r="FJ65" s="540"/>
      <c r="FK65" s="540"/>
      <c r="FL65" s="540"/>
      <c r="FM65" s="540"/>
      <c r="FN65" s="540"/>
      <c r="FO65" s="602"/>
      <c r="FP65" s="602"/>
      <c r="FQ65" s="602"/>
      <c r="FR65" s="602"/>
      <c r="FS65" s="602"/>
      <c r="FT65" s="621"/>
      <c r="FU65" s="621"/>
      <c r="FV65" s="621"/>
      <c r="FW65" s="621"/>
      <c r="FX65" s="621"/>
      <c r="FY65" s="692"/>
      <c r="FZ65" s="692"/>
      <c r="GA65" s="692"/>
      <c r="GB65" s="692"/>
      <c r="GC65" s="692"/>
      <c r="GD65" s="692"/>
      <c r="GE65" s="692"/>
      <c r="GF65" s="692"/>
      <c r="GG65" s="692"/>
      <c r="GH65" s="692"/>
      <c r="GI65" s="214"/>
      <c r="GJ65" s="214"/>
      <c r="GK65" s="214"/>
      <c r="GL65" s="214"/>
      <c r="GM65" s="214"/>
      <c r="GN65" s="214"/>
      <c r="GO65" s="214"/>
      <c r="GP65" s="214"/>
      <c r="GQ65" s="214"/>
      <c r="GR65" s="214"/>
      <c r="JK65" s="214"/>
      <c r="JL65" s="214"/>
      <c r="JM65" s="214"/>
      <c r="JN65" s="214"/>
      <c r="JO65" s="214"/>
      <c r="JP65" s="214"/>
      <c r="JQ65" s="214"/>
      <c r="JR65" s="214"/>
      <c r="JS65" s="214"/>
      <c r="JT65" s="214"/>
      <c r="KT65" s="214"/>
      <c r="KU65" s="214"/>
      <c r="LT65" s="214"/>
      <c r="LY65" s="214"/>
      <c r="MB65" s="214"/>
      <c r="MN65" s="214"/>
      <c r="MQ65" s="214"/>
      <c r="MR65" s="214"/>
      <c r="MW65" s="214"/>
      <c r="MX65" s="214"/>
      <c r="NA65" s="214"/>
      <c r="ND65" s="214"/>
      <c r="NT65" s="122"/>
      <c r="NU65" s="122"/>
      <c r="NV65" s="122"/>
      <c r="NW65" s="233"/>
      <c r="NZ65" s="122"/>
      <c r="OC65" s="122"/>
      <c r="OF65" s="122"/>
      <c r="OM65" s="122"/>
      <c r="ON65" s="214"/>
      <c r="OO65" s="214"/>
      <c r="OP65" s="214"/>
      <c r="OQ65" s="214"/>
      <c r="OR65" s="214"/>
      <c r="OS65" s="188"/>
      <c r="QB65" s="214"/>
      <c r="QC65" s="214"/>
      <c r="QD65" s="214"/>
      <c r="QE65" s="214"/>
      <c r="QF65" s="214"/>
      <c r="QG65" s="214"/>
      <c r="QH65" s="214"/>
      <c r="QI65" s="214"/>
      <c r="QJ65" s="214"/>
      <c r="QK65" s="214"/>
      <c r="QL65" s="514"/>
      <c r="QM65" s="514"/>
      <c r="QN65" s="514"/>
      <c r="QO65" s="514"/>
      <c r="QP65" s="514"/>
      <c r="QQ65" s="540"/>
      <c r="QR65" s="540"/>
      <c r="QS65" s="540"/>
      <c r="QT65" s="540"/>
      <c r="QU65" s="540"/>
    </row>
    <row r="66" spans="2:483" ht="12.75" customHeight="1" x14ac:dyDescent="0.2">
      <c r="B66" s="534"/>
      <c r="C66" s="534"/>
      <c r="D66" s="534"/>
      <c r="E66" s="534"/>
      <c r="F66" s="534"/>
      <c r="G66" s="534"/>
      <c r="H66" s="534"/>
      <c r="I66" s="534"/>
      <c r="J66" s="534"/>
      <c r="K66" s="534"/>
      <c r="L66" s="534"/>
      <c r="M66" s="534"/>
      <c r="N66" s="534"/>
      <c r="O66" s="534"/>
      <c r="P66" s="534"/>
      <c r="Q66" s="579" t="s">
        <v>205</v>
      </c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579" t="s">
        <v>205</v>
      </c>
      <c r="AG66" s="689"/>
      <c r="AH66" s="689"/>
      <c r="AI66" s="689"/>
      <c r="AJ66" s="689"/>
      <c r="AK66" s="834"/>
      <c r="AL66" s="834"/>
      <c r="AM66" s="834"/>
      <c r="AN66" s="834"/>
      <c r="AO66" s="834"/>
      <c r="AP66" s="534"/>
      <c r="AQ66" s="534"/>
      <c r="AR66" s="534"/>
      <c r="AS66" s="534"/>
      <c r="AT66" s="534"/>
      <c r="AU66" s="534"/>
      <c r="AV66" s="534"/>
      <c r="AW66" s="534"/>
      <c r="AX66" s="534"/>
      <c r="AY66" s="534"/>
      <c r="AZ66" s="209" t="s">
        <v>205</v>
      </c>
      <c r="BA66" s="534"/>
      <c r="BB66" s="534"/>
      <c r="BC66" s="534"/>
      <c r="BD66" s="534"/>
      <c r="BE66" s="572"/>
      <c r="BF66" s="572"/>
      <c r="BG66" s="572"/>
      <c r="BH66" s="572"/>
      <c r="BI66" s="572"/>
      <c r="BJ66" s="621"/>
      <c r="BK66" s="621"/>
      <c r="BL66" s="621"/>
      <c r="BM66" s="621"/>
      <c r="BN66" s="621"/>
      <c r="BO66" s="579" t="s">
        <v>205</v>
      </c>
      <c r="BP66" s="690"/>
      <c r="BQ66" s="690"/>
      <c r="BR66" s="690"/>
      <c r="BS66" s="690"/>
      <c r="BT66" s="692"/>
      <c r="BU66" s="692"/>
      <c r="BV66" s="692"/>
      <c r="BW66" s="692"/>
      <c r="BX66" s="692"/>
      <c r="BY66" s="209"/>
      <c r="BZ66" s="539"/>
      <c r="CA66" s="539"/>
      <c r="CB66" s="539"/>
      <c r="CC66" s="539"/>
      <c r="CD66" s="534"/>
      <c r="CE66" s="534"/>
      <c r="CF66" s="534"/>
      <c r="CG66" s="534"/>
      <c r="CH66" s="534"/>
      <c r="CI66" s="534"/>
      <c r="CJ66" s="534"/>
      <c r="CK66" s="534"/>
      <c r="CL66" s="534"/>
      <c r="CM66" s="534"/>
      <c r="CN66" s="534"/>
      <c r="CO66" s="534"/>
      <c r="CP66" s="534"/>
      <c r="CQ66" s="534"/>
      <c r="CR66" s="534"/>
      <c r="CS66" s="534"/>
      <c r="CT66" s="534"/>
      <c r="CU66" s="534"/>
      <c r="CV66" s="534"/>
      <c r="CW66" s="534"/>
      <c r="CX66" s="534"/>
      <c r="CY66" s="534"/>
      <c r="CZ66" s="534"/>
      <c r="DA66" s="534"/>
      <c r="DB66" s="534"/>
      <c r="DC66" s="534"/>
      <c r="DD66" s="534"/>
      <c r="DE66" s="534"/>
      <c r="DF66" s="534"/>
      <c r="DG66" s="227"/>
      <c r="DH66" s="227"/>
      <c r="DI66" s="227"/>
      <c r="DJ66" s="227"/>
      <c r="DK66" s="227"/>
      <c r="DL66" s="209" t="s">
        <v>205</v>
      </c>
      <c r="DM66" s="534"/>
      <c r="DN66" s="534"/>
      <c r="DO66" s="534"/>
      <c r="DP66" s="534"/>
      <c r="DQ66" s="209"/>
      <c r="DR66" s="540"/>
      <c r="DS66" s="540"/>
      <c r="DT66" s="540"/>
      <c r="DU66" s="549"/>
      <c r="DV66" s="549"/>
      <c r="DW66" s="549"/>
      <c r="DX66" s="549"/>
      <c r="DY66" s="549"/>
      <c r="DZ66" s="549"/>
      <c r="EA66" s="549"/>
      <c r="EB66" s="549"/>
      <c r="EC66" s="549"/>
      <c r="ED66" s="549"/>
      <c r="EE66" s="549"/>
      <c r="EF66" s="579" t="s">
        <v>205</v>
      </c>
      <c r="EG66" s="549"/>
      <c r="EH66" s="549"/>
      <c r="EI66" s="549"/>
      <c r="EJ66" s="549"/>
      <c r="EK66" s="579" t="s">
        <v>205</v>
      </c>
      <c r="EL66" s="549"/>
      <c r="EM66" s="549"/>
      <c r="EN66" s="549"/>
      <c r="EO66" s="549"/>
      <c r="EP66" s="534"/>
      <c r="EQ66" s="534"/>
      <c r="ER66" s="534"/>
      <c r="ES66" s="534"/>
      <c r="ET66" s="534"/>
      <c r="EU66" s="534"/>
      <c r="EV66" s="534"/>
      <c r="EW66" s="534"/>
      <c r="EX66" s="534"/>
      <c r="EY66" s="534"/>
      <c r="EZ66" s="534"/>
      <c r="FA66" s="534"/>
      <c r="FB66" s="534"/>
      <c r="FC66" s="534"/>
      <c r="FD66" s="534"/>
      <c r="FE66" s="540" t="s">
        <v>205</v>
      </c>
      <c r="FF66" s="540"/>
      <c r="FG66" s="540"/>
      <c r="FH66" s="540"/>
      <c r="FI66" s="540"/>
      <c r="FJ66" s="540"/>
      <c r="FK66" s="540"/>
      <c r="FL66" s="540"/>
      <c r="FM66" s="540"/>
      <c r="FN66" s="540"/>
      <c r="FO66" s="602"/>
      <c r="FP66" s="602"/>
      <c r="FQ66" s="602"/>
      <c r="FR66" s="602"/>
      <c r="FS66" s="602"/>
      <c r="FT66" s="621"/>
      <c r="FU66" s="621"/>
      <c r="FV66" s="621"/>
      <c r="FW66" s="621"/>
      <c r="FX66" s="621"/>
      <c r="FY66" s="579" t="s">
        <v>205</v>
      </c>
      <c r="FZ66" s="692"/>
      <c r="GA66" s="692"/>
      <c r="GB66" s="692"/>
      <c r="GC66" s="692"/>
      <c r="GD66" s="692"/>
      <c r="GE66" s="692"/>
      <c r="GF66" s="692"/>
      <c r="GG66" s="692"/>
      <c r="GH66" s="692"/>
      <c r="GI66" s="534"/>
      <c r="GJ66" s="534"/>
      <c r="GK66" s="534"/>
      <c r="GL66" s="534"/>
      <c r="GM66" s="534"/>
      <c r="GN66" s="534"/>
      <c r="GO66" s="534"/>
      <c r="GP66" s="534"/>
      <c r="GQ66" s="534"/>
      <c r="GR66" s="534"/>
      <c r="GS66" s="209" t="s">
        <v>205</v>
      </c>
      <c r="HM66" s="579" t="s">
        <v>205</v>
      </c>
      <c r="IG66" s="209" t="s">
        <v>205</v>
      </c>
      <c r="IL66" s="209"/>
      <c r="JA66" s="579" t="s">
        <v>205</v>
      </c>
      <c r="JK66" s="534"/>
      <c r="JL66" s="534"/>
      <c r="JM66" s="534"/>
      <c r="JN66" s="534"/>
      <c r="JO66" s="534"/>
      <c r="JP66" s="534"/>
      <c r="JQ66" s="534"/>
      <c r="JR66" s="534"/>
      <c r="JS66" s="534"/>
      <c r="JT66" s="534"/>
      <c r="JU66" s="209" t="s">
        <v>205</v>
      </c>
      <c r="JZ66" s="209"/>
      <c r="KT66" s="534"/>
      <c r="KU66" s="534"/>
      <c r="LT66" s="534"/>
      <c r="LY66" s="534"/>
      <c r="MB66" s="534"/>
      <c r="MN66" s="534"/>
      <c r="MQ66" s="534"/>
      <c r="MR66" s="534"/>
      <c r="MW66" s="534"/>
      <c r="MX66" s="534"/>
      <c r="NA66" s="534"/>
      <c r="ND66" s="534"/>
      <c r="NT66" s="122"/>
      <c r="NU66" s="122"/>
      <c r="NV66" s="122"/>
      <c r="NW66" s="233"/>
      <c r="NZ66" s="122"/>
      <c r="OC66" s="122"/>
      <c r="OF66" s="122"/>
      <c r="OM66" s="122"/>
      <c r="ON66" s="534"/>
      <c r="OO66" s="534"/>
      <c r="OP66" s="534"/>
      <c r="OQ66" s="534"/>
      <c r="OR66" s="534"/>
      <c r="OS66" s="227"/>
      <c r="OX66" s="209" t="s">
        <v>205</v>
      </c>
      <c r="PC66" s="209"/>
      <c r="QB66" s="534"/>
      <c r="QC66" s="534"/>
      <c r="QD66" s="534"/>
      <c r="QE66" s="534"/>
      <c r="QF66" s="534"/>
      <c r="QG66" s="534"/>
      <c r="QH66" s="534"/>
      <c r="QI66" s="534"/>
      <c r="QJ66" s="534"/>
      <c r="QK66" s="534"/>
      <c r="QL66" s="209" t="s">
        <v>205</v>
      </c>
      <c r="QM66" s="534"/>
      <c r="QN66" s="534"/>
      <c r="QO66" s="534"/>
      <c r="QP66" s="534"/>
      <c r="QQ66" s="209"/>
      <c r="QR66" s="540"/>
      <c r="QS66" s="540"/>
      <c r="QT66" s="540"/>
      <c r="QU66" s="540"/>
      <c r="QV66" s="209" t="s">
        <v>205</v>
      </c>
      <c r="RF66" s="209" t="s">
        <v>205</v>
      </c>
      <c r="RK66" s="209"/>
    </row>
    <row r="67" spans="2:483" s="209" customFormat="1" ht="319.5" customHeight="1" x14ac:dyDescent="0.2">
      <c r="B67" s="6" t="s">
        <v>154</v>
      </c>
      <c r="C67" s="214"/>
      <c r="D67" s="214"/>
      <c r="E67" s="214"/>
      <c r="F67" s="214"/>
      <c r="G67" s="214" t="s">
        <v>153</v>
      </c>
      <c r="H67" s="214" t="s">
        <v>151</v>
      </c>
      <c r="I67" s="214" t="s">
        <v>151</v>
      </c>
      <c r="J67" s="214" t="s">
        <v>152</v>
      </c>
      <c r="K67" s="214" t="s">
        <v>151</v>
      </c>
      <c r="L67" s="214" t="s">
        <v>75</v>
      </c>
      <c r="M67" s="214" t="s">
        <v>155</v>
      </c>
      <c r="N67" s="214" t="s">
        <v>156</v>
      </c>
      <c r="O67" s="214" t="s">
        <v>157</v>
      </c>
      <c r="P67" s="214" t="s">
        <v>158</v>
      </c>
      <c r="Q67" s="122" t="s">
        <v>204</v>
      </c>
      <c r="R67" s="122"/>
      <c r="S67" s="122"/>
      <c r="T67" s="122"/>
      <c r="U67" s="122"/>
      <c r="V67" s="182" t="s">
        <v>215</v>
      </c>
      <c r="W67" s="122"/>
      <c r="X67" s="122"/>
      <c r="Y67" s="122"/>
      <c r="Z67" s="122"/>
      <c r="AA67" s="122"/>
      <c r="AB67" s="122"/>
      <c r="AC67" s="122"/>
      <c r="AD67" s="122"/>
      <c r="AE67" s="122"/>
      <c r="AF67" s="689" t="s">
        <v>224</v>
      </c>
      <c r="AG67" s="689"/>
      <c r="AH67" s="689"/>
      <c r="AI67" s="689"/>
      <c r="AJ67" s="689"/>
      <c r="AK67" s="834" t="s">
        <v>230</v>
      </c>
      <c r="AL67" s="834"/>
      <c r="AM67" s="834"/>
      <c r="AN67" s="834"/>
      <c r="AO67" s="834"/>
      <c r="AP67" s="214" t="s">
        <v>153</v>
      </c>
      <c r="AQ67" s="214" t="s">
        <v>151</v>
      </c>
      <c r="AR67" s="214" t="s">
        <v>151</v>
      </c>
      <c r="AS67" s="214" t="s">
        <v>152</v>
      </c>
      <c r="AT67" s="214" t="s">
        <v>151</v>
      </c>
      <c r="AU67" s="214" t="s">
        <v>159</v>
      </c>
      <c r="AV67" s="214" t="s">
        <v>160</v>
      </c>
      <c r="AW67" s="214" t="s">
        <v>156</v>
      </c>
      <c r="AX67" s="214" t="s">
        <v>161</v>
      </c>
      <c r="AY67" s="214" t="s">
        <v>158</v>
      </c>
      <c r="AZ67" s="534" t="s">
        <v>204</v>
      </c>
      <c r="BA67" s="514"/>
      <c r="BB67" s="514"/>
      <c r="BC67" s="514"/>
      <c r="BD67" s="514"/>
      <c r="BE67" s="182" t="s">
        <v>215</v>
      </c>
      <c r="BF67" s="572"/>
      <c r="BG67" s="572"/>
      <c r="BH67" s="572"/>
      <c r="BI67" s="572"/>
      <c r="BJ67" s="621"/>
      <c r="BK67" s="621"/>
      <c r="BL67" s="621"/>
      <c r="BM67" s="621"/>
      <c r="BN67" s="621"/>
      <c r="BO67" s="691" t="s">
        <v>224</v>
      </c>
      <c r="BP67" s="690"/>
      <c r="BQ67" s="690"/>
      <c r="BR67" s="690"/>
      <c r="BS67" s="690"/>
      <c r="BT67" s="834" t="s">
        <v>230</v>
      </c>
      <c r="BU67" s="692"/>
      <c r="BV67" s="692"/>
      <c r="BW67" s="692"/>
      <c r="BX67" s="692"/>
      <c r="BY67" s="539"/>
      <c r="BZ67" s="539"/>
      <c r="CA67" s="539"/>
      <c r="CB67" s="539"/>
      <c r="CC67" s="539"/>
      <c r="CD67" s="214"/>
      <c r="CE67" s="214"/>
      <c r="CF67" s="214"/>
      <c r="CG67" s="214"/>
      <c r="CH67" s="6" t="s">
        <v>154</v>
      </c>
      <c r="CI67" s="214"/>
      <c r="CJ67" s="214"/>
      <c r="CK67" s="214"/>
      <c r="CL67" s="214"/>
      <c r="CM67" s="214" t="s">
        <v>153</v>
      </c>
      <c r="CN67" s="214" t="s">
        <v>151</v>
      </c>
      <c r="CO67" s="214" t="s">
        <v>151</v>
      </c>
      <c r="CP67" s="214" t="s">
        <v>152</v>
      </c>
      <c r="CQ67" s="214" t="s">
        <v>151</v>
      </c>
      <c r="CR67" s="214" t="s">
        <v>159</v>
      </c>
      <c r="CS67" s="214" t="s">
        <v>155</v>
      </c>
      <c r="CT67" s="214" t="s">
        <v>156</v>
      </c>
      <c r="CU67" s="214" t="s">
        <v>161</v>
      </c>
      <c r="CV67" s="214" t="s">
        <v>158</v>
      </c>
      <c r="CW67" s="267" t="s">
        <v>148</v>
      </c>
      <c r="CX67" s="214"/>
      <c r="CY67" s="214"/>
      <c r="CZ67" s="214"/>
      <c r="DA67" s="214"/>
      <c r="DB67" s="267" t="s">
        <v>167</v>
      </c>
      <c r="DC67" s="214"/>
      <c r="DD67" s="214"/>
      <c r="DE67" s="214"/>
      <c r="DF67" s="214"/>
      <c r="DG67" s="182" t="s">
        <v>190</v>
      </c>
      <c r="DH67" s="227"/>
      <c r="DI67" s="227"/>
      <c r="DJ67" s="227"/>
      <c r="DK67" s="227"/>
      <c r="DL67" s="534" t="s">
        <v>204</v>
      </c>
      <c r="DM67" s="514"/>
      <c r="DN67" s="514"/>
      <c r="DO67" s="514"/>
      <c r="DP67" s="514"/>
      <c r="DQ67" s="540"/>
      <c r="DR67" s="540"/>
      <c r="DS67" s="540"/>
      <c r="DT67" s="540"/>
      <c r="DU67" s="549"/>
      <c r="DV67" s="182" t="s">
        <v>215</v>
      </c>
      <c r="DW67" s="549"/>
      <c r="DX67" s="549"/>
      <c r="DY67" s="549"/>
      <c r="DZ67" s="549"/>
      <c r="EA67" s="549"/>
      <c r="EB67" s="549"/>
      <c r="EC67" s="549"/>
      <c r="ED67" s="549"/>
      <c r="EE67" s="549"/>
      <c r="EF67" s="691" t="s">
        <v>224</v>
      </c>
      <c r="EG67" s="549"/>
      <c r="EH67" s="549"/>
      <c r="EI67" s="549"/>
      <c r="EJ67" s="549"/>
      <c r="EK67" s="834" t="s">
        <v>224</v>
      </c>
      <c r="EL67" s="549"/>
      <c r="EM67" s="549"/>
      <c r="EN67" s="549"/>
      <c r="EO67" s="549"/>
      <c r="EP67" s="6" t="s">
        <v>154</v>
      </c>
      <c r="EQ67" s="214"/>
      <c r="ER67" s="214"/>
      <c r="ES67" s="214"/>
      <c r="ET67" s="214"/>
      <c r="EU67" s="214" t="s">
        <v>153</v>
      </c>
      <c r="EV67" s="214" t="s">
        <v>151</v>
      </c>
      <c r="EW67" s="214" t="s">
        <v>151</v>
      </c>
      <c r="EX67" s="214" t="s">
        <v>152</v>
      </c>
      <c r="EY67" s="214" t="s">
        <v>151</v>
      </c>
      <c r="EZ67" s="214" t="s">
        <v>159</v>
      </c>
      <c r="FA67" s="214" t="s">
        <v>155</v>
      </c>
      <c r="FB67" s="214" t="s">
        <v>162</v>
      </c>
      <c r="FC67" s="214" t="s">
        <v>161</v>
      </c>
      <c r="FD67" s="214" t="s">
        <v>158</v>
      </c>
      <c r="FE67" s="540" t="s">
        <v>204</v>
      </c>
      <c r="FF67" s="540"/>
      <c r="FG67" s="540"/>
      <c r="FH67" s="540"/>
      <c r="FI67" s="540"/>
      <c r="FJ67" s="540"/>
      <c r="FK67" s="540"/>
      <c r="FL67" s="540"/>
      <c r="FM67" s="540"/>
      <c r="FN67" s="540"/>
      <c r="FO67" s="602"/>
      <c r="FP67" s="602"/>
      <c r="FQ67" s="602"/>
      <c r="FR67" s="602"/>
      <c r="FS67" s="602"/>
      <c r="FT67" s="621"/>
      <c r="FU67" s="621"/>
      <c r="FV67" s="621"/>
      <c r="FW67" s="621"/>
      <c r="FX67" s="621"/>
      <c r="FY67" s="691" t="s">
        <v>224</v>
      </c>
      <c r="FZ67" s="692"/>
      <c r="GA67" s="692"/>
      <c r="GB67" s="692"/>
      <c r="GC67" s="692"/>
      <c r="GD67" s="692"/>
      <c r="GE67" s="692"/>
      <c r="GF67" s="692"/>
      <c r="GG67" s="692"/>
      <c r="GH67" s="692"/>
      <c r="GI67" s="214" t="s">
        <v>153</v>
      </c>
      <c r="GJ67" s="214" t="s">
        <v>151</v>
      </c>
      <c r="GK67" s="214" t="s">
        <v>151</v>
      </c>
      <c r="GL67" s="214" t="s">
        <v>152</v>
      </c>
      <c r="GM67" s="214" t="s">
        <v>151</v>
      </c>
      <c r="GN67" s="214" t="s">
        <v>163</v>
      </c>
      <c r="GO67" s="214" t="s">
        <v>155</v>
      </c>
      <c r="GP67" s="214" t="s">
        <v>162</v>
      </c>
      <c r="GQ67" s="214" t="s">
        <v>161</v>
      </c>
      <c r="GR67" s="214" t="s">
        <v>164</v>
      </c>
      <c r="GS67" s="534" t="s">
        <v>204</v>
      </c>
      <c r="GT67" s="514"/>
      <c r="GU67" s="514"/>
      <c r="GV67" s="514"/>
      <c r="GW67" s="514"/>
      <c r="GX67" s="540"/>
      <c r="GY67" s="540"/>
      <c r="GZ67" s="540"/>
      <c r="HA67" s="540"/>
      <c r="HB67" s="540"/>
      <c r="HC67" s="602"/>
      <c r="HD67" s="602"/>
      <c r="HE67" s="602"/>
      <c r="HF67" s="602"/>
      <c r="HG67" s="602"/>
      <c r="HH67" s="621"/>
      <c r="HI67" s="621"/>
      <c r="HJ67" s="621"/>
      <c r="HK67" s="621"/>
      <c r="HL67" s="621"/>
      <c r="HM67" s="691" t="s">
        <v>224</v>
      </c>
      <c r="HN67" s="692"/>
      <c r="HO67" s="692"/>
      <c r="HP67" s="692"/>
      <c r="HQ67" s="692"/>
      <c r="HR67" s="692"/>
      <c r="HS67" s="692"/>
      <c r="HT67" s="692"/>
      <c r="HU67" s="692"/>
      <c r="HV67" s="692"/>
      <c r="HW67" s="540"/>
      <c r="HX67" s="540"/>
      <c r="HY67" s="540"/>
      <c r="HZ67" s="540"/>
      <c r="IA67" s="540"/>
      <c r="IB67" s="540"/>
      <c r="IC67" s="540"/>
      <c r="ID67" s="540"/>
      <c r="IE67" s="540"/>
      <c r="IF67" s="540"/>
      <c r="IG67" s="534" t="s">
        <v>204</v>
      </c>
      <c r="IH67" s="514"/>
      <c r="II67" s="514"/>
      <c r="IJ67" s="514"/>
      <c r="IK67" s="514"/>
      <c r="IL67" s="540"/>
      <c r="IM67" s="540"/>
      <c r="IN67" s="540"/>
      <c r="IO67" s="540"/>
      <c r="IP67" s="540"/>
      <c r="IQ67" s="602"/>
      <c r="IR67" s="602"/>
      <c r="IS67" s="602"/>
      <c r="IT67" s="602"/>
      <c r="IU67" s="602"/>
      <c r="IV67" s="621"/>
      <c r="IW67" s="621"/>
      <c r="IX67" s="621"/>
      <c r="IY67" s="621"/>
      <c r="IZ67" s="621"/>
      <c r="JA67" s="691" t="s">
        <v>224</v>
      </c>
      <c r="JB67" s="692"/>
      <c r="JC67" s="692"/>
      <c r="JD67" s="692"/>
      <c r="JE67" s="692"/>
      <c r="JF67" s="692"/>
      <c r="JG67" s="692"/>
      <c r="JH67" s="692"/>
      <c r="JI67" s="692"/>
      <c r="JJ67" s="692"/>
      <c r="JK67" s="214" t="s">
        <v>153</v>
      </c>
      <c r="JL67" s="214" t="s">
        <v>151</v>
      </c>
      <c r="JM67" s="214" t="s">
        <v>151</v>
      </c>
      <c r="JN67" s="214" t="s">
        <v>152</v>
      </c>
      <c r="JO67" s="214" t="s">
        <v>151</v>
      </c>
      <c r="JP67" s="214" t="s">
        <v>163</v>
      </c>
      <c r="JQ67" s="214" t="s">
        <v>155</v>
      </c>
      <c r="JR67" s="214" t="s">
        <v>162</v>
      </c>
      <c r="JS67" s="214" t="s">
        <v>161</v>
      </c>
      <c r="JT67" s="214" t="s">
        <v>164</v>
      </c>
      <c r="JU67" s="534" t="s">
        <v>204</v>
      </c>
      <c r="JV67" s="514"/>
      <c r="JW67" s="514"/>
      <c r="JX67" s="514"/>
      <c r="JY67" s="514"/>
      <c r="JZ67" s="540"/>
      <c r="KA67" s="540"/>
      <c r="KB67" s="540"/>
      <c r="KC67" s="540"/>
      <c r="KD67" s="540"/>
      <c r="KE67" s="621"/>
      <c r="KF67" s="621"/>
      <c r="KG67" s="621"/>
      <c r="KH67" s="621"/>
      <c r="KI67" s="621"/>
      <c r="KJ67" s="691" t="s">
        <v>224</v>
      </c>
      <c r="KK67" s="692"/>
      <c r="KL67" s="692"/>
      <c r="KM67" s="692"/>
      <c r="KN67" s="692"/>
      <c r="KO67" s="692"/>
      <c r="KP67" s="692"/>
      <c r="KQ67" s="692"/>
      <c r="KR67" s="692"/>
      <c r="KS67" s="692"/>
      <c r="KT67" s="214" t="s">
        <v>150</v>
      </c>
      <c r="KU67" s="214"/>
      <c r="KV67" s="214" t="s">
        <v>83</v>
      </c>
      <c r="KW67" s="214"/>
      <c r="KX67" s="214"/>
      <c r="KY67" s="214"/>
      <c r="KZ67" s="185"/>
      <c r="LA67" s="185"/>
      <c r="LB67" s="214"/>
      <c r="LC67" s="185"/>
      <c r="LD67" s="185"/>
      <c r="LE67" s="185"/>
      <c r="LF67" s="185"/>
      <c r="LG67" s="185"/>
      <c r="LH67" s="185"/>
      <c r="LI67" s="185"/>
      <c r="LJ67" s="185"/>
      <c r="LK67" s="185"/>
      <c r="LL67" s="185"/>
      <c r="LM67" s="185"/>
      <c r="LN67" s="185"/>
      <c r="LO67" s="185"/>
      <c r="LP67" s="185"/>
      <c r="LQ67" s="6" t="s">
        <v>149</v>
      </c>
      <c r="LR67" s="185"/>
      <c r="LS67" s="185"/>
      <c r="LU67" s="185"/>
      <c r="LV67" s="185"/>
      <c r="LW67" s="185"/>
      <c r="LX67" s="185"/>
      <c r="LY67" s="6"/>
      <c r="LZ67" s="185"/>
      <c r="MA67" s="185"/>
      <c r="MB67" s="6"/>
      <c r="MC67" s="185"/>
      <c r="MD67" s="185"/>
      <c r="ME67" s="185"/>
      <c r="MF67" s="185"/>
      <c r="MG67" s="185"/>
      <c r="MH67" s="268"/>
      <c r="MI67" s="268"/>
      <c r="MJ67" s="268"/>
      <c r="MK67" s="185"/>
      <c r="ML67" s="185"/>
      <c r="MM67" s="185"/>
      <c r="MN67" s="214"/>
      <c r="MO67" s="185"/>
      <c r="MP67" s="185"/>
      <c r="MQ67" s="214"/>
      <c r="MR67" s="214"/>
      <c r="MS67" s="185"/>
      <c r="MT67" s="185"/>
      <c r="MU67" s="185"/>
      <c r="MV67" s="185"/>
      <c r="MW67" s="214"/>
      <c r="MX67" s="214"/>
      <c r="MY67" s="185"/>
      <c r="MZ67" s="185"/>
      <c r="NA67" s="214"/>
      <c r="NB67" s="185"/>
      <c r="NC67" s="185"/>
      <c r="ND67" s="214"/>
      <c r="NE67" s="269"/>
      <c r="NF67" s="269"/>
      <c r="NG67" s="270"/>
      <c r="NH67" s="270"/>
      <c r="NI67" s="270"/>
      <c r="NJ67" s="269"/>
      <c r="NK67" s="269"/>
      <c r="NL67" s="269"/>
      <c r="NM67" s="185"/>
      <c r="NN67" s="185"/>
      <c r="NO67" s="185"/>
      <c r="NP67" s="185"/>
      <c r="NQ67" s="271"/>
      <c r="NR67" s="185"/>
      <c r="NS67" s="185"/>
      <c r="NT67" s="122"/>
      <c r="NU67" s="122"/>
      <c r="NV67" s="122"/>
      <c r="NW67" s="233"/>
      <c r="NX67" s="185"/>
      <c r="NY67" s="185"/>
      <c r="NZ67" s="122"/>
      <c r="OA67" s="185"/>
      <c r="OB67" s="185"/>
      <c r="OC67" s="122"/>
      <c r="OD67" s="185"/>
      <c r="OE67" s="185"/>
      <c r="OF67" s="122"/>
      <c r="OI67" s="267" t="s">
        <v>148</v>
      </c>
      <c r="OJ67" s="185"/>
      <c r="OK67" s="185"/>
      <c r="OL67" s="185"/>
      <c r="OM67" s="122"/>
      <c r="ON67" s="267" t="s">
        <v>167</v>
      </c>
      <c r="OO67" s="214"/>
      <c r="OP67" s="214"/>
      <c r="OQ67" s="214"/>
      <c r="OR67" s="214"/>
      <c r="OS67" s="182" t="s">
        <v>190</v>
      </c>
      <c r="OT67" s="189"/>
      <c r="OU67" s="189"/>
      <c r="OV67" s="189"/>
      <c r="OW67" s="189"/>
      <c r="OX67" s="534" t="s">
        <v>204</v>
      </c>
      <c r="OY67" s="507"/>
      <c r="OZ67" s="507"/>
      <c r="PA67" s="507"/>
      <c r="PB67" s="507"/>
      <c r="PC67" s="540"/>
      <c r="PD67" s="540"/>
      <c r="PE67" s="540"/>
      <c r="PF67" s="540"/>
      <c r="PG67" s="540"/>
      <c r="PH67" s="182" t="s">
        <v>215</v>
      </c>
      <c r="PI67" s="572"/>
      <c r="PJ67" s="572"/>
      <c r="PK67" s="572"/>
      <c r="PL67" s="572"/>
      <c r="PM67" s="621"/>
      <c r="PN67" s="621"/>
      <c r="PO67" s="621"/>
      <c r="PP67" s="621"/>
      <c r="PQ67" s="621"/>
      <c r="PR67" s="691" t="s">
        <v>224</v>
      </c>
      <c r="PS67" s="688"/>
      <c r="PT67" s="688"/>
      <c r="PU67" s="688"/>
      <c r="PV67" s="688"/>
      <c r="PW67" s="692"/>
      <c r="PX67" s="692"/>
      <c r="PY67" s="692"/>
      <c r="PZ67" s="692"/>
      <c r="QA67" s="692"/>
      <c r="QB67" s="214" t="s">
        <v>153</v>
      </c>
      <c r="QC67" s="214" t="s">
        <v>151</v>
      </c>
      <c r="QD67" s="214" t="s">
        <v>151</v>
      </c>
      <c r="QE67" s="214" t="s">
        <v>152</v>
      </c>
      <c r="QF67" s="214" t="s">
        <v>151</v>
      </c>
      <c r="QG67" s="214" t="s">
        <v>163</v>
      </c>
      <c r="QH67" s="214" t="s">
        <v>155</v>
      </c>
      <c r="QI67" s="214" t="s">
        <v>162</v>
      </c>
      <c r="QJ67" s="214" t="s">
        <v>161</v>
      </c>
      <c r="QK67" s="214" t="s">
        <v>164</v>
      </c>
      <c r="QL67" s="534" t="s">
        <v>204</v>
      </c>
      <c r="QM67" s="514"/>
      <c r="QN67" s="514"/>
      <c r="QO67" s="514"/>
      <c r="QP67" s="514"/>
      <c r="QQ67" s="540"/>
      <c r="QR67" s="540"/>
      <c r="QS67" s="540"/>
      <c r="QT67" s="540"/>
      <c r="QU67" s="540"/>
      <c r="QV67" s="182" t="s">
        <v>215</v>
      </c>
      <c r="RF67" s="691" t="s">
        <v>224</v>
      </c>
      <c r="RK67" s="834"/>
      <c r="RO67" s="834" t="s">
        <v>230</v>
      </c>
    </row>
    <row r="68" spans="2:483" ht="48" customHeight="1" x14ac:dyDescent="0.2">
      <c r="B68" s="62"/>
      <c r="C68" s="62"/>
      <c r="D68" s="62"/>
      <c r="E68" s="62"/>
      <c r="F68" s="62"/>
      <c r="L68" s="62"/>
      <c r="M68" s="62"/>
      <c r="N68" s="62"/>
      <c r="O68" s="62"/>
      <c r="P68" s="62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54"/>
      <c r="CE68" s="54"/>
      <c r="CF68" s="54"/>
      <c r="CG68" s="54"/>
      <c r="CH68" s="62"/>
      <c r="CI68" s="62"/>
      <c r="CJ68" s="62"/>
      <c r="CK68" s="62"/>
      <c r="CL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229"/>
      <c r="DH68" s="229"/>
      <c r="DI68" s="229"/>
      <c r="DJ68" s="229"/>
      <c r="DK68" s="229"/>
      <c r="DL68" s="62"/>
      <c r="DM68" s="62"/>
      <c r="DN68" s="62"/>
      <c r="DO68" s="62"/>
      <c r="DP68" s="62"/>
      <c r="DQ68" s="62"/>
      <c r="DR68" s="62"/>
      <c r="DS68" s="62"/>
      <c r="DT68" s="62"/>
      <c r="DU68" s="550"/>
      <c r="DV68" s="550"/>
      <c r="DW68" s="550"/>
      <c r="DX68" s="550"/>
      <c r="DY68" s="550"/>
      <c r="DZ68" s="550"/>
      <c r="EA68" s="550"/>
      <c r="EB68" s="550"/>
      <c r="EC68" s="550"/>
      <c r="ED68" s="550"/>
      <c r="EE68" s="550"/>
      <c r="EF68" s="550"/>
      <c r="EG68" s="550"/>
      <c r="EH68" s="550"/>
      <c r="EI68" s="550"/>
      <c r="EJ68" s="550"/>
      <c r="EK68" s="550"/>
      <c r="EL68" s="550"/>
      <c r="EM68" s="550"/>
      <c r="EN68" s="550"/>
      <c r="EO68" s="550"/>
      <c r="EP68" s="62"/>
      <c r="EQ68" s="62"/>
      <c r="ER68" s="62"/>
      <c r="ES68" s="62"/>
      <c r="ET68" s="62"/>
      <c r="EZ68" s="65"/>
      <c r="FA68" s="62"/>
      <c r="FB68" s="62"/>
      <c r="FC68" s="62"/>
      <c r="FD68" s="62"/>
      <c r="FE68" s="65"/>
      <c r="FF68" s="62"/>
      <c r="FG68" s="62"/>
      <c r="FH68" s="62"/>
      <c r="FI68" s="62"/>
      <c r="FJ68" s="65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N68" s="62"/>
      <c r="GO68" s="54"/>
      <c r="GP68" s="54"/>
      <c r="GQ68" s="54"/>
      <c r="GR68" s="54"/>
      <c r="JP68" s="62"/>
      <c r="JQ68" s="54"/>
      <c r="JR68" s="54"/>
      <c r="JS68" s="54"/>
      <c r="JT68" s="54"/>
      <c r="LT68" s="62"/>
      <c r="LY68" s="62"/>
      <c r="MN68" s="54"/>
      <c r="MQ68" s="62"/>
      <c r="MR68" s="62"/>
      <c r="MW68" s="62"/>
      <c r="MX68" s="62"/>
      <c r="NA68" s="62"/>
      <c r="ND68" s="62"/>
      <c r="NT68" s="121"/>
      <c r="NU68" s="121"/>
      <c r="NV68" s="121"/>
      <c r="NW68" s="126"/>
      <c r="NZ68" s="121"/>
      <c r="OC68" s="121"/>
      <c r="OF68" s="121"/>
      <c r="OM68" s="121"/>
      <c r="ON68" s="62"/>
      <c r="OO68" s="62"/>
      <c r="OP68" s="62"/>
      <c r="OQ68" s="62"/>
      <c r="OR68" s="62"/>
      <c r="OS68" s="229"/>
      <c r="OX68" s="187" t="s">
        <v>198</v>
      </c>
      <c r="QI68" s="54"/>
      <c r="QJ68" s="54"/>
      <c r="QK68" s="54"/>
      <c r="QN68" s="54"/>
      <c r="QO68" s="54"/>
      <c r="QP68" s="54"/>
      <c r="QS68" s="54"/>
      <c r="QT68" s="54"/>
      <c r="QU68" s="54"/>
    </row>
    <row r="69" spans="2:483" x14ac:dyDescent="0.2">
      <c r="B69" s="62"/>
      <c r="C69" s="62"/>
      <c r="D69" s="62"/>
      <c r="E69" s="62"/>
      <c r="F69" s="62"/>
      <c r="L69" s="62"/>
      <c r="M69" s="62"/>
      <c r="N69" s="62"/>
      <c r="O69" s="62"/>
      <c r="P69" s="62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54"/>
      <c r="CE69" s="54"/>
      <c r="CF69" s="54"/>
      <c r="CG69" s="54"/>
      <c r="CH69" s="62"/>
      <c r="CI69" s="62"/>
      <c r="CJ69" s="62"/>
      <c r="CK69" s="62"/>
      <c r="CL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229"/>
      <c r="DH69" s="229"/>
      <c r="DI69" s="229"/>
      <c r="DJ69" s="229"/>
      <c r="DK69" s="229"/>
      <c r="DL69" s="62"/>
      <c r="DM69" s="62"/>
      <c r="DN69" s="62"/>
      <c r="DO69" s="62"/>
      <c r="DP69" s="62"/>
      <c r="DQ69" s="62"/>
      <c r="DR69" s="62"/>
      <c r="DS69" s="62"/>
      <c r="DT69" s="62"/>
      <c r="DU69" s="550"/>
      <c r="DV69" s="550"/>
      <c r="DW69" s="550"/>
      <c r="DX69" s="550"/>
      <c r="DY69" s="550"/>
      <c r="DZ69" s="550"/>
      <c r="EA69" s="550"/>
      <c r="EB69" s="550"/>
      <c r="EC69" s="550"/>
      <c r="ED69" s="550"/>
      <c r="EE69" s="550"/>
      <c r="EF69" s="550"/>
      <c r="EG69" s="550"/>
      <c r="EH69" s="550"/>
      <c r="EI69" s="550"/>
      <c r="EJ69" s="550"/>
      <c r="EK69" s="550"/>
      <c r="EL69" s="550"/>
      <c r="EM69" s="550"/>
      <c r="EN69" s="550"/>
      <c r="EO69" s="550"/>
      <c r="EP69" s="62"/>
      <c r="EQ69" s="62"/>
      <c r="ER69" s="62"/>
      <c r="ES69" s="62"/>
      <c r="ET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N69" s="62"/>
      <c r="GO69" s="54"/>
      <c r="GP69" s="54"/>
      <c r="GQ69" s="54"/>
      <c r="GR69" s="54"/>
      <c r="JP69" s="62"/>
      <c r="JQ69" s="54"/>
      <c r="JR69" s="54"/>
      <c r="JS69" s="54"/>
      <c r="JT69" s="54"/>
      <c r="LT69" s="62"/>
      <c r="LY69" s="62"/>
      <c r="MB69" s="62"/>
      <c r="MN69" s="54"/>
      <c r="MQ69" s="62"/>
      <c r="MR69" s="62"/>
      <c r="MW69" s="62"/>
      <c r="MX69" s="62"/>
      <c r="NA69" s="62"/>
      <c r="ND69" s="62"/>
      <c r="NT69" s="121"/>
      <c r="NU69" s="121"/>
      <c r="NV69" s="121"/>
      <c r="NW69" s="126"/>
      <c r="NZ69" s="121"/>
      <c r="OC69" s="121"/>
      <c r="OF69" s="121"/>
      <c r="OM69" s="121"/>
      <c r="ON69" s="62"/>
      <c r="OO69" s="62"/>
      <c r="OP69" s="62"/>
      <c r="OQ69" s="62"/>
      <c r="OR69" s="62"/>
      <c r="OS69" s="229"/>
      <c r="QI69" s="54"/>
      <c r="QJ69" s="54"/>
      <c r="QK69" s="54"/>
      <c r="QN69" s="54"/>
      <c r="QO69" s="54"/>
      <c r="QP69" s="54"/>
      <c r="QS69" s="54"/>
      <c r="QT69" s="54"/>
      <c r="QU69" s="54"/>
    </row>
    <row r="70" spans="2:483" x14ac:dyDescent="0.2">
      <c r="B70" s="62"/>
      <c r="C70" s="62"/>
      <c r="D70" s="62"/>
      <c r="E70" s="62"/>
      <c r="F70" s="62"/>
      <c r="L70" s="62"/>
      <c r="M70" s="62"/>
      <c r="N70" s="62"/>
      <c r="O70" s="62"/>
      <c r="P70" s="62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54"/>
      <c r="CE70" s="54"/>
      <c r="CF70" s="54"/>
      <c r="CG70" s="54"/>
      <c r="CH70" s="62"/>
      <c r="CI70" s="62"/>
      <c r="CJ70" s="62"/>
      <c r="CK70" s="62"/>
      <c r="CL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229"/>
      <c r="DH70" s="229"/>
      <c r="DI70" s="229"/>
      <c r="DJ70" s="229"/>
      <c r="DK70" s="229"/>
      <c r="DL70" s="62"/>
      <c r="DM70" s="62"/>
      <c r="DN70" s="62"/>
      <c r="DO70" s="62"/>
      <c r="DP70" s="62"/>
      <c r="DQ70" s="62"/>
      <c r="DR70" s="62"/>
      <c r="DS70" s="62"/>
      <c r="DT70" s="62"/>
      <c r="DU70" s="550"/>
      <c r="DV70" s="550"/>
      <c r="DW70" s="550"/>
      <c r="DX70" s="550"/>
      <c r="DY70" s="550"/>
      <c r="DZ70" s="550"/>
      <c r="EA70" s="550"/>
      <c r="EB70" s="550"/>
      <c r="EC70" s="550"/>
      <c r="ED70" s="550"/>
      <c r="EE70" s="550"/>
      <c r="EF70" s="550"/>
      <c r="EG70" s="550"/>
      <c r="EH70" s="550"/>
      <c r="EI70" s="550"/>
      <c r="EJ70" s="550"/>
      <c r="EK70" s="550"/>
      <c r="EL70" s="550"/>
      <c r="EM70" s="550"/>
      <c r="EN70" s="550"/>
      <c r="EO70" s="550"/>
      <c r="EP70" s="62"/>
      <c r="EQ70" s="62"/>
      <c r="ER70" s="62"/>
      <c r="ES70" s="62"/>
      <c r="ET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N70" s="62"/>
      <c r="GO70" s="54"/>
      <c r="GP70" s="54"/>
      <c r="GQ70" s="54"/>
      <c r="GR70" s="54"/>
      <c r="JP70" s="62"/>
      <c r="JQ70" s="54"/>
      <c r="JR70" s="54"/>
      <c r="JS70" s="54"/>
      <c r="JT70" s="54"/>
      <c r="KT70" s="20"/>
      <c r="KU70" s="20"/>
      <c r="LT70" s="62"/>
      <c r="LY70" s="62"/>
      <c r="MB70" s="62"/>
      <c r="MN70" s="54"/>
      <c r="MQ70" s="62"/>
      <c r="MR70" s="62"/>
      <c r="MW70" s="62"/>
      <c r="MX70" s="62"/>
      <c r="NA70" s="62"/>
      <c r="ND70" s="62"/>
      <c r="NT70" s="121"/>
      <c r="NU70" s="121"/>
      <c r="NV70" s="121"/>
      <c r="NW70" s="126"/>
      <c r="NZ70" s="121"/>
      <c r="OC70" s="121"/>
      <c r="OF70" s="121"/>
      <c r="OM70" s="121"/>
      <c r="ON70" s="62"/>
      <c r="OO70" s="62"/>
      <c r="OP70" s="62"/>
      <c r="OQ70" s="62"/>
      <c r="OR70" s="62"/>
      <c r="OS70" s="229"/>
      <c r="QI70" s="54"/>
      <c r="QJ70" s="54"/>
      <c r="QK70" s="54"/>
      <c r="QN70" s="54"/>
      <c r="QO70" s="54"/>
      <c r="QP70" s="54"/>
      <c r="QS70" s="54"/>
      <c r="QT70" s="54"/>
      <c r="QU70" s="54"/>
    </row>
    <row r="71" spans="2:483" x14ac:dyDescent="0.2">
      <c r="B71" s="62"/>
      <c r="C71" s="62"/>
      <c r="D71" s="62"/>
      <c r="E71" s="62"/>
      <c r="F71" s="62"/>
      <c r="L71" s="62"/>
      <c r="M71" s="62"/>
      <c r="N71" s="62"/>
      <c r="O71" s="62"/>
      <c r="P71" s="62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54"/>
      <c r="CE71" s="54"/>
      <c r="CF71" s="54"/>
      <c r="CG71" s="54"/>
      <c r="CH71" s="62"/>
      <c r="CI71" s="62"/>
      <c r="CJ71" s="62"/>
      <c r="CK71" s="62"/>
      <c r="CL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229"/>
      <c r="DH71" s="229"/>
      <c r="DI71" s="229"/>
      <c r="DJ71" s="229"/>
      <c r="DK71" s="229"/>
      <c r="DL71" s="62"/>
      <c r="DM71" s="62"/>
      <c r="DN71" s="62"/>
      <c r="DO71" s="62"/>
      <c r="DP71" s="62"/>
      <c r="DQ71" s="62"/>
      <c r="DR71" s="62"/>
      <c r="DS71" s="62"/>
      <c r="DT71" s="62"/>
      <c r="DU71" s="550"/>
      <c r="DV71" s="550"/>
      <c r="DW71" s="550"/>
      <c r="DX71" s="550"/>
      <c r="DY71" s="550"/>
      <c r="DZ71" s="550"/>
      <c r="EA71" s="550"/>
      <c r="EB71" s="550"/>
      <c r="EC71" s="550"/>
      <c r="ED71" s="550"/>
      <c r="EE71" s="550"/>
      <c r="EF71" s="550"/>
      <c r="EG71" s="550"/>
      <c r="EH71" s="550"/>
      <c r="EI71" s="550"/>
      <c r="EJ71" s="550"/>
      <c r="EK71" s="550"/>
      <c r="EL71" s="550"/>
      <c r="EM71" s="550"/>
      <c r="EN71" s="550"/>
      <c r="EO71" s="550"/>
      <c r="EP71" s="62"/>
      <c r="EQ71" s="62"/>
      <c r="ER71" s="62"/>
      <c r="ES71" s="62"/>
      <c r="ET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N71" s="62"/>
      <c r="GO71" s="54"/>
      <c r="GP71" s="54"/>
      <c r="GQ71" s="54"/>
      <c r="GR71" s="54"/>
      <c r="JP71" s="62"/>
      <c r="JQ71" s="54"/>
      <c r="JR71" s="54"/>
      <c r="JS71" s="54"/>
      <c r="JT71" s="54"/>
      <c r="KT71" s="20"/>
      <c r="KU71" s="20"/>
      <c r="LT71" s="62"/>
      <c r="LY71" s="62"/>
      <c r="MB71" s="62"/>
      <c r="MN71" s="54"/>
      <c r="MQ71" s="62"/>
      <c r="MR71" s="62"/>
      <c r="MW71" s="62"/>
      <c r="MX71" s="62"/>
      <c r="NA71" s="62"/>
      <c r="ND71" s="62"/>
      <c r="NT71" s="121"/>
      <c r="NU71" s="121"/>
      <c r="NV71" s="121"/>
      <c r="NW71" s="126"/>
      <c r="NZ71" s="121"/>
      <c r="OC71" s="121"/>
      <c r="OF71" s="121"/>
      <c r="OM71" s="121"/>
      <c r="ON71" s="62"/>
      <c r="OO71" s="62"/>
      <c r="OP71" s="62"/>
      <c r="OQ71" s="62"/>
      <c r="OR71" s="62"/>
      <c r="OS71" s="229"/>
      <c r="QI71" s="54"/>
      <c r="QJ71" s="54"/>
      <c r="QK71" s="54"/>
      <c r="QN71" s="54"/>
      <c r="QO71" s="54"/>
      <c r="QP71" s="54"/>
      <c r="QS71" s="54"/>
      <c r="QT71" s="54"/>
      <c r="QU71" s="54"/>
    </row>
    <row r="72" spans="2:483" x14ac:dyDescent="0.2">
      <c r="B72" s="62"/>
      <c r="C72" s="62"/>
      <c r="D72" s="62"/>
      <c r="E72" s="62"/>
      <c r="F72" s="62"/>
      <c r="L72" s="62"/>
      <c r="M72" s="62"/>
      <c r="N72" s="62"/>
      <c r="O72" s="62"/>
      <c r="P72" s="62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54"/>
      <c r="CE72" s="54"/>
      <c r="CF72" s="54"/>
      <c r="CG72" s="54"/>
      <c r="CH72" s="62"/>
      <c r="CI72" s="62"/>
      <c r="CJ72" s="62"/>
      <c r="CK72" s="62"/>
      <c r="CL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229"/>
      <c r="DH72" s="229"/>
      <c r="DI72" s="229"/>
      <c r="DJ72" s="229"/>
      <c r="DK72" s="229"/>
      <c r="DL72" s="62"/>
      <c r="DM72" s="62"/>
      <c r="DN72" s="62"/>
      <c r="DO72" s="62"/>
      <c r="DP72" s="62"/>
      <c r="DQ72" s="62"/>
      <c r="DR72" s="62"/>
      <c r="DS72" s="62"/>
      <c r="DT72" s="62"/>
      <c r="DU72" s="550"/>
      <c r="DV72" s="550"/>
      <c r="DW72" s="550"/>
      <c r="DX72" s="550"/>
      <c r="DY72" s="550"/>
      <c r="DZ72" s="550"/>
      <c r="EA72" s="550"/>
      <c r="EB72" s="550"/>
      <c r="EC72" s="550"/>
      <c r="ED72" s="550"/>
      <c r="EE72" s="550"/>
      <c r="EF72" s="550"/>
      <c r="EG72" s="550"/>
      <c r="EH72" s="550"/>
      <c r="EI72" s="550"/>
      <c r="EJ72" s="550"/>
      <c r="EK72" s="550"/>
      <c r="EL72" s="550"/>
      <c r="EM72" s="550"/>
      <c r="EN72" s="550"/>
      <c r="EO72" s="550"/>
      <c r="EP72" s="62"/>
      <c r="EQ72" s="62"/>
      <c r="ER72" s="62"/>
      <c r="ES72" s="62"/>
      <c r="ET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N72" s="62"/>
      <c r="GO72" s="54"/>
      <c r="GP72" s="54"/>
      <c r="GQ72" s="54"/>
      <c r="GR72" s="54"/>
      <c r="JP72" s="62"/>
      <c r="JQ72" s="54"/>
      <c r="JR72" s="54"/>
      <c r="JS72" s="54"/>
      <c r="JT72" s="54"/>
      <c r="KT72" s="132"/>
      <c r="KU72" s="132"/>
      <c r="LT72" s="62"/>
      <c r="LY72" s="62"/>
      <c r="MB72" s="62"/>
      <c r="MN72" s="54"/>
      <c r="MQ72" s="62"/>
      <c r="MR72" s="62"/>
      <c r="MW72" s="62"/>
      <c r="MX72" s="62"/>
      <c r="NA72" s="62"/>
      <c r="ND72" s="62"/>
      <c r="NT72" s="121"/>
      <c r="NU72" s="121"/>
      <c r="NV72" s="121"/>
      <c r="NW72" s="126"/>
      <c r="NZ72" s="121"/>
      <c r="OC72" s="121"/>
      <c r="OF72" s="121"/>
      <c r="OM72" s="121"/>
      <c r="ON72" s="62"/>
      <c r="OO72" s="62"/>
      <c r="OP72" s="62"/>
      <c r="OQ72" s="62"/>
      <c r="OR72" s="62"/>
      <c r="OS72" s="229"/>
      <c r="QI72" s="54"/>
      <c r="QJ72" s="54"/>
      <c r="QK72" s="54"/>
      <c r="QN72" s="54"/>
      <c r="QO72" s="54"/>
      <c r="QP72" s="54"/>
      <c r="QS72" s="54"/>
      <c r="QT72" s="54"/>
      <c r="QU72" s="54"/>
    </row>
    <row r="73" spans="2:483" x14ac:dyDescent="0.2">
      <c r="B73" s="62"/>
      <c r="C73" s="62"/>
      <c r="D73" s="62"/>
      <c r="E73" s="62"/>
      <c r="F73" s="62"/>
      <c r="L73" s="62"/>
      <c r="M73" s="62"/>
      <c r="N73" s="62"/>
      <c r="O73" s="62"/>
      <c r="P73" s="62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54"/>
      <c r="CE73" s="54"/>
      <c r="CF73" s="54"/>
      <c r="CG73" s="54"/>
      <c r="CH73" s="62"/>
      <c r="CI73" s="62"/>
      <c r="CJ73" s="62"/>
      <c r="CK73" s="62"/>
      <c r="CL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229"/>
      <c r="DH73" s="229"/>
      <c r="DI73" s="229"/>
      <c r="DJ73" s="229"/>
      <c r="DK73" s="229"/>
      <c r="DL73" s="62"/>
      <c r="DM73" s="62"/>
      <c r="DN73" s="62"/>
      <c r="DO73" s="62"/>
      <c r="DP73" s="62"/>
      <c r="DQ73" s="62"/>
      <c r="DR73" s="62"/>
      <c r="DS73" s="62"/>
      <c r="DT73" s="62"/>
      <c r="DU73" s="550"/>
      <c r="DV73" s="550"/>
      <c r="DW73" s="550"/>
      <c r="DX73" s="550"/>
      <c r="DY73" s="550"/>
      <c r="DZ73" s="550"/>
      <c r="EA73" s="550"/>
      <c r="EB73" s="550"/>
      <c r="EC73" s="550"/>
      <c r="ED73" s="550"/>
      <c r="EE73" s="550"/>
      <c r="EF73" s="550"/>
      <c r="EG73" s="550"/>
      <c r="EH73" s="550"/>
      <c r="EI73" s="550"/>
      <c r="EJ73" s="550"/>
      <c r="EK73" s="550"/>
      <c r="EL73" s="550"/>
      <c r="EM73" s="550"/>
      <c r="EN73" s="550"/>
      <c r="EO73" s="550"/>
      <c r="EP73" s="62"/>
      <c r="EQ73" s="62"/>
      <c r="ER73" s="62"/>
      <c r="ES73" s="62"/>
      <c r="ET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N73" s="62"/>
      <c r="JP73" s="62"/>
      <c r="LT73" s="62"/>
      <c r="LY73" s="62"/>
      <c r="MB73" s="62"/>
      <c r="MN73" s="54"/>
      <c r="MQ73" s="62"/>
      <c r="MR73" s="62"/>
      <c r="MW73" s="62"/>
      <c r="MX73" s="62"/>
      <c r="NA73" s="62"/>
      <c r="ND73" s="62"/>
      <c r="NT73" s="121"/>
      <c r="NU73" s="121"/>
      <c r="NV73" s="121"/>
      <c r="NW73" s="126"/>
      <c r="NZ73" s="121"/>
      <c r="OC73" s="121"/>
      <c r="OF73" s="121"/>
      <c r="OM73" s="121"/>
      <c r="ON73" s="62"/>
      <c r="OO73" s="62"/>
      <c r="OP73" s="62"/>
      <c r="OQ73" s="62"/>
      <c r="OR73" s="62"/>
      <c r="OS73" s="229"/>
    </row>
    <row r="74" spans="2:483" x14ac:dyDescent="0.2">
      <c r="B74" s="62"/>
      <c r="C74" s="62"/>
      <c r="D74" s="62"/>
      <c r="E74" s="62"/>
      <c r="F74" s="62"/>
      <c r="L74" s="62"/>
      <c r="M74" s="62"/>
      <c r="N74" s="62"/>
      <c r="O74" s="62"/>
      <c r="P74" s="62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54"/>
      <c r="CE74" s="54"/>
      <c r="CF74" s="54"/>
      <c r="CG74" s="54"/>
      <c r="CH74" s="62"/>
      <c r="CI74" s="62"/>
      <c r="CJ74" s="62"/>
      <c r="CK74" s="62"/>
      <c r="CL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229"/>
      <c r="DH74" s="229"/>
      <c r="DI74" s="229"/>
      <c r="DJ74" s="229"/>
      <c r="DK74" s="229"/>
      <c r="DL74" s="62"/>
      <c r="DM74" s="62"/>
      <c r="DN74" s="62"/>
      <c r="DO74" s="62"/>
      <c r="DP74" s="62"/>
      <c r="DQ74" s="62"/>
      <c r="DR74" s="62"/>
      <c r="DS74" s="62"/>
      <c r="DT74" s="62"/>
      <c r="DU74" s="550"/>
      <c r="DV74" s="550"/>
      <c r="DW74" s="550"/>
      <c r="DX74" s="550"/>
      <c r="DY74" s="550"/>
      <c r="DZ74" s="550"/>
      <c r="EA74" s="550"/>
      <c r="EB74" s="550"/>
      <c r="EC74" s="550"/>
      <c r="ED74" s="550"/>
      <c r="EE74" s="550"/>
      <c r="EF74" s="550"/>
      <c r="EG74" s="550"/>
      <c r="EH74" s="550"/>
      <c r="EI74" s="550"/>
      <c r="EJ74" s="550"/>
      <c r="EK74" s="550"/>
      <c r="EL74" s="550"/>
      <c r="EM74" s="550"/>
      <c r="EN74" s="550"/>
      <c r="EO74" s="550"/>
      <c r="EP74" s="62"/>
      <c r="EQ74" s="62"/>
      <c r="ER74" s="62"/>
      <c r="ES74" s="62"/>
      <c r="ET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N74" s="62"/>
      <c r="JP74" s="62"/>
      <c r="LT74" s="62"/>
      <c r="LY74" s="62"/>
      <c r="MB74" s="62"/>
      <c r="MN74" s="54"/>
      <c r="MQ74" s="62"/>
      <c r="MR74" s="62"/>
      <c r="MW74" s="62"/>
      <c r="MX74" s="62"/>
      <c r="NA74" s="62"/>
      <c r="ND74" s="62"/>
      <c r="NT74" s="121"/>
      <c r="NU74" s="121"/>
      <c r="NV74" s="121"/>
      <c r="NW74" s="126"/>
      <c r="NZ74" s="121"/>
      <c r="OC74" s="121"/>
      <c r="OF74" s="121"/>
      <c r="OM74" s="121"/>
      <c r="ON74" s="62"/>
      <c r="OO74" s="62"/>
      <c r="OP74" s="62"/>
      <c r="OQ74" s="62"/>
      <c r="OR74" s="62"/>
      <c r="OS74" s="229"/>
    </row>
    <row r="75" spans="2:483" x14ac:dyDescent="0.2">
      <c r="B75" s="62"/>
      <c r="C75" s="62"/>
      <c r="D75" s="62"/>
      <c r="E75" s="62"/>
      <c r="F75" s="62"/>
      <c r="L75" s="62"/>
      <c r="M75" s="62"/>
      <c r="N75" s="62"/>
      <c r="O75" s="62"/>
      <c r="P75" s="62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54"/>
      <c r="CE75" s="54"/>
      <c r="CF75" s="54"/>
      <c r="CG75" s="54"/>
      <c r="CH75" s="62"/>
      <c r="CI75" s="62"/>
      <c r="CJ75" s="62"/>
      <c r="CK75" s="62"/>
      <c r="CL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229"/>
      <c r="DH75" s="229"/>
      <c r="DI75" s="229"/>
      <c r="DJ75" s="229"/>
      <c r="DK75" s="229"/>
      <c r="DL75" s="62"/>
      <c r="DM75" s="62"/>
      <c r="DN75" s="62"/>
      <c r="DO75" s="62"/>
      <c r="DP75" s="62"/>
      <c r="DQ75" s="62"/>
      <c r="DR75" s="62"/>
      <c r="DS75" s="62"/>
      <c r="DT75" s="62"/>
      <c r="DU75" s="550"/>
      <c r="DV75" s="550"/>
      <c r="DW75" s="550"/>
      <c r="DX75" s="550"/>
      <c r="DY75" s="550"/>
      <c r="DZ75" s="550"/>
      <c r="EA75" s="550"/>
      <c r="EB75" s="550"/>
      <c r="EC75" s="550"/>
      <c r="ED75" s="550"/>
      <c r="EE75" s="550"/>
      <c r="EF75" s="550"/>
      <c r="EG75" s="550"/>
      <c r="EH75" s="550"/>
      <c r="EI75" s="550"/>
      <c r="EJ75" s="550"/>
      <c r="EK75" s="550"/>
      <c r="EL75" s="550"/>
      <c r="EM75" s="550"/>
      <c r="EN75" s="550"/>
      <c r="EO75" s="550"/>
      <c r="EP75" s="62"/>
      <c r="EQ75" s="62"/>
      <c r="ER75" s="62"/>
      <c r="ES75" s="62"/>
      <c r="ET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N75" s="62"/>
      <c r="JP75" s="62"/>
      <c r="LT75" s="62"/>
      <c r="LY75" s="62"/>
      <c r="MB75" s="62"/>
      <c r="MN75" s="54"/>
      <c r="MQ75" s="62"/>
      <c r="MR75" s="62"/>
      <c r="MW75" s="62"/>
      <c r="MX75" s="62"/>
      <c r="NA75" s="62"/>
      <c r="ND75" s="62"/>
      <c r="NT75" s="121"/>
      <c r="NU75" s="121"/>
      <c r="NV75" s="121"/>
      <c r="NW75" s="126"/>
      <c r="NZ75" s="121"/>
      <c r="OC75" s="121"/>
      <c r="OF75" s="121"/>
      <c r="OM75" s="121"/>
      <c r="ON75" s="62"/>
      <c r="OO75" s="62"/>
      <c r="OP75" s="62"/>
      <c r="OQ75" s="62"/>
      <c r="OR75" s="62"/>
      <c r="OS75" s="229"/>
    </row>
    <row r="76" spans="2:483" x14ac:dyDescent="0.2">
      <c r="B76" s="62"/>
      <c r="C76" s="62"/>
      <c r="D76" s="62"/>
      <c r="E76" s="62"/>
      <c r="F76" s="62"/>
      <c r="L76" s="62"/>
      <c r="M76" s="62"/>
      <c r="N76" s="62"/>
      <c r="O76" s="62"/>
      <c r="P76" s="62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54"/>
      <c r="CE76" s="54"/>
      <c r="CF76" s="54"/>
      <c r="CG76" s="54"/>
      <c r="CH76" s="62"/>
      <c r="CI76" s="62"/>
      <c r="CJ76" s="62"/>
      <c r="CK76" s="62"/>
      <c r="CL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229"/>
      <c r="DH76" s="229"/>
      <c r="DI76" s="229"/>
      <c r="DJ76" s="229"/>
      <c r="DK76" s="229"/>
      <c r="DL76" s="62"/>
      <c r="DM76" s="62"/>
      <c r="DN76" s="62"/>
      <c r="DO76" s="62"/>
      <c r="DP76" s="62"/>
      <c r="DQ76" s="62"/>
      <c r="DR76" s="62"/>
      <c r="DS76" s="62"/>
      <c r="DT76" s="62"/>
      <c r="DU76" s="550"/>
      <c r="DV76" s="550"/>
      <c r="DW76" s="550"/>
      <c r="DX76" s="550"/>
      <c r="DY76" s="550"/>
      <c r="DZ76" s="550"/>
      <c r="EA76" s="550"/>
      <c r="EB76" s="550"/>
      <c r="EC76" s="550"/>
      <c r="ED76" s="550"/>
      <c r="EE76" s="550"/>
      <c r="EF76" s="550"/>
      <c r="EG76" s="550"/>
      <c r="EH76" s="550"/>
      <c r="EI76" s="550"/>
      <c r="EJ76" s="550"/>
      <c r="EK76" s="550"/>
      <c r="EL76" s="550"/>
      <c r="EM76" s="550"/>
      <c r="EN76" s="550"/>
      <c r="EO76" s="550"/>
      <c r="EP76" s="62"/>
      <c r="EQ76" s="62"/>
      <c r="ER76" s="62"/>
      <c r="ES76" s="62"/>
      <c r="ET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N76" s="62"/>
      <c r="JP76" s="62"/>
      <c r="LT76" s="62"/>
      <c r="LY76" s="62"/>
      <c r="MB76" s="62"/>
      <c r="MN76" s="54"/>
      <c r="MQ76" s="62"/>
      <c r="MR76" s="62"/>
      <c r="MW76" s="62"/>
      <c r="MX76" s="62"/>
      <c r="NA76" s="62"/>
      <c r="ND76" s="62"/>
      <c r="NT76" s="121"/>
      <c r="NU76" s="121"/>
      <c r="NV76" s="121"/>
      <c r="NW76" s="126"/>
      <c r="NZ76" s="121"/>
      <c r="OC76" s="121"/>
      <c r="OF76" s="121"/>
      <c r="OM76" s="121"/>
      <c r="ON76" s="62"/>
      <c r="OO76" s="62"/>
      <c r="OP76" s="62"/>
      <c r="OQ76" s="62"/>
      <c r="OR76" s="62"/>
      <c r="OS76" s="229"/>
      <c r="QG76" s="62"/>
      <c r="QL76" s="62"/>
      <c r="QQ76" s="62"/>
    </row>
    <row r="77" spans="2:483" x14ac:dyDescent="0.2">
      <c r="B77" s="62"/>
      <c r="C77" s="62"/>
      <c r="D77" s="62"/>
      <c r="E77" s="62"/>
      <c r="F77" s="62"/>
      <c r="L77" s="62"/>
      <c r="M77" s="62"/>
      <c r="N77" s="62"/>
      <c r="O77" s="62"/>
      <c r="P77" s="62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54"/>
      <c r="CE77" s="54"/>
      <c r="CF77" s="54"/>
      <c r="CG77" s="54"/>
      <c r="CH77" s="62"/>
      <c r="CI77" s="62"/>
      <c r="CJ77" s="62"/>
      <c r="CK77" s="62"/>
      <c r="CL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229"/>
      <c r="DH77" s="229"/>
      <c r="DI77" s="229"/>
      <c r="DJ77" s="229"/>
      <c r="DK77" s="229"/>
      <c r="DL77" s="62"/>
      <c r="DM77" s="62"/>
      <c r="DN77" s="62"/>
      <c r="DO77" s="62"/>
      <c r="DP77" s="62"/>
      <c r="DQ77" s="62"/>
      <c r="DR77" s="62"/>
      <c r="DS77" s="62"/>
      <c r="DT77" s="62"/>
      <c r="DU77" s="550"/>
      <c r="DV77" s="550"/>
      <c r="DW77" s="550"/>
      <c r="DX77" s="550"/>
      <c r="DY77" s="550"/>
      <c r="DZ77" s="550"/>
      <c r="EA77" s="550"/>
      <c r="EB77" s="550"/>
      <c r="EC77" s="550"/>
      <c r="ED77" s="550"/>
      <c r="EE77" s="550"/>
      <c r="EF77" s="550"/>
      <c r="EG77" s="550"/>
      <c r="EH77" s="550"/>
      <c r="EI77" s="550"/>
      <c r="EJ77" s="550"/>
      <c r="EK77" s="550"/>
      <c r="EL77" s="550"/>
      <c r="EM77" s="550"/>
      <c r="EN77" s="550"/>
      <c r="EO77" s="550"/>
      <c r="EP77" s="62"/>
      <c r="EQ77" s="62"/>
      <c r="ER77" s="62"/>
      <c r="ES77" s="62"/>
      <c r="ET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N77" s="62"/>
      <c r="JP77" s="62"/>
      <c r="LT77" s="62"/>
      <c r="LY77" s="62"/>
      <c r="MB77" s="62"/>
      <c r="MN77" s="54"/>
      <c r="MQ77" s="62"/>
      <c r="MR77" s="62"/>
      <c r="MW77" s="62"/>
      <c r="MX77" s="62"/>
      <c r="NA77" s="62"/>
      <c r="ND77" s="62"/>
      <c r="NT77" s="121"/>
      <c r="NU77" s="121"/>
      <c r="NV77" s="121"/>
      <c r="NW77" s="126"/>
      <c r="NZ77" s="121"/>
      <c r="OC77" s="121"/>
      <c r="OF77" s="121"/>
      <c r="OM77" s="121"/>
      <c r="ON77" s="62"/>
      <c r="OO77" s="62"/>
      <c r="OP77" s="62"/>
      <c r="OQ77" s="62"/>
      <c r="OR77" s="62"/>
      <c r="OS77" s="229"/>
      <c r="QG77" s="62"/>
      <c r="QL77" s="62"/>
      <c r="QQ77" s="62"/>
    </row>
    <row r="78" spans="2:483" x14ac:dyDescent="0.2">
      <c r="B78" s="62"/>
      <c r="C78" s="62"/>
      <c r="D78" s="62"/>
      <c r="E78" s="62"/>
      <c r="F78" s="62"/>
      <c r="L78" s="62"/>
      <c r="M78" s="62"/>
      <c r="N78" s="62"/>
      <c r="O78" s="62"/>
      <c r="P78" s="62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54"/>
      <c r="CE78" s="54"/>
      <c r="CF78" s="54"/>
      <c r="CG78" s="54"/>
      <c r="CH78" s="62"/>
      <c r="CI78" s="62"/>
      <c r="CJ78" s="62"/>
      <c r="CK78" s="62"/>
      <c r="CL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229"/>
      <c r="DH78" s="229"/>
      <c r="DI78" s="229"/>
      <c r="DJ78" s="229"/>
      <c r="DK78" s="229"/>
      <c r="DL78" s="62"/>
      <c r="DM78" s="62"/>
      <c r="DN78" s="62"/>
      <c r="DO78" s="62"/>
      <c r="DP78" s="62"/>
      <c r="DQ78" s="62"/>
      <c r="DR78" s="62"/>
      <c r="DS78" s="62"/>
      <c r="DT78" s="62"/>
      <c r="DU78" s="550"/>
      <c r="DV78" s="550"/>
      <c r="DW78" s="550"/>
      <c r="DX78" s="550"/>
      <c r="DY78" s="550"/>
      <c r="DZ78" s="550"/>
      <c r="EA78" s="550"/>
      <c r="EB78" s="550"/>
      <c r="EC78" s="550"/>
      <c r="ED78" s="550"/>
      <c r="EE78" s="550"/>
      <c r="EF78" s="550"/>
      <c r="EG78" s="550"/>
      <c r="EH78" s="550"/>
      <c r="EI78" s="550"/>
      <c r="EJ78" s="550"/>
      <c r="EK78" s="550"/>
      <c r="EL78" s="550"/>
      <c r="EM78" s="550"/>
      <c r="EN78" s="550"/>
      <c r="EO78" s="550"/>
      <c r="EP78" s="62"/>
      <c r="EQ78" s="62"/>
      <c r="ER78" s="62"/>
      <c r="ES78" s="62"/>
      <c r="ET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N78" s="62"/>
      <c r="JP78" s="62"/>
      <c r="LT78" s="62"/>
      <c r="LY78" s="62"/>
      <c r="MB78" s="62"/>
      <c r="MN78" s="54"/>
      <c r="MQ78" s="62"/>
      <c r="MR78" s="62"/>
      <c r="MW78" s="62"/>
      <c r="MX78" s="62"/>
      <c r="NA78" s="62"/>
      <c r="ND78" s="62"/>
      <c r="NT78" s="121"/>
      <c r="NU78" s="121"/>
      <c r="NV78" s="121"/>
      <c r="NW78" s="126"/>
      <c r="NZ78" s="121"/>
      <c r="OC78" s="121"/>
      <c r="OF78" s="121"/>
      <c r="OM78" s="121"/>
      <c r="ON78" s="62"/>
      <c r="OO78" s="62"/>
      <c r="OP78" s="62"/>
      <c r="OQ78" s="62"/>
      <c r="OR78" s="62"/>
      <c r="OS78" s="229"/>
      <c r="QG78" s="62"/>
      <c r="QL78" s="62"/>
      <c r="QQ78" s="62"/>
    </row>
    <row r="79" spans="2:483" x14ac:dyDescent="0.2">
      <c r="B79" s="62"/>
      <c r="C79" s="62"/>
      <c r="D79" s="62"/>
      <c r="E79" s="62"/>
      <c r="F79" s="62"/>
      <c r="L79" s="62"/>
      <c r="M79" s="62"/>
      <c r="N79" s="62"/>
      <c r="O79" s="62"/>
      <c r="P79" s="62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54"/>
      <c r="CE79" s="54"/>
      <c r="CF79" s="54"/>
      <c r="CG79" s="54"/>
      <c r="CH79" s="62"/>
      <c r="CI79" s="62"/>
      <c r="CJ79" s="62"/>
      <c r="CK79" s="62"/>
      <c r="CL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229"/>
      <c r="DH79" s="229"/>
      <c r="DI79" s="229"/>
      <c r="DJ79" s="229"/>
      <c r="DK79" s="229"/>
      <c r="DL79" s="62"/>
      <c r="DM79" s="62"/>
      <c r="DN79" s="62"/>
      <c r="DO79" s="62"/>
      <c r="DP79" s="62"/>
      <c r="DQ79" s="62"/>
      <c r="DR79" s="62"/>
      <c r="DS79" s="62"/>
      <c r="DT79" s="62"/>
      <c r="DU79" s="550"/>
      <c r="DV79" s="550"/>
      <c r="DW79" s="550"/>
      <c r="DX79" s="550"/>
      <c r="DY79" s="550"/>
      <c r="DZ79" s="550"/>
      <c r="EA79" s="550"/>
      <c r="EB79" s="550"/>
      <c r="EC79" s="550"/>
      <c r="ED79" s="550"/>
      <c r="EE79" s="550"/>
      <c r="EF79" s="550"/>
      <c r="EG79" s="550"/>
      <c r="EH79" s="550"/>
      <c r="EI79" s="550"/>
      <c r="EJ79" s="550"/>
      <c r="EK79" s="550"/>
      <c r="EL79" s="550"/>
      <c r="EM79" s="550"/>
      <c r="EN79" s="550"/>
      <c r="EO79" s="550"/>
      <c r="EP79" s="62"/>
      <c r="EQ79" s="62"/>
      <c r="ER79" s="62"/>
      <c r="ES79" s="62"/>
      <c r="ET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N79" s="62"/>
      <c r="JP79" s="62"/>
      <c r="LT79" s="62"/>
      <c r="LY79" s="62"/>
      <c r="MB79" s="62"/>
      <c r="MN79" s="54"/>
      <c r="MQ79" s="62"/>
      <c r="MR79" s="62"/>
      <c r="MW79" s="62"/>
      <c r="MX79" s="62"/>
      <c r="NA79" s="62"/>
      <c r="ND79" s="62"/>
      <c r="NT79" s="121"/>
      <c r="NU79" s="121"/>
      <c r="NV79" s="121"/>
      <c r="NW79" s="126"/>
      <c r="NZ79" s="121"/>
      <c r="OC79" s="121"/>
      <c r="OF79" s="121"/>
      <c r="OM79" s="121"/>
      <c r="ON79" s="62"/>
      <c r="OO79" s="62"/>
      <c r="OP79" s="62"/>
      <c r="OQ79" s="62"/>
      <c r="OR79" s="62"/>
      <c r="OS79" s="229"/>
      <c r="QG79" s="62"/>
      <c r="QL79" s="62"/>
      <c r="QQ79" s="62"/>
    </row>
    <row r="80" spans="2:483" x14ac:dyDescent="0.2">
      <c r="B80" s="62"/>
      <c r="C80" s="62"/>
      <c r="D80" s="62"/>
      <c r="E80" s="62"/>
      <c r="F80" s="62"/>
      <c r="L80" s="62"/>
      <c r="M80" s="62"/>
      <c r="N80" s="62"/>
      <c r="O80" s="62"/>
      <c r="P80" s="62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54"/>
      <c r="CE80" s="54"/>
      <c r="CF80" s="54"/>
      <c r="CG80" s="54"/>
      <c r="CH80" s="62"/>
      <c r="CI80" s="62"/>
      <c r="CJ80" s="62"/>
      <c r="CK80" s="62"/>
      <c r="CL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229"/>
      <c r="DH80" s="229"/>
      <c r="DI80" s="229"/>
      <c r="DJ80" s="229"/>
      <c r="DK80" s="229"/>
      <c r="DL80" s="62"/>
      <c r="DM80" s="62"/>
      <c r="DN80" s="62"/>
      <c r="DO80" s="62"/>
      <c r="DP80" s="62"/>
      <c r="DQ80" s="62"/>
      <c r="DR80" s="62"/>
      <c r="DS80" s="62"/>
      <c r="DT80" s="62"/>
      <c r="DU80" s="550"/>
      <c r="DV80" s="550"/>
      <c r="DW80" s="550"/>
      <c r="DX80" s="550"/>
      <c r="DY80" s="550"/>
      <c r="DZ80" s="550"/>
      <c r="EA80" s="550"/>
      <c r="EB80" s="550"/>
      <c r="EC80" s="550"/>
      <c r="ED80" s="550"/>
      <c r="EE80" s="550"/>
      <c r="EF80" s="550"/>
      <c r="EG80" s="550"/>
      <c r="EH80" s="550"/>
      <c r="EI80" s="550"/>
      <c r="EJ80" s="550"/>
      <c r="EK80" s="550"/>
      <c r="EL80" s="550"/>
      <c r="EM80" s="550"/>
      <c r="EN80" s="550"/>
      <c r="EO80" s="550"/>
      <c r="EP80" s="62"/>
      <c r="EQ80" s="62"/>
      <c r="ER80" s="62"/>
      <c r="ES80" s="62"/>
      <c r="ET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N80" s="62"/>
      <c r="JP80" s="62"/>
      <c r="LT80" s="62"/>
      <c r="LY80" s="62"/>
      <c r="MB80" s="62"/>
      <c r="MN80" s="54"/>
      <c r="MQ80" s="62"/>
      <c r="MR80" s="62"/>
      <c r="MW80" s="62"/>
      <c r="MX80" s="62"/>
      <c r="NA80" s="62"/>
      <c r="ND80" s="62"/>
      <c r="NT80" s="121"/>
      <c r="NU80" s="121"/>
      <c r="NV80" s="121"/>
      <c r="NW80" s="126"/>
      <c r="NZ80" s="121"/>
      <c r="OC80" s="121"/>
      <c r="OF80" s="121"/>
      <c r="OM80" s="121"/>
      <c r="ON80" s="62"/>
      <c r="OO80" s="62"/>
      <c r="OP80" s="62"/>
      <c r="OQ80" s="62"/>
      <c r="OR80" s="62"/>
      <c r="OS80" s="229"/>
      <c r="QG80" s="62"/>
      <c r="QL80" s="62"/>
      <c r="QQ80" s="62"/>
    </row>
    <row r="81" spans="2:459" x14ac:dyDescent="0.2">
      <c r="B81" s="62"/>
      <c r="C81" s="62"/>
      <c r="D81" s="62"/>
      <c r="E81" s="62"/>
      <c r="F81" s="62"/>
      <c r="L81" s="62"/>
      <c r="M81" s="62"/>
      <c r="N81" s="62"/>
      <c r="O81" s="62"/>
      <c r="P81" s="62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54"/>
      <c r="CE81" s="54"/>
      <c r="CF81" s="54"/>
      <c r="CG81" s="54"/>
      <c r="CH81" s="62"/>
      <c r="CI81" s="62"/>
      <c r="CJ81" s="62"/>
      <c r="CK81" s="62"/>
      <c r="CL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229"/>
      <c r="DH81" s="229"/>
      <c r="DI81" s="229"/>
      <c r="DJ81" s="229"/>
      <c r="DK81" s="229"/>
      <c r="DL81" s="62"/>
      <c r="DM81" s="62"/>
      <c r="DN81" s="62"/>
      <c r="DO81" s="62"/>
      <c r="DP81" s="62"/>
      <c r="DQ81" s="62"/>
      <c r="DR81" s="62"/>
      <c r="DS81" s="62"/>
      <c r="DT81" s="62"/>
      <c r="DU81" s="550"/>
      <c r="DV81" s="550"/>
      <c r="DW81" s="550"/>
      <c r="DX81" s="550"/>
      <c r="DY81" s="550"/>
      <c r="DZ81" s="550"/>
      <c r="EA81" s="550"/>
      <c r="EB81" s="550"/>
      <c r="EC81" s="550"/>
      <c r="ED81" s="550"/>
      <c r="EE81" s="550"/>
      <c r="EF81" s="550"/>
      <c r="EG81" s="550"/>
      <c r="EH81" s="550"/>
      <c r="EI81" s="550"/>
      <c r="EJ81" s="550"/>
      <c r="EK81" s="550"/>
      <c r="EL81" s="550"/>
      <c r="EM81" s="550"/>
      <c r="EN81" s="550"/>
      <c r="EO81" s="550"/>
      <c r="EP81" s="62"/>
      <c r="EQ81" s="62"/>
      <c r="ER81" s="62"/>
      <c r="ES81" s="62"/>
      <c r="ET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N81" s="62"/>
      <c r="JP81" s="62"/>
      <c r="LT81" s="62"/>
      <c r="LY81" s="62"/>
      <c r="MB81" s="62"/>
      <c r="MN81" s="54"/>
      <c r="MQ81" s="62"/>
      <c r="MR81" s="62"/>
      <c r="MW81" s="62"/>
      <c r="MX81" s="62"/>
      <c r="NA81" s="62"/>
      <c r="ND81" s="62"/>
      <c r="NT81" s="121"/>
      <c r="NU81" s="121"/>
      <c r="NV81" s="121"/>
      <c r="NW81" s="126"/>
      <c r="NZ81" s="121"/>
      <c r="OC81" s="121"/>
      <c r="OF81" s="121"/>
      <c r="OM81" s="121"/>
      <c r="ON81" s="62"/>
      <c r="OO81" s="62"/>
      <c r="OP81" s="62"/>
      <c r="OQ81" s="62"/>
      <c r="OR81" s="62"/>
      <c r="OS81" s="229"/>
      <c r="QG81" s="62"/>
      <c r="QL81" s="62"/>
      <c r="QQ81" s="62"/>
    </row>
    <row r="82" spans="2:459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229"/>
      <c r="DH82" s="229"/>
      <c r="DI82" s="229"/>
      <c r="DJ82" s="229"/>
      <c r="DK82" s="229"/>
      <c r="DL82" s="62"/>
      <c r="DM82" s="62"/>
      <c r="DN82" s="62"/>
      <c r="DO82" s="62"/>
      <c r="DP82" s="62"/>
      <c r="DQ82" s="62"/>
      <c r="DR82" s="62"/>
      <c r="DS82" s="62"/>
      <c r="DT82" s="62"/>
      <c r="DU82" s="550"/>
      <c r="DV82" s="550"/>
      <c r="DW82" s="550"/>
      <c r="DX82" s="550"/>
      <c r="DY82" s="550"/>
      <c r="DZ82" s="550"/>
      <c r="EA82" s="550"/>
      <c r="EB82" s="550"/>
      <c r="EC82" s="550"/>
      <c r="ED82" s="550"/>
      <c r="EE82" s="550"/>
      <c r="EF82" s="550"/>
      <c r="EG82" s="550"/>
      <c r="EH82" s="550"/>
      <c r="EI82" s="550"/>
      <c r="EJ82" s="550"/>
      <c r="EK82" s="550"/>
      <c r="EL82" s="550"/>
      <c r="EM82" s="550"/>
      <c r="EN82" s="550"/>
      <c r="EO82" s="550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N82" s="62"/>
      <c r="JP82" s="62"/>
      <c r="LT82" s="62"/>
      <c r="LY82" s="62"/>
      <c r="MB82" s="62"/>
      <c r="MQ82" s="62"/>
      <c r="MR82" s="62"/>
      <c r="MW82" s="62"/>
      <c r="MX82" s="62"/>
      <c r="NA82" s="62"/>
      <c r="ND82" s="62"/>
      <c r="ON82" s="62"/>
      <c r="OO82" s="62"/>
      <c r="OP82" s="62"/>
      <c r="OQ82" s="62"/>
      <c r="OR82" s="62"/>
      <c r="OS82" s="229"/>
      <c r="QG82" s="62"/>
      <c r="QL82" s="62"/>
      <c r="QQ82" s="62"/>
    </row>
    <row r="83" spans="2:459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229"/>
      <c r="DH83" s="229"/>
      <c r="DI83" s="229"/>
      <c r="DJ83" s="229"/>
      <c r="DK83" s="229"/>
      <c r="DL83" s="62"/>
      <c r="DM83" s="62"/>
      <c r="DN83" s="62"/>
      <c r="DO83" s="62"/>
      <c r="DP83" s="62"/>
      <c r="DQ83" s="62"/>
      <c r="DR83" s="62"/>
      <c r="DS83" s="62"/>
      <c r="DT83" s="62"/>
      <c r="DU83" s="550"/>
      <c r="DV83" s="550"/>
      <c r="DW83" s="550"/>
      <c r="DX83" s="550"/>
      <c r="DY83" s="550"/>
      <c r="DZ83" s="550"/>
      <c r="EA83" s="550"/>
      <c r="EB83" s="550"/>
      <c r="EC83" s="550"/>
      <c r="ED83" s="550"/>
      <c r="EE83" s="550"/>
      <c r="EF83" s="550"/>
      <c r="EG83" s="550"/>
      <c r="EH83" s="550"/>
      <c r="EI83" s="550"/>
      <c r="EJ83" s="550"/>
      <c r="EK83" s="550"/>
      <c r="EL83" s="550"/>
      <c r="EM83" s="550"/>
      <c r="EN83" s="550"/>
      <c r="EO83" s="550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N83" s="62"/>
      <c r="JP83" s="62"/>
      <c r="LT83" s="62"/>
      <c r="LY83" s="62"/>
      <c r="MB83" s="62"/>
      <c r="MQ83" s="62"/>
      <c r="MR83" s="62"/>
      <c r="MW83" s="62"/>
      <c r="MX83" s="62"/>
      <c r="NA83" s="62"/>
      <c r="ND83" s="62"/>
      <c r="ON83" s="62"/>
      <c r="OO83" s="62"/>
      <c r="OP83" s="62"/>
      <c r="OQ83" s="62"/>
      <c r="OR83" s="62"/>
      <c r="OS83" s="229"/>
      <c r="QG83" s="62"/>
      <c r="QL83" s="62"/>
      <c r="QQ83" s="62"/>
    </row>
    <row r="84" spans="2:459" x14ac:dyDescent="0.2"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229"/>
      <c r="DH84" s="229"/>
      <c r="DI84" s="229"/>
      <c r="DJ84" s="229"/>
      <c r="DK84" s="229"/>
      <c r="DL84" s="62"/>
      <c r="DM84" s="62"/>
      <c r="DN84" s="62"/>
      <c r="DO84" s="62"/>
      <c r="DP84" s="62"/>
      <c r="DQ84" s="62"/>
      <c r="DR84" s="62"/>
      <c r="DS84" s="62"/>
      <c r="DT84" s="62"/>
      <c r="DU84" s="550"/>
      <c r="DV84" s="550"/>
      <c r="DW84" s="550"/>
      <c r="DX84" s="550"/>
      <c r="DY84" s="550"/>
      <c r="DZ84" s="550"/>
      <c r="EA84" s="550"/>
      <c r="EB84" s="550"/>
      <c r="EC84" s="550"/>
      <c r="ED84" s="550"/>
      <c r="EE84" s="550"/>
      <c r="EF84" s="550"/>
      <c r="EG84" s="550"/>
      <c r="EH84" s="550"/>
      <c r="EI84" s="550"/>
      <c r="EJ84" s="550"/>
      <c r="EK84" s="550"/>
      <c r="EL84" s="550"/>
      <c r="EM84" s="550"/>
      <c r="EN84" s="550"/>
      <c r="EO84" s="550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N84" s="62"/>
      <c r="JP84" s="62"/>
      <c r="LT84" s="62"/>
      <c r="LY84" s="62"/>
      <c r="MB84" s="62"/>
      <c r="MQ84" s="62"/>
      <c r="MR84" s="62"/>
      <c r="MW84" s="62"/>
      <c r="MX84" s="62"/>
      <c r="NA84" s="62"/>
      <c r="ND84" s="62"/>
      <c r="ON84" s="62"/>
      <c r="OO84" s="62"/>
      <c r="OP84" s="62"/>
      <c r="OQ84" s="62"/>
      <c r="OR84" s="62"/>
      <c r="OS84" s="229"/>
      <c r="QG84" s="62"/>
      <c r="QL84" s="62"/>
      <c r="QQ84" s="62"/>
    </row>
    <row r="85" spans="2:459" x14ac:dyDescent="0.2"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229"/>
      <c r="DH85" s="229"/>
      <c r="DI85" s="229"/>
      <c r="DJ85" s="229"/>
      <c r="DK85" s="229"/>
      <c r="DL85" s="62"/>
      <c r="DM85" s="62"/>
      <c r="DN85" s="62"/>
      <c r="DO85" s="62"/>
      <c r="DP85" s="62"/>
      <c r="DQ85" s="62"/>
      <c r="DR85" s="62"/>
      <c r="DS85" s="62"/>
      <c r="DT85" s="62"/>
      <c r="DU85" s="550"/>
      <c r="DV85" s="550"/>
      <c r="DW85" s="550"/>
      <c r="DX85" s="550"/>
      <c r="DY85" s="550"/>
      <c r="DZ85" s="550"/>
      <c r="EA85" s="550"/>
      <c r="EB85" s="550"/>
      <c r="EC85" s="550"/>
      <c r="ED85" s="550"/>
      <c r="EE85" s="550"/>
      <c r="EF85" s="550"/>
      <c r="EG85" s="550"/>
      <c r="EH85" s="550"/>
      <c r="EI85" s="550"/>
      <c r="EJ85" s="550"/>
      <c r="EK85" s="550"/>
      <c r="EL85" s="550"/>
      <c r="EM85" s="550"/>
      <c r="EN85" s="550"/>
      <c r="EO85" s="550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MB85" s="2"/>
      <c r="MQ85" s="62"/>
      <c r="MR85" s="62"/>
      <c r="MW85" s="62"/>
      <c r="MX85" s="62"/>
      <c r="NA85" s="62"/>
      <c r="ND85" s="62"/>
      <c r="ON85" s="62"/>
      <c r="OO85" s="62"/>
      <c r="OP85" s="62"/>
      <c r="OQ85" s="62"/>
      <c r="OR85" s="62"/>
      <c r="OS85" s="229"/>
    </row>
    <row r="86" spans="2:459" x14ac:dyDescent="0.2"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580"/>
      <c r="R86" s="580"/>
      <c r="S86" s="580"/>
      <c r="T86" s="580"/>
      <c r="U86" s="580"/>
      <c r="V86" s="580"/>
      <c r="W86" s="580"/>
      <c r="X86" s="580"/>
      <c r="Y86" s="580"/>
      <c r="Z86" s="580"/>
      <c r="AA86" s="580"/>
      <c r="AB86" s="580"/>
      <c r="AC86" s="580"/>
      <c r="AD86" s="580"/>
      <c r="AE86" s="580"/>
      <c r="AF86" s="580"/>
      <c r="AG86" s="580"/>
      <c r="AH86" s="580"/>
      <c r="AI86" s="580"/>
      <c r="AJ86" s="580"/>
      <c r="AK86" s="580"/>
      <c r="AL86" s="580"/>
      <c r="AM86" s="580"/>
      <c r="AN86" s="580"/>
      <c r="AO86" s="580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230"/>
      <c r="DH86" s="230"/>
      <c r="DI86" s="230"/>
      <c r="DJ86" s="230"/>
      <c r="DK86" s="230"/>
      <c r="DL86" s="65"/>
      <c r="DM86" s="65"/>
      <c r="DN86" s="65"/>
      <c r="DO86" s="65"/>
      <c r="DP86" s="65"/>
      <c r="DQ86" s="65"/>
      <c r="DR86" s="65"/>
      <c r="DS86" s="65"/>
      <c r="DT86" s="65"/>
      <c r="DU86" s="551"/>
      <c r="DV86" s="551"/>
      <c r="DW86" s="551"/>
      <c r="DX86" s="551"/>
      <c r="DY86" s="551"/>
      <c r="DZ86" s="551"/>
      <c r="EA86" s="551"/>
      <c r="EB86" s="551"/>
      <c r="EC86" s="551"/>
      <c r="ED86" s="551"/>
      <c r="EE86" s="551"/>
      <c r="EF86" s="551"/>
      <c r="EG86" s="551"/>
      <c r="EH86" s="551"/>
      <c r="EI86" s="551"/>
      <c r="EJ86" s="551"/>
      <c r="EK86" s="551"/>
      <c r="EL86" s="551"/>
      <c r="EM86" s="551"/>
      <c r="EN86" s="551"/>
      <c r="EO86" s="551"/>
      <c r="EP86" s="65"/>
      <c r="EQ86" s="65"/>
      <c r="ER86" s="65"/>
      <c r="ES86" s="65"/>
      <c r="ET86" s="65"/>
      <c r="EU86" s="65"/>
      <c r="EV86" s="65"/>
      <c r="EW86" s="65"/>
      <c r="EX86" s="65"/>
      <c r="EY86" s="65"/>
      <c r="EZ86" s="65"/>
      <c r="FA86" s="65"/>
      <c r="FB86" s="65"/>
      <c r="FC86" s="65"/>
      <c r="FD86" s="65"/>
      <c r="FE86" s="65"/>
      <c r="FF86" s="65"/>
      <c r="FG86" s="65"/>
      <c r="FH86" s="65"/>
      <c r="FI86" s="65"/>
      <c r="FJ86" s="65"/>
      <c r="FK86" s="65"/>
      <c r="FL86" s="65"/>
      <c r="FM86" s="65"/>
      <c r="FN86" s="65"/>
      <c r="FO86" s="65"/>
      <c r="FP86" s="65"/>
      <c r="FQ86" s="65"/>
      <c r="FR86" s="65"/>
      <c r="FS86" s="65"/>
      <c r="FT86" s="65"/>
      <c r="FU86" s="65"/>
      <c r="FV86" s="65"/>
      <c r="FW86" s="65"/>
      <c r="FX86" s="65"/>
      <c r="FY86" s="65"/>
      <c r="FZ86" s="65"/>
      <c r="GA86" s="65"/>
      <c r="GB86" s="65"/>
      <c r="GC86" s="65"/>
      <c r="GD86" s="65"/>
      <c r="GE86" s="65"/>
      <c r="GF86" s="65"/>
      <c r="GG86" s="65"/>
      <c r="GH86" s="65"/>
      <c r="MQ86" s="62"/>
      <c r="MR86" s="62"/>
      <c r="MW86" s="62"/>
      <c r="MX86" s="62"/>
      <c r="NA86" s="62"/>
      <c r="ND86" s="62"/>
      <c r="ON86" s="65"/>
      <c r="OO86" s="65"/>
      <c r="OP86" s="65"/>
      <c r="OQ86" s="65"/>
      <c r="OR86" s="65"/>
      <c r="OS86" s="230"/>
    </row>
    <row r="87" spans="2:459" x14ac:dyDescent="0.2">
      <c r="MQ87" s="62"/>
      <c r="MR87" s="62"/>
      <c r="MW87" s="62"/>
      <c r="MX87" s="62"/>
      <c r="NA87" s="62"/>
      <c r="ND87" s="62"/>
    </row>
    <row r="88" spans="2:459" x14ac:dyDescent="0.2">
      <c r="MQ88" s="62"/>
      <c r="MR88" s="62"/>
      <c r="MW88" s="62"/>
      <c r="MX88" s="62"/>
      <c r="NA88" s="62"/>
      <c r="ND88" s="62"/>
    </row>
    <row r="89" spans="2:459" x14ac:dyDescent="0.2">
      <c r="MQ89" s="62"/>
      <c r="MR89" s="62"/>
      <c r="MW89" s="62"/>
      <c r="MX89" s="62"/>
      <c r="NA89" s="62"/>
      <c r="ND89" s="62"/>
    </row>
    <row r="90" spans="2:459" x14ac:dyDescent="0.2">
      <c r="MQ90" s="62"/>
      <c r="MR90" s="62"/>
      <c r="MW90" s="62"/>
      <c r="MX90" s="62"/>
      <c r="NA90" s="62"/>
      <c r="ND90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QL53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I67"/>
  <sheetViews>
    <sheetView topLeftCell="AM52" workbookViewId="0">
      <selection activeCell="BF7" sqref="BF7"/>
    </sheetView>
  </sheetViews>
  <sheetFormatPr defaultRowHeight="15" x14ac:dyDescent="0.2"/>
  <cols>
    <col min="1" max="1" width="15.88671875" style="2" customWidth="1"/>
    <col min="2" max="2" width="8.21875" style="480" customWidth="1"/>
    <col min="3" max="3" width="8.21875" style="624" customWidth="1"/>
    <col min="4" max="13" width="8.21875" style="480" customWidth="1"/>
    <col min="15" max="15" width="8.88671875" style="622"/>
    <col min="26" max="61" width="8.88671875" style="531"/>
  </cols>
  <sheetData>
    <row r="1" spans="1:61" x14ac:dyDescent="0.2">
      <c r="A1" s="1"/>
    </row>
    <row r="2" spans="1:61" x14ac:dyDescent="0.2">
      <c r="A2" s="3"/>
      <c r="B2" s="481"/>
      <c r="C2" s="664"/>
      <c r="D2" s="481"/>
      <c r="E2" s="481"/>
      <c r="F2" s="481"/>
      <c r="G2" s="481"/>
      <c r="H2" s="481"/>
      <c r="I2" s="481"/>
      <c r="J2" s="481"/>
      <c r="K2" s="481"/>
      <c r="L2" s="481"/>
      <c r="M2" s="481"/>
      <c r="O2" s="659"/>
    </row>
    <row r="3" spans="1:61" x14ac:dyDescent="0.2">
      <c r="A3" s="1"/>
      <c r="B3" s="482" t="s">
        <v>132</v>
      </c>
      <c r="C3" s="665"/>
      <c r="D3" s="483"/>
      <c r="E3" s="483"/>
      <c r="F3" s="483"/>
      <c r="G3" s="483"/>
      <c r="H3" s="484" t="s">
        <v>65</v>
      </c>
      <c r="I3" s="483"/>
      <c r="J3" s="483"/>
      <c r="K3" s="483"/>
      <c r="L3" s="483"/>
      <c r="M3" s="608"/>
      <c r="N3" s="660" t="s">
        <v>132</v>
      </c>
      <c r="O3" s="661"/>
      <c r="P3" s="662"/>
      <c r="Q3" s="662"/>
      <c r="R3" s="662"/>
      <c r="S3" s="662"/>
      <c r="T3" s="484" t="s">
        <v>65</v>
      </c>
      <c r="U3" s="662"/>
      <c r="V3" s="662"/>
      <c r="W3" s="662"/>
      <c r="X3" s="662"/>
      <c r="Y3" s="663"/>
      <c r="Z3" s="660" t="s">
        <v>132</v>
      </c>
      <c r="AA3" s="661"/>
      <c r="AB3" s="733"/>
      <c r="AC3" s="733"/>
      <c r="AD3" s="733"/>
      <c r="AE3" s="733"/>
      <c r="AF3" s="734" t="s">
        <v>65</v>
      </c>
      <c r="AG3" s="733"/>
      <c r="AH3" s="733"/>
      <c r="AI3" s="733"/>
      <c r="AJ3" s="733"/>
      <c r="AK3" s="735"/>
      <c r="AL3" s="733" t="s">
        <v>132</v>
      </c>
      <c r="AM3" s="735"/>
      <c r="AN3" s="733"/>
      <c r="AO3" s="735"/>
      <c r="AP3" s="735"/>
      <c r="AQ3" s="735"/>
      <c r="AR3" s="735" t="s">
        <v>65</v>
      </c>
      <c r="AS3" s="735"/>
      <c r="AT3" s="735"/>
      <c r="AU3" s="735"/>
      <c r="AV3" s="735"/>
      <c r="AW3" s="735"/>
      <c r="AX3" s="733" t="s">
        <v>132</v>
      </c>
      <c r="AY3" s="735"/>
      <c r="AZ3" s="733"/>
      <c r="BA3" s="735"/>
      <c r="BB3" s="735"/>
      <c r="BC3" s="735"/>
      <c r="BD3" s="735" t="s">
        <v>65</v>
      </c>
      <c r="BE3" s="735"/>
      <c r="BF3" s="735"/>
      <c r="BG3" s="735"/>
      <c r="BH3" s="735"/>
      <c r="BI3" s="735"/>
    </row>
    <row r="4" spans="1:61" x14ac:dyDescent="0.2">
      <c r="A4" s="1"/>
      <c r="B4" s="485" t="s">
        <v>58</v>
      </c>
      <c r="C4" s="623"/>
      <c r="D4" s="487" t="s">
        <v>59</v>
      </c>
      <c r="E4" s="486"/>
      <c r="F4" s="487" t="s">
        <v>60</v>
      </c>
      <c r="G4" s="486"/>
      <c r="H4" s="488" t="s">
        <v>58</v>
      </c>
      <c r="I4" s="486"/>
      <c r="J4" s="487" t="s">
        <v>59</v>
      </c>
      <c r="K4" s="486"/>
      <c r="L4" s="487" t="s">
        <v>60</v>
      </c>
      <c r="M4" s="609"/>
      <c r="N4" s="485" t="s">
        <v>58</v>
      </c>
      <c r="O4" s="623"/>
      <c r="P4" s="487" t="s">
        <v>59</v>
      </c>
      <c r="Q4" s="486"/>
      <c r="R4" s="487" t="s">
        <v>60</v>
      </c>
      <c r="S4" s="486"/>
      <c r="T4" s="488" t="s">
        <v>58</v>
      </c>
      <c r="U4" s="486"/>
      <c r="V4" s="487" t="s">
        <v>59</v>
      </c>
      <c r="W4" s="486"/>
      <c r="X4" s="487" t="s">
        <v>60</v>
      </c>
      <c r="Y4" s="609"/>
      <c r="Z4" s="736" t="s">
        <v>58</v>
      </c>
      <c r="AA4" s="623"/>
      <c r="AB4" s="737" t="s">
        <v>59</v>
      </c>
      <c r="AC4" s="738"/>
      <c r="AD4" s="737" t="s">
        <v>60</v>
      </c>
      <c r="AE4" s="738"/>
      <c r="AF4" s="739" t="s">
        <v>58</v>
      </c>
      <c r="AG4" s="738"/>
      <c r="AH4" s="737" t="s">
        <v>59</v>
      </c>
      <c r="AI4" s="738"/>
      <c r="AJ4" s="737" t="s">
        <v>60</v>
      </c>
      <c r="AK4" s="740"/>
      <c r="AL4" s="737" t="s">
        <v>58</v>
      </c>
      <c r="AM4" s="740"/>
      <c r="AN4" s="737" t="s">
        <v>59</v>
      </c>
      <c r="AO4" s="740"/>
      <c r="AP4" s="740" t="s">
        <v>60</v>
      </c>
      <c r="AQ4" s="740"/>
      <c r="AR4" s="740" t="s">
        <v>58</v>
      </c>
      <c r="AS4" s="740"/>
      <c r="AT4" s="740" t="s">
        <v>59</v>
      </c>
      <c r="AU4" s="740"/>
      <c r="AV4" s="740" t="s">
        <v>60</v>
      </c>
      <c r="AW4" s="740"/>
      <c r="AX4" s="737" t="s">
        <v>58</v>
      </c>
      <c r="AY4" s="740"/>
      <c r="AZ4" s="737" t="s">
        <v>59</v>
      </c>
      <c r="BA4" s="740"/>
      <c r="BB4" s="740" t="s">
        <v>60</v>
      </c>
      <c r="BC4" s="740"/>
      <c r="BD4" s="740" t="s">
        <v>58</v>
      </c>
      <c r="BE4" s="740"/>
      <c r="BF4" s="740" t="s">
        <v>59</v>
      </c>
      <c r="BG4" s="740"/>
      <c r="BH4" s="740" t="s">
        <v>60</v>
      </c>
      <c r="BI4" s="740"/>
    </row>
    <row r="5" spans="1:61" x14ac:dyDescent="0.2">
      <c r="A5" s="1"/>
      <c r="B5" s="480">
        <v>2000</v>
      </c>
      <c r="C5" s="629">
        <v>2011</v>
      </c>
      <c r="D5" s="489">
        <v>2000</v>
      </c>
      <c r="E5" s="480">
        <v>2011</v>
      </c>
      <c r="F5" s="489">
        <v>2000</v>
      </c>
      <c r="G5" s="480">
        <v>2011</v>
      </c>
      <c r="H5" s="490">
        <v>2000</v>
      </c>
      <c r="I5" s="480">
        <v>2011</v>
      </c>
      <c r="J5" s="489">
        <v>2000</v>
      </c>
      <c r="K5" s="480">
        <v>2011</v>
      </c>
      <c r="L5" s="489">
        <v>2000</v>
      </c>
      <c r="M5" s="610">
        <v>2011</v>
      </c>
      <c r="N5" s="605">
        <v>2000</v>
      </c>
      <c r="O5" s="632">
        <v>2012</v>
      </c>
      <c r="P5" s="604">
        <v>2000</v>
      </c>
      <c r="Q5" s="605">
        <v>2012</v>
      </c>
      <c r="R5" s="604">
        <v>2000</v>
      </c>
      <c r="S5" s="605">
        <v>2012</v>
      </c>
      <c r="T5" s="606">
        <v>2000</v>
      </c>
      <c r="U5" s="605">
        <v>2012</v>
      </c>
      <c r="V5" s="604">
        <v>2000</v>
      </c>
      <c r="W5" s="605">
        <v>2012</v>
      </c>
      <c r="X5" s="604">
        <v>2000</v>
      </c>
      <c r="Y5" s="679">
        <v>2012</v>
      </c>
      <c r="Z5" s="741">
        <v>2000</v>
      </c>
      <c r="AA5" s="629">
        <v>2013</v>
      </c>
      <c r="AB5" s="742">
        <v>2000</v>
      </c>
      <c r="AC5" s="741">
        <v>2013</v>
      </c>
      <c r="AD5" s="742">
        <v>2000</v>
      </c>
      <c r="AE5" s="741">
        <v>2013</v>
      </c>
      <c r="AF5" s="743">
        <v>2000</v>
      </c>
      <c r="AG5" s="741">
        <v>2013</v>
      </c>
      <c r="AH5" s="742">
        <v>2000</v>
      </c>
      <c r="AI5" s="741">
        <v>2013</v>
      </c>
      <c r="AJ5" s="742">
        <v>2000</v>
      </c>
      <c r="AK5" s="744">
        <v>2013</v>
      </c>
      <c r="AL5" s="742">
        <v>2000</v>
      </c>
      <c r="AM5" s="744">
        <v>2015</v>
      </c>
      <c r="AN5" s="742">
        <v>2000</v>
      </c>
      <c r="AO5" s="744">
        <v>2015</v>
      </c>
      <c r="AP5" s="744">
        <v>2000</v>
      </c>
      <c r="AQ5" s="744">
        <v>2015</v>
      </c>
      <c r="AR5" s="744">
        <v>2000</v>
      </c>
      <c r="AS5" s="744">
        <v>2015</v>
      </c>
      <c r="AT5" s="744">
        <v>2000</v>
      </c>
      <c r="AU5" s="744">
        <v>2015</v>
      </c>
      <c r="AV5" s="744">
        <v>2000</v>
      </c>
      <c r="AW5" s="744">
        <v>2015</v>
      </c>
      <c r="AX5" s="676">
        <v>2011</v>
      </c>
      <c r="AY5" s="677">
        <v>2016</v>
      </c>
      <c r="AZ5" s="676">
        <v>2011</v>
      </c>
      <c r="BA5" s="677">
        <v>2016</v>
      </c>
      <c r="BB5" s="677">
        <v>2011</v>
      </c>
      <c r="BC5" s="677">
        <v>2016</v>
      </c>
      <c r="BD5" s="677">
        <v>2011</v>
      </c>
      <c r="BE5" s="677">
        <v>2016</v>
      </c>
      <c r="BF5" s="677">
        <v>2011</v>
      </c>
      <c r="BG5" s="677">
        <v>2016</v>
      </c>
      <c r="BH5" s="677">
        <v>2011</v>
      </c>
      <c r="BI5" s="677">
        <v>2016</v>
      </c>
    </row>
    <row r="6" spans="1:61" x14ac:dyDescent="0.2">
      <c r="A6" s="472" t="s">
        <v>180</v>
      </c>
      <c r="B6" s="491">
        <f>('Attainment 25+ by race &amp; gender'!CS5/'Pop 25+ by race &amp; gender'!AT4)*100</f>
        <v>83.57750373851232</v>
      </c>
      <c r="C6" s="630">
        <f>('Attainment 25+ by race &amp; gender'!DR5/'Pop 25+ by race &amp; gender'!CV4)*100</f>
        <v>87.767554238362351</v>
      </c>
      <c r="D6" s="492">
        <f>('Attainment 25+ by race &amp; gender'!CT5/'Pop 25+ by race &amp; gender'!AZ4)*100</f>
        <v>71.929457483207727</v>
      </c>
      <c r="E6" s="491">
        <f>('Attainment 25+ by race &amp; gender'!DS5/'Pop 25+ by race &amp; gender'!CW4)*100</f>
        <v>81.977005415390693</v>
      </c>
      <c r="F6" s="492">
        <f>('Attainment 25+ by race &amp; gender'!CU5/'Pop 25+ by race &amp; gender'!BC4)*100</f>
        <v>51.669497569754583</v>
      </c>
      <c r="G6" s="491">
        <f>('Attainment 25+ by race &amp; gender'!DT5/'Pop 25+ by race &amp; gender'!CY4)*100</f>
        <v>62.203455602315735</v>
      </c>
      <c r="H6" s="492">
        <f>('Attainment 25+ by race &amp; gender'!NT5/'Pop 25+ by race &amp; gender'!AT4)*100</f>
        <v>26.062404339207745</v>
      </c>
      <c r="I6" s="491">
        <f>('Attainment 25+ by race &amp; gender'!PD5/'Pop 25+ by race &amp; gender'!CV4)*100</f>
        <v>29.578651240610988</v>
      </c>
      <c r="J6" s="492">
        <f>('Attainment 25+ by race &amp; gender'!NZ5/'Pop 25+ by race &amp; gender'!AZ4)*100</f>
        <v>14.257505566369785</v>
      </c>
      <c r="K6" s="491">
        <f>('Attainment 25+ by race &amp; gender'!PE5/'Pop 25+ by race &amp; gender'!CW4)*100</f>
        <v>18.037982424270304</v>
      </c>
      <c r="L6" s="492">
        <f>('Attainment 25+ by race &amp; gender'!OC5/'Pop 25+ by race &amp; gender'!BC4)*100</f>
        <v>10.443347720739423</v>
      </c>
      <c r="M6" s="611">
        <f>('Attainment 25+ by race &amp; gender'!PF5/'Pop 25+ by race &amp; gender'!CY4)*100</f>
        <v>13.046310583597251</v>
      </c>
      <c r="N6" s="491">
        <f>('Attainment 25+ by race &amp; gender'!CS5/'Pop 25+ by race &amp; gender'!AT4)*100</f>
        <v>83.57750373851232</v>
      </c>
      <c r="O6" s="630">
        <f>('Attainment 25+ by race &amp; gender'!DW5/'Pop 25+ by race &amp; gender'!DA4)*100</f>
        <v>88.060830251216061</v>
      </c>
      <c r="P6" s="492">
        <f>('Attainment 25+ by race &amp; gender'!CT5/'Pop 25+ by race &amp; gender'!AZ4)*100</f>
        <v>71.929457483207727</v>
      </c>
      <c r="Q6" s="491">
        <f>('Attainment 25+ by race &amp; gender'!DX5/'Pop 25+ by race &amp; gender'!DB4)*100</f>
        <v>82.517115984848061</v>
      </c>
      <c r="R6" s="492">
        <f>('Attainment 25+ by race &amp; gender'!CU5/'Pop 25+ by race &amp; gender'!BC4)*100</f>
        <v>51.669497569754583</v>
      </c>
      <c r="S6" s="491">
        <f>('Attainment 25+ by race &amp; gender'!DY5/'Pop 25+ by race &amp; gender'!DD4)*100</f>
        <v>63.111017316024231</v>
      </c>
      <c r="T6" s="492">
        <f>('Attainment 25+ by race &amp; gender'!NT5/'Pop 25+ by race &amp; gender'!AT4)*100</f>
        <v>26.062404339207745</v>
      </c>
      <c r="U6" s="491">
        <f>('Attainment 25+ by race &amp; gender'!PI5/'Pop 25+ by race &amp; gender'!DA4)*100</f>
        <v>29.974099192017196</v>
      </c>
      <c r="V6" s="492">
        <f>('Attainment 25+ by race &amp; gender'!NZ5/'Pop 25+ by race &amp; gender'!AZ4)*100</f>
        <v>14.257505566369785</v>
      </c>
      <c r="W6" s="491">
        <f>('Attainment 25+ by race &amp; gender'!PJ5/'Pop 25+ by race &amp; gender'!DB4)*100</f>
        <v>18.361975072245734</v>
      </c>
      <c r="X6" s="492">
        <f>('Attainment 25+ by race &amp; gender'!OC5/'Pop 25+ by race &amp; gender'!BC4)*100</f>
        <v>10.443347720739423</v>
      </c>
      <c r="Y6" s="611">
        <f>('Attainment 25+ by race &amp; gender'!PK5/'Pop 25+ by race &amp; gender'!DD4)*100</f>
        <v>13.368569699615554</v>
      </c>
      <c r="Z6" s="684">
        <f>('Attainment 25+ by race &amp; gender'!CS5/'Pop 25+ by race &amp; gender'!AT4)*100</f>
        <v>83.57750373851232</v>
      </c>
      <c r="AA6" s="630">
        <f>('Attainment 25+ by race &amp; gender'!EB5/'Pop 25+ by race &amp; gender'!DF4)*100</f>
        <v>91.414942229378866</v>
      </c>
      <c r="AB6" s="492">
        <f>('Attainment 25+ by race &amp; gender'!CT5/'Pop 25+ by race &amp; gender'!AZ4)*100</f>
        <v>71.929457483207727</v>
      </c>
      <c r="AC6" s="491">
        <f>('Attainment 25+ by race &amp; gender'!EC5/'Pop 25+ by race &amp; gender'!DG4)*100</f>
        <v>83.099172972670502</v>
      </c>
      <c r="AD6" s="492">
        <f>('Attainment 25+ by race &amp; gender'!CU5/'Pop 25+ by race &amp; gender'!BC4)*100</f>
        <v>51.669497569754583</v>
      </c>
      <c r="AE6" s="491">
        <f>('Attainment 25+ by race &amp; gender'!ED5/'Pop 25+ by race &amp; gender'!DI4)*100</f>
        <v>63.951114133610368</v>
      </c>
      <c r="AF6" s="492">
        <f>('Attainment 25+ by race &amp; gender'!NT5/'Pop 25+ by race &amp; gender'!AT4)*100</f>
        <v>26.062404339207745</v>
      </c>
      <c r="AG6" s="491">
        <f>('Attainment 25+ by race &amp; gender'!PN5/'Pop 25+ by race &amp; gender'!DF4)*100</f>
        <v>32.505406289937127</v>
      </c>
      <c r="AH6" s="492">
        <f>('Attainment 25+ by race &amp; gender'!NZ5/'Pop 25+ by race &amp; gender'!AZ4)*100</f>
        <v>14.257505566369785</v>
      </c>
      <c r="AI6" s="491">
        <f>('Attainment 25+ by race &amp; gender'!PO5/'Pop 25+ by race &amp; gender'!DG4)*100</f>
        <v>18.846162426351494</v>
      </c>
      <c r="AJ6" s="492">
        <f>('Attainment 25+ by race &amp; gender'!OC5/'Pop 25+ by race &amp; gender'!BC4)*100</f>
        <v>10.443347720739423</v>
      </c>
      <c r="AK6" s="633">
        <f>('Attainment 25+ by race &amp; gender'!PP5/'Pop 25+ by race &amp; gender'!DI4)*100</f>
        <v>13.699008840326703</v>
      </c>
      <c r="AL6" s="492">
        <f>('Attainment 25+ by race &amp; gender'!CS5/'Pop 25+ by race &amp; gender'!AT4)*100</f>
        <v>83.57750373851232</v>
      </c>
      <c r="AM6" s="633">
        <f>('Attainment 25+ by race &amp; gender'!EG5/'Pop 25+ by race &amp; gender'!DK4)*100</f>
        <v>92.26160449259288</v>
      </c>
      <c r="AN6" s="492">
        <v>71.929457483207727</v>
      </c>
      <c r="AO6" s="633">
        <f>('Attainment 25+ by race &amp; gender'!EH5/'Pop 25+ by race &amp; gender'!DL4)*100</f>
        <v>84.734011113048808</v>
      </c>
      <c r="AP6" s="633">
        <f>('Attainment 25+ by race &amp; gender'!CU5/'Pop 25+ by race &amp; gender'!BC4)*100</f>
        <v>51.669497569754583</v>
      </c>
      <c r="AQ6" s="633">
        <f>('Attainment 25+ by race &amp; gender'!EI5/'Pop 25+ by race &amp; gender'!DN4)*100</f>
        <v>65.996586064723246</v>
      </c>
      <c r="AR6" s="633">
        <f>('Attainment 25+ by race &amp; gender'!NT5/'Pop 25+ by race &amp; gender'!AT4)*100</f>
        <v>26.062404339207745</v>
      </c>
      <c r="AS6" s="633">
        <f>('Attainment 25+ by race &amp; gender'!PS5/'Pop 25+ by race &amp; gender'!DK4)*100</f>
        <v>34.211366197655735</v>
      </c>
      <c r="AT6" s="633">
        <f>('Attainment 25+ by race &amp; gender'!NZ5/'Pop 25+ by race &amp; gender'!AZ4)*100</f>
        <v>14.257505566369785</v>
      </c>
      <c r="AU6" s="633">
        <f>('Attainment 25+ by race &amp; gender'!PT5/'Pop 25+ by race &amp; gender'!DL4)*100</f>
        <v>20.228876882620579</v>
      </c>
      <c r="AV6" s="633">
        <f>('Attainment 25+ by race &amp; gender'!OC5/'Pop 25+ by race &amp; gender'!BC4)*100</f>
        <v>10.443347720739423</v>
      </c>
      <c r="AW6" s="633">
        <f>('Attainment 25+ by race &amp; gender'!PU5/'Pop 25+ by race &amp; gender'!DN4)*100</f>
        <v>14.776903964264978</v>
      </c>
      <c r="AX6" s="492">
        <f>('Attainment 25+ by race &amp; gender'!DR5/'Pop 25+ by race &amp; gender'!CV4)*100</f>
        <v>87.767554238362351</v>
      </c>
      <c r="AY6" s="633">
        <f>('Attainment 25+ by race &amp; gender'!EL5/'Pop 25+ by race &amp; gender'!DP4)*100</f>
        <v>92.458665185284943</v>
      </c>
      <c r="AZ6" s="492">
        <f>('Attainment 25+ by race &amp; gender'!DS5/'Pop 25+ by race &amp; gender'!CW4)*100</f>
        <v>81.977005415390693</v>
      </c>
      <c r="BA6" s="633">
        <f>('Attainment 25+ by race &amp; gender'!EM5/'Pop 25+ by race &amp; gender'!DQ4)*100</f>
        <v>85.243691837585075</v>
      </c>
      <c r="BB6" s="633">
        <f>('Attainment 25+ by race &amp; gender'!DT5/'Pop 25+ by race &amp; gender'!CY4)*100</f>
        <v>62.203455602315735</v>
      </c>
      <c r="BC6" s="633">
        <f>('Attainment 25+ by race &amp; gender'!EN5/'Pop 25+ by race &amp; gender'!DS4)*100</f>
        <v>67.113306174470893</v>
      </c>
      <c r="BD6" s="633">
        <f>('Attainment 25+ by race &amp; gender'!PD5/'Pop 25+ by race &amp; gender'!CV4)*100</f>
        <v>29.578651240610988</v>
      </c>
      <c r="BE6" s="633">
        <f>('Attainment 25+ by race &amp; gender'!PX5/'Pop 25+ by race &amp; gender'!DP4)*100</f>
        <v>34.967272407283389</v>
      </c>
      <c r="BF6" s="633">
        <f>('Attainment 25+ by race &amp; gender'!PE5/'Pop 25+ by race &amp; gender'!CW4)*100</f>
        <v>18.037982424270304</v>
      </c>
      <c r="BG6" s="633">
        <f>('Attainment 25+ by race &amp; gender'!PY5/'Pop 25+ by race &amp; gender'!DQ4)*100</f>
        <v>20.870989397657301</v>
      </c>
      <c r="BH6" s="633">
        <f>('Attainment 25+ by race &amp; gender'!PF5/'Pop 25+ by race &amp; gender'!CY4)*100</f>
        <v>13.046310583597251</v>
      </c>
      <c r="BI6" s="633">
        <f>('Attainment 25+ by race &amp; gender'!PZ5/'Pop 25+ by race &amp; gender'!DS4)*100</f>
        <v>15.346376944366313</v>
      </c>
    </row>
    <row r="7" spans="1:61" s="531" customFormat="1" x14ac:dyDescent="0.2">
      <c r="A7" s="538" t="s">
        <v>63</v>
      </c>
      <c r="B7" s="495">
        <f>('Attainment 25+ by race &amp; gender'!CS6/'Pop 25+ by race &amp; gender'!AT5)*100</f>
        <v>80.569532699045396</v>
      </c>
      <c r="C7" s="628">
        <f>('Attainment 25+ by race &amp; gender'!DR6/'Pop 25+ by race &amp; gender'!CV5)*100</f>
        <v>85.541802157980413</v>
      </c>
      <c r="D7" s="496">
        <f>('Attainment 25+ by race &amp; gender'!CT6/'Pop 25+ by race &amp; gender'!AZ5)*100</f>
        <v>70.310366092414213</v>
      </c>
      <c r="E7" s="495">
        <f>('Attainment 25+ by race &amp; gender'!DS6/'Pop 25+ by race &amp; gender'!CW5)*100</f>
        <v>80.977607788446832</v>
      </c>
      <c r="F7" s="496">
        <f>('Attainment 25+ by race &amp; gender'!CU6/'Pop 25+ by race &amp; gender'!BC5)*100</f>
        <v>54.039511193341774</v>
      </c>
      <c r="G7" s="495">
        <f>('Attainment 25+ by race &amp; gender'!DT6/'Pop 25+ by race &amp; gender'!CY5)*100</f>
        <v>63.295976975880052</v>
      </c>
      <c r="H7" s="496">
        <f>('Attainment 25+ by race &amp; gender'!NT6/'Pop 25+ by race &amp; gender'!AT5)*100</f>
        <v>24.425925658618105</v>
      </c>
      <c r="I7" s="495">
        <f>('Attainment 25+ by race &amp; gender'!PD6/'Pop 25+ by race &amp; gender'!CV5)*100</f>
        <v>27.610705644329158</v>
      </c>
      <c r="J7" s="496">
        <f>('Attainment 25+ by race &amp; gender'!NZ6/'Pop 25+ by race &amp; gender'!AZ5)*100</f>
        <v>13.659288013867435</v>
      </c>
      <c r="K7" s="495">
        <f>('Attainment 25+ by race &amp; gender'!PE6/'Pop 25+ by race &amp; gender'!CW5)*100</f>
        <v>17.58214932349556</v>
      </c>
      <c r="L7" s="496">
        <f>('Attainment 25+ by race &amp; gender'!OC6/'Pop 25+ by race &amp; gender'!BC5)*100</f>
        <v>12.339787736816387</v>
      </c>
      <c r="M7" s="612">
        <f>('Attainment 25+ by race &amp; gender'!PF6/'Pop 25+ by race &amp; gender'!CY5)*100</f>
        <v>14.615925884996573</v>
      </c>
      <c r="N7" s="495">
        <f>('Attainment 25+ by race &amp; gender'!CS6/'Pop 25+ by race &amp; gender'!AT5)*100</f>
        <v>80.569532699045396</v>
      </c>
      <c r="O7" s="628">
        <f>('Attainment 25+ by race &amp; gender'!DW6/'Pop 25+ by race &amp; gender'!DA5)*100</f>
        <v>85.884063125500802</v>
      </c>
      <c r="P7" s="496">
        <f>('Attainment 25+ by race &amp; gender'!CT6/'Pop 25+ by race &amp; gender'!AZ5)*100</f>
        <v>70.310366092414213</v>
      </c>
      <c r="Q7" s="495">
        <f>('Attainment 25+ by race &amp; gender'!DX6/'Pop 25+ by race &amp; gender'!DB5)*100</f>
        <v>81.633115846293663</v>
      </c>
      <c r="R7" s="496">
        <f>('Attainment 25+ by race &amp; gender'!CU6/'Pop 25+ by race &amp; gender'!BC5)*100</f>
        <v>54.039511193341774</v>
      </c>
      <c r="S7" s="495">
        <f>('Attainment 25+ by race &amp; gender'!DY6/'Pop 25+ by race &amp; gender'!DD5)*100</f>
        <v>64.274970652889806</v>
      </c>
      <c r="T7" s="496">
        <f>('Attainment 25+ by race &amp; gender'!NT6/'Pop 25+ by race &amp; gender'!AT5)*100</f>
        <v>24.425925658618105</v>
      </c>
      <c r="U7" s="495">
        <f>('Attainment 25+ by race &amp; gender'!PI6/'Pop 25+ by race &amp; gender'!DA5)*100</f>
        <v>27.971780154674008</v>
      </c>
      <c r="V7" s="496">
        <f>('Attainment 25+ by race &amp; gender'!NZ6/'Pop 25+ by race &amp; gender'!AZ5)*100</f>
        <v>13.659288013867435</v>
      </c>
      <c r="W7" s="495">
        <f>('Attainment 25+ by race &amp; gender'!PJ6/'Pop 25+ by race &amp; gender'!DB5)*100</f>
        <v>17.97164004526612</v>
      </c>
      <c r="X7" s="496">
        <f>('Attainment 25+ by race &amp; gender'!OC6/'Pop 25+ by race &amp; gender'!BC5)*100</f>
        <v>12.339787736816387</v>
      </c>
      <c r="Y7" s="613">
        <f>('Attainment 25+ by race &amp; gender'!PK6/'Pop 25+ by race &amp; gender'!DD5)*100</f>
        <v>14.979325366426096</v>
      </c>
      <c r="Z7" s="495">
        <f>('Attainment 25+ by race &amp; gender'!CS6/'Pop 25+ by race &amp; gender'!AT5)*100</f>
        <v>80.569532699045396</v>
      </c>
      <c r="AA7" s="683">
        <f>('Attainment 25+ by race &amp; gender'!EB6/'Pop 25+ by race &amp; gender'!DF5)*100</f>
        <v>89.432906795313315</v>
      </c>
      <c r="AB7" s="496">
        <f>('Attainment 25+ by race &amp; gender'!CT6/'Pop 25+ by race &amp; gender'!AZ5)*100</f>
        <v>70.310366092414213</v>
      </c>
      <c r="AC7" s="495">
        <f>('Attainment 25+ by race &amp; gender'!EC6/'Pop 25+ by race &amp; gender'!DG5)*100</f>
        <v>82.346952851777885</v>
      </c>
      <c r="AD7" s="496">
        <f>('Attainment 25+ by race &amp; gender'!CU6/'Pop 25+ by race &amp; gender'!BC5)*100</f>
        <v>54.039511193341774</v>
      </c>
      <c r="AE7" s="495">
        <f>('Attainment 25+ by race &amp; gender'!ED6/'Pop 25+ by race &amp; gender'!DI5)*100</f>
        <v>65.150385358892763</v>
      </c>
      <c r="AF7" s="496">
        <f>('Attainment 25+ by race &amp; gender'!NT6/'Pop 25+ by race &amp; gender'!AT5)*100</f>
        <v>24.425925658618105</v>
      </c>
      <c r="AG7" s="495">
        <f>('Attainment 25+ by race &amp; gender'!PN6/'Pop 25+ by race &amp; gender'!DF5)*100</f>
        <v>30.409869263448808</v>
      </c>
      <c r="AH7" s="496">
        <f>('Attainment 25+ by race &amp; gender'!NZ6/'Pop 25+ by race &amp; gender'!AZ5)*100</f>
        <v>13.659288013867435</v>
      </c>
      <c r="AI7" s="495">
        <f>('Attainment 25+ by race &amp; gender'!PO6/'Pop 25+ by race &amp; gender'!DG5)*100</f>
        <v>18.526861306189204</v>
      </c>
      <c r="AJ7" s="496">
        <f>('Attainment 25+ by race &amp; gender'!OC6/'Pop 25+ by race &amp; gender'!BC5)*100</f>
        <v>12.339787736816387</v>
      </c>
      <c r="AK7" s="634">
        <f>('Attainment 25+ by race &amp; gender'!PP6/'Pop 25+ by race &amp; gender'!DI5)*100</f>
        <v>15.326762470760622</v>
      </c>
      <c r="AL7" s="496">
        <f>('Attainment 25+ by race &amp; gender'!CS6/'Pop 25+ by race &amp; gender'!AT5)*100</f>
        <v>80.569532699045396</v>
      </c>
      <c r="AM7" s="634">
        <f>('Attainment 25+ by race &amp; gender'!EG6/'Pop 25+ by race &amp; gender'!DK5)*100</f>
        <v>90.559855256293247</v>
      </c>
      <c r="AN7" s="751">
        <v>70.310366092414213</v>
      </c>
      <c r="AO7" s="634">
        <f>('Attainment 25+ by race &amp; gender'!EH6/'Pop 25+ by race &amp; gender'!DL5)*100</f>
        <v>84.014292770727124</v>
      </c>
      <c r="AP7" s="634">
        <f>('Attainment 25+ by race &amp; gender'!CU6/'Pop 25+ by race &amp; gender'!BC5)*100</f>
        <v>54.039511193341774</v>
      </c>
      <c r="AQ7" s="634">
        <f>('Attainment 25+ by race &amp; gender'!EI6/'Pop 25+ by race &amp; gender'!DN5)*100</f>
        <v>67.184486098626579</v>
      </c>
      <c r="AR7" s="634">
        <f>('Attainment 25+ by race &amp; gender'!NT6/'Pop 25+ by race &amp; gender'!AT5)*100</f>
        <v>24.425925658618105</v>
      </c>
      <c r="AS7" s="634">
        <f>('Attainment 25+ by race &amp; gender'!PS6/'Pop 25+ by race &amp; gender'!DK5)*100</f>
        <v>32.102236845779771</v>
      </c>
      <c r="AT7" s="634">
        <f>('Attainment 25+ by race &amp; gender'!NZ6/'Pop 25+ by race &amp; gender'!AZ5)*100</f>
        <v>13.659288013867435</v>
      </c>
      <c r="AU7" s="634">
        <f>('Attainment 25+ by race &amp; gender'!PT6/'Pop 25+ by race &amp; gender'!DL5)*100</f>
        <v>19.887960818022517</v>
      </c>
      <c r="AV7" s="634">
        <f>('Attainment 25+ by race &amp; gender'!OC6/'Pop 25+ by race &amp; gender'!BC5)*100</f>
        <v>12.339787736816387</v>
      </c>
      <c r="AW7" s="634">
        <f>('Attainment 25+ by race &amp; gender'!PU6/'Pop 25+ by race &amp; gender'!DN5)*100</f>
        <v>16.603473404455947</v>
      </c>
      <c r="AX7" s="496">
        <f>('Attainment 25+ by race &amp; gender'!DR6/'Pop 25+ by race &amp; gender'!CV5)*100</f>
        <v>85.541802157980413</v>
      </c>
      <c r="AY7" s="634">
        <f>('Attainment 25+ by race &amp; gender'!EL6/'Pop 25+ by race &amp; gender'!DP5)*100</f>
        <v>90.745033937509291</v>
      </c>
      <c r="AZ7" s="751">
        <f>('Attainment 25+ by race &amp; gender'!DS6/'Pop 25+ by race &amp; gender'!CW5)*100</f>
        <v>80.977607788446832</v>
      </c>
      <c r="BA7" s="634">
        <f>('Attainment 25+ by race &amp; gender'!EM6/'Pop 25+ by race &amp; gender'!DQ5)*100</f>
        <v>84.623830413925134</v>
      </c>
      <c r="BB7" s="634">
        <f>('Attainment 25+ by race &amp; gender'!DT6/'Pop 25+ by race &amp; gender'!CY5)*100</f>
        <v>63.295976975880052</v>
      </c>
      <c r="BC7" s="634">
        <f>('Attainment 25+ by race &amp; gender'!EN6/'Pop 25+ by race &amp; gender'!DS5)*100</f>
        <v>68.274579955004441</v>
      </c>
      <c r="BD7" s="634">
        <f>('Attainment 25+ by race &amp; gender'!PD6/'Pop 25+ by race &amp; gender'!CV5)*100</f>
        <v>27.610705644329158</v>
      </c>
      <c r="BE7" s="634">
        <f>('Attainment 25+ by race &amp; gender'!PX6/'Pop 25+ by race &amp; gender'!DP5)*100</f>
        <v>32.62921215546757</v>
      </c>
      <c r="BF7" s="634">
        <f>('Attainment 25+ by race &amp; gender'!PE6/'Pop 25+ by race &amp; gender'!CW5)*100</f>
        <v>17.58214932349556</v>
      </c>
      <c r="BG7" s="634">
        <f>('Attainment 25+ by race &amp; gender'!PY6/'Pop 25+ by race &amp; gender'!DQ5)*100</f>
        <v>20.579708471287994</v>
      </c>
      <c r="BH7" s="634">
        <f>('Attainment 25+ by race &amp; gender'!PF6/'Pop 25+ by race &amp; gender'!CY5)*100</f>
        <v>14.615925884996573</v>
      </c>
      <c r="BI7" s="634">
        <f>('Attainment 25+ by race &amp; gender'!PZ6/'Pop 25+ by race &amp; gender'!DS5)*100</f>
        <v>17.248426493653934</v>
      </c>
    </row>
    <row r="8" spans="1:61" x14ac:dyDescent="0.2">
      <c r="A8" s="223"/>
      <c r="B8" s="495"/>
      <c r="C8" s="626"/>
      <c r="D8" s="496"/>
      <c r="E8" s="495"/>
      <c r="F8" s="496"/>
      <c r="G8" s="495"/>
      <c r="H8" s="496"/>
      <c r="I8" s="495"/>
      <c r="J8" s="496"/>
      <c r="K8" s="495"/>
      <c r="L8" s="496"/>
      <c r="M8" s="613"/>
      <c r="N8" s="495"/>
      <c r="O8" s="626"/>
      <c r="P8" s="496"/>
      <c r="Q8" s="495"/>
      <c r="R8" s="496"/>
      <c r="S8" s="495"/>
      <c r="T8" s="496"/>
      <c r="U8" s="495"/>
      <c r="V8" s="496"/>
      <c r="W8" s="495"/>
      <c r="X8" s="496"/>
      <c r="Y8" s="613"/>
      <c r="Z8" s="495"/>
      <c r="AA8" s="626"/>
      <c r="AB8" s="496"/>
      <c r="AC8" s="495"/>
      <c r="AD8" s="496"/>
      <c r="AE8" s="495"/>
      <c r="AF8" s="496"/>
      <c r="AG8" s="495"/>
      <c r="AH8" s="496"/>
      <c r="AI8" s="495"/>
      <c r="AJ8" s="496"/>
      <c r="AK8" s="634"/>
      <c r="AL8" s="496"/>
      <c r="AM8" s="634"/>
      <c r="AN8" s="752"/>
      <c r="AO8" s="634"/>
      <c r="AP8" s="634"/>
      <c r="AQ8" s="634"/>
      <c r="AR8" s="634"/>
      <c r="AS8" s="634"/>
      <c r="AT8" s="634"/>
      <c r="AU8" s="634"/>
      <c r="AV8" s="634"/>
      <c r="AW8" s="634"/>
      <c r="AX8" s="496"/>
      <c r="AY8" s="634"/>
      <c r="AZ8" s="752"/>
      <c r="BA8" s="634"/>
      <c r="BB8" s="634"/>
      <c r="BC8" s="634"/>
      <c r="BD8" s="634"/>
      <c r="BE8" s="634"/>
      <c r="BF8" s="634"/>
      <c r="BG8" s="634"/>
      <c r="BH8" s="634"/>
      <c r="BI8" s="634"/>
    </row>
    <row r="9" spans="1:61" x14ac:dyDescent="0.2">
      <c r="A9" s="221" t="s">
        <v>0</v>
      </c>
      <c r="B9" s="493">
        <f>('Attainment 25+ by race &amp; gender'!CS8/'Pop 25+ by race &amp; gender'!AT7)*100</f>
        <v>77.954608435661143</v>
      </c>
      <c r="C9" s="626">
        <f>('Attainment 25+ by race &amp; gender'!DR8/'Pop 25+ by race &amp; gender'!CV7)*100</f>
        <v>83.999999999999986</v>
      </c>
      <c r="D9" s="494">
        <f>('Attainment 25+ by race &amp; gender'!CT8/'Pop 25+ by race &amp; gender'!AZ7)*100</f>
        <v>66.93303592485465</v>
      </c>
      <c r="E9" s="493">
        <f>('Attainment 25+ by race &amp; gender'!DS8/'Pop 25+ by race &amp; gender'!CW7)*100</f>
        <v>78.199999999999989</v>
      </c>
      <c r="F9" s="494">
        <f>('Attainment 25+ by race &amp; gender'!CU8/'Pop 25+ by race &amp; gender'!BC7)*100</f>
        <v>56.931425752343365</v>
      </c>
      <c r="G9" s="493">
        <f>('Attainment 25+ by race &amp; gender'!DT8/'Pop 25+ by race &amp; gender'!CY7)*100</f>
        <v>53.400000000000006</v>
      </c>
      <c r="H9" s="494">
        <f>('Attainment 25+ by race &amp; gender'!NT8/'Pop 25+ by race &amp; gender'!AT7)*100</f>
        <v>21.190036395923137</v>
      </c>
      <c r="I9" s="493">
        <f>('Attainment 25+ by race &amp; gender'!PD8/'Pop 25+ by race &amp; gender'!CV7)*100</f>
        <v>24.4</v>
      </c>
      <c r="J9" s="494">
        <f>('Attainment 25+ by race &amp; gender'!NZ8/'Pop 25+ by race &amp; gender'!AZ7)*100</f>
        <v>11.502161333956147</v>
      </c>
      <c r="K9" s="493">
        <f>('Attainment 25+ by race &amp; gender'!PE8/'Pop 25+ by race &amp; gender'!CW7)*100</f>
        <v>14.500000000000002</v>
      </c>
      <c r="L9" s="494">
        <f>('Attainment 25+ by race &amp; gender'!OC8/'Pop 25+ by race &amp; gender'!BC7)*100</f>
        <v>14.580935153209451</v>
      </c>
      <c r="M9" s="614">
        <f>('Attainment 25+ by race &amp; gender'!PF8/'Pop 25+ by race &amp; gender'!CY7)*100</f>
        <v>11.799999999999999</v>
      </c>
      <c r="N9" s="493">
        <f>('Attainment 25+ by race &amp; gender'!CS8/'Pop 25+ by race &amp; gender'!AT7)*100</f>
        <v>77.954608435661143</v>
      </c>
      <c r="O9" s="626">
        <f>('Attainment 25+ by race &amp; gender'!DW8/'Pop 25+ by race &amp; gender'!DA7)*100</f>
        <v>84.762267308311948</v>
      </c>
      <c r="P9" s="494">
        <f>('Attainment 25+ by race &amp; gender'!CT8/'Pop 25+ by race &amp; gender'!AZ7)*100</f>
        <v>66.93303592485465</v>
      </c>
      <c r="Q9" s="493">
        <f>('Attainment 25+ by race &amp; gender'!DX8/'Pop 25+ by race &amp; gender'!DB7)*100</f>
        <v>78.82799522425249</v>
      </c>
      <c r="R9" s="494">
        <f>('Attainment 25+ by race &amp; gender'!CU8/'Pop 25+ by race &amp; gender'!BC7)*100</f>
        <v>56.931425752343365</v>
      </c>
      <c r="S9" s="493">
        <f>('Attainment 25+ by race &amp; gender'!DY8/'Pop 25+ by race &amp; gender'!DD7)*100</f>
        <v>55.287991163010886</v>
      </c>
      <c r="T9" s="494">
        <f>('Attainment 25+ by race &amp; gender'!NT8/'Pop 25+ by race &amp; gender'!AT7)*100</f>
        <v>21.190036395923137</v>
      </c>
      <c r="U9" s="493">
        <f>('Attainment 25+ by race &amp; gender'!PI8/'Pop 25+ by race &amp; gender'!DA7)*100</f>
        <v>24.808883599588405</v>
      </c>
      <c r="V9" s="494">
        <f>('Attainment 25+ by race &amp; gender'!NZ8/'Pop 25+ by race &amp; gender'!AZ7)*100</f>
        <v>11.502161333956147</v>
      </c>
      <c r="W9" s="493">
        <f>('Attainment 25+ by race &amp; gender'!PJ8/'Pop 25+ by race &amp; gender'!DB7)*100</f>
        <v>14.876193936877078</v>
      </c>
      <c r="X9" s="494">
        <f>('Attainment 25+ by race &amp; gender'!OC8/'Pop 25+ by race &amp; gender'!BC7)*100</f>
        <v>14.580935153209451</v>
      </c>
      <c r="Y9" s="614">
        <f>('Attainment 25+ by race &amp; gender'!PK8/'Pop 25+ by race &amp; gender'!DD7)*100</f>
        <v>11.888906422597444</v>
      </c>
      <c r="Z9" s="495">
        <f>('Attainment 25+ by race &amp; gender'!CS8/'Pop 25+ by race &amp; gender'!AT7)*100</f>
        <v>77.954608435661143</v>
      </c>
      <c r="AA9" s="626">
        <f>('Attainment 25+ by race &amp; gender'!EB8/'Pop 25+ by race &amp; gender'!DF7)*100</f>
        <v>86.107168322342517</v>
      </c>
      <c r="AB9" s="496">
        <f>('Attainment 25+ by race &amp; gender'!CT8/'Pop 25+ by race &amp; gender'!AZ7)*100</f>
        <v>66.93303592485465</v>
      </c>
      <c r="AC9" s="495">
        <f>('Attainment 25+ by race &amp; gender'!EC8/'Pop 25+ by race &amp; gender'!DG7)*100</f>
        <v>79.728813472261109</v>
      </c>
      <c r="AD9" s="496">
        <f>('Attainment 25+ by race &amp; gender'!CU8/'Pop 25+ by race &amp; gender'!BC7)*100</f>
        <v>56.931425752343365</v>
      </c>
      <c r="AE9" s="495">
        <f>('Attainment 25+ by race &amp; gender'!ED8/'Pop 25+ by race &amp; gender'!DI7)*100</f>
        <v>59.936941560958232</v>
      </c>
      <c r="AF9" s="496">
        <f>('Attainment 25+ by race &amp; gender'!NT8/'Pop 25+ by race &amp; gender'!AT7)*100</f>
        <v>21.190036395923137</v>
      </c>
      <c r="AG9" s="495">
        <f>('Attainment 25+ by race &amp; gender'!PN8/'Pop 25+ by race &amp; gender'!DF7)*100</f>
        <v>25.586628620909242</v>
      </c>
      <c r="AH9" s="496">
        <f>('Attainment 25+ by race &amp; gender'!NZ8/'Pop 25+ by race &amp; gender'!AZ7)*100</f>
        <v>11.502161333956147</v>
      </c>
      <c r="AI9" s="495">
        <f>('Attainment 25+ by race &amp; gender'!PO8/'Pop 25+ by race &amp; gender'!DG7)*100</f>
        <v>15.501986578077526</v>
      </c>
      <c r="AJ9" s="496">
        <f>('Attainment 25+ by race &amp; gender'!OC8/'Pop 25+ by race &amp; gender'!BC7)*100</f>
        <v>14.580935153209451</v>
      </c>
      <c r="AK9" s="634">
        <f>('Attainment 25+ by race &amp; gender'!PP8/'Pop 25+ by race &amp; gender'!DI7)*100</f>
        <v>13.047440476813977</v>
      </c>
      <c r="AL9" s="496">
        <f>('Attainment 25+ by race &amp; gender'!CS8/'Pop 25+ by race &amp; gender'!AT7)*100</f>
        <v>77.954608435661143</v>
      </c>
      <c r="AM9" s="634">
        <f>('Attainment 25+ by race &amp; gender'!EG8/'Pop 25+ by race &amp; gender'!DK7)*100</f>
        <v>87.256536161305291</v>
      </c>
      <c r="AN9" s="752">
        <v>66.93303592485465</v>
      </c>
      <c r="AO9" s="634">
        <f>('Attainment 25+ by race &amp; gender'!EH8/'Pop 25+ by race &amp; gender'!DL7)*100</f>
        <v>81.536758746164722</v>
      </c>
      <c r="AP9" s="634">
        <f>('Attainment 25+ by race &amp; gender'!CU8/'Pop 25+ by race &amp; gender'!BC7)*100</f>
        <v>56.931425752343365</v>
      </c>
      <c r="AQ9" s="634">
        <f>('Attainment 25+ by race &amp; gender'!EI8/'Pop 25+ by race &amp; gender'!DN7)*100</f>
        <v>57.395581457829579</v>
      </c>
      <c r="AR9" s="634">
        <f>('Attainment 25+ by race &amp; gender'!NT8/'Pop 25+ by race &amp; gender'!AT7)*100</f>
        <v>21.190036395923137</v>
      </c>
      <c r="AS9" s="634">
        <f>('Attainment 25+ by race &amp; gender'!PS8/'Pop 25+ by race &amp; gender'!DK7)*100</f>
        <v>26.984404101939642</v>
      </c>
      <c r="AT9" s="634">
        <f>('Attainment 25+ by race &amp; gender'!NZ8/'Pop 25+ by race &amp; gender'!AZ7)*100</f>
        <v>11.502161333956147</v>
      </c>
      <c r="AU9" s="634">
        <f>('Attainment 25+ by race &amp; gender'!PT8/'Pop 25+ by race &amp; gender'!DL7)*100</f>
        <v>16.308257770355478</v>
      </c>
      <c r="AV9" s="634">
        <f>('Attainment 25+ by race &amp; gender'!OC8/'Pop 25+ by race &amp; gender'!BC7)*100</f>
        <v>14.580935153209451</v>
      </c>
      <c r="AW9" s="634">
        <f>('Attainment 25+ by race &amp; gender'!PU8/'Pop 25+ by race &amp; gender'!DN7)*100</f>
        <v>12.874325748651497</v>
      </c>
      <c r="AX9" s="496">
        <f>('Attainment 25+ by race &amp; gender'!DR8/'Pop 25+ by race &amp; gender'!CV7)*100</f>
        <v>83.999999999999986</v>
      </c>
      <c r="AY9" s="634">
        <f>('Attainment 25+ by race &amp; gender'!EL8/'Pop 25+ by race &amp; gender'!DP7)*100</f>
        <v>87.352960348017362</v>
      </c>
      <c r="AZ9" s="752">
        <f>('Attainment 25+ by race &amp; gender'!DS8/'Pop 25+ by race &amp; gender'!CW7)*100</f>
        <v>78.199999999999989</v>
      </c>
      <c r="BA9" s="634">
        <f>('Attainment 25+ by race &amp; gender'!EM8/'Pop 25+ by race &amp; gender'!DQ7)*100</f>
        <v>81.952391214336402</v>
      </c>
      <c r="BB9" s="634">
        <f>('Attainment 25+ by race &amp; gender'!DT8/'Pop 25+ by race &amp; gender'!CY7)*100</f>
        <v>53.400000000000006</v>
      </c>
      <c r="BC9" s="634">
        <f>('Attainment 25+ by race &amp; gender'!EN8/'Pop 25+ by race &amp; gender'!DS7)*100</f>
        <v>58.296452298833032</v>
      </c>
      <c r="BD9" s="634">
        <f>('Attainment 25+ by race &amp; gender'!PD8/'Pop 25+ by race &amp; gender'!CV7)*100</f>
        <v>24.4</v>
      </c>
      <c r="BE9" s="634">
        <f>('Attainment 25+ by race &amp; gender'!PX8/'Pop 25+ by race &amp; gender'!DP7)*100</f>
        <v>27.250976983310021</v>
      </c>
      <c r="BF9" s="634">
        <f>('Attainment 25+ by race &amp; gender'!PE8/'Pop 25+ by race &amp; gender'!CW7)*100</f>
        <v>14.500000000000002</v>
      </c>
      <c r="BG9" s="634">
        <f>('Attainment 25+ by race &amp; gender'!PY8/'Pop 25+ by race &amp; gender'!DQ7)*100</f>
        <v>17.641304532060019</v>
      </c>
      <c r="BH9" s="634">
        <f>('Attainment 25+ by race &amp; gender'!PF8/'Pop 25+ by race &amp; gender'!CY7)*100</f>
        <v>11.799999999999999</v>
      </c>
      <c r="BI9" s="634">
        <f>('Attainment 25+ by race &amp; gender'!PZ8/'Pop 25+ by race &amp; gender'!DS7)*100</f>
        <v>12.951601908657123</v>
      </c>
    </row>
    <row r="10" spans="1:61" x14ac:dyDescent="0.2">
      <c r="A10" s="221" t="s">
        <v>1</v>
      </c>
      <c r="B10" s="493">
        <f>('Attainment 25+ by race &amp; gender'!CS9/'Pop 25+ by race &amp; gender'!AT8)*100</f>
        <v>77.452166907168575</v>
      </c>
      <c r="C10" s="626">
        <f>('Attainment 25+ by race &amp; gender'!DR9/'Pop 25+ by race &amp; gender'!CV8)*100</f>
        <v>84.7</v>
      </c>
      <c r="D10" s="494">
        <f>('Attainment 25+ by race &amp; gender'!CT9/'Pop 25+ by race &amp; gender'!AZ8)*100</f>
        <v>65.774719561032811</v>
      </c>
      <c r="E10" s="493">
        <f>('Attainment 25+ by race &amp; gender'!DS9/'Pop 25+ by race &amp; gender'!CW8)*100</f>
        <v>78.799999999999983</v>
      </c>
      <c r="F10" s="494">
        <f>('Attainment 25+ by race &amp; gender'!CU9/'Pop 25+ by race &amp; gender'!BC8)*100</f>
        <v>41.240410804867686</v>
      </c>
      <c r="G10" s="493">
        <f>('Attainment 25+ by race &amp; gender'!DT9/'Pop 25+ by race &amp; gender'!CY8)*100</f>
        <v>48.9</v>
      </c>
      <c r="H10" s="494">
        <f>('Attainment 25+ by race &amp; gender'!NT9/'Pop 25+ by race &amp; gender'!AT8)*100</f>
        <v>17.771970940257386</v>
      </c>
      <c r="I10" s="493">
        <f>('Attainment 25+ by race &amp; gender'!PD9/'Pop 25+ by race &amp; gender'!CV8)*100</f>
        <v>20.7</v>
      </c>
      <c r="J10" s="494">
        <f>('Attainment 25+ by race &amp; gender'!NZ9/'Pop 25+ by race &amp; gender'!AZ8)*100</f>
        <v>10.22103236940505</v>
      </c>
      <c r="K10" s="493">
        <f>('Attainment 25+ by race &amp; gender'!PE9/'Pop 25+ by race &amp; gender'!CW8)*100</f>
        <v>13.100000000000001</v>
      </c>
      <c r="L10" s="494">
        <f>('Attainment 25+ by race &amp; gender'!OC9/'Pop 25+ by race &amp; gender'!BC8)*100</f>
        <v>7.1066243534321201</v>
      </c>
      <c r="M10" s="614">
        <f>('Attainment 25+ by race &amp; gender'!PF9/'Pop 25+ by race &amp; gender'!CY8)*100</f>
        <v>8.7999999999999989</v>
      </c>
      <c r="N10" s="493">
        <f>('Attainment 25+ by race &amp; gender'!CS9/'Pop 25+ by race &amp; gender'!AT8)*100</f>
        <v>77.452166907168575</v>
      </c>
      <c r="O10" s="626">
        <f>('Attainment 25+ by race &amp; gender'!DW9/'Pop 25+ by race &amp; gender'!DA8)*100</f>
        <v>85.29392188917322</v>
      </c>
      <c r="P10" s="494">
        <f>('Attainment 25+ by race &amp; gender'!CT9/'Pop 25+ by race &amp; gender'!AZ8)*100</f>
        <v>65.774719561032811</v>
      </c>
      <c r="Q10" s="493">
        <f>('Attainment 25+ by race &amp; gender'!DX9/'Pop 25+ by race &amp; gender'!DB8)*100</f>
        <v>79.71247492622075</v>
      </c>
      <c r="R10" s="494">
        <f>('Attainment 25+ by race &amp; gender'!CU9/'Pop 25+ by race &amp; gender'!BC8)*100</f>
        <v>41.240410804867686</v>
      </c>
      <c r="S10" s="493">
        <f>('Attainment 25+ by race &amp; gender'!DY9/'Pop 25+ by race &amp; gender'!DD8)*100</f>
        <v>50.053289090569479</v>
      </c>
      <c r="T10" s="494">
        <f>('Attainment 25+ by race &amp; gender'!NT9/'Pop 25+ by race &amp; gender'!AT8)*100</f>
        <v>17.771970940257386</v>
      </c>
      <c r="U10" s="493">
        <f>('Attainment 25+ by race &amp; gender'!PI9/'Pop 25+ by race &amp; gender'!DA8)*100</f>
        <v>21.328313827706886</v>
      </c>
      <c r="V10" s="494">
        <f>('Attainment 25+ by race &amp; gender'!NZ9/'Pop 25+ by race &amp; gender'!AZ8)*100</f>
        <v>10.22103236940505</v>
      </c>
      <c r="W10" s="493">
        <f>('Attainment 25+ by race &amp; gender'!PJ9/'Pop 25+ by race &amp; gender'!DB8)*100</f>
        <v>13.594733296862383</v>
      </c>
      <c r="X10" s="494">
        <f>('Attainment 25+ by race &amp; gender'!OC9/'Pop 25+ by race &amp; gender'!BC8)*100</f>
        <v>7.1066243534321201</v>
      </c>
      <c r="Y10" s="614">
        <f>('Attainment 25+ by race &amp; gender'!PK9/'Pop 25+ by race &amp; gender'!DD8)*100</f>
        <v>8.991023260413348</v>
      </c>
      <c r="Z10" s="495">
        <f>('Attainment 25+ by race &amp; gender'!CS9/'Pop 25+ by race &amp; gender'!AT8)*100</f>
        <v>77.452166907168575</v>
      </c>
      <c r="AA10" s="626">
        <f>('Attainment 25+ by race &amp; gender'!EB9/'Pop 25+ by race &amp; gender'!DF8)*100</f>
        <v>86.949968140724167</v>
      </c>
      <c r="AB10" s="496">
        <f>('Attainment 25+ by race &amp; gender'!CT9/'Pop 25+ by race &amp; gender'!AZ8)*100</f>
        <v>65.774719561032811</v>
      </c>
      <c r="AC10" s="495">
        <f>('Attainment 25+ by race &amp; gender'!EC9/'Pop 25+ by race &amp; gender'!DG8)*100</f>
        <v>80.159896363468121</v>
      </c>
      <c r="AD10" s="496">
        <f>('Attainment 25+ by race &amp; gender'!CU9/'Pop 25+ by race &amp; gender'!BC8)*100</f>
        <v>41.240410804867686</v>
      </c>
      <c r="AE10" s="495">
        <f>('Attainment 25+ by race &amp; gender'!ED9/'Pop 25+ by race &amp; gender'!DI8)*100</f>
        <v>52.078371029278472</v>
      </c>
      <c r="AF10" s="496">
        <f>('Attainment 25+ by race &amp; gender'!NT9/'Pop 25+ by race &amp; gender'!AT8)*100</f>
        <v>17.771970940257386</v>
      </c>
      <c r="AG10" s="495">
        <f>('Attainment 25+ by race &amp; gender'!PN9/'Pop 25+ by race &amp; gender'!DF8)*100</f>
        <v>22.299261954118705</v>
      </c>
      <c r="AH10" s="496">
        <f>('Attainment 25+ by race &amp; gender'!NZ9/'Pop 25+ by race &amp; gender'!AZ8)*100</f>
        <v>10.22103236940505</v>
      </c>
      <c r="AI10" s="495">
        <f>('Attainment 25+ by race &amp; gender'!PO9/'Pop 25+ by race &amp; gender'!DG8)*100</f>
        <v>13.92949014527621</v>
      </c>
      <c r="AJ10" s="496">
        <f>('Attainment 25+ by race &amp; gender'!OC9/'Pop 25+ by race &amp; gender'!BC8)*100</f>
        <v>7.1066243534321201</v>
      </c>
      <c r="AK10" s="634">
        <f>('Attainment 25+ by race &amp; gender'!PP9/'Pop 25+ by race &amp; gender'!DI8)*100</f>
        <v>8.5558904744840962</v>
      </c>
      <c r="AL10" s="496">
        <f>('Attainment 25+ by race &amp; gender'!CS9/'Pop 25+ by race &amp; gender'!AT8)*100</f>
        <v>77.452166907168575</v>
      </c>
      <c r="AM10" s="634">
        <f>('Attainment 25+ by race &amp; gender'!EG9/'Pop 25+ by race &amp; gender'!DK8)*100</f>
        <v>88.325136762999392</v>
      </c>
      <c r="AN10" s="752">
        <v>65.774719561032811</v>
      </c>
      <c r="AO10" s="634">
        <f>('Attainment 25+ by race &amp; gender'!EH9/'Pop 25+ by race &amp; gender'!DL8)*100</f>
        <v>80.477941176470594</v>
      </c>
      <c r="AP10" s="634">
        <f>('Attainment 25+ by race &amp; gender'!CU9/'Pop 25+ by race &amp; gender'!BC8)*100</f>
        <v>41.240410804867686</v>
      </c>
      <c r="AQ10" s="634">
        <f>('Attainment 25+ by race &amp; gender'!EI9/'Pop 25+ by race &amp; gender'!DN8)*100</f>
        <v>54.934151000301604</v>
      </c>
      <c r="AR10" s="634">
        <f>('Attainment 25+ by race &amp; gender'!NT9/'Pop 25+ by race &amp; gender'!AT8)*100</f>
        <v>17.771970940257386</v>
      </c>
      <c r="AS10" s="634">
        <f>('Attainment 25+ by race &amp; gender'!PS9/'Pop 25+ by race &amp; gender'!DK8)*100</f>
        <v>23.547809354166599</v>
      </c>
      <c r="AT10" s="634">
        <f>('Attainment 25+ by race &amp; gender'!NZ9/'Pop 25+ by race &amp; gender'!AZ8)*100</f>
        <v>10.22103236940505</v>
      </c>
      <c r="AU10" s="634">
        <f>('Attainment 25+ by race &amp; gender'!PT9/'Pop 25+ by race &amp; gender'!DL8)*100</f>
        <v>13.667632918552036</v>
      </c>
      <c r="AV10" s="634">
        <f>('Attainment 25+ by race &amp; gender'!OC9/'Pop 25+ by race &amp; gender'!BC8)*100</f>
        <v>7.1066243534321201</v>
      </c>
      <c r="AW10" s="634">
        <f>('Attainment 25+ by race &amp; gender'!PU9/'Pop 25+ by race &amp; gender'!DN8)*100</f>
        <v>9.7396199859254047</v>
      </c>
      <c r="AX10" s="496">
        <f>('Attainment 25+ by race &amp; gender'!DR9/'Pop 25+ by race &amp; gender'!CV8)*100</f>
        <v>84.7</v>
      </c>
      <c r="AY10" s="634">
        <f>('Attainment 25+ by race &amp; gender'!EL9/'Pop 25+ by race &amp; gender'!DP8)*100</f>
        <v>88.558746457725604</v>
      </c>
      <c r="AZ10" s="752">
        <f>('Attainment 25+ by race &amp; gender'!DS9/'Pop 25+ by race &amp; gender'!CW8)*100</f>
        <v>78.799999999999983</v>
      </c>
      <c r="BA10" s="634">
        <f>('Attainment 25+ by race &amp; gender'!EM9/'Pop 25+ by race &amp; gender'!DQ8)*100</f>
        <v>82.502972124137202</v>
      </c>
      <c r="BB10" s="634">
        <f>('Attainment 25+ by race &amp; gender'!DT9/'Pop 25+ by race &amp; gender'!CY8)*100</f>
        <v>48.9</v>
      </c>
      <c r="BC10" s="634">
        <f>('Attainment 25+ by race &amp; gender'!EN9/'Pop 25+ by race &amp; gender'!DS8)*100</f>
        <v>56.286014138333897</v>
      </c>
      <c r="BD10" s="634">
        <f>('Attainment 25+ by race &amp; gender'!PD9/'Pop 25+ by race &amp; gender'!CV8)*100</f>
        <v>20.7</v>
      </c>
      <c r="BE10" s="634">
        <f>('Attainment 25+ by race &amp; gender'!PX9/'Pop 25+ by race &amp; gender'!DP8)*100</f>
        <v>23.998274726961881</v>
      </c>
      <c r="BF10" s="634">
        <f>('Attainment 25+ by race &amp; gender'!PE9/'Pop 25+ by race &amp; gender'!CW8)*100</f>
        <v>13.100000000000001</v>
      </c>
      <c r="BG10" s="634">
        <f>('Attainment 25+ by race &amp; gender'!PY9/'Pop 25+ by race &amp; gender'!DQ8)*100</f>
        <v>16.002271235161558</v>
      </c>
      <c r="BH10" s="634">
        <f>('Attainment 25+ by race &amp; gender'!PF9/'Pop 25+ by race &amp; gender'!CY8)*100</f>
        <v>8.7999999999999989</v>
      </c>
      <c r="BI10" s="634">
        <f>('Attainment 25+ by race &amp; gender'!PZ9/'Pop 25+ by race &amp; gender'!DS8)*100</f>
        <v>9.6473337161640362</v>
      </c>
    </row>
    <row r="11" spans="1:61" x14ac:dyDescent="0.2">
      <c r="A11" s="221" t="s">
        <v>2</v>
      </c>
      <c r="B11" s="493">
        <f>('Attainment 25+ by race &amp; gender'!CS10/'Pop 25+ by race &amp; gender'!AT9)*100</f>
        <v>85.030784602466255</v>
      </c>
      <c r="C11" s="626">
        <f>('Attainment 25+ by race &amp; gender'!DR10/'Pop 25+ by race &amp; gender'!CV9)*100</f>
        <v>88.4</v>
      </c>
      <c r="D11" s="494">
        <f>('Attainment 25+ by race &amp; gender'!CT10/'Pop 25+ by race &amp; gender'!AZ9)*100</f>
        <v>74.186006334581052</v>
      </c>
      <c r="E11" s="493">
        <f>('Attainment 25+ by race &amp; gender'!DS10/'Pop 25+ by race &amp; gender'!CW9)*100</f>
        <v>84.399999999999991</v>
      </c>
      <c r="F11" s="494">
        <f>('Attainment 25+ by race &amp; gender'!CU10/'Pop 25+ by race &amp; gender'!BC9)*100</f>
        <v>57.138954155510625</v>
      </c>
      <c r="G11" s="493">
        <f>('Attainment 25+ by race &amp; gender'!DT10/'Pop 25+ by race &amp; gender'!CY9)*100</f>
        <v>59.599999999999994</v>
      </c>
      <c r="H11" s="494">
        <f>('Attainment 25+ by race &amp; gender'!NT10/'Pop 25+ by race &amp; gender'!AT9)*100</f>
        <v>26.746599491200662</v>
      </c>
      <c r="I11" s="493">
        <f>('Attainment 25+ by race &amp; gender'!PD10/'Pop 25+ by race &amp; gender'!CV9)*100</f>
        <v>29.800000000000004</v>
      </c>
      <c r="J11" s="494">
        <f>('Attainment 25+ by race &amp; gender'!NZ10/'Pop 25+ by race &amp; gender'!AZ9)*100</f>
        <v>14.44630002879355</v>
      </c>
      <c r="K11" s="493">
        <f>('Attainment 25+ by race &amp; gender'!PE10/'Pop 25+ by race &amp; gender'!CW9)*100</f>
        <v>17.8</v>
      </c>
      <c r="L11" s="494">
        <f>('Attainment 25+ by race &amp; gender'!OC10/'Pop 25+ by race &amp; gender'!BC9)*100</f>
        <v>13.452816785967981</v>
      </c>
      <c r="M11" s="614">
        <f>('Attainment 25+ by race &amp; gender'!PF10/'Pop 25+ by race &amp; gender'!CY9)*100</f>
        <v>13.599999999999998</v>
      </c>
      <c r="N11" s="493">
        <f>('Attainment 25+ by race &amp; gender'!CS10/'Pop 25+ by race &amp; gender'!AT9)*100</f>
        <v>85.030784602466255</v>
      </c>
      <c r="O11" s="626">
        <f>('Attainment 25+ by race &amp; gender'!DW10/'Pop 25+ by race &amp; gender'!DA9)*100</f>
        <v>88.858649882540661</v>
      </c>
      <c r="P11" s="494">
        <f>('Attainment 25+ by race &amp; gender'!CT10/'Pop 25+ by race &amp; gender'!AZ9)*100</f>
        <v>74.186006334581052</v>
      </c>
      <c r="Q11" s="493">
        <f>('Attainment 25+ by race &amp; gender'!DX10/'Pop 25+ by race &amp; gender'!DB9)*100</f>
        <v>85.26267640232436</v>
      </c>
      <c r="R11" s="494">
        <f>('Attainment 25+ by race &amp; gender'!CU10/'Pop 25+ by race &amp; gender'!BC9)*100</f>
        <v>57.138954155510625</v>
      </c>
      <c r="S11" s="493">
        <f>('Attainment 25+ by race &amp; gender'!DY10/'Pop 25+ by race &amp; gender'!DD9)*100</f>
        <v>63.252304237708557</v>
      </c>
      <c r="T11" s="494">
        <f>('Attainment 25+ by race &amp; gender'!NT10/'Pop 25+ by race &amp; gender'!AT9)*100</f>
        <v>26.746599491200662</v>
      </c>
      <c r="U11" s="493">
        <f>('Attainment 25+ by race &amp; gender'!PI10/'Pop 25+ by race &amp; gender'!DA9)*100</f>
        <v>29.957891937414121</v>
      </c>
      <c r="V11" s="494">
        <f>('Attainment 25+ by race &amp; gender'!NZ10/'Pop 25+ by race &amp; gender'!AZ9)*100</f>
        <v>14.44630002879355</v>
      </c>
      <c r="W11" s="493">
        <f>('Attainment 25+ by race &amp; gender'!PJ10/'Pop 25+ by race &amp; gender'!DB9)*100</f>
        <v>19.006556321683295</v>
      </c>
      <c r="X11" s="494">
        <f>('Attainment 25+ by race &amp; gender'!OC10/'Pop 25+ by race &amp; gender'!BC9)*100</f>
        <v>13.452816785967981</v>
      </c>
      <c r="Y11" s="614">
        <f>('Attainment 25+ by race &amp; gender'!PK10/'Pop 25+ by race &amp; gender'!DD9)*100</f>
        <v>14.613958588997104</v>
      </c>
      <c r="Z11" s="495">
        <f>('Attainment 25+ by race &amp; gender'!CS10/'Pop 25+ by race &amp; gender'!AT9)*100</f>
        <v>85.030784602466255</v>
      </c>
      <c r="AA11" s="626">
        <f>('Attainment 25+ by race &amp; gender'!EB10/'Pop 25+ by race &amp; gender'!DF9)*100</f>
        <v>90.646814526818062</v>
      </c>
      <c r="AB11" s="496">
        <f>('Attainment 25+ by race &amp; gender'!CT10/'Pop 25+ by race &amp; gender'!AZ9)*100</f>
        <v>74.186006334581052</v>
      </c>
      <c r="AC11" s="495">
        <f>('Attainment 25+ by race &amp; gender'!EC10/'Pop 25+ by race &amp; gender'!DG9)*100</f>
        <v>85.518246252376997</v>
      </c>
      <c r="AD11" s="496">
        <f>('Attainment 25+ by race &amp; gender'!CU10/'Pop 25+ by race &amp; gender'!BC9)*100</f>
        <v>57.138954155510625</v>
      </c>
      <c r="AE11" s="495">
        <f>('Attainment 25+ by race &amp; gender'!ED10/'Pop 25+ by race &amp; gender'!DI9)*100</f>
        <v>63.808955817305304</v>
      </c>
      <c r="AF11" s="496">
        <f>('Attainment 25+ by race &amp; gender'!NT10/'Pop 25+ by race &amp; gender'!AT9)*100</f>
        <v>26.746599491200662</v>
      </c>
      <c r="AG11" s="495">
        <f>('Attainment 25+ by race &amp; gender'!PN10/'Pop 25+ by race &amp; gender'!DF9)*100</f>
        <v>31.629872153211519</v>
      </c>
      <c r="AH11" s="496">
        <f>('Attainment 25+ by race &amp; gender'!NZ10/'Pop 25+ by race &amp; gender'!AZ9)*100</f>
        <v>14.44630002879355</v>
      </c>
      <c r="AI11" s="495">
        <f>('Attainment 25+ by race &amp; gender'!PO10/'Pop 25+ by race &amp; gender'!DG9)*100</f>
        <v>19.593832577360324</v>
      </c>
      <c r="AJ11" s="496">
        <f>('Attainment 25+ by race &amp; gender'!OC10/'Pop 25+ by race &amp; gender'!BC9)*100</f>
        <v>13.452816785967981</v>
      </c>
      <c r="AK11" s="634">
        <f>('Attainment 25+ by race &amp; gender'!PP10/'Pop 25+ by race &amp; gender'!DI9)*100</f>
        <v>15.058893693156403</v>
      </c>
      <c r="AL11" s="496">
        <f>('Attainment 25+ by race &amp; gender'!CS10/'Pop 25+ by race &amp; gender'!AT9)*100</f>
        <v>85.030784602466255</v>
      </c>
      <c r="AM11" s="634">
        <f>('Attainment 25+ by race &amp; gender'!EG10/'Pop 25+ by race &amp; gender'!DK9)*100</f>
        <v>91.979486581253909</v>
      </c>
      <c r="AN11" s="752">
        <v>74.186006334581052</v>
      </c>
      <c r="AO11" s="634">
        <f>('Attainment 25+ by race &amp; gender'!EH10/'Pop 25+ by race &amp; gender'!DL9)*100</f>
        <v>87.546742385452063</v>
      </c>
      <c r="AP11" s="634">
        <f>('Attainment 25+ by race &amp; gender'!CU10/'Pop 25+ by race &amp; gender'!BC9)*100</f>
        <v>57.138954155510625</v>
      </c>
      <c r="AQ11" s="634">
        <f>('Attainment 25+ by race &amp; gender'!EI10/'Pop 25+ by race &amp; gender'!DN9)*100</f>
        <v>59.199571438137546</v>
      </c>
      <c r="AR11" s="634">
        <f>('Attainment 25+ by race &amp; gender'!NT10/'Pop 25+ by race &amp; gender'!AT9)*100</f>
        <v>26.746599491200662</v>
      </c>
      <c r="AS11" s="634">
        <f>('Attainment 25+ by race &amp; gender'!PS10/'Pop 25+ by race &amp; gender'!DK9)*100</f>
        <v>32.750579351530092</v>
      </c>
      <c r="AT11" s="634">
        <f>('Attainment 25+ by race &amp; gender'!NZ10/'Pop 25+ by race &amp; gender'!AZ9)*100</f>
        <v>14.44630002879355</v>
      </c>
      <c r="AU11" s="634">
        <f>('Attainment 25+ by race &amp; gender'!PT10/'Pop 25+ by race &amp; gender'!DL9)*100</f>
        <v>22.924327763037443</v>
      </c>
      <c r="AV11" s="634">
        <f>('Attainment 25+ by race &amp; gender'!OC10/'Pop 25+ by race &amp; gender'!BC9)*100</f>
        <v>13.452816785967981</v>
      </c>
      <c r="AW11" s="634">
        <f>('Attainment 25+ by race &amp; gender'!PU10/'Pop 25+ by race &amp; gender'!DN9)*100</f>
        <v>13.85906564585612</v>
      </c>
      <c r="AX11" s="496">
        <f>('Attainment 25+ by race &amp; gender'!DR10/'Pop 25+ by race &amp; gender'!CV9)*100</f>
        <v>88.4</v>
      </c>
      <c r="AY11" s="634">
        <f>('Attainment 25+ by race &amp; gender'!EL10/'Pop 25+ by race &amp; gender'!DP9)*100</f>
        <v>91.931314048226113</v>
      </c>
      <c r="AZ11" s="752">
        <f>('Attainment 25+ by race &amp; gender'!DS10/'Pop 25+ by race &amp; gender'!CW9)*100</f>
        <v>84.399999999999991</v>
      </c>
      <c r="BA11" s="634">
        <f>('Attainment 25+ by race &amp; gender'!EM10/'Pop 25+ by race &amp; gender'!DQ9)*100</f>
        <v>87.432207241327077</v>
      </c>
      <c r="BB11" s="634">
        <f>('Attainment 25+ by race &amp; gender'!DT10/'Pop 25+ by race &amp; gender'!CY9)*100</f>
        <v>59.599999999999994</v>
      </c>
      <c r="BC11" s="634">
        <f>('Attainment 25+ by race &amp; gender'!EN10/'Pop 25+ by race &amp; gender'!DS9)*100</f>
        <v>67.798722883135056</v>
      </c>
      <c r="BD11" s="634">
        <f>('Attainment 25+ by race &amp; gender'!PD10/'Pop 25+ by race &amp; gender'!CV9)*100</f>
        <v>29.800000000000004</v>
      </c>
      <c r="BE11" s="634">
        <f>('Attainment 25+ by race &amp; gender'!PX10/'Pop 25+ by race &amp; gender'!DP9)*100</f>
        <v>33.785870343919228</v>
      </c>
      <c r="BF11" s="634">
        <f>('Attainment 25+ by race &amp; gender'!PE10/'Pop 25+ by race &amp; gender'!CW9)*100</f>
        <v>17.8</v>
      </c>
      <c r="BG11" s="634">
        <f>('Attainment 25+ by race &amp; gender'!PY10/'Pop 25+ by race &amp; gender'!DQ9)*100</f>
        <v>20.834722011816392</v>
      </c>
      <c r="BH11" s="634">
        <f>('Attainment 25+ by race &amp; gender'!PF10/'Pop 25+ by race &amp; gender'!CY9)*100</f>
        <v>13.599999999999998</v>
      </c>
      <c r="BI11" s="634">
        <f>('Attainment 25+ by race &amp; gender'!PZ10/'Pop 25+ by race &amp; gender'!DS9)*100</f>
        <v>16.121413575927221</v>
      </c>
    </row>
    <row r="12" spans="1:61" x14ac:dyDescent="0.2">
      <c r="A12" s="221" t="s">
        <v>3</v>
      </c>
      <c r="B12" s="493">
        <f>('Attainment 25+ by race &amp; gender'!CS11/'Pop 25+ by race &amp; gender'!AT10)*100</f>
        <v>82.534915366428791</v>
      </c>
      <c r="C12" s="626">
        <f>('Attainment 25+ by race &amp; gender'!DR11/'Pop 25+ by race &amp; gender'!CV10)*100</f>
        <v>87.499999999999972</v>
      </c>
      <c r="D12" s="494">
        <f>('Attainment 25+ by race &amp; gender'!CT11/'Pop 25+ by race &amp; gender'!AZ10)*100</f>
        <v>67.047985469419018</v>
      </c>
      <c r="E12" s="493">
        <f>('Attainment 25+ by race &amp; gender'!DS11/'Pop 25+ by race &amp; gender'!CW10)*100</f>
        <v>78.2</v>
      </c>
      <c r="F12" s="494">
        <f>('Attainment 25+ by race &amp; gender'!CU11/'Pop 25+ by race &amp; gender'!BC10)*100</f>
        <v>63.314237654209947</v>
      </c>
      <c r="G12" s="493">
        <f>('Attainment 25+ by race &amp; gender'!DT11/'Pop 25+ by race &amp; gender'!CY10)*100</f>
        <v>74.200000000000017</v>
      </c>
      <c r="H12" s="494">
        <f>('Attainment 25+ by race &amp; gender'!NT11/'Pop 25+ by race &amp; gender'!AT10)*100</f>
        <v>23.817435490003778</v>
      </c>
      <c r="I12" s="493">
        <f>('Attainment 25+ by race &amp; gender'!PD11/'Pop 25+ by race &amp; gender'!CV10)*100</f>
        <v>27.099999999999998</v>
      </c>
      <c r="J12" s="494">
        <f>('Attainment 25+ by race &amp; gender'!NZ11/'Pop 25+ by race &amp; gender'!AZ10)*100</f>
        <v>12.425701198586163</v>
      </c>
      <c r="K12" s="493">
        <f>('Attainment 25+ by race &amp; gender'!PE11/'Pop 25+ by race &amp; gender'!CW10)*100</f>
        <v>16</v>
      </c>
      <c r="L12" s="494">
        <f>('Attainment 25+ by race &amp; gender'!OC11/'Pop 25+ by race &amp; gender'!BC10)*100</f>
        <v>17.484666737835571</v>
      </c>
      <c r="M12" s="614">
        <f>('Attainment 25+ by race &amp; gender'!PF11/'Pop 25+ by race &amp; gender'!CY10)*100</f>
        <v>20.3</v>
      </c>
      <c r="N12" s="493">
        <f>('Attainment 25+ by race &amp; gender'!CS11/'Pop 25+ by race &amp; gender'!AT10)*100</f>
        <v>82.534915366428791</v>
      </c>
      <c r="O12" s="626">
        <f>('Attainment 25+ by race &amp; gender'!DW11/'Pop 25+ by race &amp; gender'!DA10)*100</f>
        <v>87.708349644396122</v>
      </c>
      <c r="P12" s="494">
        <f>('Attainment 25+ by race &amp; gender'!CT11/'Pop 25+ by race &amp; gender'!AZ10)*100</f>
        <v>67.047985469419018</v>
      </c>
      <c r="Q12" s="493">
        <f>('Attainment 25+ by race &amp; gender'!DX11/'Pop 25+ by race &amp; gender'!DB10)*100</f>
        <v>79.127877818833085</v>
      </c>
      <c r="R12" s="494">
        <f>('Attainment 25+ by race &amp; gender'!CU11/'Pop 25+ by race &amp; gender'!BC10)*100</f>
        <v>63.314237654209947</v>
      </c>
      <c r="S12" s="493">
        <f>('Attainment 25+ by race &amp; gender'!DY11/'Pop 25+ by race &amp; gender'!DD10)*100</f>
        <v>75.020215988267864</v>
      </c>
      <c r="T12" s="494">
        <f>('Attainment 25+ by race &amp; gender'!NT11/'Pop 25+ by race &amp; gender'!AT10)*100</f>
        <v>23.817435490003778</v>
      </c>
      <c r="U12" s="493">
        <f>('Attainment 25+ by race &amp; gender'!PI11/'Pop 25+ by race &amp; gender'!DA10)*100</f>
        <v>27.621881352209272</v>
      </c>
      <c r="V12" s="494">
        <f>('Attainment 25+ by race &amp; gender'!NZ11/'Pop 25+ by race &amp; gender'!AZ10)*100</f>
        <v>12.425701198586163</v>
      </c>
      <c r="W12" s="493">
        <f>('Attainment 25+ by race &amp; gender'!PJ11/'Pop 25+ by race &amp; gender'!DB10)*100</f>
        <v>16.135813185812253</v>
      </c>
      <c r="X12" s="494">
        <f>('Attainment 25+ by race &amp; gender'!OC11/'Pop 25+ by race &amp; gender'!BC10)*100</f>
        <v>17.484666737835571</v>
      </c>
      <c r="Y12" s="614">
        <f>('Attainment 25+ by race &amp; gender'!PK11/'Pop 25+ by race &amp; gender'!DD10)*100</f>
        <v>20.760251002864504</v>
      </c>
      <c r="Z12" s="495">
        <f>('Attainment 25+ by race &amp; gender'!CS11/'Pop 25+ by race &amp; gender'!AT10)*100</f>
        <v>82.534915366428791</v>
      </c>
      <c r="AA12" s="626">
        <f>('Attainment 25+ by race &amp; gender'!EB11/'Pop 25+ by race &amp; gender'!DF10)*100</f>
        <v>91.274469236324222</v>
      </c>
      <c r="AB12" s="496">
        <f>('Attainment 25+ by race &amp; gender'!CT11/'Pop 25+ by race &amp; gender'!AZ10)*100</f>
        <v>67.047985469419018</v>
      </c>
      <c r="AC12" s="495">
        <f>('Attainment 25+ by race &amp; gender'!EC11/'Pop 25+ by race &amp; gender'!DG10)*100</f>
        <v>80.092991060897262</v>
      </c>
      <c r="AD12" s="496">
        <f>('Attainment 25+ by race &amp; gender'!CU11/'Pop 25+ by race &amp; gender'!BC10)*100</f>
        <v>63.314237654209947</v>
      </c>
      <c r="AE12" s="495">
        <f>('Attainment 25+ by race &amp; gender'!ED11/'Pop 25+ by race &amp; gender'!DI10)*100</f>
        <v>76.091662445180248</v>
      </c>
      <c r="AF12" s="496">
        <f>('Attainment 25+ by race &amp; gender'!NT11/'Pop 25+ by race &amp; gender'!AT10)*100</f>
        <v>23.817435490003778</v>
      </c>
      <c r="AG12" s="495">
        <f>('Attainment 25+ by race &amp; gender'!PN11/'Pop 25+ by race &amp; gender'!DF10)*100</f>
        <v>29.855920563944888</v>
      </c>
      <c r="AH12" s="496">
        <f>('Attainment 25+ by race &amp; gender'!NZ11/'Pop 25+ by race &amp; gender'!AZ10)*100</f>
        <v>12.425701198586163</v>
      </c>
      <c r="AI12" s="495">
        <f>('Attainment 25+ by race &amp; gender'!PO11/'Pop 25+ by race &amp; gender'!DG10)*100</f>
        <v>16.628089783660982</v>
      </c>
      <c r="AJ12" s="496">
        <f>('Attainment 25+ by race &amp; gender'!OC11/'Pop 25+ by race &amp; gender'!BC10)*100</f>
        <v>17.484666737835571</v>
      </c>
      <c r="AK12" s="634">
        <f>('Attainment 25+ by race &amp; gender'!PP11/'Pop 25+ by race &amp; gender'!DI10)*100</f>
        <v>21.135091168417958</v>
      </c>
      <c r="AL12" s="496">
        <f>('Attainment 25+ by race &amp; gender'!CS11/'Pop 25+ by race &amp; gender'!AT10)*100</f>
        <v>82.534915366428791</v>
      </c>
      <c r="AM12" s="634">
        <f>('Attainment 25+ by race &amp; gender'!EG11/'Pop 25+ by race &amp; gender'!DK10)*100</f>
        <v>92.6550038963817</v>
      </c>
      <c r="AN12" s="752">
        <v>67.047985469419018</v>
      </c>
      <c r="AO12" s="634">
        <f>('Attainment 25+ by race &amp; gender'!EH11/'Pop 25+ by race &amp; gender'!DL10)*100</f>
        <v>81.55383474669901</v>
      </c>
      <c r="AP12" s="634">
        <f>('Attainment 25+ by race &amp; gender'!CU11/'Pop 25+ by race &amp; gender'!BC10)*100</f>
        <v>63.314237654209947</v>
      </c>
      <c r="AQ12" s="634">
        <f>('Attainment 25+ by race &amp; gender'!EI11/'Pop 25+ by race &amp; gender'!DN10)*100</f>
        <v>77.801523518482114</v>
      </c>
      <c r="AR12" s="634">
        <f>('Attainment 25+ by race &amp; gender'!NT11/'Pop 25+ by race &amp; gender'!AT10)*100</f>
        <v>23.817435490003778</v>
      </c>
      <c r="AS12" s="634">
        <f>('Attainment 25+ by race &amp; gender'!PS11/'Pop 25+ by race &amp; gender'!DK10)*100</f>
        <v>31.882870827539882</v>
      </c>
      <c r="AT12" s="634">
        <f>('Attainment 25+ by race &amp; gender'!NZ11/'Pop 25+ by race &amp; gender'!AZ10)*100</f>
        <v>12.425701198586163</v>
      </c>
      <c r="AU12" s="634">
        <f>('Attainment 25+ by race &amp; gender'!PT11/'Pop 25+ by race &amp; gender'!DL10)*100</f>
        <v>18.104158585030273</v>
      </c>
      <c r="AV12" s="634">
        <f>('Attainment 25+ by race &amp; gender'!OC11/'Pop 25+ by race &amp; gender'!BC10)*100</f>
        <v>17.484666737835571</v>
      </c>
      <c r="AW12" s="634">
        <f>('Attainment 25+ by race &amp; gender'!PU11/'Pop 25+ by race &amp; gender'!DN10)*100</f>
        <v>22.806449858267289</v>
      </c>
      <c r="AX12" s="496">
        <f>('Attainment 25+ by race &amp; gender'!DR11/'Pop 25+ by race &amp; gender'!CV10)*100</f>
        <v>87.499999999999972</v>
      </c>
      <c r="AY12" s="634">
        <f>('Attainment 25+ by race &amp; gender'!EL11/'Pop 25+ by race &amp; gender'!DP10)*100</f>
        <v>92.368255357815016</v>
      </c>
      <c r="AZ12" s="752">
        <f>('Attainment 25+ by race &amp; gender'!DS11/'Pop 25+ by race &amp; gender'!CW10)*100</f>
        <v>78.2</v>
      </c>
      <c r="BA12" s="634">
        <f>('Attainment 25+ by race &amp; gender'!EM11/'Pop 25+ by race &amp; gender'!DQ10)*100</f>
        <v>81.323322293722782</v>
      </c>
      <c r="BB12" s="634">
        <f>('Attainment 25+ by race &amp; gender'!DT11/'Pop 25+ by race &amp; gender'!CY10)*100</f>
        <v>74.200000000000017</v>
      </c>
      <c r="BC12" s="634">
        <f>('Attainment 25+ by race &amp; gender'!EN11/'Pop 25+ by race &amp; gender'!DS10)*100</f>
        <v>78.15221572440737</v>
      </c>
      <c r="BD12" s="634">
        <f>('Attainment 25+ by race &amp; gender'!PD11/'Pop 25+ by race &amp; gender'!CV10)*100</f>
        <v>27.099999999999998</v>
      </c>
      <c r="BE12" s="634">
        <f>('Attainment 25+ by race &amp; gender'!PX11/'Pop 25+ by race &amp; gender'!DP10)*100</f>
        <v>32.217084392998672</v>
      </c>
      <c r="BF12" s="634">
        <f>('Attainment 25+ by race &amp; gender'!PE11/'Pop 25+ by race &amp; gender'!CW10)*100</f>
        <v>16</v>
      </c>
      <c r="BG12" s="634">
        <f>('Attainment 25+ by race &amp; gender'!PY11/'Pop 25+ by race &amp; gender'!DQ10)*100</f>
        <v>18.253964824026493</v>
      </c>
      <c r="BH12" s="634">
        <f>('Attainment 25+ by race &amp; gender'!PF11/'Pop 25+ by race &amp; gender'!CY10)*100</f>
        <v>20.3</v>
      </c>
      <c r="BI12" s="634">
        <f>('Attainment 25+ by race &amp; gender'!PZ11/'Pop 25+ by race &amp; gender'!DS10)*100</f>
        <v>22.906937697751395</v>
      </c>
    </row>
    <row r="13" spans="1:61" x14ac:dyDescent="0.2">
      <c r="A13" s="221" t="s">
        <v>4</v>
      </c>
      <c r="B13" s="493">
        <f>('Attainment 25+ by race &amp; gender'!CS12/'Pop 25+ by race &amp; gender'!AT11)*100</f>
        <v>81.816361728828639</v>
      </c>
      <c r="C13" s="626">
        <f>('Attainment 25+ by race &amp; gender'!DR12/'Pop 25+ by race &amp; gender'!CV11)*100</f>
        <v>86.299999999999983</v>
      </c>
      <c r="D13" s="494">
        <f>('Attainment 25+ by race &amp; gender'!CT12/'Pop 25+ by race &amp; gender'!AZ11)*100</f>
        <v>72.488019076465633</v>
      </c>
      <c r="E13" s="493">
        <f>('Attainment 25+ by race &amp; gender'!DS12/'Pop 25+ by race &amp; gender'!CW11)*100</f>
        <v>82.699999999999989</v>
      </c>
      <c r="F13" s="494">
        <f>('Attainment 25+ by race &amp; gender'!CU12/'Pop 25+ by race &amp; gender'!BC11)*100</f>
        <v>48.526197288803417</v>
      </c>
      <c r="G13" s="493">
        <f>('Attainment 25+ by race &amp; gender'!DT12/'Pop 25+ by race &amp; gender'!CY11)*100</f>
        <v>56.099999999999994</v>
      </c>
      <c r="H13" s="494">
        <f>('Attainment 25+ by race &amp; gender'!NT12/'Pop 25+ by race &amp; gender'!AT11)*100</f>
        <v>27.394325002069209</v>
      </c>
      <c r="I13" s="493">
        <f>('Attainment 25+ by race &amp; gender'!PD12/'Pop 25+ by race &amp; gender'!CV11)*100</f>
        <v>30.4</v>
      </c>
      <c r="J13" s="494">
        <f>('Attainment 25+ by race &amp; gender'!NZ12/'Pop 25+ by race &amp; gender'!AZ11)*100</f>
        <v>15.493927590141027</v>
      </c>
      <c r="K13" s="493">
        <f>('Attainment 25+ by race &amp; gender'!PE12/'Pop 25+ by race &amp; gender'!CW11)*100</f>
        <v>19.8</v>
      </c>
      <c r="L13" s="494">
        <f>('Attainment 25+ by race &amp; gender'!OC12/'Pop 25+ by race &amp; gender'!BC11)*100</f>
        <v>13.600544115577653</v>
      </c>
      <c r="M13" s="614">
        <f>('Attainment 25+ by race &amp; gender'!PF12/'Pop 25+ by race &amp; gender'!CY11)*100</f>
        <v>13.499999999999998</v>
      </c>
      <c r="N13" s="493">
        <f>('Attainment 25+ by race &amp; gender'!CS12/'Pop 25+ by race &amp; gender'!AT11)*100</f>
        <v>81.816361728828639</v>
      </c>
      <c r="O13" s="626">
        <f>('Attainment 25+ by race &amp; gender'!DW12/'Pop 25+ by race &amp; gender'!DA11)*100</f>
        <v>86.386817567044503</v>
      </c>
      <c r="P13" s="494">
        <f>('Attainment 25+ by race &amp; gender'!CT12/'Pop 25+ by race &amp; gender'!AZ11)*100</f>
        <v>72.488019076465633</v>
      </c>
      <c r="Q13" s="493">
        <f>('Attainment 25+ by race &amp; gender'!DX12/'Pop 25+ by race &amp; gender'!DB11)*100</f>
        <v>83.165738896972044</v>
      </c>
      <c r="R13" s="494">
        <f>('Attainment 25+ by race &amp; gender'!CU12/'Pop 25+ by race &amp; gender'!BC11)*100</f>
        <v>48.526197288803417</v>
      </c>
      <c r="S13" s="493">
        <f>('Attainment 25+ by race &amp; gender'!DY12/'Pop 25+ by race &amp; gender'!DD11)*100</f>
        <v>56.968759886464404</v>
      </c>
      <c r="T13" s="494">
        <f>('Attainment 25+ by race &amp; gender'!NT12/'Pop 25+ by race &amp; gender'!AT11)*100</f>
        <v>27.394325002069209</v>
      </c>
      <c r="U13" s="493">
        <f>('Attainment 25+ by race &amp; gender'!PI12/'Pop 25+ by race &amp; gender'!DA11)*100</f>
        <v>30.505085319065746</v>
      </c>
      <c r="V13" s="494">
        <f>('Attainment 25+ by race &amp; gender'!NZ12/'Pop 25+ by race &amp; gender'!AZ11)*100</f>
        <v>15.493927590141027</v>
      </c>
      <c r="W13" s="493">
        <f>('Attainment 25+ by race &amp; gender'!PJ12/'Pop 25+ by race &amp; gender'!DB11)*100</f>
        <v>20.369993340362644</v>
      </c>
      <c r="X13" s="494">
        <f>('Attainment 25+ by race &amp; gender'!OC12/'Pop 25+ by race &amp; gender'!BC11)*100</f>
        <v>13.600544115577653</v>
      </c>
      <c r="Y13" s="614">
        <f>('Attainment 25+ by race &amp; gender'!PK12/'Pop 25+ by race &amp; gender'!DD11)*100</f>
        <v>13.555428810772515</v>
      </c>
      <c r="Z13" s="495">
        <f>('Attainment 25+ by race &amp; gender'!CS12/'Pop 25+ by race &amp; gender'!AT11)*100</f>
        <v>81.816361728828639</v>
      </c>
      <c r="AA13" s="626">
        <f>('Attainment 25+ by race &amp; gender'!EB12/'Pop 25+ by race &amp; gender'!DF11)*100</f>
        <v>88.61380893056193</v>
      </c>
      <c r="AB13" s="496">
        <f>('Attainment 25+ by race &amp; gender'!CT12/'Pop 25+ by race &amp; gender'!AZ11)*100</f>
        <v>72.488019076465633</v>
      </c>
      <c r="AC13" s="495">
        <f>('Attainment 25+ by race &amp; gender'!EC12/'Pop 25+ by race &amp; gender'!DG11)*100</f>
        <v>83.866146083887287</v>
      </c>
      <c r="AD13" s="496">
        <f>('Attainment 25+ by race &amp; gender'!CU12/'Pop 25+ by race &amp; gender'!BC11)*100</f>
        <v>48.526197288803417</v>
      </c>
      <c r="AE13" s="495">
        <f>('Attainment 25+ by race &amp; gender'!ED12/'Pop 25+ by race &amp; gender'!DI11)*100</f>
        <v>57.359655230002105</v>
      </c>
      <c r="AF13" s="496">
        <f>('Attainment 25+ by race &amp; gender'!NT12/'Pop 25+ by race &amp; gender'!AT11)*100</f>
        <v>27.394325002069209</v>
      </c>
      <c r="AG13" s="495">
        <f>('Attainment 25+ by race &amp; gender'!PN12/'Pop 25+ by race &amp; gender'!DF11)*100</f>
        <v>31.820470788800737</v>
      </c>
      <c r="AH13" s="496">
        <f>('Attainment 25+ by race &amp; gender'!NZ12/'Pop 25+ by race &amp; gender'!AZ11)*100</f>
        <v>15.493927590141027</v>
      </c>
      <c r="AI13" s="495">
        <f>('Attainment 25+ by race &amp; gender'!PO12/'Pop 25+ by race &amp; gender'!DG11)*100</f>
        <v>21.02269676559294</v>
      </c>
      <c r="AJ13" s="496">
        <f>('Attainment 25+ by race &amp; gender'!OC12/'Pop 25+ by race &amp; gender'!BC11)*100</f>
        <v>13.600544115577653</v>
      </c>
      <c r="AK13" s="634">
        <f>('Attainment 25+ by race &amp; gender'!PP12/'Pop 25+ by race &amp; gender'!DI11)*100</f>
        <v>13.438351975118259</v>
      </c>
      <c r="AL13" s="496">
        <f>('Attainment 25+ by race &amp; gender'!CS12/'Pop 25+ by race &amp; gender'!AT11)*100</f>
        <v>81.816361728828639</v>
      </c>
      <c r="AM13" s="634">
        <f>('Attainment 25+ by race &amp; gender'!EG12/'Pop 25+ by race &amp; gender'!DK11)*100</f>
        <v>89.669618606732044</v>
      </c>
      <c r="AN13" s="752">
        <v>72.488019076465633</v>
      </c>
      <c r="AO13" s="634">
        <f>('Attainment 25+ by race &amp; gender'!EH12/'Pop 25+ by race &amp; gender'!DL11)*100</f>
        <v>84.960575809085341</v>
      </c>
      <c r="AP13" s="634">
        <f>('Attainment 25+ by race &amp; gender'!CU12/'Pop 25+ by race &amp; gender'!BC11)*100</f>
        <v>48.526197288803417</v>
      </c>
      <c r="AQ13" s="634">
        <f>('Attainment 25+ by race &amp; gender'!EI12/'Pop 25+ by race &amp; gender'!DN11)*100</f>
        <v>61.368668696374208</v>
      </c>
      <c r="AR13" s="634">
        <f>('Attainment 25+ by race &amp; gender'!NT12/'Pop 25+ by race &amp; gender'!AT11)*100</f>
        <v>27.394325002069209</v>
      </c>
      <c r="AS13" s="634">
        <f>('Attainment 25+ by race &amp; gender'!PS12/'Pop 25+ by race &amp; gender'!DK11)*100</f>
        <v>33.573436714375511</v>
      </c>
      <c r="AT13" s="634">
        <f>('Attainment 25+ by race &amp; gender'!NZ12/'Pop 25+ by race &amp; gender'!AZ11)*100</f>
        <v>15.493927590141027</v>
      </c>
      <c r="AU13" s="634">
        <f>('Attainment 25+ by race &amp; gender'!PT12/'Pop 25+ by race &amp; gender'!DL11)*100</f>
        <v>22.786107926700094</v>
      </c>
      <c r="AV13" s="634">
        <f>('Attainment 25+ by race &amp; gender'!OC12/'Pop 25+ by race &amp; gender'!BC11)*100</f>
        <v>13.600544115577653</v>
      </c>
      <c r="AW13" s="634">
        <f>('Attainment 25+ by race &amp; gender'!PU12/'Pop 25+ by race &amp; gender'!DN11)*100</f>
        <v>16.082650884876511</v>
      </c>
      <c r="AX13" s="496">
        <f>('Attainment 25+ by race &amp; gender'!DR12/'Pop 25+ by race &amp; gender'!CV11)*100</f>
        <v>86.299999999999983</v>
      </c>
      <c r="AY13" s="634">
        <f>('Attainment 25+ by race &amp; gender'!EL12/'Pop 25+ by race &amp; gender'!DP11)*100</f>
        <v>89.809164607047194</v>
      </c>
      <c r="AZ13" s="752">
        <f>('Attainment 25+ by race &amp; gender'!DS12/'Pop 25+ by race &amp; gender'!CW11)*100</f>
        <v>82.699999999999989</v>
      </c>
      <c r="BA13" s="634">
        <f>('Attainment 25+ by race &amp; gender'!EM12/'Pop 25+ by race &amp; gender'!DQ11)*100</f>
        <v>86.119840487873205</v>
      </c>
      <c r="BB13" s="634">
        <f>('Attainment 25+ by race &amp; gender'!DT12/'Pop 25+ by race &amp; gender'!CY11)*100</f>
        <v>56.099999999999994</v>
      </c>
      <c r="BC13" s="634">
        <f>('Attainment 25+ by race &amp; gender'!EN12/'Pop 25+ by race &amp; gender'!DS11)*100</f>
        <v>59.852070768959685</v>
      </c>
      <c r="BD13" s="634">
        <f>('Attainment 25+ by race &amp; gender'!PD12/'Pop 25+ by race &amp; gender'!CV11)*100</f>
        <v>30.4</v>
      </c>
      <c r="BE13" s="634">
        <f>('Attainment 25+ by race &amp; gender'!PX12/'Pop 25+ by race &amp; gender'!DP11)*100</f>
        <v>33.904584100636256</v>
      </c>
      <c r="BF13" s="634">
        <f>('Attainment 25+ by race &amp; gender'!PE12/'Pop 25+ by race &amp; gender'!CW11)*100</f>
        <v>19.8</v>
      </c>
      <c r="BG13" s="634">
        <f>('Attainment 25+ by race &amp; gender'!PY12/'Pop 25+ by race &amp; gender'!DQ11)*100</f>
        <v>23.418306547319229</v>
      </c>
      <c r="BH13" s="634">
        <f>('Attainment 25+ by race &amp; gender'!PF12/'Pop 25+ by race &amp; gender'!CY11)*100</f>
        <v>13.499999999999998</v>
      </c>
      <c r="BI13" s="634">
        <f>('Attainment 25+ by race &amp; gender'!PZ12/'Pop 25+ by race &amp; gender'!DS11)*100</f>
        <v>16.814635943519384</v>
      </c>
    </row>
    <row r="14" spans="1:61" x14ac:dyDescent="0.2">
      <c r="A14" s="221" t="s">
        <v>5</v>
      </c>
      <c r="B14" s="493">
        <f>('Attainment 25+ by race &amp; gender'!CS13/'Pop 25+ by race &amp; gender'!AT12)*100</f>
        <v>74.190196769672738</v>
      </c>
      <c r="C14" s="626">
        <f>('Attainment 25+ by race &amp; gender'!DR13/'Pop 25+ by race &amp; gender'!CV12)*100</f>
        <v>82.4</v>
      </c>
      <c r="D14" s="494">
        <f>('Attainment 25+ by race &amp; gender'!CT13/'Pop 25+ by race &amp; gender'!AZ12)*100</f>
        <v>73.181815513060627</v>
      </c>
      <c r="E14" s="493">
        <f>('Attainment 25+ by race &amp; gender'!DS13/'Pop 25+ by race &amp; gender'!CW12)*100</f>
        <v>82.4</v>
      </c>
      <c r="F14" s="494">
        <f>('Attainment 25+ by race &amp; gender'!CU13/'Pop 25+ by race &amp; gender'!BC12)*100</f>
        <v>59.059400661192271</v>
      </c>
      <c r="G14" s="493">
        <f>('Attainment 25+ by race &amp; gender'!DT13/'Pop 25+ by race &amp; gender'!CY12)*100</f>
        <v>63.9</v>
      </c>
      <c r="H14" s="494">
        <f>('Attainment 25+ by race &amp; gender'!NT13/'Pop 25+ by race &amp; gender'!AT12)*100</f>
        <v>17.35508430830982</v>
      </c>
      <c r="I14" s="493">
        <f>('Attainment 25+ by race &amp; gender'!PD13/'Pop 25+ by race &amp; gender'!CV12)*100</f>
        <v>21.099999999999998</v>
      </c>
      <c r="J14" s="494">
        <f>('Attainment 25+ by race &amp; gender'!NZ13/'Pop 25+ by race &amp; gender'!AZ12)*100</f>
        <v>10.65987165411194</v>
      </c>
      <c r="K14" s="493">
        <f>('Attainment 25+ by race &amp; gender'!PE13/'Pop 25+ by race &amp; gender'!CW12)*100</f>
        <v>14.499999999999998</v>
      </c>
      <c r="L14" s="494">
        <f>('Attainment 25+ by race &amp; gender'!OC13/'Pop 25+ by race &amp; gender'!BC12)*100</f>
        <v>12.960790586897017</v>
      </c>
      <c r="M14" s="614">
        <f>('Attainment 25+ by race &amp; gender'!PF13/'Pop 25+ by race &amp; gender'!CY12)*100</f>
        <v>13.4</v>
      </c>
      <c r="N14" s="493">
        <f>('Attainment 25+ by race &amp; gender'!CS13/'Pop 25+ by race &amp; gender'!AT12)*100</f>
        <v>74.190196769672738</v>
      </c>
      <c r="O14" s="626">
        <f>('Attainment 25+ by race &amp; gender'!DW13/'Pop 25+ by race &amp; gender'!DA12)*100</f>
        <v>83.109838610668874</v>
      </c>
      <c r="P14" s="494">
        <f>('Attainment 25+ by race &amp; gender'!CT13/'Pop 25+ by race &amp; gender'!AZ12)*100</f>
        <v>73.181815513060627</v>
      </c>
      <c r="Q14" s="493">
        <f>('Attainment 25+ by race &amp; gender'!DX13/'Pop 25+ by race &amp; gender'!DB12)*100</f>
        <v>82.660824345146381</v>
      </c>
      <c r="R14" s="494">
        <f>('Attainment 25+ by race &amp; gender'!CU13/'Pop 25+ by race &amp; gender'!BC12)*100</f>
        <v>59.059400661192271</v>
      </c>
      <c r="S14" s="493">
        <f>('Attainment 25+ by race &amp; gender'!DY13/'Pop 25+ by race &amp; gender'!DD12)*100</f>
        <v>65.70719828172976</v>
      </c>
      <c r="T14" s="494">
        <f>('Attainment 25+ by race &amp; gender'!NT13/'Pop 25+ by race &amp; gender'!AT12)*100</f>
        <v>17.35508430830982</v>
      </c>
      <c r="U14" s="493">
        <f>('Attainment 25+ by race &amp; gender'!PI13/'Pop 25+ by race &amp; gender'!DA12)*100</f>
        <v>21.327550285361774</v>
      </c>
      <c r="V14" s="494">
        <f>('Attainment 25+ by race &amp; gender'!NZ13/'Pop 25+ by race &amp; gender'!AZ12)*100</f>
        <v>10.65987165411194</v>
      </c>
      <c r="W14" s="493">
        <f>('Attainment 25+ by race &amp; gender'!PJ13/'Pop 25+ by race &amp; gender'!DB12)*100</f>
        <v>15.17526964560863</v>
      </c>
      <c r="X14" s="494">
        <f>('Attainment 25+ by race &amp; gender'!OC13/'Pop 25+ by race &amp; gender'!BC12)*100</f>
        <v>12.960790586897017</v>
      </c>
      <c r="Y14" s="614">
        <f>('Attainment 25+ by race &amp; gender'!PK13/'Pop 25+ by race &amp; gender'!DD12)*100</f>
        <v>14.248332400586875</v>
      </c>
      <c r="Z14" s="495">
        <f>('Attainment 25+ by race &amp; gender'!CS13/'Pop 25+ by race &amp; gender'!AT12)*100</f>
        <v>74.190196769672738</v>
      </c>
      <c r="AA14" s="626">
        <f>('Attainment 25+ by race &amp; gender'!EB13/'Pop 25+ by race &amp; gender'!DF12)*100</f>
        <v>83.98805679033174</v>
      </c>
      <c r="AB14" s="496">
        <f>('Attainment 25+ by race &amp; gender'!CT13/'Pop 25+ by race &amp; gender'!AZ12)*100</f>
        <v>73.181815513060627</v>
      </c>
      <c r="AC14" s="495">
        <f>('Attainment 25+ by race &amp; gender'!EC13/'Pop 25+ by race &amp; gender'!DG12)*100</f>
        <v>83.662645788542406</v>
      </c>
      <c r="AD14" s="496">
        <f>('Attainment 25+ by race &amp; gender'!CU13/'Pop 25+ by race &amp; gender'!BC12)*100</f>
        <v>59.059400661192271</v>
      </c>
      <c r="AE14" s="495">
        <f>('Attainment 25+ by race &amp; gender'!ED13/'Pop 25+ by race &amp; gender'!DI12)*100</f>
        <v>66.795253531249543</v>
      </c>
      <c r="AF14" s="496">
        <f>('Attainment 25+ by race &amp; gender'!NT13/'Pop 25+ by race &amp; gender'!AT12)*100</f>
        <v>17.35508430830982</v>
      </c>
      <c r="AG14" s="495">
        <f>('Attainment 25+ by race &amp; gender'!PN13/'Pop 25+ by race &amp; gender'!DF12)*100</f>
        <v>22.042902036639248</v>
      </c>
      <c r="AH14" s="496">
        <f>('Attainment 25+ by race &amp; gender'!NZ13/'Pop 25+ by race &amp; gender'!AZ12)*100</f>
        <v>10.65987165411194</v>
      </c>
      <c r="AI14" s="495">
        <f>('Attainment 25+ by race &amp; gender'!PO13/'Pop 25+ by race &amp; gender'!DG12)*100</f>
        <v>15.444548031735764</v>
      </c>
      <c r="AJ14" s="496">
        <f>('Attainment 25+ by race &amp; gender'!OC13/'Pop 25+ by race &amp; gender'!BC12)*100</f>
        <v>12.960790586897017</v>
      </c>
      <c r="AK14" s="634">
        <f>('Attainment 25+ by race &amp; gender'!PP13/'Pop 25+ by race &amp; gender'!DI12)*100</f>
        <v>15.335083679246667</v>
      </c>
      <c r="AL14" s="496">
        <f>('Attainment 25+ by race &amp; gender'!CS13/'Pop 25+ by race &amp; gender'!AT12)*100</f>
        <v>74.190196769672738</v>
      </c>
      <c r="AM14" s="634">
        <f>('Attainment 25+ by race &amp; gender'!EG13/'Pop 25+ by race &amp; gender'!DK12)*100</f>
        <v>85.694302081572999</v>
      </c>
      <c r="AN14" s="752">
        <v>73.181815513060627</v>
      </c>
      <c r="AO14" s="634">
        <f>('Attainment 25+ by race &amp; gender'!EH13/'Pop 25+ by race &amp; gender'!DL12)*100</f>
        <v>84.146762190231684</v>
      </c>
      <c r="AP14" s="634">
        <f>('Attainment 25+ by race &amp; gender'!CU13/'Pop 25+ by race &amp; gender'!BC12)*100</f>
        <v>59.059400661192271</v>
      </c>
      <c r="AQ14" s="634">
        <f>('Attainment 25+ by race &amp; gender'!EI13/'Pop 25+ by race &amp; gender'!DN12)*100</f>
        <v>68.259772656405033</v>
      </c>
      <c r="AR14" s="634">
        <f>('Attainment 25+ by race &amp; gender'!NT13/'Pop 25+ by race &amp; gender'!AT12)*100</f>
        <v>17.35508430830982</v>
      </c>
      <c r="AS14" s="634">
        <f>('Attainment 25+ by race &amp; gender'!PS13/'Pop 25+ by race &amp; gender'!DK12)*100</f>
        <v>23.583798314737255</v>
      </c>
      <c r="AT14" s="634">
        <f>('Attainment 25+ by race &amp; gender'!NZ13/'Pop 25+ by race &amp; gender'!AZ12)*100</f>
        <v>10.65987165411194</v>
      </c>
      <c r="AU14" s="634">
        <f>('Attainment 25+ by race &amp; gender'!PT13/'Pop 25+ by race &amp; gender'!DL12)*100</f>
        <v>16.340264616404784</v>
      </c>
      <c r="AV14" s="634">
        <f>('Attainment 25+ by race &amp; gender'!OC13/'Pop 25+ by race &amp; gender'!BC12)*100</f>
        <v>12.960790586897017</v>
      </c>
      <c r="AW14" s="634">
        <f>('Attainment 25+ by race &amp; gender'!PU13/'Pop 25+ by race &amp; gender'!DN12)*100</f>
        <v>17.773620205799812</v>
      </c>
      <c r="AX14" s="496">
        <f>('Attainment 25+ by race &amp; gender'!DR13/'Pop 25+ by race &amp; gender'!CV12)*100</f>
        <v>82.4</v>
      </c>
      <c r="AY14" s="634">
        <f>('Attainment 25+ by race &amp; gender'!EL13/'Pop 25+ by race &amp; gender'!DP12)*100</f>
        <v>86.22495286768536</v>
      </c>
      <c r="AZ14" s="752">
        <f>('Attainment 25+ by race &amp; gender'!DS13/'Pop 25+ by race &amp; gender'!CW12)*100</f>
        <v>82.4</v>
      </c>
      <c r="BA14" s="634">
        <f>('Attainment 25+ by race &amp; gender'!EM13/'Pop 25+ by race &amp; gender'!DQ12)*100</f>
        <v>85.369669691209694</v>
      </c>
      <c r="BB14" s="634">
        <f>('Attainment 25+ by race &amp; gender'!DT13/'Pop 25+ by race &amp; gender'!CY12)*100</f>
        <v>63.9</v>
      </c>
      <c r="BC14" s="634">
        <f>('Attainment 25+ by race &amp; gender'!EN13/'Pop 25+ by race &amp; gender'!DS12)*100</f>
        <v>67.642339401316889</v>
      </c>
      <c r="BD14" s="634">
        <f>('Attainment 25+ by race &amp; gender'!PD13/'Pop 25+ by race &amp; gender'!CV12)*100</f>
        <v>21.099999999999998</v>
      </c>
      <c r="BE14" s="634">
        <f>('Attainment 25+ by race &amp; gender'!PX13/'Pop 25+ by race &amp; gender'!DP12)*100</f>
        <v>23.866425954296123</v>
      </c>
      <c r="BF14" s="634">
        <f>('Attainment 25+ by race &amp; gender'!PE13/'Pop 25+ by race &amp; gender'!CW12)*100</f>
        <v>14.499999999999998</v>
      </c>
      <c r="BG14" s="634">
        <f>('Attainment 25+ by race &amp; gender'!PY13/'Pop 25+ by race &amp; gender'!DQ12)*100</f>
        <v>14.543808055087329</v>
      </c>
      <c r="BH14" s="634">
        <f>('Attainment 25+ by race &amp; gender'!PF13/'Pop 25+ by race &amp; gender'!CY12)*100</f>
        <v>13.4</v>
      </c>
      <c r="BI14" s="634">
        <f>('Attainment 25+ by race &amp; gender'!PZ13/'Pop 25+ by race &amp; gender'!DS12)*100</f>
        <v>20.650971061804903</v>
      </c>
    </row>
    <row r="15" spans="1:61" x14ac:dyDescent="0.2">
      <c r="A15" s="221" t="s">
        <v>6</v>
      </c>
      <c r="B15" s="493">
        <f>('Attainment 25+ by race &amp; gender'!CS14/'Pop 25+ by race &amp; gender'!AT13)*100</f>
        <v>79.988243171285916</v>
      </c>
      <c r="C15" s="626">
        <f>('Attainment 25+ by race &amp; gender'!DR14/'Pop 25+ by race &amp; gender'!CV13)*100</f>
        <v>85.600000000000009</v>
      </c>
      <c r="D15" s="494">
        <f>('Attainment 25+ by race &amp; gender'!CT14/'Pop 25+ by race &amp; gender'!AZ13)*100</f>
        <v>63.139479025839741</v>
      </c>
      <c r="E15" s="493">
        <f>('Attainment 25+ by race &amp; gender'!DS14/'Pop 25+ by race &amp; gender'!CW13)*100</f>
        <v>75</v>
      </c>
      <c r="F15" s="494">
        <f>('Attainment 25+ by race &amp; gender'!CU14/'Pop 25+ by race &amp; gender'!BC13)*100</f>
        <v>69.04885942063305</v>
      </c>
      <c r="G15" s="493">
        <f>('Attainment 25+ by race &amp; gender'!DT14/'Pop 25+ by race &amp; gender'!CY13)*100</f>
        <v>70.199999999999989</v>
      </c>
      <c r="H15" s="494">
        <f>('Attainment 25+ by race &amp; gender'!NT14/'Pop 25+ by race &amp; gender'!AT13)*100</f>
        <v>21.768849148816145</v>
      </c>
      <c r="I15" s="493">
        <f>('Attainment 25+ by race &amp; gender'!PD14/'Pop 25+ by race &amp; gender'!CV13)*100</f>
        <v>24.8</v>
      </c>
      <c r="J15" s="494">
        <f>('Attainment 25+ by race &amp; gender'!NZ14/'Pop 25+ by race &amp; gender'!AZ13)*100</f>
        <v>10.891323765703065</v>
      </c>
      <c r="K15" s="493">
        <f>('Attainment 25+ by race &amp; gender'!PE14/'Pop 25+ by race &amp; gender'!CW13)*100</f>
        <v>13</v>
      </c>
      <c r="L15" s="494">
        <f>('Attainment 25+ by race &amp; gender'!OC14/'Pop 25+ by race &amp; gender'!BC13)*100</f>
        <v>19.520088404767545</v>
      </c>
      <c r="M15" s="614">
        <f>('Attainment 25+ by race &amp; gender'!PF14/'Pop 25+ by race &amp; gender'!CY13)*100</f>
        <v>17.600000000000001</v>
      </c>
      <c r="N15" s="493">
        <f>('Attainment 25+ by race &amp; gender'!CS14/'Pop 25+ by race &amp; gender'!AT13)*100</f>
        <v>79.988243171285916</v>
      </c>
      <c r="O15" s="626">
        <f>('Attainment 25+ by race &amp; gender'!DW14/'Pop 25+ by race &amp; gender'!DA13)*100</f>
        <v>86.059233403861285</v>
      </c>
      <c r="P15" s="494">
        <f>('Attainment 25+ by race &amp; gender'!CT14/'Pop 25+ by race &amp; gender'!AZ13)*100</f>
        <v>63.139479025839741</v>
      </c>
      <c r="Q15" s="493">
        <f>('Attainment 25+ by race &amp; gender'!DX14/'Pop 25+ by race &amp; gender'!DB13)*100</f>
        <v>75.489658056756781</v>
      </c>
      <c r="R15" s="494">
        <f>('Attainment 25+ by race &amp; gender'!CU14/'Pop 25+ by race &amp; gender'!BC13)*100</f>
        <v>69.04885942063305</v>
      </c>
      <c r="S15" s="493">
        <f>('Attainment 25+ by race &amp; gender'!DY14/'Pop 25+ by race &amp; gender'!DD13)*100</f>
        <v>69.126755431902481</v>
      </c>
      <c r="T15" s="494">
        <f>('Attainment 25+ by race &amp; gender'!NT14/'Pop 25+ by race &amp; gender'!AT13)*100</f>
        <v>21.768849148816145</v>
      </c>
      <c r="U15" s="493">
        <f>('Attainment 25+ by race &amp; gender'!PI14/'Pop 25+ by race &amp; gender'!DA13)*100</f>
        <v>25.019159364624109</v>
      </c>
      <c r="V15" s="494">
        <f>('Attainment 25+ by race &amp; gender'!NZ14/'Pop 25+ by race &amp; gender'!AZ13)*100</f>
        <v>10.891323765703065</v>
      </c>
      <c r="W15" s="493">
        <f>('Attainment 25+ by race &amp; gender'!PJ14/'Pop 25+ by race &amp; gender'!DB13)*100</f>
        <v>13.006598093935324</v>
      </c>
      <c r="X15" s="494">
        <f>('Attainment 25+ by race &amp; gender'!OC14/'Pop 25+ by race &amp; gender'!BC13)*100</f>
        <v>19.520088404767545</v>
      </c>
      <c r="Y15" s="614">
        <f>('Attainment 25+ by race &amp; gender'!PK14/'Pop 25+ by race &amp; gender'!DD13)*100</f>
        <v>17.055842607313195</v>
      </c>
      <c r="Z15" s="495">
        <f>('Attainment 25+ by race &amp; gender'!CS14/'Pop 25+ by race &amp; gender'!AT13)*100</f>
        <v>79.988243171285916</v>
      </c>
      <c r="AA15" s="626">
        <f>('Attainment 25+ by race &amp; gender'!EB14/'Pop 25+ by race &amp; gender'!DF13)*100</f>
        <v>87.087969547939409</v>
      </c>
      <c r="AB15" s="496">
        <f>('Attainment 25+ by race &amp; gender'!CT14/'Pop 25+ by race &amp; gender'!AZ13)*100</f>
        <v>63.139479025839741</v>
      </c>
      <c r="AC15" s="495">
        <f>('Attainment 25+ by race &amp; gender'!EC14/'Pop 25+ by race &amp; gender'!DG13)*100</f>
        <v>75.954247247418564</v>
      </c>
      <c r="AD15" s="496">
        <f>('Attainment 25+ by race &amp; gender'!CU14/'Pop 25+ by race &amp; gender'!BC13)*100</f>
        <v>69.04885942063305</v>
      </c>
      <c r="AE15" s="495">
        <f>('Attainment 25+ by race &amp; gender'!ED14/'Pop 25+ by race &amp; gender'!DI13)*100</f>
        <v>70.409921046335427</v>
      </c>
      <c r="AF15" s="496">
        <f>('Attainment 25+ by race &amp; gender'!NT14/'Pop 25+ by race &amp; gender'!AT13)*100</f>
        <v>21.768849148816145</v>
      </c>
      <c r="AG15" s="495">
        <f>('Attainment 25+ by race &amp; gender'!PN14/'Pop 25+ by race &amp; gender'!DF13)*100</f>
        <v>25.696638349963983</v>
      </c>
      <c r="AH15" s="496">
        <f>('Attainment 25+ by race &amp; gender'!NZ14/'Pop 25+ by race &amp; gender'!AZ13)*100</f>
        <v>10.891323765703065</v>
      </c>
      <c r="AI15" s="495">
        <f>('Attainment 25+ by race &amp; gender'!PO14/'Pop 25+ by race &amp; gender'!DG13)*100</f>
        <v>13.455644931256774</v>
      </c>
      <c r="AJ15" s="496">
        <f>('Attainment 25+ by race &amp; gender'!OC14/'Pop 25+ by race &amp; gender'!BC13)*100</f>
        <v>19.520088404767545</v>
      </c>
      <c r="AK15" s="634">
        <f>('Attainment 25+ by race &amp; gender'!PP14/'Pop 25+ by race &amp; gender'!DI13)*100</f>
        <v>17.404896722226653</v>
      </c>
      <c r="AL15" s="496">
        <f>('Attainment 25+ by race &amp; gender'!CS14/'Pop 25+ by race &amp; gender'!AT13)*100</f>
        <v>79.988243171285916</v>
      </c>
      <c r="AM15" s="634">
        <f>('Attainment 25+ by race &amp; gender'!EG14/'Pop 25+ by race &amp; gender'!DK13)*100</f>
        <v>88.447484946686984</v>
      </c>
      <c r="AN15" s="752">
        <v>63.139479025839741</v>
      </c>
      <c r="AO15" s="634">
        <f>('Attainment 25+ by race &amp; gender'!EH14/'Pop 25+ by race &amp; gender'!DL13)*100</f>
        <v>78.853302487087873</v>
      </c>
      <c r="AP15" s="634">
        <f>('Attainment 25+ by race &amp; gender'!CU14/'Pop 25+ by race &amp; gender'!BC13)*100</f>
        <v>69.04885942063305</v>
      </c>
      <c r="AQ15" s="634">
        <f>('Attainment 25+ by race &amp; gender'!EI14/'Pop 25+ by race &amp; gender'!DN13)*100</f>
        <v>73.878489859410365</v>
      </c>
      <c r="AR15" s="634">
        <f>('Attainment 25+ by race &amp; gender'!NT14/'Pop 25+ by race &amp; gender'!AT13)*100</f>
        <v>21.768849148816145</v>
      </c>
      <c r="AS15" s="634">
        <f>('Attainment 25+ by race &amp; gender'!PS14/'Pop 25+ by race &amp; gender'!DK13)*100</f>
        <v>27.109943795824904</v>
      </c>
      <c r="AT15" s="634">
        <f>('Attainment 25+ by race &amp; gender'!NZ14/'Pop 25+ by race &amp; gender'!AZ13)*100</f>
        <v>10.891323765703065</v>
      </c>
      <c r="AU15" s="634">
        <f>('Attainment 25+ by race &amp; gender'!PT14/'Pop 25+ by race &amp; gender'!DL13)*100</f>
        <v>15.026939443105732</v>
      </c>
      <c r="AV15" s="634">
        <f>('Attainment 25+ by race &amp; gender'!OC14/'Pop 25+ by race &amp; gender'!BC13)*100</f>
        <v>19.520088404767545</v>
      </c>
      <c r="AW15" s="634">
        <f>('Attainment 25+ by race &amp; gender'!PU14/'Pop 25+ by race &amp; gender'!DN13)*100</f>
        <v>17.817358802149759</v>
      </c>
      <c r="AX15" s="496">
        <f>('Attainment 25+ by race &amp; gender'!DR14/'Pop 25+ by race &amp; gender'!CV13)*100</f>
        <v>85.600000000000009</v>
      </c>
      <c r="AY15" s="634">
        <f>('Attainment 25+ by race &amp; gender'!EL14/'Pop 25+ by race &amp; gender'!DP13)*100</f>
        <v>88.230535252050842</v>
      </c>
      <c r="AZ15" s="752">
        <f>('Attainment 25+ by race &amp; gender'!DS14/'Pop 25+ by race &amp; gender'!CW13)*100</f>
        <v>75</v>
      </c>
      <c r="BA15" s="634">
        <f>('Attainment 25+ by race &amp; gender'!EM14/'Pop 25+ by race &amp; gender'!DQ13)*100</f>
        <v>78.334305645534712</v>
      </c>
      <c r="BB15" s="634">
        <f>('Attainment 25+ by race &amp; gender'!DT14/'Pop 25+ by race &amp; gender'!CY13)*100</f>
        <v>70.199999999999989</v>
      </c>
      <c r="BC15" s="634">
        <f>('Attainment 25+ by race &amp; gender'!EN14/'Pop 25+ by race &amp; gender'!DS13)*100</f>
        <v>72.506663338057024</v>
      </c>
      <c r="BD15" s="634">
        <f>('Attainment 25+ by race &amp; gender'!PD14/'Pop 25+ by race &amp; gender'!CV13)*100</f>
        <v>24.8</v>
      </c>
      <c r="BE15" s="634">
        <f>('Attainment 25+ by race &amp; gender'!PX14/'Pop 25+ by race &amp; gender'!DP13)*100</f>
        <v>27.490811514150703</v>
      </c>
      <c r="BF15" s="634">
        <f>('Attainment 25+ by race &amp; gender'!PE14/'Pop 25+ by race &amp; gender'!CW13)*100</f>
        <v>13</v>
      </c>
      <c r="BG15" s="634">
        <f>('Attainment 25+ by race &amp; gender'!PY14/'Pop 25+ by race &amp; gender'!DQ13)*100</f>
        <v>14.763781853968377</v>
      </c>
      <c r="BH15" s="634">
        <f>('Attainment 25+ by race &amp; gender'!PF14/'Pop 25+ by race &amp; gender'!CY13)*100</f>
        <v>17.600000000000001</v>
      </c>
      <c r="BI15" s="634">
        <f>('Attainment 25+ by race &amp; gender'!PZ14/'Pop 25+ by race &amp; gender'!DS13)*100</f>
        <v>16.462666950577489</v>
      </c>
    </row>
    <row r="16" spans="1:61" x14ac:dyDescent="0.2">
      <c r="A16" s="221" t="s">
        <v>7</v>
      </c>
      <c r="B16" s="493">
        <f>('Attainment 25+ by race &amp; gender'!CS15/'Pop 25+ by race &amp; gender'!AT14)*100</f>
        <v>86.313228531479979</v>
      </c>
      <c r="C16" s="626">
        <f>('Attainment 25+ by race &amp; gender'!DR15/'Pop 25+ by race &amp; gender'!CV14)*100</f>
        <v>90.4</v>
      </c>
      <c r="D16" s="494">
        <f>('Attainment 25+ by race &amp; gender'!CT15/'Pop 25+ by race &amp; gender'!AZ14)*100</f>
        <v>78.947180234377086</v>
      </c>
      <c r="E16" s="493">
        <f>('Attainment 25+ by race &amp; gender'!DS15/'Pop 25+ by race &amp; gender'!CW14)*100</f>
        <v>87.4</v>
      </c>
      <c r="F16" s="494">
        <f>('Attainment 25+ by race &amp; gender'!CU15/'Pop 25+ by race &amp; gender'!BC14)*100</f>
        <v>61.911612244733952</v>
      </c>
      <c r="G16" s="493">
        <f>('Attainment 25+ by race &amp; gender'!DT15/'Pop 25+ by race &amp; gender'!CY14)*100</f>
        <v>60.3</v>
      </c>
      <c r="H16" s="494">
        <f>('Attainment 25+ by race &amp; gender'!NT15/'Pop 25+ by race &amp; gender'!AT14)*100</f>
        <v>34.732528561694068</v>
      </c>
      <c r="I16" s="493">
        <f>('Attainment 25+ by race &amp; gender'!PD15/'Pop 25+ by race &amp; gender'!CV14)*100</f>
        <v>39.70000000000001</v>
      </c>
      <c r="J16" s="494">
        <f>('Attainment 25+ by race &amp; gender'!NZ15/'Pop 25+ by race &amp; gender'!AZ14)*100</f>
        <v>20.293909949852956</v>
      </c>
      <c r="K16" s="493">
        <f>('Attainment 25+ by race &amp; gender'!PE15/'Pop 25+ by race &amp; gender'!CW14)*100</f>
        <v>25.7</v>
      </c>
      <c r="L16" s="494">
        <f>('Attainment 25+ by race &amp; gender'!OC15/'Pop 25+ by race &amp; gender'!BC14)*100</f>
        <v>21.429088074323509</v>
      </c>
      <c r="M16" s="614">
        <f>('Attainment 25+ by race &amp; gender'!PF15/'Pop 25+ by race &amp; gender'!CY14)*100</f>
        <v>19.2</v>
      </c>
      <c r="N16" s="493">
        <f>('Attainment 25+ by race &amp; gender'!CS15/'Pop 25+ by race &amp; gender'!AT14)*100</f>
        <v>86.313228531479979</v>
      </c>
      <c r="O16" s="626">
        <f>('Attainment 25+ by race &amp; gender'!DW15/'Pop 25+ by race &amp; gender'!DA14)*100</f>
        <v>90.752241381668355</v>
      </c>
      <c r="P16" s="494">
        <f>('Attainment 25+ by race &amp; gender'!CT15/'Pop 25+ by race &amp; gender'!AZ14)*100</f>
        <v>78.947180234377086</v>
      </c>
      <c r="Q16" s="493">
        <f>('Attainment 25+ by race &amp; gender'!DX15/'Pop 25+ by race &amp; gender'!DB14)*100</f>
        <v>87.600927405263505</v>
      </c>
      <c r="R16" s="494">
        <f>('Attainment 25+ by race &amp; gender'!CU15/'Pop 25+ by race &amp; gender'!BC14)*100</f>
        <v>61.911612244733952</v>
      </c>
      <c r="S16" s="493">
        <f>('Attainment 25+ by race &amp; gender'!DY15/'Pop 25+ by race &amp; gender'!DD14)*100</f>
        <v>61.282800938458756</v>
      </c>
      <c r="T16" s="494">
        <f>('Attainment 25+ by race &amp; gender'!NT15/'Pop 25+ by race &amp; gender'!AT14)*100</f>
        <v>34.732528561694068</v>
      </c>
      <c r="U16" s="493">
        <f>('Attainment 25+ by race &amp; gender'!PI15/'Pop 25+ by race &amp; gender'!DA14)*100</f>
        <v>40.211048158053202</v>
      </c>
      <c r="V16" s="494">
        <f>('Attainment 25+ by race &amp; gender'!NZ15/'Pop 25+ by race &amp; gender'!AZ14)*100</f>
        <v>20.293909949852956</v>
      </c>
      <c r="W16" s="493">
        <f>('Attainment 25+ by race &amp; gender'!PJ15/'Pop 25+ by race &amp; gender'!DB14)*100</f>
        <v>25.915338228276369</v>
      </c>
      <c r="X16" s="494">
        <f>('Attainment 25+ by race &amp; gender'!OC15/'Pop 25+ by race &amp; gender'!BC14)*100</f>
        <v>21.429088074323509</v>
      </c>
      <c r="Y16" s="614">
        <f>('Attainment 25+ by race &amp; gender'!PK15/'Pop 25+ by race &amp; gender'!DD14)*100</f>
        <v>19.670456596282261</v>
      </c>
      <c r="Z16" s="495">
        <f>('Attainment 25+ by race &amp; gender'!CS15/'Pop 25+ by race &amp; gender'!AT14)*100</f>
        <v>86.313228531479979</v>
      </c>
      <c r="AA16" s="626">
        <f>('Attainment 25+ by race &amp; gender'!EB15/'Pop 25+ by race &amp; gender'!DF14)*100</f>
        <v>92.599515826189688</v>
      </c>
      <c r="AB16" s="496">
        <f>('Attainment 25+ by race &amp; gender'!CT15/'Pop 25+ by race &amp; gender'!AZ14)*100</f>
        <v>78.947180234377086</v>
      </c>
      <c r="AC16" s="495">
        <f>('Attainment 25+ by race &amp; gender'!EC15/'Pop 25+ by race &amp; gender'!DG14)*100</f>
        <v>88.059843540548272</v>
      </c>
      <c r="AD16" s="496">
        <f>('Attainment 25+ by race &amp; gender'!CU15/'Pop 25+ by race &amp; gender'!BC14)*100</f>
        <v>61.911612244733952</v>
      </c>
      <c r="AE16" s="495">
        <f>('Attainment 25+ by race &amp; gender'!ED15/'Pop 25+ by race &amp; gender'!DI14)*100</f>
        <v>62.919329142489829</v>
      </c>
      <c r="AF16" s="496">
        <f>('Attainment 25+ by race &amp; gender'!NT15/'Pop 25+ by race &amp; gender'!AT14)*100</f>
        <v>34.732528561694068</v>
      </c>
      <c r="AG16" s="495">
        <f>('Attainment 25+ by race &amp; gender'!PN15/'Pop 25+ by race &amp; gender'!DF14)*100</f>
        <v>41.897560495355165</v>
      </c>
      <c r="AH16" s="496">
        <f>('Attainment 25+ by race &amp; gender'!NZ15/'Pop 25+ by race &amp; gender'!AZ14)*100</f>
        <v>20.293909949852956</v>
      </c>
      <c r="AI16" s="495">
        <f>('Attainment 25+ by race &amp; gender'!PO15/'Pop 25+ by race &amp; gender'!DG14)*100</f>
        <v>26.285295630789452</v>
      </c>
      <c r="AJ16" s="496">
        <f>('Attainment 25+ by race &amp; gender'!OC15/'Pop 25+ by race &amp; gender'!BC14)*100</f>
        <v>21.429088074323509</v>
      </c>
      <c r="AK16" s="634">
        <f>('Attainment 25+ by race &amp; gender'!PP15/'Pop 25+ by race &amp; gender'!DI14)*100</f>
        <v>20.909521324573802</v>
      </c>
      <c r="AL16" s="496">
        <f>('Attainment 25+ by race &amp; gender'!CS15/'Pop 25+ by race &amp; gender'!AT14)*100</f>
        <v>86.313228531479979</v>
      </c>
      <c r="AM16" s="634">
        <f>('Attainment 25+ by race &amp; gender'!EG15/'Pop 25+ by race &amp; gender'!DK14)*100</f>
        <v>93.163538991990606</v>
      </c>
      <c r="AN16" s="752">
        <v>78.947180234377086</v>
      </c>
      <c r="AO16" s="634">
        <f>('Attainment 25+ by race &amp; gender'!EH15/'Pop 25+ by race &amp; gender'!DL14)*100</f>
        <v>89.838512567592872</v>
      </c>
      <c r="AP16" s="634">
        <f>('Attainment 25+ by race &amp; gender'!CU15/'Pop 25+ by race &amp; gender'!BC14)*100</f>
        <v>61.911612244733952</v>
      </c>
      <c r="AQ16" s="634">
        <f>('Attainment 25+ by race &amp; gender'!EI15/'Pop 25+ by race &amp; gender'!DN14)*100</f>
        <v>62.030839945960217</v>
      </c>
      <c r="AR16" s="634">
        <f>('Attainment 25+ by race &amp; gender'!NT15/'Pop 25+ by race &amp; gender'!AT14)*100</f>
        <v>34.732528561694068</v>
      </c>
      <c r="AS16" s="634">
        <f>('Attainment 25+ by race &amp; gender'!PS15/'Pop 25+ by race &amp; gender'!DK14)*100</f>
        <v>43.667482071509745</v>
      </c>
      <c r="AT16" s="634">
        <f>('Attainment 25+ by race &amp; gender'!NZ15/'Pop 25+ by race &amp; gender'!AZ14)*100</f>
        <v>20.293909949852956</v>
      </c>
      <c r="AU16" s="634">
        <f>('Attainment 25+ by race &amp; gender'!PT15/'Pop 25+ by race &amp; gender'!DL14)*100</f>
        <v>28.026018607443493</v>
      </c>
      <c r="AV16" s="634">
        <f>('Attainment 25+ by race &amp; gender'!OC15/'Pop 25+ by race &amp; gender'!BC14)*100</f>
        <v>21.429088074323509</v>
      </c>
      <c r="AW16" s="634">
        <f>('Attainment 25+ by race &amp; gender'!PU15/'Pop 25+ by race &amp; gender'!DN14)*100</f>
        <v>21.229870956721587</v>
      </c>
      <c r="AX16" s="496">
        <f>('Attainment 25+ by race &amp; gender'!DR15/'Pop 25+ by race &amp; gender'!CV14)*100</f>
        <v>90.4</v>
      </c>
      <c r="AY16" s="634">
        <f>('Attainment 25+ by race &amp; gender'!EL15/'Pop 25+ by race &amp; gender'!DP14)*100</f>
        <v>93.480758794174164</v>
      </c>
      <c r="AZ16" s="752">
        <f>('Attainment 25+ by race &amp; gender'!DS15/'Pop 25+ by race &amp; gender'!CW14)*100</f>
        <v>87.4</v>
      </c>
      <c r="BA16" s="634">
        <f>('Attainment 25+ by race &amp; gender'!EM15/'Pop 25+ by race &amp; gender'!DQ14)*100</f>
        <v>90.346798732503729</v>
      </c>
      <c r="BB16" s="634">
        <f>('Attainment 25+ by race &amp; gender'!DT15/'Pop 25+ by race &amp; gender'!CY14)*100</f>
        <v>60.3</v>
      </c>
      <c r="BC16" s="634">
        <f>('Attainment 25+ by race &amp; gender'!EN15/'Pop 25+ by race &amp; gender'!DS14)*100</f>
        <v>64.86478281460613</v>
      </c>
      <c r="BD16" s="634">
        <f>('Attainment 25+ by race &amp; gender'!PD15/'Pop 25+ by race &amp; gender'!CV14)*100</f>
        <v>39.70000000000001</v>
      </c>
      <c r="BE16" s="634">
        <f>('Attainment 25+ by race &amp; gender'!PX15/'Pop 25+ by race &amp; gender'!DP14)*100</f>
        <v>44.209474497381066</v>
      </c>
      <c r="BF16" s="634">
        <f>('Attainment 25+ by race &amp; gender'!PE15/'Pop 25+ by race &amp; gender'!CW14)*100</f>
        <v>25.7</v>
      </c>
      <c r="BG16" s="634">
        <f>('Attainment 25+ by race &amp; gender'!PY15/'Pop 25+ by race &amp; gender'!DQ14)*100</f>
        <v>29.534006253541222</v>
      </c>
      <c r="BH16" s="634">
        <f>('Attainment 25+ by race &amp; gender'!PF15/'Pop 25+ by race &amp; gender'!CY14)*100</f>
        <v>19.2</v>
      </c>
      <c r="BI16" s="634">
        <f>('Attainment 25+ by race &amp; gender'!PZ15/'Pop 25+ by race &amp; gender'!DS14)*100</f>
        <v>20.947431055629089</v>
      </c>
    </row>
    <row r="17" spans="1:61" x14ac:dyDescent="0.2">
      <c r="A17" s="221" t="s">
        <v>8</v>
      </c>
      <c r="B17" s="493">
        <f>('Attainment 25+ by race &amp; gender'!CS16/'Pop 25+ by race &amp; gender'!AT15)*100</f>
        <v>78.895514249843814</v>
      </c>
      <c r="C17" s="626">
        <f>('Attainment 25+ by race &amp; gender'!DR16/'Pop 25+ by race &amp; gender'!CV15)*100</f>
        <v>85</v>
      </c>
      <c r="D17" s="494">
        <f>('Attainment 25+ by race &amp; gender'!CT16/'Pop 25+ by race &amp; gender'!AZ15)*100</f>
        <v>60.44747085232629</v>
      </c>
      <c r="E17" s="493">
        <f>('Attainment 25+ by race &amp; gender'!DS16/'Pop 25+ by race &amp; gender'!CW15)*100</f>
        <v>73.999999999999986</v>
      </c>
      <c r="F17" s="494">
        <f>('Attainment 25+ by race &amp; gender'!CU16/'Pop 25+ by race &amp; gender'!BC15)*100</f>
        <v>59.148161262582832</v>
      </c>
      <c r="G17" s="493">
        <f>('Attainment 25+ by race &amp; gender'!DT16/'Pop 25+ by race &amp; gender'!CY15)*100</f>
        <v>56.900000000000006</v>
      </c>
      <c r="H17" s="494">
        <f>('Attainment 25+ by race &amp; gender'!NT16/'Pop 25+ by race &amp; gender'!AT15)*100</f>
        <v>20.025502464355093</v>
      </c>
      <c r="I17" s="493">
        <f>('Attainment 25+ by race &amp; gender'!PD16/'Pop 25+ by race &amp; gender'!CV15)*100</f>
        <v>22.9</v>
      </c>
      <c r="J17" s="494">
        <f>('Attainment 25+ by race &amp; gender'!NZ16/'Pop 25+ by race &amp; gender'!AZ15)*100</f>
        <v>10.092342436081408</v>
      </c>
      <c r="K17" s="493">
        <f>('Attainment 25+ by race &amp; gender'!PE16/'Pop 25+ by race &amp; gender'!CW15)*100</f>
        <v>13.200000000000001</v>
      </c>
      <c r="L17" s="494">
        <f>('Attainment 25+ by race &amp; gender'!OC16/'Pop 25+ by race &amp; gender'!BC15)*100</f>
        <v>12.074460013151905</v>
      </c>
      <c r="M17" s="614">
        <f>('Attainment 25+ by race &amp; gender'!PF16/'Pop 25+ by race &amp; gender'!CY15)*100</f>
        <v>12.000000000000002</v>
      </c>
      <c r="N17" s="493">
        <f>('Attainment 25+ by race &amp; gender'!CS16/'Pop 25+ by race &amp; gender'!AT15)*100</f>
        <v>78.895514249843814</v>
      </c>
      <c r="O17" s="626">
        <f>('Attainment 25+ by race &amp; gender'!DW16/'Pop 25+ by race &amp; gender'!DA15)*100</f>
        <v>85.387571237766977</v>
      </c>
      <c r="P17" s="494">
        <f>('Attainment 25+ by race &amp; gender'!CT16/'Pop 25+ by race &amp; gender'!AZ15)*100</f>
        <v>60.44747085232629</v>
      </c>
      <c r="Q17" s="493">
        <f>('Attainment 25+ by race &amp; gender'!DX16/'Pop 25+ by race &amp; gender'!DB15)*100</f>
        <v>74.714004005641215</v>
      </c>
      <c r="R17" s="494">
        <f>('Attainment 25+ by race &amp; gender'!CU16/'Pop 25+ by race &amp; gender'!BC15)*100</f>
        <v>59.148161262582832</v>
      </c>
      <c r="S17" s="493">
        <f>('Attainment 25+ by race &amp; gender'!DY16/'Pop 25+ by race &amp; gender'!DD15)*100</f>
        <v>59.97012164757772</v>
      </c>
      <c r="T17" s="494">
        <f>('Attainment 25+ by race &amp; gender'!NT16/'Pop 25+ by race &amp; gender'!AT15)*100</f>
        <v>20.025502464355093</v>
      </c>
      <c r="U17" s="493">
        <f>('Attainment 25+ by race &amp; gender'!PI16/'Pop 25+ by race &amp; gender'!DA15)*100</f>
        <v>23.28285972916095</v>
      </c>
      <c r="V17" s="494">
        <f>('Attainment 25+ by race &amp; gender'!NZ16/'Pop 25+ by race &amp; gender'!AZ15)*100</f>
        <v>10.092342436081408</v>
      </c>
      <c r="W17" s="493">
        <f>('Attainment 25+ by race &amp; gender'!PJ16/'Pop 25+ by race &amp; gender'!DB15)*100</f>
        <v>13.849705131726346</v>
      </c>
      <c r="X17" s="494">
        <f>('Attainment 25+ by race &amp; gender'!OC16/'Pop 25+ by race &amp; gender'!BC15)*100</f>
        <v>12.074460013151905</v>
      </c>
      <c r="Y17" s="614">
        <f>('Attainment 25+ by race &amp; gender'!PK16/'Pop 25+ by race &amp; gender'!DD15)*100</f>
        <v>12.174242963173745</v>
      </c>
      <c r="Z17" s="495">
        <f>('Attainment 25+ by race &amp; gender'!CS16/'Pop 25+ by race &amp; gender'!AT15)*100</f>
        <v>78.895514249843814</v>
      </c>
      <c r="AA17" s="626">
        <f>('Attainment 25+ by race &amp; gender'!EB16/'Pop 25+ by race &amp; gender'!DF15)*100</f>
        <v>86.130379480437384</v>
      </c>
      <c r="AB17" s="496">
        <f>('Attainment 25+ by race &amp; gender'!CT16/'Pop 25+ by race &amp; gender'!AZ15)*100</f>
        <v>60.44747085232629</v>
      </c>
      <c r="AC17" s="495">
        <f>('Attainment 25+ by race &amp; gender'!EC16/'Pop 25+ by race &amp; gender'!DG15)*100</f>
        <v>75.579470955589883</v>
      </c>
      <c r="AD17" s="496">
        <f>('Attainment 25+ by race &amp; gender'!CU16/'Pop 25+ by race &amp; gender'!BC15)*100</f>
        <v>59.148161262582832</v>
      </c>
      <c r="AE17" s="495">
        <f>('Attainment 25+ by race &amp; gender'!ED16/'Pop 25+ by race &amp; gender'!DI15)*100</f>
        <v>61.152794487586128</v>
      </c>
      <c r="AF17" s="496">
        <f>('Attainment 25+ by race &amp; gender'!NT16/'Pop 25+ by race &amp; gender'!AT15)*100</f>
        <v>20.025502464355093</v>
      </c>
      <c r="AG17" s="495">
        <f>('Attainment 25+ by race &amp; gender'!PN16/'Pop 25+ by race &amp; gender'!DF15)*100</f>
        <v>23.781774642667592</v>
      </c>
      <c r="AH17" s="496">
        <f>('Attainment 25+ by race &amp; gender'!NZ16/'Pop 25+ by race &amp; gender'!AZ15)*100</f>
        <v>10.092342436081408</v>
      </c>
      <c r="AI17" s="495">
        <f>('Attainment 25+ by race &amp; gender'!PO16/'Pop 25+ by race &amp; gender'!DG15)*100</f>
        <v>13.954849268975103</v>
      </c>
      <c r="AJ17" s="496">
        <f>('Attainment 25+ by race &amp; gender'!OC16/'Pop 25+ by race &amp; gender'!BC15)*100</f>
        <v>12.074460013151905</v>
      </c>
      <c r="AK17" s="634">
        <f>('Attainment 25+ by race &amp; gender'!PP16/'Pop 25+ by race &amp; gender'!DI15)*100</f>
        <v>12.118560647489883</v>
      </c>
      <c r="AL17" s="496">
        <f>('Attainment 25+ by race &amp; gender'!CS16/'Pop 25+ by race &amp; gender'!AT15)*100</f>
        <v>78.895514249843814</v>
      </c>
      <c r="AM17" s="634">
        <f>('Attainment 25+ by race &amp; gender'!EG16/'Pop 25+ by race &amp; gender'!DK15)*100</f>
        <v>87.820156473895722</v>
      </c>
      <c r="AN17" s="752">
        <v>60.44747085232629</v>
      </c>
      <c r="AO17" s="634">
        <f>('Attainment 25+ by race &amp; gender'!EH16/'Pop 25+ by race &amp; gender'!DL15)*100</f>
        <v>77.441915670158153</v>
      </c>
      <c r="AP17" s="634">
        <f>('Attainment 25+ by race &amp; gender'!CU16/'Pop 25+ by race &amp; gender'!BC15)*100</f>
        <v>59.148161262582832</v>
      </c>
      <c r="AQ17" s="634">
        <f>('Attainment 25+ by race &amp; gender'!EI16/'Pop 25+ by race &amp; gender'!DN15)*100</f>
        <v>60.020561588382705</v>
      </c>
      <c r="AR17" s="634">
        <f>('Attainment 25+ by race &amp; gender'!NT16/'Pop 25+ by race &amp; gender'!AT15)*100</f>
        <v>20.025502464355093</v>
      </c>
      <c r="AS17" s="634">
        <f>('Attainment 25+ by race &amp; gender'!PS16/'Pop 25+ by race &amp; gender'!DK15)*100</f>
        <v>24.533919586403155</v>
      </c>
      <c r="AT17" s="634">
        <f>('Attainment 25+ by race &amp; gender'!NZ16/'Pop 25+ by race &amp; gender'!AZ15)*100</f>
        <v>10.092342436081408</v>
      </c>
      <c r="AU17" s="634">
        <f>('Attainment 25+ by race &amp; gender'!PT16/'Pop 25+ by race &amp; gender'!DL15)*100</f>
        <v>14.337853476157978</v>
      </c>
      <c r="AV17" s="634">
        <f>('Attainment 25+ by race &amp; gender'!OC16/'Pop 25+ by race &amp; gender'!BC15)*100</f>
        <v>12.074460013151905</v>
      </c>
      <c r="AW17" s="634">
        <f>('Attainment 25+ by race &amp; gender'!PU16/'Pop 25+ by race &amp; gender'!DN15)*100</f>
        <v>12.6175330377605</v>
      </c>
      <c r="AX17" s="496">
        <f>('Attainment 25+ by race &amp; gender'!DR16/'Pop 25+ by race &amp; gender'!CV15)*100</f>
        <v>85</v>
      </c>
      <c r="AY17" s="634">
        <f>('Attainment 25+ by race &amp; gender'!EL16/'Pop 25+ by race &amp; gender'!DP15)*100</f>
        <v>87.696411320409482</v>
      </c>
      <c r="AZ17" s="752">
        <f>('Attainment 25+ by race &amp; gender'!DS16/'Pop 25+ by race &amp; gender'!CW15)*100</f>
        <v>73.999999999999986</v>
      </c>
      <c r="BA17" s="634">
        <f>('Attainment 25+ by race &amp; gender'!EM16/'Pop 25+ by race &amp; gender'!DQ15)*100</f>
        <v>79.187709272540246</v>
      </c>
      <c r="BB17" s="634">
        <f>('Attainment 25+ by race &amp; gender'!DT16/'Pop 25+ by race &amp; gender'!CY15)*100</f>
        <v>56.900000000000006</v>
      </c>
      <c r="BC17" s="634">
        <f>('Attainment 25+ by race &amp; gender'!EN16/'Pop 25+ by race &amp; gender'!DS15)*100</f>
        <v>64.636565719339345</v>
      </c>
      <c r="BD17" s="634">
        <f>('Attainment 25+ by race &amp; gender'!PD16/'Pop 25+ by race &amp; gender'!CV15)*100</f>
        <v>22.9</v>
      </c>
      <c r="BE17" s="634">
        <f>('Attainment 25+ by race &amp; gender'!PX16/'Pop 25+ by race &amp; gender'!DP15)*100</f>
        <v>25.520860873513669</v>
      </c>
      <c r="BF17" s="634">
        <f>('Attainment 25+ by race &amp; gender'!PE16/'Pop 25+ by race &amp; gender'!CW15)*100</f>
        <v>13.200000000000001</v>
      </c>
      <c r="BG17" s="634">
        <f>('Attainment 25+ by race &amp; gender'!PY16/'Pop 25+ by race &amp; gender'!DQ15)*100</f>
        <v>15.215078988089861</v>
      </c>
      <c r="BH17" s="634">
        <f>('Attainment 25+ by race &amp; gender'!PF16/'Pop 25+ by race &amp; gender'!CY15)*100</f>
        <v>12.000000000000002</v>
      </c>
      <c r="BI17" s="634">
        <f>('Attainment 25+ by race &amp; gender'!PZ16/'Pop 25+ by race &amp; gender'!DS15)*100</f>
        <v>12.84269904629873</v>
      </c>
    </row>
    <row r="18" spans="1:61" x14ac:dyDescent="0.2">
      <c r="A18" s="221" t="s">
        <v>9</v>
      </c>
      <c r="B18" s="493">
        <f>('Attainment 25+ by race &amp; gender'!CS17/'Pop 25+ by race &amp; gender'!AT16)*100</f>
        <v>81.154747104822576</v>
      </c>
      <c r="C18" s="626">
        <f>('Attainment 25+ by race &amp; gender'!DR17/'Pop 25+ by race &amp; gender'!CV16)*100</f>
        <v>87.1</v>
      </c>
      <c r="D18" s="494">
        <f>('Attainment 25+ by race &amp; gender'!CT17/'Pop 25+ by race &amp; gender'!AZ16)*100</f>
        <v>70.725541220120235</v>
      </c>
      <c r="E18" s="493">
        <f>('Attainment 25+ by race &amp; gender'!DS17/'Pop 25+ by race &amp; gender'!CW16)*100</f>
        <v>80.7</v>
      </c>
      <c r="F18" s="494">
        <f>('Attainment 25+ by race &amp; gender'!CU17/'Pop 25+ by race &amp; gender'!BC16)*100</f>
        <v>44.506191897362015</v>
      </c>
      <c r="G18" s="493">
        <f>('Attainment 25+ by race &amp; gender'!DT17/'Pop 25+ by race &amp; gender'!CY16)*100</f>
        <v>53.400000000000006</v>
      </c>
      <c r="H18" s="494">
        <f>('Attainment 25+ by race &amp; gender'!NT17/'Pop 25+ by race &amp; gender'!AT16)*100</f>
        <v>25.021531274724047</v>
      </c>
      <c r="I18" s="493">
        <f>('Attainment 25+ by race &amp; gender'!PD17/'Pop 25+ by race &amp; gender'!CV16)*100</f>
        <v>29.4</v>
      </c>
      <c r="J18" s="494">
        <f>('Attainment 25+ by race &amp; gender'!NZ17/'Pop 25+ by race &amp; gender'!AZ16)*100</f>
        <v>13.14524089123319</v>
      </c>
      <c r="K18" s="493">
        <f>('Attainment 25+ by race &amp; gender'!PE17/'Pop 25+ by race &amp; gender'!CW16)*100</f>
        <v>17.100000000000001</v>
      </c>
      <c r="L18" s="494">
        <f>('Attainment 25+ by race &amp; gender'!OC17/'Pop 25+ by race &amp; gender'!BC16)*100</f>
        <v>10.51764948029227</v>
      </c>
      <c r="M18" s="614">
        <f>('Attainment 25+ by race &amp; gender'!PF17/'Pop 25+ by race &amp; gender'!CY16)*100</f>
        <v>11.1</v>
      </c>
      <c r="N18" s="493">
        <f>('Attainment 25+ by race &amp; gender'!CS17/'Pop 25+ by race &amp; gender'!AT16)*100</f>
        <v>81.154747104822576</v>
      </c>
      <c r="O18" s="626">
        <f>('Attainment 25+ by race &amp; gender'!DW17/'Pop 25+ by race &amp; gender'!DA16)*100</f>
        <v>87.148616100805185</v>
      </c>
      <c r="P18" s="494">
        <f>('Attainment 25+ by race &amp; gender'!CT17/'Pop 25+ by race &amp; gender'!AZ16)*100</f>
        <v>70.725541220120235</v>
      </c>
      <c r="Q18" s="493">
        <f>('Attainment 25+ by race &amp; gender'!DX17/'Pop 25+ by race &amp; gender'!DB16)*100</f>
        <v>81.507945576898706</v>
      </c>
      <c r="R18" s="494">
        <f>('Attainment 25+ by race &amp; gender'!CU17/'Pop 25+ by race &amp; gender'!BC16)*100</f>
        <v>44.506191897362015</v>
      </c>
      <c r="S18" s="493">
        <f>('Attainment 25+ by race &amp; gender'!DY17/'Pop 25+ by race &amp; gender'!DD16)*100</f>
        <v>53.74123110364588</v>
      </c>
      <c r="T18" s="494">
        <f>('Attainment 25+ by race &amp; gender'!NT17/'Pop 25+ by race &amp; gender'!AT16)*100</f>
        <v>25.021531274724047</v>
      </c>
      <c r="U18" s="493">
        <f>('Attainment 25+ by race &amp; gender'!PI17/'Pop 25+ by race &amp; gender'!DA16)*100</f>
        <v>29.712487142738496</v>
      </c>
      <c r="V18" s="494">
        <f>('Attainment 25+ by race &amp; gender'!NZ17/'Pop 25+ by race &amp; gender'!AZ16)*100</f>
        <v>13.14524089123319</v>
      </c>
      <c r="W18" s="493">
        <f>('Attainment 25+ by race &amp; gender'!PJ17/'Pop 25+ by race &amp; gender'!DB16)*100</f>
        <v>17.083048632698482</v>
      </c>
      <c r="X18" s="494">
        <f>('Attainment 25+ by race &amp; gender'!OC17/'Pop 25+ by race &amp; gender'!BC16)*100</f>
        <v>10.51764948029227</v>
      </c>
      <c r="Y18" s="614">
        <f>('Attainment 25+ by race &amp; gender'!PK17/'Pop 25+ by race &amp; gender'!DD16)*100</f>
        <v>11.20121529493133</v>
      </c>
      <c r="Z18" s="495">
        <f>('Attainment 25+ by race &amp; gender'!CS17/'Pop 25+ by race &amp; gender'!AT16)*100</f>
        <v>81.154747104822576</v>
      </c>
      <c r="AA18" s="626">
        <f>('Attainment 25+ by race &amp; gender'!EB17/'Pop 25+ by race &amp; gender'!DF16)*100</f>
        <v>89.164551605089514</v>
      </c>
      <c r="AB18" s="496">
        <f>('Attainment 25+ by race &amp; gender'!CT17/'Pop 25+ by race &amp; gender'!AZ16)*100</f>
        <v>70.725541220120235</v>
      </c>
      <c r="AC18" s="495">
        <f>('Attainment 25+ by race &amp; gender'!EC17/'Pop 25+ by race &amp; gender'!DG16)*100</f>
        <v>82.179773372015347</v>
      </c>
      <c r="AD18" s="496">
        <f>('Attainment 25+ by race &amp; gender'!CU17/'Pop 25+ by race &amp; gender'!BC16)*100</f>
        <v>44.506191897362015</v>
      </c>
      <c r="AE18" s="495">
        <f>('Attainment 25+ by race &amp; gender'!ED17/'Pop 25+ by race &amp; gender'!DI16)*100</f>
        <v>53.654182104394231</v>
      </c>
      <c r="AF18" s="496">
        <f>('Attainment 25+ by race &amp; gender'!NT17/'Pop 25+ by race &amp; gender'!AT16)*100</f>
        <v>25.021531274724047</v>
      </c>
      <c r="AG18" s="495">
        <f>('Attainment 25+ by race &amp; gender'!PN17/'Pop 25+ by race &amp; gender'!DF16)*100</f>
        <v>31.30101066347412</v>
      </c>
      <c r="AH18" s="496">
        <f>('Attainment 25+ by race &amp; gender'!NZ17/'Pop 25+ by race &amp; gender'!AZ16)*100</f>
        <v>13.14524089123319</v>
      </c>
      <c r="AI18" s="495">
        <f>('Attainment 25+ by race &amp; gender'!PO17/'Pop 25+ by race &amp; gender'!DG16)*100</f>
        <v>17.723343049751172</v>
      </c>
      <c r="AJ18" s="496">
        <f>('Attainment 25+ by race &amp; gender'!OC17/'Pop 25+ by race &amp; gender'!BC16)*100</f>
        <v>10.51764948029227</v>
      </c>
      <c r="AK18" s="634">
        <f>('Attainment 25+ by race &amp; gender'!PP17/'Pop 25+ by race &amp; gender'!DI16)*100</f>
        <v>11.75155017181471</v>
      </c>
      <c r="AL18" s="496">
        <f>('Attainment 25+ by race &amp; gender'!CS17/'Pop 25+ by race &amp; gender'!AT16)*100</f>
        <v>81.154747104822576</v>
      </c>
      <c r="AM18" s="634">
        <f>('Attainment 25+ by race &amp; gender'!EG17/'Pop 25+ by race &amp; gender'!DK16)*100</f>
        <v>90.305895979001065</v>
      </c>
      <c r="AN18" s="752">
        <v>70.725541220120235</v>
      </c>
      <c r="AO18" s="634">
        <f>('Attainment 25+ by race &amp; gender'!EH17/'Pop 25+ by race &amp; gender'!DL16)*100</f>
        <v>84.4501542216926</v>
      </c>
      <c r="AP18" s="634">
        <f>('Attainment 25+ by race &amp; gender'!CU17/'Pop 25+ by race &amp; gender'!BC16)*100</f>
        <v>44.506191897362015</v>
      </c>
      <c r="AQ18" s="634">
        <f>('Attainment 25+ by race &amp; gender'!EI17/'Pop 25+ by race &amp; gender'!DN16)*100</f>
        <v>56.48726723256744</v>
      </c>
      <c r="AR18" s="634">
        <f>('Attainment 25+ by race &amp; gender'!NT17/'Pop 25+ by race &amp; gender'!AT16)*100</f>
        <v>25.021531274724047</v>
      </c>
      <c r="AS18" s="634">
        <f>('Attainment 25+ by race &amp; gender'!PS17/'Pop 25+ by race &amp; gender'!DK16)*100</f>
        <v>33.172660654048578</v>
      </c>
      <c r="AT18" s="634">
        <f>('Attainment 25+ by race &amp; gender'!NZ17/'Pop 25+ by race &amp; gender'!AZ16)*100</f>
        <v>13.14524089123319</v>
      </c>
      <c r="AU18" s="634">
        <f>('Attainment 25+ by race &amp; gender'!PT17/'Pop 25+ by race &amp; gender'!DL16)*100</f>
        <v>19.524408576399608</v>
      </c>
      <c r="AV18" s="634">
        <f>('Attainment 25+ by race &amp; gender'!OC17/'Pop 25+ by race &amp; gender'!BC16)*100</f>
        <v>10.51764948029227</v>
      </c>
      <c r="AW18" s="634">
        <f>('Attainment 25+ by race &amp; gender'!PU17/'Pop 25+ by race &amp; gender'!DN16)*100</f>
        <v>13.505844184702903</v>
      </c>
      <c r="AX18" s="496">
        <f>('Attainment 25+ by race &amp; gender'!DR17/'Pop 25+ by race &amp; gender'!CV16)*100</f>
        <v>87.1</v>
      </c>
      <c r="AY18" s="634">
        <f>('Attainment 25+ by race &amp; gender'!EL17/'Pop 25+ by race &amp; gender'!DP16)*100</f>
        <v>90.955872791543612</v>
      </c>
      <c r="AZ18" s="752">
        <f>('Attainment 25+ by race &amp; gender'!DS17/'Pop 25+ by race &amp; gender'!CW16)*100</f>
        <v>80.7</v>
      </c>
      <c r="BA18" s="634">
        <f>('Attainment 25+ by race &amp; gender'!EM17/'Pop 25+ by race &amp; gender'!DQ16)*100</f>
        <v>84.658020316862377</v>
      </c>
      <c r="BB18" s="634">
        <f>('Attainment 25+ by race &amp; gender'!DT17/'Pop 25+ by race &amp; gender'!CY16)*100</f>
        <v>53.400000000000006</v>
      </c>
      <c r="BC18" s="634">
        <f>('Attainment 25+ by race &amp; gender'!EN17/'Pop 25+ by race &amp; gender'!DS16)*100</f>
        <v>59.503394030582044</v>
      </c>
      <c r="BD18" s="634">
        <f>('Attainment 25+ by race &amp; gender'!PD17/'Pop 25+ by race &amp; gender'!CV16)*100</f>
        <v>29.4</v>
      </c>
      <c r="BE18" s="634">
        <f>('Attainment 25+ by race &amp; gender'!PX17/'Pop 25+ by race &amp; gender'!DP16)*100</f>
        <v>34.136156918033464</v>
      </c>
      <c r="BF18" s="634">
        <f>('Attainment 25+ by race &amp; gender'!PE17/'Pop 25+ by race &amp; gender'!CW16)*100</f>
        <v>17.100000000000001</v>
      </c>
      <c r="BG18" s="634">
        <f>('Attainment 25+ by race &amp; gender'!PY17/'Pop 25+ by race &amp; gender'!DQ16)*100</f>
        <v>20.313240193665735</v>
      </c>
      <c r="BH18" s="634">
        <f>('Attainment 25+ by race &amp; gender'!PF17/'Pop 25+ by race &amp; gender'!CY16)*100</f>
        <v>11.1</v>
      </c>
      <c r="BI18" s="634">
        <f>('Attainment 25+ by race &amp; gender'!PZ17/'Pop 25+ by race &amp; gender'!DS16)*100</f>
        <v>14.794331069200933</v>
      </c>
    </row>
    <row r="19" spans="1:61" x14ac:dyDescent="0.2">
      <c r="A19" s="221" t="s">
        <v>10</v>
      </c>
      <c r="B19" s="493">
        <f>('Attainment 25+ by race &amp; gender'!CS18/'Pop 25+ by race &amp; gender'!AT17)*100</f>
        <v>82.09458086023254</v>
      </c>
      <c r="C19" s="626">
        <f>('Attainment 25+ by race &amp; gender'!DR18/'Pop 25+ by race &amp; gender'!CV17)*100</f>
        <v>87.499999999999986</v>
      </c>
      <c r="D19" s="494">
        <f>('Attainment 25+ by race &amp; gender'!CT18/'Pop 25+ by race &amp; gender'!AZ17)*100</f>
        <v>78.496203425746074</v>
      </c>
      <c r="E19" s="493">
        <f>('Attainment 25+ by race &amp; gender'!DS18/'Pop 25+ by race &amp; gender'!CW17)*100</f>
        <v>85.2</v>
      </c>
      <c r="F19" s="494">
        <f>('Attainment 25+ by race &amp; gender'!CU18/'Pop 25+ by race &amp; gender'!BC17)*100</f>
        <v>50.888675168304964</v>
      </c>
      <c r="G19" s="493">
        <f>('Attainment 25+ by race &amp; gender'!DT18/'Pop 25+ by race &amp; gender'!CY17)*100</f>
        <v>57.9</v>
      </c>
      <c r="H19" s="494">
        <f>('Attainment 25+ by race &amp; gender'!NT18/'Pop 25+ by race &amp; gender'!AT17)*100</f>
        <v>21.54697536385072</v>
      </c>
      <c r="I19" s="493">
        <f>('Attainment 25+ by race &amp; gender'!PD18/'Pop 25+ by race &amp; gender'!CV17)*100</f>
        <v>24.5</v>
      </c>
      <c r="J19" s="494">
        <f>('Attainment 25+ by race &amp; gender'!NZ18/'Pop 25+ by race &amp; gender'!AZ17)*100</f>
        <v>13.693801871799399</v>
      </c>
      <c r="K19" s="493">
        <f>('Attainment 25+ by race &amp; gender'!PE18/'Pop 25+ by race &amp; gender'!CW17)*100</f>
        <v>17.299999999999997</v>
      </c>
      <c r="L19" s="494">
        <f>('Attainment 25+ by race &amp; gender'!OC18/'Pop 25+ by race &amp; gender'!BC17)*100</f>
        <v>9.5699636536227715</v>
      </c>
      <c r="M19" s="614">
        <f>('Attainment 25+ by race &amp; gender'!PF18/'Pop 25+ by race &amp; gender'!CY17)*100</f>
        <v>9.8999999999999986</v>
      </c>
      <c r="N19" s="493">
        <f>('Attainment 25+ by race &amp; gender'!CS18/'Pop 25+ by race &amp; gender'!AT17)*100</f>
        <v>82.09458086023254</v>
      </c>
      <c r="O19" s="626">
        <f>('Attainment 25+ by race &amp; gender'!DW18/'Pop 25+ by race &amp; gender'!DA17)*100</f>
        <v>87.670743126884375</v>
      </c>
      <c r="P19" s="494">
        <f>('Attainment 25+ by race &amp; gender'!CT18/'Pop 25+ by race &amp; gender'!AZ17)*100</f>
        <v>78.496203425746074</v>
      </c>
      <c r="Q19" s="493">
        <f>('Attainment 25+ by race &amp; gender'!DX18/'Pop 25+ by race &amp; gender'!DB17)*100</f>
        <v>86.570318817849881</v>
      </c>
      <c r="R19" s="494">
        <f>('Attainment 25+ by race &amp; gender'!CU18/'Pop 25+ by race &amp; gender'!BC17)*100</f>
        <v>50.888675168304964</v>
      </c>
      <c r="S19" s="493">
        <f>('Attainment 25+ by race &amp; gender'!DY18/'Pop 25+ by race &amp; gender'!DD17)*100</f>
        <v>57.431158976869412</v>
      </c>
      <c r="T19" s="494">
        <f>('Attainment 25+ by race &amp; gender'!NT18/'Pop 25+ by race &amp; gender'!AT17)*100</f>
        <v>21.54697536385072</v>
      </c>
      <c r="U19" s="493">
        <f>('Attainment 25+ by race &amp; gender'!PI18/'Pop 25+ by race &amp; gender'!DA17)*100</f>
        <v>24.963234950233375</v>
      </c>
      <c r="V19" s="494">
        <f>('Attainment 25+ by race &amp; gender'!NZ18/'Pop 25+ by race &amp; gender'!AZ17)*100</f>
        <v>13.693801871799399</v>
      </c>
      <c r="W19" s="493">
        <f>('Attainment 25+ by race &amp; gender'!PJ18/'Pop 25+ by race &amp; gender'!DB17)*100</f>
        <v>17.688754380375915</v>
      </c>
      <c r="X19" s="494">
        <f>('Attainment 25+ by race &amp; gender'!OC18/'Pop 25+ by race &amp; gender'!BC17)*100</f>
        <v>9.5699636536227715</v>
      </c>
      <c r="Y19" s="614">
        <f>('Attainment 25+ by race &amp; gender'!PK18/'Pop 25+ by race &amp; gender'!DD17)*100</f>
        <v>9.5324929629176349</v>
      </c>
      <c r="Z19" s="495">
        <f>('Attainment 25+ by race &amp; gender'!CS18/'Pop 25+ by race &amp; gender'!AT17)*100</f>
        <v>82.09458086023254</v>
      </c>
      <c r="AA19" s="626">
        <f>('Attainment 25+ by race &amp; gender'!EB18/'Pop 25+ by race &amp; gender'!DF17)*100</f>
        <v>89.438091966432737</v>
      </c>
      <c r="AB19" s="496">
        <f>('Attainment 25+ by race &amp; gender'!CT18/'Pop 25+ by race &amp; gender'!AZ17)*100</f>
        <v>78.496203425746074</v>
      </c>
      <c r="AC19" s="495">
        <f>('Attainment 25+ by race &amp; gender'!EC18/'Pop 25+ by race &amp; gender'!DG17)*100</f>
        <v>87.651771147136287</v>
      </c>
      <c r="AD19" s="496">
        <f>('Attainment 25+ by race &amp; gender'!CU18/'Pop 25+ by race &amp; gender'!BC17)*100</f>
        <v>50.888675168304964</v>
      </c>
      <c r="AE19" s="495">
        <f>('Attainment 25+ by race &amp; gender'!ED18/'Pop 25+ by race &amp; gender'!DI17)*100</f>
        <v>56.84209284074749</v>
      </c>
      <c r="AF19" s="496">
        <f>('Attainment 25+ by race &amp; gender'!NT18/'Pop 25+ by race &amp; gender'!AT17)*100</f>
        <v>21.54697536385072</v>
      </c>
      <c r="AG19" s="495">
        <f>('Attainment 25+ by race &amp; gender'!PN18/'Pop 25+ by race &amp; gender'!DF17)*100</f>
        <v>26.116373034957714</v>
      </c>
      <c r="AH19" s="496">
        <f>('Attainment 25+ by race &amp; gender'!NZ18/'Pop 25+ by race &amp; gender'!AZ17)*100</f>
        <v>13.693801871799399</v>
      </c>
      <c r="AI19" s="495">
        <f>('Attainment 25+ by race &amp; gender'!PO18/'Pop 25+ by race &amp; gender'!DG17)*100</f>
        <v>17.814128847364209</v>
      </c>
      <c r="AJ19" s="496">
        <f>('Attainment 25+ by race &amp; gender'!OC18/'Pop 25+ by race &amp; gender'!BC17)*100</f>
        <v>9.5699636536227715</v>
      </c>
      <c r="AK19" s="634">
        <f>('Attainment 25+ by race &amp; gender'!PP18/'Pop 25+ by race &amp; gender'!DI17)*100</f>
        <v>9.6516849291627569</v>
      </c>
      <c r="AL19" s="496">
        <f>('Attainment 25+ by race &amp; gender'!CS18/'Pop 25+ by race &amp; gender'!AT17)*100</f>
        <v>82.09458086023254</v>
      </c>
      <c r="AM19" s="634">
        <f>('Attainment 25+ by race &amp; gender'!EG18/'Pop 25+ by race &amp; gender'!DK17)*100</f>
        <v>90.25256860871302</v>
      </c>
      <c r="AN19" s="752">
        <v>78.496203425746074</v>
      </c>
      <c r="AO19" s="634">
        <f>('Attainment 25+ by race &amp; gender'!EH18/'Pop 25+ by race &amp; gender'!DL17)*100</f>
        <v>88.087781421758933</v>
      </c>
      <c r="AP19" s="634">
        <f>('Attainment 25+ by race &amp; gender'!CU18/'Pop 25+ by race &amp; gender'!BC17)*100</f>
        <v>50.888675168304964</v>
      </c>
      <c r="AQ19" s="634">
        <f>('Attainment 25+ by race &amp; gender'!EI18/'Pop 25+ by race &amp; gender'!DN17)*100</f>
        <v>58.662049743622482</v>
      </c>
      <c r="AR19" s="634">
        <f>('Attainment 25+ by race &amp; gender'!NT18/'Pop 25+ by race &amp; gender'!AT17)*100</f>
        <v>21.54697536385072</v>
      </c>
      <c r="AS19" s="634">
        <f>('Attainment 25+ by race &amp; gender'!PS18/'Pop 25+ by race &amp; gender'!DK17)*100</f>
        <v>26.950333932630372</v>
      </c>
      <c r="AT19" s="634">
        <f>('Attainment 25+ by race &amp; gender'!NZ18/'Pop 25+ by race &amp; gender'!AZ17)*100</f>
        <v>13.693801871799399</v>
      </c>
      <c r="AU19" s="634">
        <f>('Attainment 25+ by race &amp; gender'!PT18/'Pop 25+ by race &amp; gender'!DL17)*100</f>
        <v>18.268471100450729</v>
      </c>
      <c r="AV19" s="634">
        <f>('Attainment 25+ by race &amp; gender'!OC18/'Pop 25+ by race &amp; gender'!BC17)*100</f>
        <v>9.5699636536227715</v>
      </c>
      <c r="AW19" s="634">
        <f>('Attainment 25+ by race &amp; gender'!PU18/'Pop 25+ by race &amp; gender'!DN17)*100</f>
        <v>11.596029871704857</v>
      </c>
      <c r="AX19" s="496">
        <f>('Attainment 25+ by race &amp; gender'!DR18/'Pop 25+ by race &amp; gender'!CV17)*100</f>
        <v>87.499999999999986</v>
      </c>
      <c r="AY19" s="634">
        <f>('Attainment 25+ by race &amp; gender'!EL18/'Pop 25+ by race &amp; gender'!DP17)*100</f>
        <v>90.864605684348248</v>
      </c>
      <c r="AZ19" s="752">
        <f>('Attainment 25+ by race &amp; gender'!DS18/'Pop 25+ by race &amp; gender'!CW17)*100</f>
        <v>85.2</v>
      </c>
      <c r="BA19" s="634">
        <f>('Attainment 25+ by race &amp; gender'!EM18/'Pop 25+ by race &amp; gender'!DQ17)*100</f>
        <v>88.255873501775142</v>
      </c>
      <c r="BB19" s="634">
        <f>('Attainment 25+ by race &amp; gender'!DT18/'Pop 25+ by race &amp; gender'!CY17)*100</f>
        <v>57.9</v>
      </c>
      <c r="BC19" s="634">
        <f>('Attainment 25+ by race &amp; gender'!EN18/'Pop 25+ by race &amp; gender'!DS17)*100</f>
        <v>61.155710867648914</v>
      </c>
      <c r="BD19" s="634">
        <f>('Attainment 25+ by race &amp; gender'!PD18/'Pop 25+ by race &amp; gender'!CV17)*100</f>
        <v>24.5</v>
      </c>
      <c r="BE19" s="634">
        <f>('Attainment 25+ by race &amp; gender'!PX18/'Pop 25+ by race &amp; gender'!DP17)*100</f>
        <v>27.529055758518851</v>
      </c>
      <c r="BF19" s="634">
        <f>('Attainment 25+ by race &amp; gender'!PE18/'Pop 25+ by race &amp; gender'!CW17)*100</f>
        <v>17.299999999999997</v>
      </c>
      <c r="BG19" s="634">
        <f>('Attainment 25+ by race &amp; gender'!PY18/'Pop 25+ by race &amp; gender'!DQ17)*100</f>
        <v>19.242874980579899</v>
      </c>
      <c r="BH19" s="634">
        <f>('Attainment 25+ by race &amp; gender'!PF18/'Pop 25+ by race &amp; gender'!CY17)*100</f>
        <v>9.8999999999999986</v>
      </c>
      <c r="BI19" s="634">
        <f>('Attainment 25+ by race &amp; gender'!PZ18/'Pop 25+ by race &amp; gender'!DS17)*100</f>
        <v>11.516706544096042</v>
      </c>
    </row>
    <row r="20" spans="1:61" x14ac:dyDescent="0.2">
      <c r="A20" s="221" t="s">
        <v>11</v>
      </c>
      <c r="B20" s="493">
        <f>('Attainment 25+ by race &amp; gender'!CS19/'Pop 25+ by race &amp; gender'!AT18)*100</f>
        <v>80.855003876032029</v>
      </c>
      <c r="C20" s="626">
        <f>('Attainment 25+ by race &amp; gender'!DR19/'Pop 25+ by race &amp; gender'!CV18)*100</f>
        <v>87</v>
      </c>
      <c r="D20" s="494">
        <f>('Attainment 25+ by race &amp; gender'!CT19/'Pop 25+ by race &amp; gender'!AZ18)*100</f>
        <v>64.916946252087712</v>
      </c>
      <c r="E20" s="493">
        <f>('Attainment 25+ by race &amp; gender'!DS19/'Pop 25+ by race &amp; gender'!CW18)*100</f>
        <v>77.199999999999989</v>
      </c>
      <c r="F20" s="494">
        <f>('Attainment 25+ by race &amp; gender'!CU19/'Pop 25+ by race &amp; gender'!BC18)*100</f>
        <v>56.421927567781516</v>
      </c>
      <c r="G20" s="493">
        <f>('Attainment 25+ by race &amp; gender'!DT19/'Pop 25+ by race &amp; gender'!CY18)*100</f>
        <v>58.599999999999994</v>
      </c>
      <c r="H20" s="494">
        <f>('Attainment 25+ by race &amp; gender'!NT19/'Pop 25+ by race &amp; gender'!AT18)*100</f>
        <v>24.232247502263277</v>
      </c>
      <c r="I20" s="493">
        <f>('Attainment 25+ by race &amp; gender'!PD19/'Pop 25+ by race &amp; gender'!CV18)*100</f>
        <v>28.199999999999996</v>
      </c>
      <c r="J20" s="494">
        <f>('Attainment 25+ by race &amp; gender'!NZ19/'Pop 25+ by race &amp; gender'!AZ18)*100</f>
        <v>9.8653293530936388</v>
      </c>
      <c r="K20" s="493">
        <f>('Attainment 25+ by race &amp; gender'!PE19/'Pop 25+ by race &amp; gender'!CW18)*100</f>
        <v>13.499999999999998</v>
      </c>
      <c r="L20" s="494">
        <f>('Attainment 25+ by race &amp; gender'!OC19/'Pop 25+ by race &amp; gender'!BC18)*100</f>
        <v>14.097235965433075</v>
      </c>
      <c r="M20" s="614">
        <f>('Attainment 25+ by race &amp; gender'!PF19/'Pop 25+ by race &amp; gender'!CY18)*100</f>
        <v>12.400000000000002</v>
      </c>
      <c r="N20" s="493">
        <f>('Attainment 25+ by race &amp; gender'!CS19/'Pop 25+ by race &amp; gender'!AT18)*100</f>
        <v>80.855003876032029</v>
      </c>
      <c r="O20" s="626">
        <f>('Attainment 25+ by race &amp; gender'!DW19/'Pop 25+ by race &amp; gender'!DA18)*100</f>
        <v>87.378661574152147</v>
      </c>
      <c r="P20" s="494">
        <f>('Attainment 25+ by race &amp; gender'!CT19/'Pop 25+ by race &amp; gender'!AZ18)*100</f>
        <v>64.916946252087712</v>
      </c>
      <c r="Q20" s="493">
        <f>('Attainment 25+ by race &amp; gender'!DX19/'Pop 25+ by race &amp; gender'!DB18)*100</f>
        <v>77.891217812381782</v>
      </c>
      <c r="R20" s="494">
        <f>('Attainment 25+ by race &amp; gender'!CU19/'Pop 25+ by race &amp; gender'!BC18)*100</f>
        <v>56.421927567781516</v>
      </c>
      <c r="S20" s="493">
        <f>('Attainment 25+ by race &amp; gender'!DY19/'Pop 25+ by race &amp; gender'!DD18)*100</f>
        <v>61.153004329557618</v>
      </c>
      <c r="T20" s="494">
        <f>('Attainment 25+ by race &amp; gender'!NT19/'Pop 25+ by race &amp; gender'!AT18)*100</f>
        <v>24.232247502263277</v>
      </c>
      <c r="U20" s="493">
        <f>('Attainment 25+ by race &amp; gender'!PI19/'Pop 25+ by race &amp; gender'!DA18)*100</f>
        <v>28.526346014484499</v>
      </c>
      <c r="V20" s="494">
        <f>('Attainment 25+ by race &amp; gender'!NZ19/'Pop 25+ by race &amp; gender'!AZ18)*100</f>
        <v>9.8653293530936388</v>
      </c>
      <c r="W20" s="493">
        <f>('Attainment 25+ by race &amp; gender'!PJ19/'Pop 25+ by race &amp; gender'!DB18)*100</f>
        <v>13.785406693170801</v>
      </c>
      <c r="X20" s="494">
        <f>('Attainment 25+ by race &amp; gender'!OC19/'Pop 25+ by race &amp; gender'!BC18)*100</f>
        <v>14.097235965433075</v>
      </c>
      <c r="Y20" s="614">
        <f>('Attainment 25+ by race &amp; gender'!PK19/'Pop 25+ by race &amp; gender'!DD18)*100</f>
        <v>14.214049494352404</v>
      </c>
      <c r="Z20" s="495">
        <f>('Attainment 25+ by race &amp; gender'!CS19/'Pop 25+ by race &amp; gender'!AT18)*100</f>
        <v>80.855003876032029</v>
      </c>
      <c r="AA20" s="626">
        <f>('Attainment 25+ by race &amp; gender'!EB19/'Pop 25+ by race &amp; gender'!DF18)*100</f>
        <v>88.457358699569369</v>
      </c>
      <c r="AB20" s="496">
        <f>('Attainment 25+ by race &amp; gender'!CT19/'Pop 25+ by race &amp; gender'!AZ18)*100</f>
        <v>64.916946252087712</v>
      </c>
      <c r="AC20" s="495">
        <f>('Attainment 25+ by race &amp; gender'!EC19/'Pop 25+ by race &amp; gender'!DG18)*100</f>
        <v>79.157948525864199</v>
      </c>
      <c r="AD20" s="496">
        <f>('Attainment 25+ by race &amp; gender'!CU19/'Pop 25+ by race &amp; gender'!BC18)*100</f>
        <v>56.421927567781516</v>
      </c>
      <c r="AE20" s="495">
        <f>('Attainment 25+ by race &amp; gender'!ED19/'Pop 25+ by race &amp; gender'!DI18)*100</f>
        <v>62.790011720781493</v>
      </c>
      <c r="AF20" s="496">
        <f>('Attainment 25+ by race &amp; gender'!NT19/'Pop 25+ by race &amp; gender'!AT18)*100</f>
        <v>24.232247502263277</v>
      </c>
      <c r="AG20" s="495">
        <f>('Attainment 25+ by race &amp; gender'!PN19/'Pop 25+ by race &amp; gender'!DF18)*100</f>
        <v>29.414424851663277</v>
      </c>
      <c r="AH20" s="496">
        <f>('Attainment 25+ by race &amp; gender'!NZ19/'Pop 25+ by race &amp; gender'!AZ18)*100</f>
        <v>9.8653293530936388</v>
      </c>
      <c r="AI20" s="495">
        <f>('Attainment 25+ by race &amp; gender'!PO19/'Pop 25+ by race &amp; gender'!DG18)*100</f>
        <v>14.335414111171332</v>
      </c>
      <c r="AJ20" s="496">
        <f>('Attainment 25+ by race &amp; gender'!OC19/'Pop 25+ by race &amp; gender'!BC18)*100</f>
        <v>14.097235965433075</v>
      </c>
      <c r="AK20" s="634">
        <f>('Attainment 25+ by race &amp; gender'!PP19/'Pop 25+ by race &amp; gender'!DI18)*100</f>
        <v>14.356793007894062</v>
      </c>
      <c r="AL20" s="496">
        <f>('Attainment 25+ by race &amp; gender'!CS19/'Pop 25+ by race &amp; gender'!AT18)*100</f>
        <v>80.855003876032029</v>
      </c>
      <c r="AM20" s="634">
        <f>('Attainment 25+ by race &amp; gender'!EG19/'Pop 25+ by race &amp; gender'!DK18)*100</f>
        <v>89.839578616354999</v>
      </c>
      <c r="AN20" s="752">
        <v>64.916946252087712</v>
      </c>
      <c r="AO20" s="634">
        <f>('Attainment 25+ by race &amp; gender'!EH19/'Pop 25+ by race &amp; gender'!DL18)*100</f>
        <v>80.983852293906139</v>
      </c>
      <c r="AP20" s="634">
        <f>('Attainment 25+ by race &amp; gender'!CU19/'Pop 25+ by race &amp; gender'!BC18)*100</f>
        <v>56.421927567781516</v>
      </c>
      <c r="AQ20" s="634">
        <f>('Attainment 25+ by race &amp; gender'!EI19/'Pop 25+ by race &amp; gender'!DN18)*100</f>
        <v>62.972846510403727</v>
      </c>
      <c r="AR20" s="634">
        <f>('Attainment 25+ by race &amp; gender'!NT19/'Pop 25+ by race &amp; gender'!AT18)*100</f>
        <v>24.232247502263277</v>
      </c>
      <c r="AS20" s="634">
        <f>('Attainment 25+ by race &amp; gender'!PS19/'Pop 25+ by race &amp; gender'!DK18)*100</f>
        <v>31.69039745190851</v>
      </c>
      <c r="AT20" s="634">
        <f>('Attainment 25+ by race &amp; gender'!NZ19/'Pop 25+ by race &amp; gender'!AZ18)*100</f>
        <v>9.8653293530936388</v>
      </c>
      <c r="AU20" s="634">
        <f>('Attainment 25+ by race &amp; gender'!PT19/'Pop 25+ by race &amp; gender'!DL18)*100</f>
        <v>14.793317833543554</v>
      </c>
      <c r="AV20" s="634">
        <f>('Attainment 25+ by race &amp; gender'!OC19/'Pop 25+ by race &amp; gender'!BC18)*100</f>
        <v>14.097235965433075</v>
      </c>
      <c r="AW20" s="634">
        <f>('Attainment 25+ by race &amp; gender'!PU19/'Pop 25+ by race &amp; gender'!DN18)*100</f>
        <v>15.15667724341634</v>
      </c>
      <c r="AX20" s="496">
        <f>('Attainment 25+ by race &amp; gender'!DR19/'Pop 25+ by race &amp; gender'!CV18)*100</f>
        <v>87</v>
      </c>
      <c r="AY20" s="634">
        <f>('Attainment 25+ by race &amp; gender'!EL19/'Pop 25+ by race &amp; gender'!DP18)*100</f>
        <v>90.174933357993751</v>
      </c>
      <c r="AZ20" s="752">
        <f>('Attainment 25+ by race &amp; gender'!DS19/'Pop 25+ by race &amp; gender'!CW18)*100</f>
        <v>77.199999999999989</v>
      </c>
      <c r="BA20" s="634">
        <f>('Attainment 25+ by race &amp; gender'!EM19/'Pop 25+ by race &amp; gender'!DQ18)*100</f>
        <v>81.301460391119321</v>
      </c>
      <c r="BB20" s="634">
        <f>('Attainment 25+ by race &amp; gender'!DT19/'Pop 25+ by race &amp; gender'!CY18)*100</f>
        <v>58.599999999999994</v>
      </c>
      <c r="BC20" s="634">
        <f>('Attainment 25+ by race &amp; gender'!EN19/'Pop 25+ by race &amp; gender'!DS18)*100</f>
        <v>60.938735107496633</v>
      </c>
      <c r="BD20" s="634">
        <f>('Attainment 25+ by race &amp; gender'!PD19/'Pop 25+ by race &amp; gender'!CV18)*100</f>
        <v>28.199999999999996</v>
      </c>
      <c r="BE20" s="634">
        <f>('Attainment 25+ by race &amp; gender'!PX19/'Pop 25+ by race &amp; gender'!DP18)*100</f>
        <v>32.0344012775723</v>
      </c>
      <c r="BF20" s="634">
        <f>('Attainment 25+ by race &amp; gender'!PE19/'Pop 25+ by race &amp; gender'!CW18)*100</f>
        <v>13.499999999999998</v>
      </c>
      <c r="BG20" s="634">
        <f>('Attainment 25+ by race &amp; gender'!PY19/'Pop 25+ by race &amp; gender'!DQ18)*100</f>
        <v>15.691852010290045</v>
      </c>
      <c r="BH20" s="634">
        <f>('Attainment 25+ by race &amp; gender'!PF19/'Pop 25+ by race &amp; gender'!CY18)*100</f>
        <v>12.400000000000002</v>
      </c>
      <c r="BI20" s="634">
        <f>('Attainment 25+ by race &amp; gender'!PZ19/'Pop 25+ by race &amp; gender'!DS18)*100</f>
        <v>14.229150495289232</v>
      </c>
    </row>
    <row r="21" spans="1:61" x14ac:dyDescent="0.2">
      <c r="A21" s="221" t="s">
        <v>12</v>
      </c>
      <c r="B21" s="493">
        <f>('Attainment 25+ by race &amp; gender'!CS20/'Pop 25+ by race &amp; gender'!AT19)*100</f>
        <v>76.991927685637691</v>
      </c>
      <c r="C21" s="626">
        <f>('Attainment 25+ by race &amp; gender'!DR20/'Pop 25+ by race &amp; gender'!CV19)*100</f>
        <v>84.6</v>
      </c>
      <c r="D21" s="494">
        <f>('Attainment 25+ by race &amp; gender'!CT20/'Pop 25+ by race &amp; gender'!AZ19)*100</f>
        <v>70.829922381905291</v>
      </c>
      <c r="E21" s="493">
        <f>('Attainment 25+ by race &amp; gender'!DS20/'Pop 25+ by race &amp; gender'!CW19)*100</f>
        <v>80.899999999999991</v>
      </c>
      <c r="F21" s="494">
        <f>('Attainment 25+ by race &amp; gender'!CU20/'Pop 25+ by race &amp; gender'!BC19)*100</f>
        <v>55.393488247325898</v>
      </c>
      <c r="G21" s="493">
        <f>('Attainment 25+ by race &amp; gender'!DT20/'Pop 25+ by race &amp; gender'!CY19)*100</f>
        <v>60.4</v>
      </c>
      <c r="H21" s="494">
        <f>('Attainment 25+ by race &amp; gender'!NT20/'Pop 25+ by race &amp; gender'!AT19)*100</f>
        <v>20.482031476209343</v>
      </c>
      <c r="I21" s="493">
        <f>('Attainment 25+ by race &amp; gender'!PD20/'Pop 25+ by race &amp; gender'!CV19)*100</f>
        <v>24.2</v>
      </c>
      <c r="J21" s="494">
        <f>('Attainment 25+ by race &amp; gender'!NZ20/'Pop 25+ by race &amp; gender'!AZ19)*100</f>
        <v>12.936222788187496</v>
      </c>
      <c r="K21" s="493">
        <f>('Attainment 25+ by race &amp; gender'!PE20/'Pop 25+ by race &amp; gender'!CW19)*100</f>
        <v>16.7</v>
      </c>
      <c r="L21" s="494">
        <f>('Attainment 25+ by race &amp; gender'!OC20/'Pop 25+ by race &amp; gender'!BC19)*100</f>
        <v>14.071354323844012</v>
      </c>
      <c r="M21" s="614">
        <f>('Attainment 25+ by race &amp; gender'!PF20/'Pop 25+ by race &amp; gender'!CY19)*100</f>
        <v>12.5</v>
      </c>
      <c r="N21" s="493">
        <f>('Attainment 25+ by race &amp; gender'!CS20/'Pop 25+ by race &amp; gender'!AT19)*100</f>
        <v>76.991927685637691</v>
      </c>
      <c r="O21" s="626">
        <f>('Attainment 25+ by race &amp; gender'!DW20/'Pop 25+ by race &amp; gender'!DA19)*100</f>
        <v>85.282533260619033</v>
      </c>
      <c r="P21" s="494">
        <f>('Attainment 25+ by race &amp; gender'!CT20/'Pop 25+ by race &amp; gender'!AZ19)*100</f>
        <v>70.829922381905291</v>
      </c>
      <c r="Q21" s="493">
        <f>('Attainment 25+ by race &amp; gender'!DX20/'Pop 25+ by race &amp; gender'!DB19)*100</f>
        <v>81.998415441337016</v>
      </c>
      <c r="R21" s="494">
        <f>('Attainment 25+ by race &amp; gender'!CU20/'Pop 25+ by race &amp; gender'!BC19)*100</f>
        <v>55.393488247325898</v>
      </c>
      <c r="S21" s="493">
        <f>('Attainment 25+ by race &amp; gender'!DY20/'Pop 25+ by race &amp; gender'!DD19)*100</f>
        <v>61.231254510946563</v>
      </c>
      <c r="T21" s="494">
        <f>('Attainment 25+ by race &amp; gender'!NT20/'Pop 25+ by race &amp; gender'!AT19)*100</f>
        <v>20.482031476209343</v>
      </c>
      <c r="U21" s="493">
        <f>('Attainment 25+ by race &amp; gender'!PI20/'Pop 25+ by race &amp; gender'!DA19)*100</f>
        <v>24.711117161063616</v>
      </c>
      <c r="V21" s="494">
        <f>('Attainment 25+ by race &amp; gender'!NZ20/'Pop 25+ by race &amp; gender'!AZ19)*100</f>
        <v>12.936222788187496</v>
      </c>
      <c r="W21" s="493">
        <f>('Attainment 25+ by race &amp; gender'!PJ20/'Pop 25+ by race &amp; gender'!DB19)*100</f>
        <v>17.054436452335352</v>
      </c>
      <c r="X21" s="494">
        <f>('Attainment 25+ by race &amp; gender'!OC20/'Pop 25+ by race &amp; gender'!BC19)*100</f>
        <v>14.071354323844012</v>
      </c>
      <c r="Y21" s="614">
        <f>('Attainment 25+ by race &amp; gender'!PK20/'Pop 25+ by race &amp; gender'!DD19)*100</f>
        <v>12.822449143254296</v>
      </c>
      <c r="Z21" s="495">
        <f>('Attainment 25+ by race &amp; gender'!CS20/'Pop 25+ by race &amp; gender'!AT19)*100</f>
        <v>76.991927685637691</v>
      </c>
      <c r="AA21" s="626">
        <f>('Attainment 25+ by race &amp; gender'!EB20/'Pop 25+ by race &amp; gender'!DF19)*100</f>
        <v>86.614564120849451</v>
      </c>
      <c r="AB21" s="496">
        <f>('Attainment 25+ by race &amp; gender'!CT20/'Pop 25+ by race &amp; gender'!AZ19)*100</f>
        <v>70.829922381905291</v>
      </c>
      <c r="AC21" s="495">
        <f>('Attainment 25+ by race &amp; gender'!EC20/'Pop 25+ by race &amp; gender'!DG19)*100</f>
        <v>82.42507837375797</v>
      </c>
      <c r="AD21" s="496">
        <f>('Attainment 25+ by race &amp; gender'!CU20/'Pop 25+ by race &amp; gender'!BC19)*100</f>
        <v>55.393488247325898</v>
      </c>
      <c r="AE21" s="495">
        <f>('Attainment 25+ by race &amp; gender'!ED20/'Pop 25+ by race &amp; gender'!DI19)*100</f>
        <v>59.972642892037129</v>
      </c>
      <c r="AF21" s="496">
        <f>('Attainment 25+ by race &amp; gender'!NT20/'Pop 25+ by race &amp; gender'!AT19)*100</f>
        <v>20.482031476209343</v>
      </c>
      <c r="AG21" s="495">
        <f>('Attainment 25+ by race &amp; gender'!PN20/'Pop 25+ by race &amp; gender'!DF19)*100</f>
        <v>25.524627264372967</v>
      </c>
      <c r="AH21" s="496">
        <f>('Attainment 25+ by race &amp; gender'!NZ20/'Pop 25+ by race &amp; gender'!AZ19)*100</f>
        <v>12.936222788187496</v>
      </c>
      <c r="AI21" s="495">
        <f>('Attainment 25+ by race &amp; gender'!PO20/'Pop 25+ by race &amp; gender'!DG19)*100</f>
        <v>17.689506287564491</v>
      </c>
      <c r="AJ21" s="496">
        <f>('Attainment 25+ by race &amp; gender'!OC20/'Pop 25+ by race &amp; gender'!BC19)*100</f>
        <v>14.071354323844012</v>
      </c>
      <c r="AK21" s="634">
        <f>('Attainment 25+ by race &amp; gender'!PP20/'Pop 25+ by race &amp; gender'!DI19)*100</f>
        <v>12.947728382999513</v>
      </c>
      <c r="AL21" s="496">
        <f>('Attainment 25+ by race &amp; gender'!CS20/'Pop 25+ by race &amp; gender'!AT19)*100</f>
        <v>76.991927685637691</v>
      </c>
      <c r="AM21" s="634">
        <f>('Attainment 25+ by race &amp; gender'!EG20/'Pop 25+ by race &amp; gender'!DK19)*100</f>
        <v>87.720162440173596</v>
      </c>
      <c r="AN21" s="752">
        <v>70.829922381905291</v>
      </c>
      <c r="AO21" s="634">
        <f>('Attainment 25+ by race &amp; gender'!EH20/'Pop 25+ by race &amp; gender'!DL19)*100</f>
        <v>84.040307547575225</v>
      </c>
      <c r="AP21" s="634">
        <f>('Attainment 25+ by race &amp; gender'!CU20/'Pop 25+ by race &amp; gender'!BC19)*100</f>
        <v>55.393488247325898</v>
      </c>
      <c r="AQ21" s="634">
        <f>('Attainment 25+ by race &amp; gender'!EI20/'Pop 25+ by race &amp; gender'!DN19)*100</f>
        <v>59.446421654077085</v>
      </c>
      <c r="AR21" s="634">
        <f>('Attainment 25+ by race &amp; gender'!NT20/'Pop 25+ by race &amp; gender'!AT19)*100</f>
        <v>20.482031476209343</v>
      </c>
      <c r="AS21" s="634">
        <f>('Attainment 25+ by race &amp; gender'!PS20/'Pop 25+ by race &amp; gender'!DK19)*100</f>
        <v>27.152666722355846</v>
      </c>
      <c r="AT21" s="634">
        <f>('Attainment 25+ by race &amp; gender'!NZ20/'Pop 25+ by race &amp; gender'!AZ19)*100</f>
        <v>12.936222788187496</v>
      </c>
      <c r="AU21" s="634">
        <f>('Attainment 25+ by race &amp; gender'!PT20/'Pop 25+ by race &amp; gender'!DL19)*100</f>
        <v>18.379539027067207</v>
      </c>
      <c r="AV21" s="634">
        <f>('Attainment 25+ by race &amp; gender'!OC20/'Pop 25+ by race &amp; gender'!BC19)*100</f>
        <v>14.071354323844012</v>
      </c>
      <c r="AW21" s="634">
        <f>('Attainment 25+ by race &amp; gender'!PU20/'Pop 25+ by race &amp; gender'!DN19)*100</f>
        <v>13.176689908967653</v>
      </c>
      <c r="AX21" s="496">
        <f>('Attainment 25+ by race &amp; gender'!DR20/'Pop 25+ by race &amp; gender'!CV19)*100</f>
        <v>84.6</v>
      </c>
      <c r="AY21" s="634">
        <f>('Attainment 25+ by race &amp; gender'!EL20/'Pop 25+ by race &amp; gender'!DP19)*100</f>
        <v>88.484700497727147</v>
      </c>
      <c r="AZ21" s="752">
        <f>('Attainment 25+ by race &amp; gender'!DS20/'Pop 25+ by race &amp; gender'!CW19)*100</f>
        <v>80.899999999999991</v>
      </c>
      <c r="BA21" s="634">
        <f>('Attainment 25+ by race &amp; gender'!EM20/'Pop 25+ by race &amp; gender'!DQ19)*100</f>
        <v>84.851686248053227</v>
      </c>
      <c r="BB21" s="634">
        <f>('Attainment 25+ by race &amp; gender'!DT20/'Pop 25+ by race &amp; gender'!CY19)*100</f>
        <v>60.4</v>
      </c>
      <c r="BC21" s="634">
        <f>('Attainment 25+ by race &amp; gender'!EN20/'Pop 25+ by race &amp; gender'!DS19)*100</f>
        <v>63.510961734875657</v>
      </c>
      <c r="BD21" s="634">
        <f>('Attainment 25+ by race &amp; gender'!PD20/'Pop 25+ by race &amp; gender'!CV19)*100</f>
        <v>24.2</v>
      </c>
      <c r="BE21" s="634">
        <f>('Attainment 25+ by race &amp; gender'!PX20/'Pop 25+ by race &amp; gender'!DP19)*100</f>
        <v>27.33166572496955</v>
      </c>
      <c r="BF21" s="634">
        <f>('Attainment 25+ by race &amp; gender'!PE20/'Pop 25+ by race &amp; gender'!CW19)*100</f>
        <v>16.7</v>
      </c>
      <c r="BG21" s="634">
        <f>('Attainment 25+ by race &amp; gender'!PY20/'Pop 25+ by race &amp; gender'!DQ19)*100</f>
        <v>19.437462769049688</v>
      </c>
      <c r="BH21" s="634">
        <f>('Attainment 25+ by race &amp; gender'!PF20/'Pop 25+ by race &amp; gender'!CY19)*100</f>
        <v>12.5</v>
      </c>
      <c r="BI21" s="634">
        <f>('Attainment 25+ by race &amp; gender'!PZ20/'Pop 25+ by race &amp; gender'!DS19)*100</f>
        <v>14.880287879147764</v>
      </c>
    </row>
    <row r="22" spans="1:61" x14ac:dyDescent="0.2">
      <c r="A22" s="221" t="s">
        <v>13</v>
      </c>
      <c r="B22" s="493">
        <f>('Attainment 25+ by race &amp; gender'!CS21/'Pop 25+ by race &amp; gender'!AT20)*100</f>
        <v>79.532424412341001</v>
      </c>
      <c r="C22" s="626">
        <f>('Attainment 25+ by race &amp; gender'!DR21/'Pop 25+ by race &amp; gender'!CV20)*100</f>
        <v>81.899999999999991</v>
      </c>
      <c r="D22" s="494">
        <f>('Attainment 25+ by race &amp; gender'!CT21/'Pop 25+ by race &amp; gender'!AZ20)*100</f>
        <v>75.81100462707218</v>
      </c>
      <c r="E22" s="493">
        <f>('Attainment 25+ by race &amp; gender'!DS21/'Pop 25+ by race &amp; gender'!CW20)*100</f>
        <v>85.899999999999991</v>
      </c>
      <c r="F22" s="494">
        <f>('Attainment 25+ by race &amp; gender'!CU21/'Pop 25+ by race &amp; gender'!BC20)*100</f>
        <v>49.254111035170787</v>
      </c>
      <c r="G22" s="493">
        <f>('Attainment 25+ by race &amp; gender'!DT21/'Pop 25+ by race &amp; gender'!CY20)*100</f>
        <v>59.4</v>
      </c>
      <c r="H22" s="494">
        <f>('Attainment 25+ by race &amp; gender'!NT21/'Pop 25+ by race &amp; gender'!AT20)*100</f>
        <v>25.790769663711831</v>
      </c>
      <c r="I22" s="493">
        <f>('Attainment 25+ by race &amp; gender'!PD21/'Pop 25+ by race &amp; gender'!CV20)*100</f>
        <v>27.199999999999996</v>
      </c>
      <c r="J22" s="494">
        <f>('Attainment 25+ by race &amp; gender'!NZ21/'Pop 25+ by race &amp; gender'!AZ20)*100</f>
        <v>15.347167972638662</v>
      </c>
      <c r="K22" s="493">
        <f>('Attainment 25+ by race &amp; gender'!PE21/'Pop 25+ by race &amp; gender'!CW20)*100</f>
        <v>19.599999999999998</v>
      </c>
      <c r="L22" s="494">
        <f>('Attainment 25+ by race &amp; gender'!OC21/'Pop 25+ by race &amp; gender'!BC20)*100</f>
        <v>8.9311777484176602</v>
      </c>
      <c r="M22" s="614">
        <f>('Attainment 25+ by race &amp; gender'!PF21/'Pop 25+ by race &amp; gender'!CY20)*100</f>
        <v>11.600000000000001</v>
      </c>
      <c r="N22" s="493">
        <f>('Attainment 25+ by race &amp; gender'!CS21/'Pop 25+ by race &amp; gender'!AT20)*100</f>
        <v>79.532424412341001</v>
      </c>
      <c r="O22" s="626">
        <f>('Attainment 25+ by race &amp; gender'!DW21/'Pop 25+ by race &amp; gender'!DA20)*100</f>
        <v>82.215036384920111</v>
      </c>
      <c r="P22" s="494">
        <f>('Attainment 25+ by race &amp; gender'!CT21/'Pop 25+ by race &amp; gender'!AZ20)*100</f>
        <v>75.81100462707218</v>
      </c>
      <c r="Q22" s="493">
        <f>('Attainment 25+ by race &amp; gender'!DX21/'Pop 25+ by race &amp; gender'!DB20)*100</f>
        <v>86.357226599776425</v>
      </c>
      <c r="R22" s="494">
        <f>('Attainment 25+ by race &amp; gender'!CU21/'Pop 25+ by race &amp; gender'!BC20)*100</f>
        <v>49.254111035170787</v>
      </c>
      <c r="S22" s="493">
        <f>('Attainment 25+ by race &amp; gender'!DY21/'Pop 25+ by race &amp; gender'!DD20)*100</f>
        <v>60.534414231415788</v>
      </c>
      <c r="T22" s="494">
        <f>('Attainment 25+ by race &amp; gender'!NT21/'Pop 25+ by race &amp; gender'!AT20)*100</f>
        <v>25.790769663711831</v>
      </c>
      <c r="U22" s="493">
        <f>('Attainment 25+ by race &amp; gender'!PI21/'Pop 25+ by race &amp; gender'!DA20)*100</f>
        <v>27.393783974668633</v>
      </c>
      <c r="V22" s="494">
        <f>('Attainment 25+ by race &amp; gender'!NZ21/'Pop 25+ by race &amp; gender'!AZ20)*100</f>
        <v>15.347167972638662</v>
      </c>
      <c r="W22" s="493">
        <f>('Attainment 25+ by race &amp; gender'!PJ21/'Pop 25+ by race &amp; gender'!DB20)*100</f>
        <v>20.281429778880497</v>
      </c>
      <c r="X22" s="494">
        <f>('Attainment 25+ by race &amp; gender'!OC21/'Pop 25+ by race &amp; gender'!BC20)*100</f>
        <v>8.9311777484176602</v>
      </c>
      <c r="Y22" s="614">
        <f>('Attainment 25+ by race &amp; gender'!PK21/'Pop 25+ by race &amp; gender'!DD20)*100</f>
        <v>11.940948580851595</v>
      </c>
      <c r="Z22" s="495">
        <f>('Attainment 25+ by race &amp; gender'!CS21/'Pop 25+ by race &amp; gender'!AT20)*100</f>
        <v>79.532424412341001</v>
      </c>
      <c r="AA22" s="626">
        <f>('Attainment 25+ by race &amp; gender'!EB21/'Pop 25+ by race &amp; gender'!DF20)*100</f>
        <v>92.776175191971717</v>
      </c>
      <c r="AB22" s="496">
        <f>('Attainment 25+ by race &amp; gender'!CT21/'Pop 25+ by race &amp; gender'!AZ20)*100</f>
        <v>75.81100462707218</v>
      </c>
      <c r="AC22" s="495">
        <f>('Attainment 25+ by race &amp; gender'!EC21/'Pop 25+ by race &amp; gender'!DG20)*100</f>
        <v>86.78109513515237</v>
      </c>
      <c r="AD22" s="496">
        <f>('Attainment 25+ by race &amp; gender'!CU21/'Pop 25+ by race &amp; gender'!BC20)*100</f>
        <v>49.254111035170787</v>
      </c>
      <c r="AE22" s="495">
        <f>('Attainment 25+ by race &amp; gender'!ED21/'Pop 25+ by race &amp; gender'!DI20)*100</f>
        <v>61.244655697199413</v>
      </c>
      <c r="AF22" s="496">
        <f>('Attainment 25+ by race &amp; gender'!NT21/'Pop 25+ by race &amp; gender'!AT20)*100</f>
        <v>25.790769663711831</v>
      </c>
      <c r="AG22" s="495">
        <f>('Attainment 25+ by race &amp; gender'!PN21/'Pop 25+ by race &amp; gender'!DF20)*100</f>
        <v>35.329503702387591</v>
      </c>
      <c r="AH22" s="496">
        <f>('Attainment 25+ by race &amp; gender'!NZ21/'Pop 25+ by race &amp; gender'!AZ20)*100</f>
        <v>15.347167972638662</v>
      </c>
      <c r="AI22" s="495">
        <f>('Attainment 25+ by race &amp; gender'!PO21/'Pop 25+ by race &amp; gender'!DG20)*100</f>
        <v>21.093435456713532</v>
      </c>
      <c r="AJ22" s="496">
        <f>('Attainment 25+ by race &amp; gender'!OC21/'Pop 25+ by race &amp; gender'!BC20)*100</f>
        <v>8.9311777484176602</v>
      </c>
      <c r="AK22" s="634">
        <f>('Attainment 25+ by race &amp; gender'!PP21/'Pop 25+ by race &amp; gender'!DI20)*100</f>
        <v>12.237748926473964</v>
      </c>
      <c r="AL22" s="496">
        <f>('Attainment 25+ by race &amp; gender'!CS21/'Pop 25+ by race &amp; gender'!AT20)*100</f>
        <v>79.532424412341001</v>
      </c>
      <c r="AM22" s="634">
        <f>('Attainment 25+ by race &amp; gender'!EG21/'Pop 25+ by race &amp; gender'!DK20)*100</f>
        <v>93.342203206698727</v>
      </c>
      <c r="AN22" s="752">
        <v>75.81100462707218</v>
      </c>
      <c r="AO22" s="634">
        <f>('Attainment 25+ by race &amp; gender'!EH21/'Pop 25+ by race &amp; gender'!DL20)*100</f>
        <v>88.237924102648108</v>
      </c>
      <c r="AP22" s="634">
        <f>('Attainment 25+ by race &amp; gender'!CU21/'Pop 25+ by race &amp; gender'!BC20)*100</f>
        <v>49.254111035170787</v>
      </c>
      <c r="AQ22" s="634">
        <f>('Attainment 25+ by race &amp; gender'!EI21/'Pop 25+ by race &amp; gender'!DN20)*100</f>
        <v>63.50100785641677</v>
      </c>
      <c r="AR22" s="634">
        <f>('Attainment 25+ by race &amp; gender'!NT21/'Pop 25+ by race &amp; gender'!AT20)*100</f>
        <v>25.790769663711831</v>
      </c>
      <c r="AS22" s="634">
        <f>('Attainment 25+ by race &amp; gender'!PS21/'Pop 25+ by race &amp; gender'!DK20)*100</f>
        <v>37.201626922130352</v>
      </c>
      <c r="AT22" s="634">
        <f>('Attainment 25+ by race &amp; gender'!NZ21/'Pop 25+ by race &amp; gender'!AZ20)*100</f>
        <v>15.347167972638662</v>
      </c>
      <c r="AU22" s="634">
        <f>('Attainment 25+ by race &amp; gender'!PT21/'Pop 25+ by race &amp; gender'!DL20)*100</f>
        <v>22.37676419436891</v>
      </c>
      <c r="AV22" s="634">
        <f>('Attainment 25+ by race &amp; gender'!OC21/'Pop 25+ by race &amp; gender'!BC20)*100</f>
        <v>8.9311777484176602</v>
      </c>
      <c r="AW22" s="634">
        <f>('Attainment 25+ by race &amp; gender'!PU21/'Pop 25+ by race &amp; gender'!DN20)*100</f>
        <v>13.212339549836605</v>
      </c>
      <c r="AX22" s="496">
        <f>('Attainment 25+ by race &amp; gender'!DR21/'Pop 25+ by race &amp; gender'!CV20)*100</f>
        <v>81.899999999999991</v>
      </c>
      <c r="AY22" s="634">
        <f>('Attainment 25+ by race &amp; gender'!EL21/'Pop 25+ by race &amp; gender'!DP20)*100</f>
        <v>93.386665810873353</v>
      </c>
      <c r="AZ22" s="752">
        <f>('Attainment 25+ by race &amp; gender'!DS21/'Pop 25+ by race &amp; gender'!CW20)*100</f>
        <v>85.899999999999991</v>
      </c>
      <c r="BA22" s="634">
        <f>('Attainment 25+ by race &amp; gender'!EM21/'Pop 25+ by race &amp; gender'!DQ20)*100</f>
        <v>89.083310847467644</v>
      </c>
      <c r="BB22" s="634">
        <f>('Attainment 25+ by race &amp; gender'!DT21/'Pop 25+ by race &amp; gender'!CY20)*100</f>
        <v>59.4</v>
      </c>
      <c r="BC22" s="634">
        <f>('Attainment 25+ by race &amp; gender'!EN21/'Pop 25+ by race &amp; gender'!DS20)*100</f>
        <v>64.899277191307434</v>
      </c>
      <c r="BD22" s="634">
        <f>('Attainment 25+ by race &amp; gender'!PD21/'Pop 25+ by race &amp; gender'!CV20)*100</f>
        <v>27.199999999999996</v>
      </c>
      <c r="BE22" s="634">
        <f>('Attainment 25+ by race &amp; gender'!PX21/'Pop 25+ by race &amp; gender'!DP20)*100</f>
        <v>37.58646606590132</v>
      </c>
      <c r="BF22" s="634">
        <f>('Attainment 25+ by race &amp; gender'!PE21/'Pop 25+ by race &amp; gender'!CW20)*100</f>
        <v>19.599999999999998</v>
      </c>
      <c r="BG22" s="634">
        <f>('Attainment 25+ by race &amp; gender'!PY21/'Pop 25+ by race &amp; gender'!DQ20)*100</f>
        <v>23.127563031139189</v>
      </c>
      <c r="BH22" s="634">
        <f>('Attainment 25+ by race &amp; gender'!PF21/'Pop 25+ by race &amp; gender'!CY20)*100</f>
        <v>11.600000000000001</v>
      </c>
      <c r="BI22" s="634">
        <f>('Attainment 25+ by race &amp; gender'!PZ21/'Pop 25+ by race &amp; gender'!DS20)*100</f>
        <v>14.199258567522177</v>
      </c>
    </row>
    <row r="23" spans="1:61" x14ac:dyDescent="0.2">
      <c r="A23" s="221" t="s">
        <v>14</v>
      </c>
      <c r="B23" s="493">
        <f>('Attainment 25+ by race &amp; gender'!CS22/'Pop 25+ by race &amp; gender'!AT21)*100</f>
        <v>84.275976912708174</v>
      </c>
      <c r="C23" s="626">
        <f>('Attainment 25+ by race &amp; gender'!DR22/'Pop 25+ by race &amp; gender'!CV21)*100</f>
        <v>88.8</v>
      </c>
      <c r="D23" s="494">
        <f>('Attainment 25+ by race &amp; gender'!CT22/'Pop 25+ by race &amp; gender'!AZ21)*100</f>
        <v>71.575814145447211</v>
      </c>
      <c r="E23" s="493">
        <f>('Attainment 25+ by race &amp; gender'!DS22/'Pop 25+ by race &amp; gender'!CW21)*100</f>
        <v>81.199999999999989</v>
      </c>
      <c r="F23" s="494">
        <f>('Attainment 25+ by race &amp; gender'!CU22/'Pop 25+ by race &amp; gender'!BC21)*100</f>
        <v>62.927255291458316</v>
      </c>
      <c r="G23" s="493">
        <f>('Attainment 25+ by race &amp; gender'!DT22/'Pop 25+ by race &amp; gender'!CY21)*100</f>
        <v>68.399999999999991</v>
      </c>
      <c r="H23" s="494">
        <f>('Attainment 25+ by race &amp; gender'!NT22/'Pop 25+ by race &amp; gender'!AT21)*100</f>
        <v>32.281719060483724</v>
      </c>
      <c r="I23" s="493">
        <f>('Attainment 25+ by race &amp; gender'!PD22/'Pop 25+ by race &amp; gender'!CV21)*100</f>
        <v>36.9</v>
      </c>
      <c r="J23" s="494">
        <f>('Attainment 25+ by race &amp; gender'!NZ22/'Pop 25+ by race &amp; gender'!AZ21)*100</f>
        <v>15.116519018322471</v>
      </c>
      <c r="K23" s="493">
        <f>('Attainment 25+ by race &amp; gender'!PE22/'Pop 25+ by race &amp; gender'!CW21)*100</f>
        <v>19.5</v>
      </c>
      <c r="L23" s="494">
        <f>('Attainment 25+ by race &amp; gender'!OC22/'Pop 25+ by race &amp; gender'!BC21)*100</f>
        <v>20.66294495056739</v>
      </c>
      <c r="M23" s="614">
        <f>('Attainment 25+ by race &amp; gender'!PF22/'Pop 25+ by race &amp; gender'!CY21)*100</f>
        <v>22.1</v>
      </c>
      <c r="N23" s="493">
        <f>('Attainment 25+ by race &amp; gender'!CS22/'Pop 25+ by race &amp; gender'!AT21)*100</f>
        <v>84.275976912708174</v>
      </c>
      <c r="O23" s="626">
        <f>('Attainment 25+ by race &amp; gender'!DW22/'Pop 25+ by race &amp; gender'!DA21)*100</f>
        <v>89.282081313703117</v>
      </c>
      <c r="P23" s="494">
        <f>('Attainment 25+ by race &amp; gender'!CT22/'Pop 25+ by race &amp; gender'!AZ21)*100</f>
        <v>71.575814145447211</v>
      </c>
      <c r="Q23" s="493">
        <f>('Attainment 25+ by race &amp; gender'!DX22/'Pop 25+ by race &amp; gender'!DB21)*100</f>
        <v>82.035005316816765</v>
      </c>
      <c r="R23" s="494">
        <f>('Attainment 25+ by race &amp; gender'!CU22/'Pop 25+ by race &amp; gender'!BC21)*100</f>
        <v>62.927255291458316</v>
      </c>
      <c r="S23" s="493">
        <f>('Attainment 25+ by race &amp; gender'!DY22/'Pop 25+ by race &amp; gender'!DD21)*100</f>
        <v>68.659988680758943</v>
      </c>
      <c r="T23" s="494">
        <f>('Attainment 25+ by race &amp; gender'!NT22/'Pop 25+ by race &amp; gender'!AT21)*100</f>
        <v>32.281719060483724</v>
      </c>
      <c r="U23" s="493">
        <f>('Attainment 25+ by race &amp; gender'!PI22/'Pop 25+ by race &amp; gender'!DA21)*100</f>
        <v>37.354358685305961</v>
      </c>
      <c r="V23" s="494">
        <f>('Attainment 25+ by race &amp; gender'!NZ22/'Pop 25+ by race &amp; gender'!AZ21)*100</f>
        <v>15.116519018322471</v>
      </c>
      <c r="W23" s="493">
        <f>('Attainment 25+ by race &amp; gender'!PJ22/'Pop 25+ by race &amp; gender'!DB21)*100</f>
        <v>20.271535627711952</v>
      </c>
      <c r="X23" s="494">
        <f>('Attainment 25+ by race &amp; gender'!OC22/'Pop 25+ by race &amp; gender'!BC21)*100</f>
        <v>20.66294495056739</v>
      </c>
      <c r="Y23" s="614">
        <f>('Attainment 25+ by race &amp; gender'!PK22/'Pop 25+ by race &amp; gender'!DD21)*100</f>
        <v>22.327752471276053</v>
      </c>
      <c r="Z23" s="495">
        <f>('Attainment 25+ by race &amp; gender'!CS22/'Pop 25+ by race &amp; gender'!AT21)*100</f>
        <v>84.275976912708174</v>
      </c>
      <c r="AA23" s="626">
        <f>('Attainment 25+ by race &amp; gender'!EB22/'Pop 25+ by race &amp; gender'!DF21)*100</f>
        <v>90.878702170732367</v>
      </c>
      <c r="AB23" s="496">
        <f>('Attainment 25+ by race &amp; gender'!CT22/'Pop 25+ by race &amp; gender'!AZ21)*100</f>
        <v>71.575814145447211</v>
      </c>
      <c r="AC23" s="495">
        <f>('Attainment 25+ by race &amp; gender'!EC22/'Pop 25+ by race &amp; gender'!DG21)*100</f>
        <v>82.766486666327992</v>
      </c>
      <c r="AD23" s="496">
        <f>('Attainment 25+ by race &amp; gender'!CU22/'Pop 25+ by race &amp; gender'!BC21)*100</f>
        <v>62.927255291458316</v>
      </c>
      <c r="AE23" s="495">
        <f>('Attainment 25+ by race &amp; gender'!ED22/'Pop 25+ by race &amp; gender'!DI21)*100</f>
        <v>70.766312315752415</v>
      </c>
      <c r="AF23" s="496">
        <f>('Attainment 25+ by race &amp; gender'!NT22/'Pop 25+ by race &amp; gender'!AT21)*100</f>
        <v>32.281719060483724</v>
      </c>
      <c r="AG23" s="495">
        <f>('Attainment 25+ by race &amp; gender'!PN22/'Pop 25+ by race &amp; gender'!DF21)*100</f>
        <v>38.751388773185873</v>
      </c>
      <c r="AH23" s="496">
        <f>('Attainment 25+ by race &amp; gender'!NZ22/'Pop 25+ by race &amp; gender'!AZ21)*100</f>
        <v>15.116519018322471</v>
      </c>
      <c r="AI23" s="495">
        <f>('Attainment 25+ by race &amp; gender'!PO22/'Pop 25+ by race &amp; gender'!DG21)*100</f>
        <v>20.76269540296866</v>
      </c>
      <c r="AJ23" s="496">
        <f>('Attainment 25+ by race &amp; gender'!OC22/'Pop 25+ by race &amp; gender'!BC21)*100</f>
        <v>20.66294495056739</v>
      </c>
      <c r="AK23" s="634">
        <f>('Attainment 25+ by race &amp; gender'!PP22/'Pop 25+ by race &amp; gender'!DI21)*100</f>
        <v>22.565041697100909</v>
      </c>
      <c r="AL23" s="496">
        <f>('Attainment 25+ by race &amp; gender'!CS22/'Pop 25+ by race &amp; gender'!AT21)*100</f>
        <v>84.275976912708174</v>
      </c>
      <c r="AM23" s="634">
        <f>('Attainment 25+ by race &amp; gender'!EG22/'Pop 25+ by race &amp; gender'!DK21)*100</f>
        <v>92.007657423536983</v>
      </c>
      <c r="AN23" s="752">
        <v>71.575814145447211</v>
      </c>
      <c r="AO23" s="634">
        <f>('Attainment 25+ by race &amp; gender'!EH22/'Pop 25+ by race &amp; gender'!DL21)*100</f>
        <v>84.358604206500956</v>
      </c>
      <c r="AP23" s="634">
        <f>('Attainment 25+ by race &amp; gender'!CU22/'Pop 25+ by race &amp; gender'!BC21)*100</f>
        <v>62.927255291458316</v>
      </c>
      <c r="AQ23" s="634">
        <f>('Attainment 25+ by race &amp; gender'!EI22/'Pop 25+ by race &amp; gender'!DN21)*100</f>
        <v>71.050400196814195</v>
      </c>
      <c r="AR23" s="634">
        <f>('Attainment 25+ by race &amp; gender'!NT22/'Pop 25+ by race &amp; gender'!AT21)*100</f>
        <v>32.281719060483724</v>
      </c>
      <c r="AS23" s="634">
        <f>('Attainment 25+ by race &amp; gender'!PS22/'Pop 25+ by race &amp; gender'!DK21)*100</f>
        <v>40.290717824848429</v>
      </c>
      <c r="AT23" s="634">
        <f>('Attainment 25+ by race &amp; gender'!NZ22/'Pop 25+ by race &amp; gender'!AZ21)*100</f>
        <v>15.116519018322471</v>
      </c>
      <c r="AU23" s="634">
        <f>('Attainment 25+ by race &amp; gender'!PT22/'Pop 25+ by race &amp; gender'!DL21)*100</f>
        <v>22.817973231357552</v>
      </c>
      <c r="AV23" s="634">
        <f>('Attainment 25+ by race &amp; gender'!OC22/'Pop 25+ by race &amp; gender'!BC21)*100</f>
        <v>20.66294495056739</v>
      </c>
      <c r="AW23" s="634">
        <f>('Attainment 25+ by race &amp; gender'!PU22/'Pop 25+ by race &amp; gender'!DN21)*100</f>
        <v>23.015078737618499</v>
      </c>
      <c r="AX23" s="496">
        <f>('Attainment 25+ by race &amp; gender'!DR22/'Pop 25+ by race &amp; gender'!CV21)*100</f>
        <v>88.8</v>
      </c>
      <c r="AY23" s="634">
        <f>('Attainment 25+ by race &amp; gender'!EL22/'Pop 25+ by race &amp; gender'!DP21)*100</f>
        <v>92.213489939601416</v>
      </c>
      <c r="AZ23" s="752">
        <f>('Attainment 25+ by race &amp; gender'!DS22/'Pop 25+ by race &amp; gender'!CW21)*100</f>
        <v>81.199999999999989</v>
      </c>
      <c r="BA23" s="634">
        <f>('Attainment 25+ by race &amp; gender'!EM22/'Pop 25+ by race &amp; gender'!DQ21)*100</f>
        <v>85.928967080332058</v>
      </c>
      <c r="BB23" s="634">
        <f>('Attainment 25+ by race &amp; gender'!DT22/'Pop 25+ by race &amp; gender'!CY21)*100</f>
        <v>68.399999999999991</v>
      </c>
      <c r="BC23" s="634">
        <f>('Attainment 25+ by race &amp; gender'!EN22/'Pop 25+ by race &amp; gender'!DS21)*100</f>
        <v>71.761217122227947</v>
      </c>
      <c r="BD23" s="634">
        <f>('Attainment 25+ by race &amp; gender'!PD22/'Pop 25+ by race &amp; gender'!CV21)*100</f>
        <v>36.9</v>
      </c>
      <c r="BE23" s="634">
        <f>('Attainment 25+ by race &amp; gender'!PX22/'Pop 25+ by race &amp; gender'!DP21)*100</f>
        <v>41.610249237300224</v>
      </c>
      <c r="BF23" s="634">
        <f>('Attainment 25+ by race &amp; gender'!PE22/'Pop 25+ by race &amp; gender'!CW21)*100</f>
        <v>19.5</v>
      </c>
      <c r="BG23" s="634">
        <f>('Attainment 25+ by race &amp; gender'!PY22/'Pop 25+ by race &amp; gender'!DQ21)*100</f>
        <v>23.294784427244611</v>
      </c>
      <c r="BH23" s="634">
        <f>('Attainment 25+ by race &amp; gender'!PF22/'Pop 25+ by race &amp; gender'!CY21)*100</f>
        <v>22.1</v>
      </c>
      <c r="BI23" s="634">
        <f>('Attainment 25+ by race &amp; gender'!PZ22/'Pop 25+ by race &amp; gender'!DS21)*100</f>
        <v>23.609873880632005</v>
      </c>
    </row>
    <row r="24" spans="1:61" x14ac:dyDescent="0.2">
      <c r="A24" s="473" t="s">
        <v>15</v>
      </c>
      <c r="B24" s="497">
        <f>('Attainment 25+ by race &amp; gender'!CS23/'Pop 25+ by race &amp; gender'!AT22)*100</f>
        <v>75.124121319372762</v>
      </c>
      <c r="C24" s="631">
        <f>('Attainment 25+ by race &amp; gender'!DR23/'Pop 25+ by race &amp; gender'!CV22)*100</f>
        <v>83.3</v>
      </c>
      <c r="D24" s="498">
        <f>('Attainment 25+ by race &amp; gender'!CT23/'Pop 25+ by race &amp; gender'!AZ22)*100</f>
        <v>76.616872710622701</v>
      </c>
      <c r="E24" s="497">
        <f>('Attainment 25+ by race &amp; gender'!DS23/'Pop 25+ by race &amp; gender'!CW22)*100</f>
        <v>85.000000000000014</v>
      </c>
      <c r="F24" s="498">
        <f>('Attainment 25+ by race &amp; gender'!CU23/'Pop 25+ by race &amp; gender'!BC22)*100</f>
        <v>74.229867083659101</v>
      </c>
      <c r="G24" s="497">
        <f>('Attainment 25+ by race &amp; gender'!DT23/'Pop 25+ by race &amp; gender'!CY22)*100</f>
        <v>77.2</v>
      </c>
      <c r="H24" s="498">
        <f>('Attainment 25+ by race &amp; gender'!NT23/'Pop 25+ by race &amp; gender'!AT22)*100</f>
        <v>14.662842594334746</v>
      </c>
      <c r="I24" s="497">
        <f>('Attainment 25+ by race &amp; gender'!PD23/'Pop 25+ by race &amp; gender'!CV22)*100</f>
        <v>17.700000000000003</v>
      </c>
      <c r="J24" s="498">
        <f>('Attainment 25+ by race &amp; gender'!NZ23/'Pop 25+ by race &amp; gender'!AZ22)*100</f>
        <v>11.515567765567765</v>
      </c>
      <c r="K24" s="497">
        <f>('Attainment 25+ by race &amp; gender'!PE23/'Pop 25+ by race &amp; gender'!CW22)*100</f>
        <v>14.6</v>
      </c>
      <c r="L24" s="498">
        <f>('Attainment 25+ by race &amp; gender'!OC23/'Pop 25+ by race &amp; gender'!BC22)*100</f>
        <v>19.655981235340107</v>
      </c>
      <c r="M24" s="615">
        <f>('Attainment 25+ by race &amp; gender'!PF23/'Pop 25+ by race &amp; gender'!CY22)*100</f>
        <v>21.200000000000003</v>
      </c>
      <c r="N24" s="497">
        <f>('Attainment 25+ by race &amp; gender'!CS23/'Pop 25+ by race &amp; gender'!AT22)*100</f>
        <v>75.124121319372762</v>
      </c>
      <c r="O24" s="631">
        <f>('Attainment 25+ by race &amp; gender'!DW23/'Pop 25+ by race &amp; gender'!DA22)*100</f>
        <v>84.023471658710974</v>
      </c>
      <c r="P24" s="498">
        <f>('Attainment 25+ by race &amp; gender'!CT23/'Pop 25+ by race &amp; gender'!AZ22)*100</f>
        <v>76.616872710622701</v>
      </c>
      <c r="Q24" s="607">
        <f>('Attainment 25+ by race &amp; gender'!DX23/'Pop 25+ by race &amp; gender'!DB22)*100</f>
        <v>85.160179680985564</v>
      </c>
      <c r="R24" s="498">
        <f>('Attainment 25+ by race &amp; gender'!CU23/'Pop 25+ by race &amp; gender'!BC22)*100</f>
        <v>74.229867083659101</v>
      </c>
      <c r="S24" s="607">
        <f>('Attainment 25+ by race &amp; gender'!DY23/'Pop 25+ by race &amp; gender'!DD22)*100</f>
        <v>77.319587628865989</v>
      </c>
      <c r="T24" s="498">
        <f>('Attainment 25+ by race &amp; gender'!NT23/'Pop 25+ by race &amp; gender'!AT22)*100</f>
        <v>14.662842594334746</v>
      </c>
      <c r="U24" s="607">
        <f>('Attainment 25+ by race &amp; gender'!PI23/'Pop 25+ by race &amp; gender'!DA22)*100</f>
        <v>18.19183461038492</v>
      </c>
      <c r="V24" s="498">
        <f>('Attainment 25+ by race &amp; gender'!NZ23/'Pop 25+ by race &amp; gender'!AZ22)*100</f>
        <v>11.515567765567765</v>
      </c>
      <c r="W24" s="607">
        <f>('Attainment 25+ by race &amp; gender'!PJ23/'Pop 25+ by race &amp; gender'!DB22)*100</f>
        <v>14.842510154127552</v>
      </c>
      <c r="X24" s="498">
        <f>('Attainment 25+ by race &amp; gender'!OC23/'Pop 25+ by race &amp; gender'!BC22)*100</f>
        <v>19.655981235340107</v>
      </c>
      <c r="Y24" s="615">
        <f>('Attainment 25+ by race &amp; gender'!PK23/'Pop 25+ by race &amp; gender'!DD22)*100</f>
        <v>23.03560599497531</v>
      </c>
      <c r="Z24" s="745">
        <f>('Attainment 25+ by race &amp; gender'!CS23/'Pop 25+ by race &amp; gender'!AT22)*100</f>
        <v>75.124121319372762</v>
      </c>
      <c r="AA24" s="631">
        <f>('Attainment 25+ by race &amp; gender'!EB23/'Pop 25+ by race &amp; gender'!DF22)*100</f>
        <v>84.434277131890738</v>
      </c>
      <c r="AB24" s="746">
        <f>('Attainment 25+ by race &amp; gender'!CT23/'Pop 25+ by race &amp; gender'!AZ22)*100</f>
        <v>76.616872710622701</v>
      </c>
      <c r="AC24" s="747">
        <f>('Attainment 25+ by race &amp; gender'!EC23/'Pop 25+ by race &amp; gender'!DG22)*100</f>
        <v>86.673941394086171</v>
      </c>
      <c r="AD24" s="746">
        <f>('Attainment 25+ by race &amp; gender'!CU23/'Pop 25+ by race &amp; gender'!BC22)*100</f>
        <v>74.229867083659101</v>
      </c>
      <c r="AE24" s="747">
        <f>('Attainment 25+ by race &amp; gender'!ED23/'Pop 25+ by race &amp; gender'!DI22)*100</f>
        <v>77.082996278919268</v>
      </c>
      <c r="AF24" s="746">
        <f>('Attainment 25+ by race &amp; gender'!NT23/'Pop 25+ by race &amp; gender'!AT22)*100</f>
        <v>14.662842594334746</v>
      </c>
      <c r="AG24" s="747">
        <f>('Attainment 25+ by race &amp; gender'!PN23/'Pop 25+ by race &amp; gender'!DF22)*100</f>
        <v>18.667316734782023</v>
      </c>
      <c r="AH24" s="746">
        <f>('Attainment 25+ by race &amp; gender'!NZ23/'Pop 25+ by race &amp; gender'!AZ22)*100</f>
        <v>11.515567765567765</v>
      </c>
      <c r="AI24" s="747">
        <f>('Attainment 25+ by race &amp; gender'!PO23/'Pop 25+ by race &amp; gender'!DG22)*100</f>
        <v>15.38870997790967</v>
      </c>
      <c r="AJ24" s="746">
        <f>('Attainment 25+ by race &amp; gender'!OC23/'Pop 25+ by race &amp; gender'!BC22)*100</f>
        <v>19.655981235340107</v>
      </c>
      <c r="AK24" s="747">
        <f>('Attainment 25+ by race &amp; gender'!PP23/'Pop 25+ by race &amp; gender'!DI22)*100</f>
        <v>22.706681766704417</v>
      </c>
      <c r="AL24" s="746">
        <f>('Attainment 25+ by race &amp; gender'!CS23/'Pop 25+ by race &amp; gender'!AT22)*100</f>
        <v>75.124121319372762</v>
      </c>
      <c r="AM24" s="747">
        <f>('Attainment 25+ by race &amp; gender'!EG23/'Pop 25+ by race &amp; gender'!DK22)*100</f>
        <v>85.795177443085876</v>
      </c>
      <c r="AN24" s="753">
        <v>76.616872710622701</v>
      </c>
      <c r="AO24" s="747">
        <f>('Attainment 25+ by race &amp; gender'!EH23/'Pop 25+ by race &amp; gender'!DL22)*100</f>
        <v>89.197125076693837</v>
      </c>
      <c r="AP24" s="747">
        <f>('Attainment 25+ by race &amp; gender'!CU23/'Pop 25+ by race &amp; gender'!BC22)*100</f>
        <v>74.229867083659101</v>
      </c>
      <c r="AQ24" s="747">
        <f>('Attainment 25+ by race &amp; gender'!EI23/'Pop 25+ by race &amp; gender'!DN22)*100</f>
        <v>89.901922828752106</v>
      </c>
      <c r="AR24" s="747">
        <f>('Attainment 25+ by race &amp; gender'!NT23/'Pop 25+ by race &amp; gender'!AT22)*100</f>
        <v>14.662842594334746</v>
      </c>
      <c r="AS24" s="747">
        <f>('Attainment 25+ by race &amp; gender'!PS23/'Pop 25+ by race &amp; gender'!DK22)*100</f>
        <v>19.213495066661952</v>
      </c>
      <c r="AT24" s="747">
        <f>('Attainment 25+ by race &amp; gender'!NZ23/'Pop 25+ by race &amp; gender'!AZ22)*100</f>
        <v>11.515567765567765</v>
      </c>
      <c r="AU24" s="747">
        <f>('Attainment 25+ by race &amp; gender'!PT23/'Pop 25+ by race &amp; gender'!DL22)*100</f>
        <v>12.384959242703129</v>
      </c>
      <c r="AV24" s="747">
        <f>('Attainment 25+ by race &amp; gender'!OC23/'Pop 25+ by race &amp; gender'!BC22)*100</f>
        <v>19.655981235340107</v>
      </c>
      <c r="AW24" s="747">
        <f>('Attainment 25+ by race &amp; gender'!PU23/'Pop 25+ by race &amp; gender'!DN22)*100</f>
        <v>26.842173183636596</v>
      </c>
      <c r="AX24" s="746">
        <f>('Attainment 25+ by race &amp; gender'!DR23/'Pop 25+ by race &amp; gender'!CV22)*100</f>
        <v>83.3</v>
      </c>
      <c r="AY24" s="747">
        <f>('Attainment 25+ by race &amp; gender'!EL23/'Pop 25+ by race &amp; gender'!DP22)*100</f>
        <v>85.999807948927668</v>
      </c>
      <c r="AZ24" s="753">
        <f>('Attainment 25+ by race &amp; gender'!DS23/'Pop 25+ by race &amp; gender'!CW22)*100</f>
        <v>85.000000000000014</v>
      </c>
      <c r="BA24" s="747">
        <f>('Attainment 25+ by race &amp; gender'!EM23/'Pop 25+ by race &amp; gender'!DQ22)*100</f>
        <v>88.09209658266262</v>
      </c>
      <c r="BB24" s="747">
        <f>('Attainment 25+ by race &amp; gender'!DT23/'Pop 25+ by race &amp; gender'!CY22)*100</f>
        <v>77.2</v>
      </c>
      <c r="BC24" s="747">
        <f>('Attainment 25+ by race &amp; gender'!EN23/'Pop 25+ by race &amp; gender'!DS22)*100</f>
        <v>75.129013761467888</v>
      </c>
      <c r="BD24" s="747">
        <f>('Attainment 25+ by race &amp; gender'!PD23/'Pop 25+ by race &amp; gender'!CV22)*100</f>
        <v>17.700000000000003</v>
      </c>
      <c r="BE24" s="747">
        <f>('Attainment 25+ by race &amp; gender'!PX23/'Pop 25+ by race &amp; gender'!DP22)*100</f>
        <v>20.502279778677696</v>
      </c>
      <c r="BF24" s="747">
        <f>('Attainment 25+ by race &amp; gender'!PE23/'Pop 25+ by race &amp; gender'!CW22)*100</f>
        <v>14.6</v>
      </c>
      <c r="BG24" s="747">
        <f>('Attainment 25+ by race &amp; gender'!PY23/'Pop 25+ by race &amp; gender'!DQ22)*100</f>
        <v>19.162598407881426</v>
      </c>
      <c r="BH24" s="747">
        <f>('Attainment 25+ by race &amp; gender'!PF23/'Pop 25+ by race &amp; gender'!CY22)*100</f>
        <v>21.200000000000003</v>
      </c>
      <c r="BI24" s="747">
        <f>('Attainment 25+ by race &amp; gender'!PZ23/'Pop 25+ by race &amp; gender'!DS22)*100</f>
        <v>17.07282110091743</v>
      </c>
    </row>
    <row r="25" spans="1:61" x14ac:dyDescent="0.2">
      <c r="A25" s="223" t="s">
        <v>182</v>
      </c>
      <c r="B25" s="495">
        <f>('Attainment 25+ by race &amp; gender'!CS24/'Pop 25+ by race &amp; gender'!AT23)*100</f>
        <v>85.586409945913047</v>
      </c>
      <c r="C25" s="628">
        <f>('Attainment 25+ by race &amp; gender'!DR24/'Pop 25+ by race &amp; gender'!CV23)*100</f>
        <v>87.093901050742701</v>
      </c>
      <c r="D25" s="496">
        <f>('Attainment 25+ by race &amp; gender'!CT24/'Pop 25+ by race &amp; gender'!AZ23)*100</f>
        <v>81.076930465599133</v>
      </c>
      <c r="E25" s="495">
        <f>('Attainment 25+ by race &amp; gender'!DS24/'Pop 25+ by race &amp; gender'!CW23)*100</f>
        <v>87.74883843512626</v>
      </c>
      <c r="F25" s="496">
        <f>('Attainment 25+ by race &amp; gender'!CU24/'Pop 25+ by race &amp; gender'!BC23)*100</f>
        <v>48.119530901142973</v>
      </c>
      <c r="G25" s="495">
        <f>('Attainment 25+ by race &amp; gender'!DT24/'Pop 25+ by race &amp; gender'!CY23)*100</f>
        <v>59.685910880283565</v>
      </c>
      <c r="H25" s="496">
        <f>('Attainment 25+ by race &amp; gender'!NT24/'Pop 25+ by race &amp; gender'!AT23)*100</f>
        <v>28.62246386688259</v>
      </c>
      <c r="I25" s="495">
        <f>('Attainment 25+ by race &amp; gender'!PD24/'Pop 25+ by race &amp; gender'!CV23)*100</f>
        <v>30.728390386524513</v>
      </c>
      <c r="J25" s="496">
        <f>('Attainment 25+ by race &amp; gender'!NZ24/'Pop 25+ by race &amp; gender'!AZ23)*100</f>
        <v>17.397337997478054</v>
      </c>
      <c r="K25" s="495">
        <f>('Attainment 25+ by race &amp; gender'!PE24/'Pop 25+ by race &amp; gender'!CW23)*100</f>
        <v>21.411595386523238</v>
      </c>
      <c r="L25" s="496">
        <f>('Attainment 25+ by race &amp; gender'!OC24/'Pop 25+ by race &amp; gender'!BC23)*100</f>
        <v>8.2284232543929061</v>
      </c>
      <c r="M25" s="612">
        <f>('Attainment 25+ by race &amp; gender'!PF24/'Pop 25+ by race &amp; gender'!CY23)*100</f>
        <v>10.70776267478846</v>
      </c>
      <c r="N25" s="493">
        <f>('Attainment 25+ by race &amp; gender'!CS24/'Pop 25+ by race &amp; gender'!AT23)*100</f>
        <v>85.586409945913047</v>
      </c>
      <c r="O25" s="628">
        <f>('Attainment 25+ by race &amp; gender'!DW24/'Pop 25+ by race &amp; gender'!DA23)*100</f>
        <v>87.289314714220552</v>
      </c>
      <c r="P25" s="494">
        <f>('Attainment 25+ by race &amp; gender'!CT24/'Pop 25+ by race &amp; gender'!AZ23)*100</f>
        <v>81.076930465599133</v>
      </c>
      <c r="Q25" s="493">
        <f>('Attainment 25+ by race &amp; gender'!DX24/'Pop 25+ by race &amp; gender'!DB23)*100</f>
        <v>87.980084215851122</v>
      </c>
      <c r="R25" s="494">
        <f>('Attainment 25+ by race &amp; gender'!CU24/'Pop 25+ by race &amp; gender'!BC23)*100</f>
        <v>48.119530901142973</v>
      </c>
      <c r="S25" s="493">
        <f>('Attainment 25+ by race &amp; gender'!DY24/'Pop 25+ by race &amp; gender'!DD23)*100</f>
        <v>60.61540600446552</v>
      </c>
      <c r="T25" s="494">
        <f>('Attainment 25+ by race &amp; gender'!NT24/'Pop 25+ by race &amp; gender'!AT23)*100</f>
        <v>28.62246386688259</v>
      </c>
      <c r="U25" s="493">
        <f>('Attainment 25+ by race &amp; gender'!PI24/'Pop 25+ by race &amp; gender'!DA23)*100</f>
        <v>31.022400129800115</v>
      </c>
      <c r="V25" s="494">
        <f>('Attainment 25+ by race &amp; gender'!NZ24/'Pop 25+ by race &amp; gender'!AZ23)*100</f>
        <v>17.397337997478054</v>
      </c>
      <c r="W25" s="493">
        <f>('Attainment 25+ by race &amp; gender'!PJ24/'Pop 25+ by race &amp; gender'!DB23)*100</f>
        <v>21.573590508620651</v>
      </c>
      <c r="X25" s="494">
        <f>('Attainment 25+ by race &amp; gender'!OC24/'Pop 25+ by race &amp; gender'!BC23)*100</f>
        <v>8.2284232543929061</v>
      </c>
      <c r="Y25" s="680">
        <f>('Attainment 25+ by race &amp; gender'!PK24/'Pop 25+ by race &amp; gender'!DD23)*100</f>
        <v>10.980990770096765</v>
      </c>
      <c r="Z25" s="495">
        <f>('Attainment 25+ by race &amp; gender'!CS24/'Pop 25+ by race &amp; gender'!AT23)*100</f>
        <v>85.586409945913047</v>
      </c>
      <c r="AA25" s="628">
        <f>('Attainment 25+ by race &amp; gender'!EB24/'Pop 25+ by race &amp; gender'!DF23)*100</f>
        <v>94.038840397099662</v>
      </c>
      <c r="AB25" s="496">
        <f>('Attainment 25+ by race &amp; gender'!CT24/'Pop 25+ by race &amp; gender'!AZ23)*100</f>
        <v>81.076930465599133</v>
      </c>
      <c r="AC25" s="495">
        <f>('Attainment 25+ by race &amp; gender'!EC24/'Pop 25+ by race &amp; gender'!DG23)*100</f>
        <v>88.047372570243581</v>
      </c>
      <c r="AD25" s="496">
        <f>('Attainment 25+ by race &amp; gender'!CU24/'Pop 25+ by race &amp; gender'!BC23)*100</f>
        <v>48.119530901142973</v>
      </c>
      <c r="AE25" s="495">
        <f>('Attainment 25+ by race &amp; gender'!ED24/'Pop 25+ by race &amp; gender'!DI23)*100</f>
        <v>61.488964512694565</v>
      </c>
      <c r="AF25" s="496">
        <f>('Attainment 25+ by race &amp; gender'!NT24/'Pop 25+ by race &amp; gender'!AT23)*100</f>
        <v>28.62246386688259</v>
      </c>
      <c r="AG25" s="495">
        <f>('Attainment 25+ by race &amp; gender'!PN24/'Pop 25+ by race &amp; gender'!DF23)*100</f>
        <v>36.446485325866931</v>
      </c>
      <c r="AH25" s="496">
        <f>('Attainment 25+ by race &amp; gender'!NZ24/'Pop 25+ by race &amp; gender'!AZ23)*100</f>
        <v>17.397337997478054</v>
      </c>
      <c r="AI25" s="495">
        <f>('Attainment 25+ by race &amp; gender'!PO24/'Pop 25+ by race &amp; gender'!DG23)*100</f>
        <v>21.725360036780287</v>
      </c>
      <c r="AJ25" s="496">
        <f>('Attainment 25+ by race &amp; gender'!OC24/'Pop 25+ by race &amp; gender'!BC23)*100</f>
        <v>8.2284232543929061</v>
      </c>
      <c r="AK25" s="634">
        <f>('Attainment 25+ by race &amp; gender'!PP24/'Pop 25+ by race &amp; gender'!DI23)*100</f>
        <v>11.261139451894332</v>
      </c>
      <c r="AL25" s="496">
        <f>('Attainment 25+ by race &amp; gender'!CS24/'Pop 25+ by race &amp; gender'!AT23)*100</f>
        <v>85.586409945913047</v>
      </c>
      <c r="AM25" s="634">
        <f>('Attainment 25+ by race &amp; gender'!EG24/'Pop 25+ by race &amp; gender'!DK23)*100</f>
        <v>94.499602104805064</v>
      </c>
      <c r="AN25" s="496">
        <v>81.076930465599133</v>
      </c>
      <c r="AO25" s="634">
        <f>('Attainment 25+ by race &amp; gender'!EH24/'Pop 25+ by race &amp; gender'!DL23)*100</f>
        <v>89.149578486728203</v>
      </c>
      <c r="AP25" s="634">
        <f>('Attainment 25+ by race &amp; gender'!CU24/'Pop 25+ by race &amp; gender'!BC23)*100</f>
        <v>48.119530901142973</v>
      </c>
      <c r="AQ25" s="634">
        <f>('Attainment 25+ by race &amp; gender'!EI24/'Pop 25+ by race &amp; gender'!DN23)*100</f>
        <v>63.622422763697003</v>
      </c>
      <c r="AR25" s="634">
        <f>('Attainment 25+ by race &amp; gender'!NT24/'Pop 25+ by race &amp; gender'!AT23)*100</f>
        <v>28.62246386688259</v>
      </c>
      <c r="AS25" s="634">
        <f>('Attainment 25+ by race &amp; gender'!PS24/'Pop 25+ by race &amp; gender'!DK23)*100</f>
        <v>38.248470841052203</v>
      </c>
      <c r="AT25" s="634">
        <f>('Attainment 25+ by race &amp; gender'!NZ24/'Pop 25+ by race &amp; gender'!AZ23)*100</f>
        <v>17.397337997478054</v>
      </c>
      <c r="AU25" s="634">
        <f>('Attainment 25+ by race &amp; gender'!PT24/'Pop 25+ by race &amp; gender'!DL23)*100</f>
        <v>23.805625396935874</v>
      </c>
      <c r="AV25" s="634">
        <f>('Attainment 25+ by race &amp; gender'!OC24/'Pop 25+ by race &amp; gender'!BC23)*100</f>
        <v>8.2284232543929061</v>
      </c>
      <c r="AW25" s="634">
        <f>('Attainment 25+ by race &amp; gender'!PU24/'Pop 25+ by race &amp; gender'!DN23)*100</f>
        <v>12.124864583313338</v>
      </c>
      <c r="AX25" s="496">
        <f>('Attainment 25+ by race &amp; gender'!DR24/'Pop 25+ by race &amp; gender'!CV23)*100</f>
        <v>87.093901050742701</v>
      </c>
      <c r="AY25" s="634">
        <f>('Attainment 25+ by race &amp; gender'!EL24/'Pop 25+ by race &amp; gender'!DP23)*100</f>
        <v>94.605520542501651</v>
      </c>
      <c r="AZ25" s="496">
        <f>('Attainment 25+ by race &amp; gender'!DS24/'Pop 25+ by race &amp; gender'!CW23)*100</f>
        <v>87.74883843512626</v>
      </c>
      <c r="BA25" s="634">
        <f>('Attainment 25+ by race &amp; gender'!EM24/'Pop 25+ by race &amp; gender'!DQ23)*100</f>
        <v>89.088511734325067</v>
      </c>
      <c r="BB25" s="634">
        <f>('Attainment 25+ by race &amp; gender'!DT24/'Pop 25+ by race &amp; gender'!CY23)*100</f>
        <v>59.685910880283565</v>
      </c>
      <c r="BC25" s="634">
        <f>('Attainment 25+ by race &amp; gender'!EN24/'Pop 25+ by race &amp; gender'!DS23)*100</f>
        <v>64.731132911376505</v>
      </c>
      <c r="BD25" s="634">
        <f>('Attainment 25+ by race &amp; gender'!PD24/'Pop 25+ by race &amp; gender'!CV23)*100</f>
        <v>30.728390386524513</v>
      </c>
      <c r="BE25" s="634">
        <f>('Attainment 25+ by race &amp; gender'!PX24/'Pop 25+ by race &amp; gender'!DP23)*100</f>
        <v>39.062317746351454</v>
      </c>
      <c r="BF25" s="634">
        <f>('Attainment 25+ by race &amp; gender'!PE24/'Pop 25+ by race &amp; gender'!CW23)*100</f>
        <v>21.411595386523238</v>
      </c>
      <c r="BG25" s="634">
        <f>('Attainment 25+ by race &amp; gender'!PY24/'Pop 25+ by race &amp; gender'!DQ23)*100</f>
        <v>23.828827796059677</v>
      </c>
      <c r="BH25" s="634">
        <f>('Attainment 25+ by race &amp; gender'!PF24/'Pop 25+ by race &amp; gender'!CY23)*100</f>
        <v>10.70776267478846</v>
      </c>
      <c r="BI25" s="634">
        <f>('Attainment 25+ by race &amp; gender'!PZ24/'Pop 25+ by race &amp; gender'!DS23)*100</f>
        <v>12.623309889424853</v>
      </c>
    </row>
    <row r="26" spans="1:61" x14ac:dyDescent="0.2">
      <c r="A26" s="223"/>
      <c r="B26" s="495"/>
      <c r="C26" s="626"/>
      <c r="D26" s="496"/>
      <c r="E26" s="495"/>
      <c r="F26" s="496"/>
      <c r="G26" s="495"/>
      <c r="H26" s="496"/>
      <c r="I26" s="495"/>
      <c r="J26" s="496"/>
      <c r="K26" s="495"/>
      <c r="L26" s="496"/>
      <c r="M26" s="613"/>
      <c r="N26" s="495"/>
      <c r="O26" s="626"/>
      <c r="P26" s="496"/>
      <c r="Q26" s="493"/>
      <c r="R26" s="494"/>
      <c r="S26" s="493"/>
      <c r="T26" s="494"/>
      <c r="U26" s="493"/>
      <c r="V26" s="494"/>
      <c r="W26" s="493"/>
      <c r="X26" s="494"/>
      <c r="Y26" s="614"/>
      <c r="Z26" s="495"/>
      <c r="AA26" s="626"/>
      <c r="AB26" s="496"/>
      <c r="AC26" s="495"/>
      <c r="AD26" s="496"/>
      <c r="AE26" s="495"/>
      <c r="AF26" s="496"/>
      <c r="AG26" s="495"/>
      <c r="AH26" s="496"/>
      <c r="AI26" s="495"/>
      <c r="AJ26" s="496"/>
      <c r="AK26" s="634"/>
      <c r="AL26" s="496"/>
      <c r="AM26" s="634"/>
      <c r="AN26" s="496"/>
      <c r="AO26" s="634"/>
      <c r="AP26" s="634"/>
      <c r="AQ26" s="634"/>
      <c r="AR26" s="634"/>
      <c r="AS26" s="634"/>
      <c r="AT26" s="634"/>
      <c r="AU26" s="634"/>
      <c r="AV26" s="634"/>
      <c r="AW26" s="634"/>
      <c r="AX26" s="496"/>
      <c r="AY26" s="634"/>
      <c r="AZ26" s="496"/>
      <c r="BA26" s="634"/>
      <c r="BB26" s="634"/>
      <c r="BC26" s="634"/>
      <c r="BD26" s="634"/>
      <c r="BE26" s="634"/>
      <c r="BF26" s="634"/>
      <c r="BG26" s="634"/>
      <c r="BH26" s="634"/>
      <c r="BI26" s="634"/>
    </row>
    <row r="27" spans="1:61" s="646" customFormat="1" x14ac:dyDescent="0.25">
      <c r="A27" s="636" t="s">
        <v>17</v>
      </c>
      <c r="B27" s="637">
        <f>('Attainment 25+ by race &amp; gender'!CS26/'Pop 25+ by race &amp; gender'!AT25)*100</f>
        <v>92.498747659633423</v>
      </c>
      <c r="C27" s="638">
        <f>('Attainment 25+ by race &amp; gender'!DR26/'Pop 25+ by race &amp; gender'!CV25)*100</f>
        <v>94.600000000000009</v>
      </c>
      <c r="D27" s="639">
        <f>('Attainment 25+ by race &amp; gender'!CT26/'Pop 25+ by race &amp; gender'!AZ25)*100</f>
        <v>88.704177323103153</v>
      </c>
      <c r="E27" s="637">
        <f>('Attainment 25+ by race &amp; gender'!DS26/'Pop 25+ by race &amp; gender'!CW25)*100</f>
        <v>90.699999999999989</v>
      </c>
      <c r="F27" s="639">
        <f>('Attainment 25+ by race &amp; gender'!CU26/'Pop 25+ by race &amp; gender'!BC25)*100</f>
        <v>78.316888200277262</v>
      </c>
      <c r="G27" s="637">
        <f>('Attainment 25+ by race &amp; gender'!DT26/'Pop 25+ by race &amp; gender'!CY25)*100</f>
        <v>82</v>
      </c>
      <c r="H27" s="639">
        <f>('Attainment 25+ by race &amp; gender'!NT26/'Pop 25+ by race &amp; gender'!AT25)*100</f>
        <v>29.273855751706201</v>
      </c>
      <c r="I27" s="637">
        <f>('Attainment 25+ by race &amp; gender'!PD26/'Pop 25+ by race &amp; gender'!CV25)*100</f>
        <v>31.900000000000002</v>
      </c>
      <c r="J27" s="639">
        <f>('Attainment 25+ by race &amp; gender'!NZ26/'Pop 25+ by race &amp; gender'!AZ25)*100</f>
        <v>14.893435635123614</v>
      </c>
      <c r="K27" s="637">
        <f>('Attainment 25+ by race &amp; gender'!PE26/'Pop 25+ by race &amp; gender'!CW25)*100</f>
        <v>20.7</v>
      </c>
      <c r="L27" s="639">
        <f>('Attainment 25+ by race &amp; gender'!OC26/'Pop 25+ by race &amp; gender'!BC25)*100</f>
        <v>15.289896436434805</v>
      </c>
      <c r="M27" s="640">
        <f>('Attainment 25+ by race &amp; gender'!PF26/'Pop 25+ by race &amp; gender'!CY25)*100</f>
        <v>20.5</v>
      </c>
      <c r="N27" s="641">
        <f>('Attainment 25+ by race &amp; gender'!CS26/'Pop 25+ by race &amp; gender'!AT25)*100</f>
        <v>92.498747659633423</v>
      </c>
      <c r="O27" s="642">
        <f>('Attainment 25+ by race &amp; gender'!DW26/'Pop 25+ by race &amp; gender'!DA25)*100</f>
        <v>94.853248270393621</v>
      </c>
      <c r="P27" s="643">
        <f>('Attainment 25+ by race &amp; gender'!CT26/'Pop 25+ by race &amp; gender'!AZ25)*100</f>
        <v>88.704177323103153</v>
      </c>
      <c r="Q27" s="641">
        <f>('Attainment 25+ by race &amp; gender'!DX26/'Pop 25+ by race &amp; gender'!DB25)*100</f>
        <v>88.769578004240486</v>
      </c>
      <c r="R27" s="643">
        <f>('Attainment 25+ by race &amp; gender'!CU26/'Pop 25+ by race &amp; gender'!BC25)*100</f>
        <v>78.316888200277262</v>
      </c>
      <c r="S27" s="641">
        <f>('Attainment 25+ by race &amp; gender'!DY26/'Pop 25+ by race &amp; gender'!DD25)*100</f>
        <v>81.634031060094543</v>
      </c>
      <c r="T27" s="643">
        <f>('Attainment 25+ by race &amp; gender'!NT26/'Pop 25+ by race &amp; gender'!AT25)*100</f>
        <v>29.273855751706201</v>
      </c>
      <c r="U27" s="644">
        <f>('Attainment 25+ by race &amp; gender'!PI26/'Pop 25+ by race &amp; gender'!DA25)*100</f>
        <v>32.134664156745011</v>
      </c>
      <c r="V27" s="643">
        <f>('Attainment 25+ by race &amp; gender'!NZ26/'Pop 25+ by race &amp; gender'!AZ25)*100</f>
        <v>14.893435635123614</v>
      </c>
      <c r="W27" s="644">
        <f>('Attainment 25+ by race &amp; gender'!PJ26/'Pop 25+ by race &amp; gender'!DB25)*100</f>
        <v>24.389576636344984</v>
      </c>
      <c r="X27" s="643">
        <f>('Attainment 25+ by race &amp; gender'!OC26/'Pop 25+ by race &amp; gender'!BC25)*100</f>
        <v>15.289896436434805</v>
      </c>
      <c r="Y27" s="681">
        <f>('Attainment 25+ by race &amp; gender'!PK26/'Pop 25+ by race &amp; gender'!DD25)*100</f>
        <v>21.254943570946271</v>
      </c>
      <c r="Z27" s="641">
        <f>('Attainment 25+ by race &amp; gender'!CS26/'Pop 25+ by race &amp; gender'!AT25)*100</f>
        <v>92.498747659633423</v>
      </c>
      <c r="AA27" s="642">
        <f>('Attainment 25+ by race &amp; gender'!EB26/'Pop 25+ by race &amp; gender'!DF25)*100</f>
        <v>95.450704712005702</v>
      </c>
      <c r="AB27" s="643">
        <f>('Attainment 25+ by race &amp; gender'!CT26/'Pop 25+ by race &amp; gender'!AZ25)*100</f>
        <v>88.704177323103153</v>
      </c>
      <c r="AC27" s="641">
        <f>('Attainment 25+ by race &amp; gender'!EC26/'Pop 25+ by race &amp; gender'!DG25)*100</f>
        <v>86.736686191341818</v>
      </c>
      <c r="AD27" s="643">
        <f>('Attainment 25+ by race &amp; gender'!CU26/'Pop 25+ by race &amp; gender'!BC25)*100</f>
        <v>78.316888200277262</v>
      </c>
      <c r="AE27" s="641">
        <f>('Attainment 25+ by race &amp; gender'!ED26/'Pop 25+ by race &amp; gender'!DI25)*100</f>
        <v>87.675979123722641</v>
      </c>
      <c r="AF27" s="643">
        <f>('Attainment 25+ by race &amp; gender'!NT26/'Pop 25+ by race &amp; gender'!AT25)*100</f>
        <v>29.273855751706201</v>
      </c>
      <c r="AG27" s="644">
        <f>('Attainment 25+ by race &amp; gender'!PN26/'Pop 25+ by race &amp; gender'!DF25)*100</f>
        <v>32.757878733622945</v>
      </c>
      <c r="AH27" s="643">
        <f>('Attainment 25+ by race &amp; gender'!NZ26/'Pop 25+ by race &amp; gender'!AZ25)*100</f>
        <v>14.893435635123614</v>
      </c>
      <c r="AI27" s="644">
        <f>('Attainment 25+ by race &amp; gender'!PO26/'Pop 25+ by race &amp; gender'!DG25)*100</f>
        <v>22.628425233959469</v>
      </c>
      <c r="AJ27" s="643">
        <f>('Attainment 25+ by race &amp; gender'!OC26/'Pop 25+ by race &amp; gender'!BC25)*100</f>
        <v>15.289896436434805</v>
      </c>
      <c r="AK27" s="645">
        <f>('Attainment 25+ by race &amp; gender'!PP26/'Pop 25+ by race &amp; gender'!DI25)*100</f>
        <v>21.481513968685583</v>
      </c>
      <c r="AL27" s="643">
        <f>('Attainment 25+ by race &amp; gender'!CS26/'Pop 25+ by race &amp; gender'!AT25)*100</f>
        <v>92.498747659633423</v>
      </c>
      <c r="AM27" s="645">
        <f>('Attainment 25+ by race &amp; gender'!EG26/'Pop 25+ by race &amp; gender'!DK25)*100</f>
        <v>95.852779526836542</v>
      </c>
      <c r="AN27" s="643">
        <v>88.704177323103153</v>
      </c>
      <c r="AO27" s="645">
        <f>('Attainment 25+ by race &amp; gender'!EH26/'Pop 25+ by race &amp; gender'!DL25)*100</f>
        <v>95.314337995033327</v>
      </c>
      <c r="AP27" s="645">
        <f>('Attainment 25+ by race &amp; gender'!CU26/'Pop 25+ by race &amp; gender'!BC25)*100</f>
        <v>78.316888200277262</v>
      </c>
      <c r="AQ27" s="645">
        <f>('Attainment 25+ by race &amp; gender'!EI26/'Pop 25+ by race &amp; gender'!DN25)*100</f>
        <v>88.197176579495491</v>
      </c>
      <c r="AR27" s="645">
        <f>('Attainment 25+ by race &amp; gender'!NT26/'Pop 25+ by race &amp; gender'!AT25)*100</f>
        <v>29.273855751706201</v>
      </c>
      <c r="AS27" s="645">
        <f>('Attainment 25+ by race &amp; gender'!PS26/'Pop 25+ by race &amp; gender'!DK25)*100</f>
        <v>36.561164145385277</v>
      </c>
      <c r="AT27" s="645">
        <f>('Attainment 25+ by race &amp; gender'!NZ26/'Pop 25+ by race &amp; gender'!AZ25)*100</f>
        <v>14.893435635123614</v>
      </c>
      <c r="AU27" s="645">
        <f>('Attainment 25+ by race &amp; gender'!PT26/'Pop 25+ by race &amp; gender'!DL25)*100</f>
        <v>19.703306757286629</v>
      </c>
      <c r="AV27" s="645">
        <f>('Attainment 25+ by race &amp; gender'!OC26/'Pop 25+ by race &amp; gender'!BC25)*100</f>
        <v>15.289896436434805</v>
      </c>
      <c r="AW27" s="645">
        <f>('Attainment 25+ by race &amp; gender'!PU26/'Pop 25+ by race &amp; gender'!DN25)*100</f>
        <v>18.255804983414333</v>
      </c>
      <c r="AX27" s="643">
        <f>('Attainment 25+ by race &amp; gender'!DR26/'Pop 25+ by race &amp; gender'!CV25)*100</f>
        <v>94.600000000000009</v>
      </c>
      <c r="AY27" s="645">
        <f>('Attainment 25+ by race &amp; gender'!EL26/'Pop 25+ by race &amp; gender'!DP25)*100</f>
        <v>96.034613594985956</v>
      </c>
      <c r="AZ27" s="643">
        <f>('Attainment 25+ by race &amp; gender'!DS26/'Pop 25+ by race &amp; gender'!CW25)*100</f>
        <v>90.699999999999989</v>
      </c>
      <c r="BA27" s="645">
        <f>('Attainment 25+ by race &amp; gender'!EM26/'Pop 25+ by race &amp; gender'!DQ25)*100</f>
        <v>93.09259011121533</v>
      </c>
      <c r="BB27" s="645">
        <f>('Attainment 25+ by race &amp; gender'!DT26/'Pop 25+ by race &amp; gender'!CY25)*100</f>
        <v>82</v>
      </c>
      <c r="BC27" s="645">
        <f>('Attainment 25+ by race &amp; gender'!EN26/'Pop 25+ by race &amp; gender'!DS25)*100</f>
        <v>82.053342517123937</v>
      </c>
      <c r="BD27" s="645">
        <f>('Attainment 25+ by race &amp; gender'!PD26/'Pop 25+ by race &amp; gender'!CV25)*100</f>
        <v>31.900000000000002</v>
      </c>
      <c r="BE27" s="645">
        <f>('Attainment 25+ by race &amp; gender'!PX26/'Pop 25+ by race &amp; gender'!DP25)*100</f>
        <v>36.652811651952874</v>
      </c>
      <c r="BF27" s="645">
        <f>('Attainment 25+ by race &amp; gender'!PE26/'Pop 25+ by race &amp; gender'!CW25)*100</f>
        <v>20.7</v>
      </c>
      <c r="BG27" s="645">
        <f>('Attainment 25+ by race &amp; gender'!PY26/'Pop 25+ by race &amp; gender'!DQ25)*100</f>
        <v>12.206887310732949</v>
      </c>
      <c r="BH27" s="645">
        <f>('Attainment 25+ by race &amp; gender'!PF26/'Pop 25+ by race &amp; gender'!CY25)*100</f>
        <v>20.5</v>
      </c>
      <c r="BI27" s="645">
        <f>('Attainment 25+ by race &amp; gender'!PZ26/'Pop 25+ by race &amp; gender'!DS25)*100</f>
        <v>13.592010102169672</v>
      </c>
    </row>
    <row r="28" spans="1:61" ht="15.75" x14ac:dyDescent="0.25">
      <c r="A28" s="218" t="s">
        <v>18</v>
      </c>
      <c r="B28" s="499">
        <f>('Attainment 25+ by race &amp; gender'!CS27/'Pop 25+ by race &amp; gender'!AT26)*100</f>
        <v>85.366080852138111</v>
      </c>
      <c r="C28" s="625">
        <f>('Attainment 25+ by race &amp; gender'!DR27/'Pop 25+ by race &amp; gender'!CV26)*100</f>
        <v>87.100000000000009</v>
      </c>
      <c r="D28" s="500">
        <f>('Attainment 25+ by race &amp; gender'!CT27/'Pop 25+ by race &amp; gender'!AZ26)*100</f>
        <v>81.722874967798305</v>
      </c>
      <c r="E28" s="499">
        <f>('Attainment 25+ by race &amp; gender'!DS27/'Pop 25+ by race &amp; gender'!CW26)*100</f>
        <v>88.800000000000011</v>
      </c>
      <c r="F28" s="500">
        <f>('Attainment 25+ by race &amp; gender'!CU27/'Pop 25+ by race &amp; gender'!BC26)*100</f>
        <v>52.518712491087385</v>
      </c>
      <c r="G28" s="499">
        <f>('Attainment 25+ by race &amp; gender'!DT27/'Pop 25+ by race &amp; gender'!CY26)*100</f>
        <v>64.099999999999994</v>
      </c>
      <c r="H28" s="500">
        <f>('Attainment 25+ by race &amp; gender'!NT27/'Pop 25+ by race &amp; gender'!AT26)*100</f>
        <v>26.014491761793089</v>
      </c>
      <c r="I28" s="499">
        <f>('Attainment 25+ by race &amp; gender'!PD27/'Pop 25+ by race &amp; gender'!CV26)*100</f>
        <v>27.6</v>
      </c>
      <c r="J28" s="500">
        <f>('Attainment 25+ by race &amp; gender'!NZ27/'Pop 25+ by race &amp; gender'!AZ26)*100</f>
        <v>18.594101768573381</v>
      </c>
      <c r="K28" s="499">
        <f>('Attainment 25+ by race &amp; gender'!PE27/'Pop 25+ by race &amp; gender'!CW26)*100</f>
        <v>21.6</v>
      </c>
      <c r="L28" s="500">
        <f>('Attainment 25+ by race &amp; gender'!OC27/'Pop 25+ by race &amp; gender'!BC26)*100</f>
        <v>8.1404531923941441</v>
      </c>
      <c r="M28" s="616">
        <f>('Attainment 25+ by race &amp; gender'!PF27/'Pop 25+ by race &amp; gender'!CY26)*100</f>
        <v>10.4</v>
      </c>
      <c r="N28" s="493">
        <f>('Attainment 25+ by race &amp; gender'!CS27/'Pop 25+ by race &amp; gender'!AT26)*100</f>
        <v>85.366080852138111</v>
      </c>
      <c r="O28" s="626">
        <f>('Attainment 25+ by race &amp; gender'!DW27/'Pop 25+ by race &amp; gender'!DA26)*100</f>
        <v>87.419118629080913</v>
      </c>
      <c r="P28" s="494">
        <f>('Attainment 25+ by race &amp; gender'!CT27/'Pop 25+ by race &amp; gender'!AZ26)*100</f>
        <v>81.722874967798305</v>
      </c>
      <c r="Q28" s="493">
        <f>('Attainment 25+ by race &amp; gender'!DX27/'Pop 25+ by race &amp; gender'!DB26)*100</f>
        <v>88.753636502832649</v>
      </c>
      <c r="R28" s="494">
        <f>('Attainment 25+ by race &amp; gender'!CU27/'Pop 25+ by race &amp; gender'!BC26)*100</f>
        <v>52.518712491087385</v>
      </c>
      <c r="S28" s="493">
        <f>('Attainment 25+ by race &amp; gender'!DY27/'Pop 25+ by race &amp; gender'!DD26)*100</f>
        <v>64.708382474244459</v>
      </c>
      <c r="T28" s="494">
        <f>('Attainment 25+ by race &amp; gender'!NT27/'Pop 25+ by race &amp; gender'!AT26)*100</f>
        <v>26.014491761793089</v>
      </c>
      <c r="U28" s="493">
        <f>('Attainment 25+ by race &amp; gender'!PI27/'Pop 25+ by race &amp; gender'!DA26)*100</f>
        <v>27.97462109524314</v>
      </c>
      <c r="V28" s="494">
        <f>('Attainment 25+ by race &amp; gender'!NZ27/'Pop 25+ by race &amp; gender'!AZ26)*100</f>
        <v>18.594101768573381</v>
      </c>
      <c r="W28" s="493">
        <f>('Attainment 25+ by race &amp; gender'!PJ27/'Pop 25+ by race &amp; gender'!DB26)*100</f>
        <v>21.656331342826523</v>
      </c>
      <c r="X28" s="494">
        <f>('Attainment 25+ by race &amp; gender'!OC27/'Pop 25+ by race &amp; gender'!BC26)*100</f>
        <v>8.1404531923941441</v>
      </c>
      <c r="Y28" s="614">
        <f>('Attainment 25+ by race &amp; gender'!PK27/'Pop 25+ by race &amp; gender'!DD26)*100</f>
        <v>10.728346357563201</v>
      </c>
      <c r="Z28" s="641">
        <f>('Attainment 25+ by race &amp; gender'!CS27/'Pop 25+ by race &amp; gender'!AT26)*100</f>
        <v>85.366080852138111</v>
      </c>
      <c r="AA28" s="642">
        <f>('Attainment 25+ by race &amp; gender'!EB27/'Pop 25+ by race &amp; gender'!DF26)*100</f>
        <v>93.700561080554593</v>
      </c>
      <c r="AB28" s="643">
        <f>('Attainment 25+ by race &amp; gender'!CT27/'Pop 25+ by race &amp; gender'!AZ26)*100</f>
        <v>81.722874967798305</v>
      </c>
      <c r="AC28" s="641">
        <f>('Attainment 25+ by race &amp; gender'!EC27/'Pop 25+ by race &amp; gender'!DG26)*100</f>
        <v>88.241088964752393</v>
      </c>
      <c r="AD28" s="643">
        <f>('Attainment 25+ by race &amp; gender'!CU27/'Pop 25+ by race &amp; gender'!BC26)*100</f>
        <v>52.518712491087385</v>
      </c>
      <c r="AE28" s="641">
        <f>('Attainment 25+ by race &amp; gender'!ED27/'Pop 25+ by race &amp; gender'!DI26)*100</f>
        <v>64.782860974668665</v>
      </c>
      <c r="AF28" s="643">
        <f>('Attainment 25+ by race &amp; gender'!NT27/'Pop 25+ by race &amp; gender'!AT26)*100</f>
        <v>26.014491761793089</v>
      </c>
      <c r="AG28" s="644">
        <f>('Attainment 25+ by race &amp; gender'!PN27/'Pop 25+ by race &amp; gender'!DF26)*100</f>
        <v>33.192692611806663</v>
      </c>
      <c r="AH28" s="643">
        <f>('Attainment 25+ by race &amp; gender'!NZ27/'Pop 25+ by race &amp; gender'!AZ26)*100</f>
        <v>18.594101768573381</v>
      </c>
      <c r="AI28" s="644">
        <f>('Attainment 25+ by race &amp; gender'!PO27/'Pop 25+ by race &amp; gender'!DG26)*100</f>
        <v>21.871611700051425</v>
      </c>
      <c r="AJ28" s="643">
        <f>('Attainment 25+ by race &amp; gender'!OC27/'Pop 25+ by race &amp; gender'!BC26)*100</f>
        <v>8.1404531923941441</v>
      </c>
      <c r="AK28" s="645">
        <f>('Attainment 25+ by race &amp; gender'!PP27/'Pop 25+ by race &amp; gender'!DI26)*100</f>
        <v>10.746744608219011</v>
      </c>
      <c r="AL28" s="643">
        <f>('Attainment 25+ by race &amp; gender'!CS27/'Pop 25+ by race &amp; gender'!AT26)*100</f>
        <v>85.366080852138111</v>
      </c>
      <c r="AM28" s="645">
        <f>('Attainment 25+ by race &amp; gender'!EG27/'Pop 25+ by race &amp; gender'!DK26)*100</f>
        <v>93.886677836827147</v>
      </c>
      <c r="AN28" s="643">
        <v>81.722874967798305</v>
      </c>
      <c r="AO28" s="645">
        <f>('Attainment 25+ by race &amp; gender'!EH27/'Pop 25+ by race &amp; gender'!DL26)*100</f>
        <v>88.498540757491966</v>
      </c>
      <c r="AP28" s="645">
        <f>('Attainment 25+ by race &amp; gender'!CU27/'Pop 25+ by race &amp; gender'!BC26)*100</f>
        <v>52.518712491087385</v>
      </c>
      <c r="AQ28" s="645">
        <f>('Attainment 25+ by race &amp; gender'!EI27/'Pop 25+ by race &amp; gender'!DN26)*100</f>
        <v>66.453233687738944</v>
      </c>
      <c r="AR28" s="645">
        <f>('Attainment 25+ by race &amp; gender'!NT27/'Pop 25+ by race &amp; gender'!AT26)*100</f>
        <v>26.014491761793089</v>
      </c>
      <c r="AS28" s="645">
        <f>('Attainment 25+ by race &amp; gender'!PS27/'Pop 25+ by race &amp; gender'!DK26)*100</f>
        <v>33.915108643552166</v>
      </c>
      <c r="AT28" s="645">
        <f>('Attainment 25+ by race &amp; gender'!NZ27/'Pop 25+ by race &amp; gender'!AZ26)*100</f>
        <v>18.594101768573381</v>
      </c>
      <c r="AU28" s="645">
        <f>('Attainment 25+ by race &amp; gender'!PT27/'Pop 25+ by race &amp; gender'!DL26)*100</f>
        <v>22.93994929611398</v>
      </c>
      <c r="AV28" s="645">
        <f>('Attainment 25+ by race &amp; gender'!OC27/'Pop 25+ by race &amp; gender'!BC26)*100</f>
        <v>8.1404531923941441</v>
      </c>
      <c r="AW28" s="645">
        <f>('Attainment 25+ by race &amp; gender'!PU27/'Pop 25+ by race &amp; gender'!DN26)*100</f>
        <v>11.193476253280531</v>
      </c>
      <c r="AX28" s="643">
        <f>('Attainment 25+ by race &amp; gender'!DR27/'Pop 25+ by race &amp; gender'!CV26)*100</f>
        <v>87.100000000000009</v>
      </c>
      <c r="AY28" s="645">
        <f>('Attainment 25+ by race &amp; gender'!EL27/'Pop 25+ by race &amp; gender'!DP26)*100</f>
        <v>93.932878946763225</v>
      </c>
      <c r="AZ28" s="643">
        <f>('Attainment 25+ by race &amp; gender'!DS27/'Pop 25+ by race &amp; gender'!CW26)*100</f>
        <v>88.800000000000011</v>
      </c>
      <c r="BA28" s="645">
        <f>('Attainment 25+ by race &amp; gender'!EM27/'Pop 25+ by race &amp; gender'!DQ26)*100</f>
        <v>89.312985444189977</v>
      </c>
      <c r="BB28" s="645">
        <f>('Attainment 25+ by race &amp; gender'!DT27/'Pop 25+ by race &amp; gender'!CY26)*100</f>
        <v>64.099999999999994</v>
      </c>
      <c r="BC28" s="645">
        <f>('Attainment 25+ by race &amp; gender'!EN27/'Pop 25+ by race &amp; gender'!DS26)*100</f>
        <v>68.886270552208941</v>
      </c>
      <c r="BD28" s="645">
        <f>('Attainment 25+ by race &amp; gender'!PD27/'Pop 25+ by race &amp; gender'!CV26)*100</f>
        <v>27.6</v>
      </c>
      <c r="BE28" s="645">
        <f>('Attainment 25+ by race &amp; gender'!PX27/'Pop 25+ by race &amp; gender'!DP26)*100</f>
        <v>35.26953698150804</v>
      </c>
      <c r="BF28" s="645">
        <f>('Attainment 25+ by race &amp; gender'!PE27/'Pop 25+ by race &amp; gender'!CW26)*100</f>
        <v>21.6</v>
      </c>
      <c r="BG28" s="645">
        <f>('Attainment 25+ by race &amp; gender'!PY27/'Pop 25+ by race &amp; gender'!DQ26)*100</f>
        <v>23.681750851320846</v>
      </c>
      <c r="BH28" s="645">
        <f>('Attainment 25+ by race &amp; gender'!PF27/'Pop 25+ by race &amp; gender'!CY26)*100</f>
        <v>10.4</v>
      </c>
      <c r="BI28" s="645">
        <f>('Attainment 25+ by race &amp; gender'!PZ27/'Pop 25+ by race &amp; gender'!DS26)*100</f>
        <v>12.734393152789483</v>
      </c>
    </row>
    <row r="29" spans="1:61" ht="15.75" x14ac:dyDescent="0.25">
      <c r="A29" s="218" t="s">
        <v>19</v>
      </c>
      <c r="B29" s="499">
        <f>('Attainment 25+ by race &amp; gender'!CS28/'Pop 25+ by race &amp; gender'!AT27)*100</f>
        <v>83.306751024861043</v>
      </c>
      <c r="C29" s="625">
        <f>('Attainment 25+ by race &amp; gender'!DR28/'Pop 25+ by race &amp; gender'!CV27)*100</f>
        <v>83.600000000000009</v>
      </c>
      <c r="D29" s="500">
        <f>('Attainment 25+ by race &amp; gender'!CT28/'Pop 25+ by race &amp; gender'!AZ27)*100</f>
        <v>80.541581226304601</v>
      </c>
      <c r="E29" s="499">
        <f>('Attainment 25+ by race &amp; gender'!DS28/'Pop 25+ by race &amp; gender'!CW27)*100</f>
        <v>87.7</v>
      </c>
      <c r="F29" s="500">
        <f>('Attainment 25+ by race &amp; gender'!CU28/'Pop 25+ by race &amp; gender'!BC27)*100</f>
        <v>46.680599269156467</v>
      </c>
      <c r="G29" s="499">
        <f>('Attainment 25+ by race &amp; gender'!DT28/'Pop 25+ by race &amp; gender'!CY27)*100</f>
        <v>57.70000000000001</v>
      </c>
      <c r="H29" s="500">
        <f>('Attainment 25+ by race &amp; gender'!NT28/'Pop 25+ by race &amp; gender'!AT27)*100</f>
        <v>29.788451675072608</v>
      </c>
      <c r="I29" s="499">
        <f>('Attainment 25+ by race &amp; gender'!PD28/'Pop 25+ by race &amp; gender'!CV27)*100</f>
        <v>31.1</v>
      </c>
      <c r="J29" s="500">
        <f>('Attainment 25+ by race &amp; gender'!NZ28/'Pop 25+ by race &amp; gender'!AZ27)*100</f>
        <v>17.177958299851216</v>
      </c>
      <c r="K29" s="499">
        <f>('Attainment 25+ by race &amp; gender'!PE28/'Pop 25+ by race &amp; gender'!CW27)*100</f>
        <v>21.8</v>
      </c>
      <c r="L29" s="500">
        <f>('Attainment 25+ by race &amp; gender'!OC28/'Pop 25+ by race &amp; gender'!BC27)*100</f>
        <v>7.7438655372968901</v>
      </c>
      <c r="M29" s="616">
        <f>('Attainment 25+ by race &amp; gender'!PF28/'Pop 25+ by race &amp; gender'!CY27)*100</f>
        <v>10.4</v>
      </c>
      <c r="N29" s="493">
        <f>('Attainment 25+ by race &amp; gender'!CS28/'Pop 25+ by race &amp; gender'!AT27)*100</f>
        <v>83.306751024861043</v>
      </c>
      <c r="O29" s="626">
        <f>('Attainment 25+ by race &amp; gender'!DW28/'Pop 25+ by race &amp; gender'!DA27)*100</f>
        <v>83.644762038452072</v>
      </c>
      <c r="P29" s="494">
        <f>('Attainment 25+ by race &amp; gender'!CT28/'Pop 25+ by race &amp; gender'!AZ27)*100</f>
        <v>80.541581226304601</v>
      </c>
      <c r="Q29" s="493">
        <f>('Attainment 25+ by race &amp; gender'!DX28/'Pop 25+ by race &amp; gender'!DB27)*100</f>
        <v>87.954803668911239</v>
      </c>
      <c r="R29" s="494">
        <f>('Attainment 25+ by race &amp; gender'!CU28/'Pop 25+ by race &amp; gender'!BC27)*100</f>
        <v>46.680599269156467</v>
      </c>
      <c r="S29" s="493">
        <f>('Attainment 25+ by race &amp; gender'!DY28/'Pop 25+ by race &amp; gender'!DD27)*100</f>
        <v>58.537237148511757</v>
      </c>
      <c r="T29" s="494">
        <f>('Attainment 25+ by race &amp; gender'!NT28/'Pop 25+ by race &amp; gender'!AT27)*100</f>
        <v>29.788451675072608</v>
      </c>
      <c r="U29" s="493">
        <f>('Attainment 25+ by race &amp; gender'!PI28/'Pop 25+ by race &amp; gender'!DA27)*100</f>
        <v>31.297572729023543</v>
      </c>
      <c r="V29" s="494">
        <f>('Attainment 25+ by race &amp; gender'!NZ28/'Pop 25+ by race &amp; gender'!AZ27)*100</f>
        <v>17.177958299851216</v>
      </c>
      <c r="W29" s="493">
        <f>('Attainment 25+ by race &amp; gender'!PJ28/'Pop 25+ by race &amp; gender'!DB27)*100</f>
        <v>21.901307950231384</v>
      </c>
      <c r="X29" s="494">
        <f>('Attainment 25+ by race &amp; gender'!OC28/'Pop 25+ by race &amp; gender'!BC27)*100</f>
        <v>7.7438655372968901</v>
      </c>
      <c r="Y29" s="614">
        <f>('Attainment 25+ by race &amp; gender'!PK28/'Pop 25+ by race &amp; gender'!DD27)*100</f>
        <v>10.692291139768228</v>
      </c>
      <c r="Z29" s="641">
        <f>('Attainment 25+ by race &amp; gender'!CS28/'Pop 25+ by race &amp; gender'!AT27)*100</f>
        <v>83.306751024861043</v>
      </c>
      <c r="AA29" s="642">
        <f>('Attainment 25+ by race &amp; gender'!EB28/'Pop 25+ by race &amp; gender'!DF27)*100</f>
        <v>94.10547889119367</v>
      </c>
      <c r="AB29" s="643">
        <f>('Attainment 25+ by race &amp; gender'!CT28/'Pop 25+ by race &amp; gender'!AZ27)*100</f>
        <v>80.541581226304601</v>
      </c>
      <c r="AC29" s="641">
        <f>('Attainment 25+ by race &amp; gender'!EC28/'Pop 25+ by race &amp; gender'!DG27)*100</f>
        <v>88.109119014423072</v>
      </c>
      <c r="AD29" s="643">
        <f>('Attainment 25+ by race &amp; gender'!CU28/'Pop 25+ by race &amp; gender'!BC27)*100</f>
        <v>46.680599269156467</v>
      </c>
      <c r="AE29" s="641">
        <f>('Attainment 25+ by race &amp; gender'!ED28/'Pop 25+ by race &amp; gender'!DI27)*100</f>
        <v>59.476112077593704</v>
      </c>
      <c r="AF29" s="643">
        <f>('Attainment 25+ by race &amp; gender'!NT28/'Pop 25+ by race &amp; gender'!AT27)*100</f>
        <v>29.788451675072608</v>
      </c>
      <c r="AG29" s="644">
        <f>('Attainment 25+ by race &amp; gender'!PN28/'Pop 25+ by race &amp; gender'!DF27)*100</f>
        <v>40.114327267320434</v>
      </c>
      <c r="AH29" s="643">
        <f>('Attainment 25+ by race &amp; gender'!NZ28/'Pop 25+ by race &amp; gender'!AZ27)*100</f>
        <v>17.177958299851216</v>
      </c>
      <c r="AI29" s="644">
        <f>('Attainment 25+ by race &amp; gender'!PO28/'Pop 25+ by race &amp; gender'!DG27)*100</f>
        <v>21.992921172087115</v>
      </c>
      <c r="AJ29" s="643">
        <f>('Attainment 25+ by race &amp; gender'!OC28/'Pop 25+ by race &amp; gender'!BC27)*100</f>
        <v>7.7438655372968901</v>
      </c>
      <c r="AK29" s="645">
        <f>('Attainment 25+ by race &amp; gender'!PP28/'Pop 25+ by race &amp; gender'!DI27)*100</f>
        <v>10.918421410933099</v>
      </c>
      <c r="AL29" s="643">
        <f>('Attainment 25+ by race &amp; gender'!CS28/'Pop 25+ by race &amp; gender'!AT27)*100</f>
        <v>83.306751024861043</v>
      </c>
      <c r="AM29" s="645">
        <f>('Attainment 25+ by race &amp; gender'!EG28/'Pop 25+ by race &amp; gender'!DK27)*100</f>
        <v>94.572069241270697</v>
      </c>
      <c r="AN29" s="643">
        <v>80.541581226304601</v>
      </c>
      <c r="AO29" s="645">
        <f>('Attainment 25+ by race &amp; gender'!EH28/'Pop 25+ by race &amp; gender'!DL27)*100</f>
        <v>89.00409372028831</v>
      </c>
      <c r="AP29" s="645">
        <f>('Attainment 25+ by race &amp; gender'!CU28/'Pop 25+ by race &amp; gender'!BC27)*100</f>
        <v>46.680599269156467</v>
      </c>
      <c r="AQ29" s="645">
        <f>('Attainment 25+ by race &amp; gender'!EI28/'Pop 25+ by race &amp; gender'!DN27)*100</f>
        <v>61.605734506147805</v>
      </c>
      <c r="AR29" s="645">
        <f>('Attainment 25+ by race &amp; gender'!NT28/'Pop 25+ by race &amp; gender'!AT27)*100</f>
        <v>29.788451675072608</v>
      </c>
      <c r="AS29" s="645">
        <f>('Attainment 25+ by race &amp; gender'!PS28/'Pop 25+ by race &amp; gender'!DK27)*100</f>
        <v>42.054009850431775</v>
      </c>
      <c r="AT29" s="645">
        <f>('Attainment 25+ by race &amp; gender'!NZ28/'Pop 25+ by race &amp; gender'!AZ27)*100</f>
        <v>17.177958299851216</v>
      </c>
      <c r="AU29" s="645">
        <f>('Attainment 25+ by race &amp; gender'!PT28/'Pop 25+ by race &amp; gender'!DL27)*100</f>
        <v>24.327915805863238</v>
      </c>
      <c r="AV29" s="645">
        <f>('Attainment 25+ by race &amp; gender'!OC28/'Pop 25+ by race &amp; gender'!BC27)*100</f>
        <v>7.7438655372968901</v>
      </c>
      <c r="AW29" s="645">
        <f>('Attainment 25+ by race &amp; gender'!PU28/'Pop 25+ by race &amp; gender'!DN27)*100</f>
        <v>11.908077044070824</v>
      </c>
      <c r="AX29" s="643">
        <f>('Attainment 25+ by race &amp; gender'!DR28/'Pop 25+ by race &amp; gender'!CV27)*100</f>
        <v>83.600000000000009</v>
      </c>
      <c r="AY29" s="645">
        <f>('Attainment 25+ by race &amp; gender'!EL28/'Pop 25+ by race &amp; gender'!DP27)*100</f>
        <v>94.558633625832783</v>
      </c>
      <c r="AZ29" s="643">
        <f>('Attainment 25+ by race &amp; gender'!DS28/'Pop 25+ by race &amp; gender'!CW27)*100</f>
        <v>87.7</v>
      </c>
      <c r="BA29" s="645">
        <f>('Attainment 25+ by race &amp; gender'!EM28/'Pop 25+ by race &amp; gender'!DQ27)*100</f>
        <v>89.218723026623692</v>
      </c>
      <c r="BB29" s="645">
        <f>('Attainment 25+ by race &amp; gender'!DT28/'Pop 25+ by race &amp; gender'!CY27)*100</f>
        <v>57.70000000000001</v>
      </c>
      <c r="BC29" s="645">
        <f>('Attainment 25+ by race &amp; gender'!EN28/'Pop 25+ by race &amp; gender'!DS27)*100</f>
        <v>62.642376243812038</v>
      </c>
      <c r="BD29" s="645">
        <f>('Attainment 25+ by race &amp; gender'!PD28/'Pop 25+ by race &amp; gender'!CV27)*100</f>
        <v>31.1</v>
      </c>
      <c r="BE29" s="645">
        <f>('Attainment 25+ by race &amp; gender'!PX28/'Pop 25+ by race &amp; gender'!DP27)*100</f>
        <v>43.110066141356107</v>
      </c>
      <c r="BF29" s="645">
        <f>('Attainment 25+ by race &amp; gender'!PE28/'Pop 25+ by race &amp; gender'!CW27)*100</f>
        <v>21.8</v>
      </c>
      <c r="BG29" s="645">
        <f>('Attainment 25+ by race &amp; gender'!PY28/'Pop 25+ by race &amp; gender'!DQ27)*100</f>
        <v>24.321148833634286</v>
      </c>
      <c r="BH29" s="645">
        <f>('Attainment 25+ by race &amp; gender'!PF28/'Pop 25+ by race &amp; gender'!CY27)*100</f>
        <v>10.4</v>
      </c>
      <c r="BI29" s="645">
        <f>('Attainment 25+ by race &amp; gender'!PZ28/'Pop 25+ by race &amp; gender'!DS27)*100</f>
        <v>12.149228835678079</v>
      </c>
    </row>
    <row r="30" spans="1:61" ht="15.75" x14ac:dyDescent="0.25">
      <c r="A30" s="218" t="s">
        <v>20</v>
      </c>
      <c r="B30" s="499">
        <f>('Attainment 25+ by race &amp; gender'!CS29/'Pop 25+ by race &amp; gender'!AT28)*100</f>
        <v>89.543489716184752</v>
      </c>
      <c r="C30" s="625">
        <f>('Attainment 25+ by race &amp; gender'!DR29/'Pop 25+ by race &amp; gender'!CV28)*100</f>
        <v>91.499999999999986</v>
      </c>
      <c r="D30" s="500">
        <f>('Attainment 25+ by race &amp; gender'!CT29/'Pop 25+ by race &amp; gender'!AZ28)*100</f>
        <v>84.379151116452661</v>
      </c>
      <c r="E30" s="499">
        <f>('Attainment 25+ by race &amp; gender'!DS29/'Pop 25+ by race &amp; gender'!CW28)*100</f>
        <v>87.9</v>
      </c>
      <c r="F30" s="500">
        <f>('Attainment 25+ by race &amp; gender'!CU29/'Pop 25+ by race &amp; gender'!BC28)*100</f>
        <v>58.091002213223078</v>
      </c>
      <c r="G30" s="499">
        <f>('Attainment 25+ by race &amp; gender'!DT29/'Pop 25+ by race &amp; gender'!CY28)*100</f>
        <v>65.400000000000006</v>
      </c>
      <c r="H30" s="500">
        <f>('Attainment 25+ by race &amp; gender'!NT29/'Pop 25+ by race &amp; gender'!AT28)*100</f>
        <v>34.998939812861224</v>
      </c>
      <c r="I30" s="499">
        <f>('Attainment 25+ by race &amp; gender'!PD29/'Pop 25+ by race &amp; gender'!CV28)*100</f>
        <v>38.5</v>
      </c>
      <c r="J30" s="500">
        <f>('Attainment 25+ by race &amp; gender'!NZ29/'Pop 25+ by race &amp; gender'!AZ28)*100</f>
        <v>20.469352900246697</v>
      </c>
      <c r="K30" s="499">
        <f>('Attainment 25+ by race &amp; gender'!PE29/'Pop 25+ by race &amp; gender'!CW28)*100</f>
        <v>21.3</v>
      </c>
      <c r="L30" s="500">
        <f>('Attainment 25+ by race &amp; gender'!OC29/'Pop 25+ by race &amp; gender'!BC28)*100</f>
        <v>10.438504774086715</v>
      </c>
      <c r="M30" s="616">
        <f>('Attainment 25+ by race &amp; gender'!PF29/'Pop 25+ by race &amp; gender'!CY28)*100</f>
        <v>12.5</v>
      </c>
      <c r="N30" s="493">
        <f>('Attainment 25+ by race &amp; gender'!CS29/'Pop 25+ by race &amp; gender'!AT28)*100</f>
        <v>89.543489716184752</v>
      </c>
      <c r="O30" s="626">
        <f>('Attainment 25+ by race &amp; gender'!DW29/'Pop 25+ by race &amp; gender'!DA28)*100</f>
        <v>91.954191397635725</v>
      </c>
      <c r="P30" s="494">
        <f>('Attainment 25+ by race &amp; gender'!CT29/'Pop 25+ by race &amp; gender'!AZ28)*100</f>
        <v>84.379151116452661</v>
      </c>
      <c r="Q30" s="493">
        <f>('Attainment 25+ by race &amp; gender'!DX29/'Pop 25+ by race &amp; gender'!DB28)*100</f>
        <v>87.779961948069371</v>
      </c>
      <c r="R30" s="494">
        <f>('Attainment 25+ by race &amp; gender'!CU29/'Pop 25+ by race &amp; gender'!BC28)*100</f>
        <v>58.091002213223078</v>
      </c>
      <c r="S30" s="493">
        <f>('Attainment 25+ by race &amp; gender'!DY29/'Pop 25+ by race &amp; gender'!DD28)*100</f>
        <v>66.808528793745268</v>
      </c>
      <c r="T30" s="494">
        <f>('Attainment 25+ by race &amp; gender'!NT29/'Pop 25+ by race &amp; gender'!AT28)*100</f>
        <v>34.998939812861224</v>
      </c>
      <c r="U30" s="493">
        <f>('Attainment 25+ by race &amp; gender'!PI29/'Pop 25+ by race &amp; gender'!DA28)*100</f>
        <v>38.855379201361743</v>
      </c>
      <c r="V30" s="494">
        <f>('Attainment 25+ by race &amp; gender'!NZ29/'Pop 25+ by race &amp; gender'!AZ28)*100</f>
        <v>20.469352900246697</v>
      </c>
      <c r="W30" s="493">
        <f>('Attainment 25+ by race &amp; gender'!PJ29/'Pop 25+ by race &amp; gender'!DB28)*100</f>
        <v>22.568268479264855</v>
      </c>
      <c r="X30" s="494">
        <f>('Attainment 25+ by race &amp; gender'!OC29/'Pop 25+ by race &amp; gender'!BC28)*100</f>
        <v>10.438504774086715</v>
      </c>
      <c r="Y30" s="614">
        <f>('Attainment 25+ by race &amp; gender'!PK29/'Pop 25+ by race &amp; gender'!DD28)*100</f>
        <v>12.389647975709222</v>
      </c>
      <c r="Z30" s="641">
        <f>('Attainment 25+ by race &amp; gender'!CS29/'Pop 25+ by race &amp; gender'!AT28)*100</f>
        <v>89.543489716184752</v>
      </c>
      <c r="AA30" s="642">
        <f>('Attainment 25+ by race &amp; gender'!EB29/'Pop 25+ by race &amp; gender'!DF28)*100</f>
        <v>95.67217297487008</v>
      </c>
      <c r="AB30" s="643">
        <f>('Attainment 25+ by race &amp; gender'!CT29/'Pop 25+ by race &amp; gender'!AZ28)*100</f>
        <v>84.379151116452661</v>
      </c>
      <c r="AC30" s="641">
        <f>('Attainment 25+ by race &amp; gender'!EC29/'Pop 25+ by race &amp; gender'!DG28)*100</f>
        <v>88.452027885837538</v>
      </c>
      <c r="AD30" s="643">
        <f>('Attainment 25+ by race &amp; gender'!CU29/'Pop 25+ by race &amp; gender'!BC28)*100</f>
        <v>58.091002213223078</v>
      </c>
      <c r="AE30" s="641">
        <f>('Attainment 25+ by race &amp; gender'!ED29/'Pop 25+ by race &amp; gender'!DI28)*100</f>
        <v>67.983054885545698</v>
      </c>
      <c r="AF30" s="643">
        <f>('Attainment 25+ by race &amp; gender'!NT29/'Pop 25+ by race &amp; gender'!AT28)*100</f>
        <v>34.998939812861224</v>
      </c>
      <c r="AG30" s="644">
        <f>('Attainment 25+ by race &amp; gender'!PN29/'Pop 25+ by race &amp; gender'!DF28)*100</f>
        <v>43.225276450991608</v>
      </c>
      <c r="AH30" s="643">
        <f>('Attainment 25+ by race &amp; gender'!NZ29/'Pop 25+ by race &amp; gender'!AZ28)*100</f>
        <v>20.469352900246697</v>
      </c>
      <c r="AI30" s="644">
        <f>('Attainment 25+ by race &amp; gender'!PO29/'Pop 25+ by race &amp; gender'!DG28)*100</f>
        <v>23.350922466587065</v>
      </c>
      <c r="AJ30" s="643">
        <f>('Attainment 25+ by race &amp; gender'!OC29/'Pop 25+ by race &amp; gender'!BC28)*100</f>
        <v>10.438504774086715</v>
      </c>
      <c r="AK30" s="645">
        <f>('Attainment 25+ by race &amp; gender'!PP29/'Pop 25+ by race &amp; gender'!DI28)*100</f>
        <v>12.786918315992299</v>
      </c>
      <c r="AL30" s="643">
        <f>('Attainment 25+ by race &amp; gender'!CS29/'Pop 25+ by race &amp; gender'!AT28)*100</f>
        <v>89.543489716184752</v>
      </c>
      <c r="AM30" s="645">
        <f>('Attainment 25+ by race &amp; gender'!EG29/'Pop 25+ by race &amp; gender'!DK28)*100</f>
        <v>96.410962024436472</v>
      </c>
      <c r="AN30" s="643">
        <v>84.379151116452661</v>
      </c>
      <c r="AO30" s="645">
        <f>('Attainment 25+ by race &amp; gender'!EH29/'Pop 25+ by race &amp; gender'!DL28)*100</f>
        <v>90.063842545236497</v>
      </c>
      <c r="AP30" s="645">
        <f>('Attainment 25+ by race &amp; gender'!CU29/'Pop 25+ by race &amp; gender'!BC28)*100</f>
        <v>58.091002213223078</v>
      </c>
      <c r="AQ30" s="645">
        <f>('Attainment 25+ by race &amp; gender'!EI29/'Pop 25+ by race &amp; gender'!DN28)*100</f>
        <v>69.960405015470002</v>
      </c>
      <c r="AR30" s="645">
        <f>('Attainment 25+ by race &amp; gender'!NT29/'Pop 25+ by race &amp; gender'!AT28)*100</f>
        <v>34.998939812861224</v>
      </c>
      <c r="AS30" s="645">
        <f>('Attainment 25+ by race &amp; gender'!PS29/'Pop 25+ by race &amp; gender'!DK28)*100</f>
        <v>45.612165433207188</v>
      </c>
      <c r="AT30" s="645">
        <f>('Attainment 25+ by race &amp; gender'!NZ29/'Pop 25+ by race &amp; gender'!AZ28)*100</f>
        <v>20.469352900246697</v>
      </c>
      <c r="AU30" s="645">
        <f>('Attainment 25+ by race &amp; gender'!PT29/'Pop 25+ by race &amp; gender'!DL28)*100</f>
        <v>24.26863249973546</v>
      </c>
      <c r="AV30" s="645">
        <f>('Attainment 25+ by race &amp; gender'!OC29/'Pop 25+ by race &amp; gender'!BC28)*100</f>
        <v>10.438504774086715</v>
      </c>
      <c r="AW30" s="645">
        <f>('Attainment 25+ by race &amp; gender'!PU29/'Pop 25+ by race &amp; gender'!DN28)*100</f>
        <v>14.23018789849659</v>
      </c>
      <c r="AX30" s="643">
        <f>('Attainment 25+ by race &amp; gender'!DR29/'Pop 25+ by race &amp; gender'!CV28)*100</f>
        <v>91.499999999999986</v>
      </c>
      <c r="AY30" s="645">
        <f>('Attainment 25+ by race &amp; gender'!EL29/'Pop 25+ by race &amp; gender'!DP28)*100</f>
        <v>96.491760358481656</v>
      </c>
      <c r="AZ30" s="643">
        <f>('Attainment 25+ by race &amp; gender'!DS29/'Pop 25+ by race &amp; gender'!CW28)*100</f>
        <v>87.9</v>
      </c>
      <c r="BA30" s="645">
        <f>('Attainment 25+ by race &amp; gender'!EM29/'Pop 25+ by race &amp; gender'!DQ28)*100</f>
        <v>89.156386378474963</v>
      </c>
      <c r="BB30" s="645">
        <f>('Attainment 25+ by race &amp; gender'!DT29/'Pop 25+ by race &amp; gender'!CY28)*100</f>
        <v>65.400000000000006</v>
      </c>
      <c r="BC30" s="645">
        <f>('Attainment 25+ by race &amp; gender'!EN29/'Pop 25+ by race &amp; gender'!DS28)*100</f>
        <v>71.059771895567309</v>
      </c>
      <c r="BD30" s="645">
        <f>('Attainment 25+ by race &amp; gender'!PD29/'Pop 25+ by race &amp; gender'!CV28)*100</f>
        <v>38.5</v>
      </c>
      <c r="BE30" s="645">
        <f>('Attainment 25+ by race &amp; gender'!PX29/'Pop 25+ by race &amp; gender'!DP28)*100</f>
        <v>45.961002381143345</v>
      </c>
      <c r="BF30" s="645">
        <f>('Attainment 25+ by race &amp; gender'!PE29/'Pop 25+ by race &amp; gender'!CW28)*100</f>
        <v>21.3</v>
      </c>
      <c r="BG30" s="645">
        <f>('Attainment 25+ by race &amp; gender'!PY29/'Pop 25+ by race &amp; gender'!DQ28)*100</f>
        <v>24.566166111130201</v>
      </c>
      <c r="BH30" s="645">
        <f>('Attainment 25+ by race &amp; gender'!PF29/'Pop 25+ by race &amp; gender'!CY28)*100</f>
        <v>12.5</v>
      </c>
      <c r="BI30" s="645">
        <f>('Attainment 25+ by race &amp; gender'!PZ29/'Pop 25+ by race &amp; gender'!DS28)*100</f>
        <v>15.697060492355549</v>
      </c>
    </row>
    <row r="31" spans="1:61" s="646" customFormat="1" x14ac:dyDescent="0.25">
      <c r="A31" s="636" t="s">
        <v>22</v>
      </c>
      <c r="B31" s="637">
        <f>('Attainment 25+ by race &amp; gender'!CS30/'Pop 25+ by race &amp; gender'!AT29)*100</f>
        <v>92.656627368401615</v>
      </c>
      <c r="C31" s="638">
        <f>('Attainment 25+ by race &amp; gender'!DR30/'Pop 25+ by race &amp; gender'!CV29)*100</f>
        <v>95.2</v>
      </c>
      <c r="D31" s="639">
        <f>('Attainment 25+ by race &amp; gender'!CT30/'Pop 25+ by race &amp; gender'!AZ29)*100</f>
        <v>92.920207937948675</v>
      </c>
      <c r="E31" s="637">
        <f>('Attainment 25+ by race &amp; gender'!DS30/'Pop 25+ by race &amp; gender'!CW29)*100</f>
        <v>94.699999999999989</v>
      </c>
      <c r="F31" s="639">
        <f>('Attainment 25+ by race &amp; gender'!CU30/'Pop 25+ by race &amp; gender'!BC29)*100</f>
        <v>81.499841273717365</v>
      </c>
      <c r="G31" s="637">
        <f>('Attainment 25+ by race &amp; gender'!DT30/'Pop 25+ by race &amp; gender'!CY29)*100</f>
        <v>86.899999999999991</v>
      </c>
      <c r="H31" s="639">
        <f>('Attainment 25+ by race &amp; gender'!NT30/'Pop 25+ by race &amp; gender'!AT29)*100</f>
        <v>36.499822211139282</v>
      </c>
      <c r="I31" s="637">
        <f>('Attainment 25+ by race &amp; gender'!PD30/'Pop 25+ by race &amp; gender'!CV29)*100</f>
        <v>39.900000000000006</v>
      </c>
      <c r="J31" s="639">
        <f>('Attainment 25+ by race &amp; gender'!NZ30/'Pop 25+ by race &amp; gender'!AZ29)*100</f>
        <v>21.000082515058999</v>
      </c>
      <c r="K31" s="637">
        <f>('Attainment 25+ by race &amp; gender'!PE30/'Pop 25+ by race &amp; gender'!CW29)*100</f>
        <v>25.199999999999996</v>
      </c>
      <c r="L31" s="639">
        <f>('Attainment 25+ by race &amp; gender'!OC30/'Pop 25+ by race &amp; gender'!BC29)*100</f>
        <v>13.333007740958708</v>
      </c>
      <c r="M31" s="640">
        <f>('Attainment 25+ by race &amp; gender'!PF30/'Pop 25+ by race &amp; gender'!CY29)*100</f>
        <v>18.199999999999996</v>
      </c>
      <c r="N31" s="641">
        <f>('Attainment 25+ by race &amp; gender'!CS30/'Pop 25+ by race &amp; gender'!AT29)*100</f>
        <v>92.656627368401615</v>
      </c>
      <c r="O31" s="642">
        <f>('Attainment 25+ by race &amp; gender'!DW30/'Pop 25+ by race &amp; gender'!DA29)*100</f>
        <v>95.678208599796434</v>
      </c>
      <c r="P31" s="643">
        <f>('Attainment 25+ by race &amp; gender'!CT30/'Pop 25+ by race &amp; gender'!AZ29)*100</f>
        <v>92.920207937948675</v>
      </c>
      <c r="Q31" s="641">
        <f>('Attainment 25+ by race &amp; gender'!DX30/'Pop 25+ by race &amp; gender'!DB29)*100</f>
        <v>94.350244167118831</v>
      </c>
      <c r="R31" s="643">
        <f>('Attainment 25+ by race &amp; gender'!CU30/'Pop 25+ by race &amp; gender'!BC29)*100</f>
        <v>81.499841273717365</v>
      </c>
      <c r="S31" s="641">
        <f>('Attainment 25+ by race &amp; gender'!DY30/'Pop 25+ by race &amp; gender'!DD29)*100</f>
        <v>86.267605633802816</v>
      </c>
      <c r="T31" s="643">
        <f>('Attainment 25+ by race &amp; gender'!NT30/'Pop 25+ by race &amp; gender'!AT29)*100</f>
        <v>36.499822211139282</v>
      </c>
      <c r="U31" s="644">
        <f>('Attainment 25+ by race &amp; gender'!PI30/'Pop 25+ by race &amp; gender'!DA29)*100</f>
        <v>39.744963607382225</v>
      </c>
      <c r="V31" s="643">
        <f>('Attainment 25+ by race &amp; gender'!NZ30/'Pop 25+ by race &amp; gender'!AZ29)*100</f>
        <v>21.000082515058999</v>
      </c>
      <c r="W31" s="644">
        <f>('Attainment 25+ by race &amp; gender'!PJ30/'Pop 25+ by race &amp; gender'!DB29)*100</f>
        <v>26.946554530656535</v>
      </c>
      <c r="X31" s="643">
        <f>('Attainment 25+ by race &amp; gender'!OC30/'Pop 25+ by race &amp; gender'!BC29)*100</f>
        <v>13.333007740958708</v>
      </c>
      <c r="Y31" s="681">
        <f>('Attainment 25+ by race &amp; gender'!PK30/'Pop 25+ by race &amp; gender'!DD29)*100</f>
        <v>18.363544495673594</v>
      </c>
      <c r="Z31" s="641">
        <f>('Attainment 25+ by race &amp; gender'!CS30/'Pop 25+ by race &amp; gender'!AT29)*100</f>
        <v>92.656627368401615</v>
      </c>
      <c r="AA31" s="642">
        <f>('Attainment 25+ by race &amp; gender'!EB30/'Pop 25+ by race &amp; gender'!DF29)*100</f>
        <v>96.67552594298219</v>
      </c>
      <c r="AB31" s="643">
        <f>('Attainment 25+ by race &amp; gender'!CT30/'Pop 25+ by race &amp; gender'!AZ29)*100</f>
        <v>92.920207937948675</v>
      </c>
      <c r="AC31" s="641">
        <f>('Attainment 25+ by race &amp; gender'!EC30/'Pop 25+ by race &amp; gender'!DG29)*100</f>
        <v>96.116622308250669</v>
      </c>
      <c r="AD31" s="643">
        <f>('Attainment 25+ by race &amp; gender'!CU30/'Pop 25+ by race &amp; gender'!BC29)*100</f>
        <v>81.499841273717365</v>
      </c>
      <c r="AE31" s="641">
        <f>('Attainment 25+ by race &amp; gender'!ED30/'Pop 25+ by race &amp; gender'!DI29)*100</f>
        <v>88.268420011262805</v>
      </c>
      <c r="AF31" s="643">
        <f>('Attainment 25+ by race &amp; gender'!NT30/'Pop 25+ by race &amp; gender'!AT29)*100</f>
        <v>36.499822211139282</v>
      </c>
      <c r="AG31" s="644">
        <f>('Attainment 25+ by race &amp; gender'!PN30/'Pop 25+ by race &amp; gender'!DF29)*100</f>
        <v>41.587974246859446</v>
      </c>
      <c r="AH31" s="643">
        <f>('Attainment 25+ by race &amp; gender'!NZ30/'Pop 25+ by race &amp; gender'!AZ29)*100</f>
        <v>21.000082515058999</v>
      </c>
      <c r="AI31" s="644">
        <f>('Attainment 25+ by race &amp; gender'!PO30/'Pop 25+ by race &amp; gender'!DG29)*100</f>
        <v>27.213888216791677</v>
      </c>
      <c r="AJ31" s="643">
        <f>('Attainment 25+ by race &amp; gender'!OC30/'Pop 25+ by race &amp; gender'!BC29)*100</f>
        <v>13.333007740958708</v>
      </c>
      <c r="AK31" s="645">
        <f>('Attainment 25+ by race &amp; gender'!PP30/'Pop 25+ by race &amp; gender'!DI29)*100</f>
        <v>19.700774698263398</v>
      </c>
      <c r="AL31" s="643">
        <f>('Attainment 25+ by race &amp; gender'!CS30/'Pop 25+ by race &amp; gender'!AT29)*100</f>
        <v>92.656627368401615</v>
      </c>
      <c r="AM31" s="645">
        <f>('Attainment 25+ by race &amp; gender'!EG30/'Pop 25+ by race &amp; gender'!DK29)*100</f>
        <v>95.811019117389989</v>
      </c>
      <c r="AN31" s="643">
        <v>92.920207937948675</v>
      </c>
      <c r="AO31" s="645">
        <f>('Attainment 25+ by race &amp; gender'!EH30/'Pop 25+ by race &amp; gender'!DL29)*100</f>
        <v>94.725760065735415</v>
      </c>
      <c r="AP31" s="645">
        <f>('Attainment 25+ by race &amp; gender'!CU30/'Pop 25+ by race &amp; gender'!BC29)*100</f>
        <v>81.499841273717365</v>
      </c>
      <c r="AQ31" s="645">
        <f>('Attainment 25+ by race &amp; gender'!EI30/'Pop 25+ by race &amp; gender'!DN29)*100</f>
        <v>89.422496478637072</v>
      </c>
      <c r="AR31" s="645">
        <f>('Attainment 25+ by race &amp; gender'!NT30/'Pop 25+ by race &amp; gender'!AT29)*100</f>
        <v>36.499822211139282</v>
      </c>
      <c r="AS31" s="645">
        <f>('Attainment 25+ by race &amp; gender'!PS30/'Pop 25+ by race &amp; gender'!DK29)*100</f>
        <v>44.814229186199881</v>
      </c>
      <c r="AT31" s="645">
        <f>('Attainment 25+ by race &amp; gender'!NZ30/'Pop 25+ by race &amp; gender'!AZ29)*100</f>
        <v>21.000082515058999</v>
      </c>
      <c r="AU31" s="645">
        <f>('Attainment 25+ by race &amp; gender'!PT30/'Pop 25+ by race &amp; gender'!DL29)*100</f>
        <v>27.603738701725554</v>
      </c>
      <c r="AV31" s="645">
        <f>('Attainment 25+ by race &amp; gender'!OC30/'Pop 25+ by race &amp; gender'!BC29)*100</f>
        <v>13.333007740958708</v>
      </c>
      <c r="AW31" s="645">
        <f>('Attainment 25+ by race &amp; gender'!PU30/'Pop 25+ by race &amp; gender'!DN29)*100</f>
        <v>21.239519753169226</v>
      </c>
      <c r="AX31" s="643">
        <f>('Attainment 25+ by race &amp; gender'!DR30/'Pop 25+ by race &amp; gender'!CV29)*100</f>
        <v>95.2</v>
      </c>
      <c r="AY31" s="645">
        <f>('Attainment 25+ by race &amp; gender'!EL30/'Pop 25+ by race &amp; gender'!DP29)*100</f>
        <v>96.870494757536036</v>
      </c>
      <c r="AZ31" s="643">
        <f>('Attainment 25+ by race &amp; gender'!DS30/'Pop 25+ by race &amp; gender'!CW29)*100</f>
        <v>94.699999999999989</v>
      </c>
      <c r="BA31" s="645">
        <f>('Attainment 25+ by race &amp; gender'!EM30/'Pop 25+ by race &amp; gender'!DQ29)*100</f>
        <v>95.291533072081705</v>
      </c>
      <c r="BB31" s="645">
        <f>('Attainment 25+ by race &amp; gender'!DT30/'Pop 25+ by race &amp; gender'!CY29)*100</f>
        <v>86.899999999999991</v>
      </c>
      <c r="BC31" s="645">
        <f>('Attainment 25+ by race &amp; gender'!EN30/'Pop 25+ by race &amp; gender'!DS29)*100</f>
        <v>90.984666040790785</v>
      </c>
      <c r="BD31" s="645">
        <f>('Attainment 25+ by race &amp; gender'!PD30/'Pop 25+ by race &amp; gender'!CV29)*100</f>
        <v>39.900000000000006</v>
      </c>
      <c r="BE31" s="645">
        <f>('Attainment 25+ by race &amp; gender'!PX30/'Pop 25+ by race &amp; gender'!DP29)*100</f>
        <v>44.77965268676278</v>
      </c>
      <c r="BF31" s="645">
        <f>('Attainment 25+ by race &amp; gender'!PE30/'Pop 25+ by race &amp; gender'!CW29)*100</f>
        <v>25.199999999999996</v>
      </c>
      <c r="BG31" s="645">
        <f>('Attainment 25+ by race &amp; gender'!PY30/'Pop 25+ by race &amp; gender'!DQ29)*100</f>
        <v>24.646716541978385</v>
      </c>
      <c r="BH31" s="645">
        <f>('Attainment 25+ by race &amp; gender'!PF30/'Pop 25+ by race &amp; gender'!CY29)*100</f>
        <v>18.199999999999996</v>
      </c>
      <c r="BI31" s="645">
        <f>('Attainment 25+ by race &amp; gender'!PZ30/'Pop 25+ by race &amp; gender'!DS29)*100</f>
        <v>16.627889573724097</v>
      </c>
    </row>
    <row r="32" spans="1:61" ht="15.75" x14ac:dyDescent="0.25">
      <c r="A32" s="218" t="s">
        <v>23</v>
      </c>
      <c r="B32" s="499">
        <f>('Attainment 25+ by race &amp; gender'!CS31/'Pop 25+ by race &amp; gender'!AT30)*100</f>
        <v>86.579082418146356</v>
      </c>
      <c r="C32" s="625">
        <f>('Attainment 25+ by race &amp; gender'!DR31/'Pop 25+ by race &amp; gender'!CV30)*100</f>
        <v>89.499999999999986</v>
      </c>
      <c r="D32" s="500">
        <f>('Attainment 25+ by race &amp; gender'!CT31/'Pop 25+ by race &amp; gender'!AZ30)*100</f>
        <v>82.545045045045043</v>
      </c>
      <c r="E32" s="499" t="str">
        <f>IF('Pop 25+ by race &amp; gender'!CW30&gt;0,('Attainment 25+ by race &amp; gender'!DS31/'Pop 25+ by race &amp; gender'!CW30)*100,"—")</f>
        <v>—</v>
      </c>
      <c r="F32" s="500">
        <f>('Attainment 25+ by race &amp; gender'!CU31/'Pop 25+ by race &amp; gender'!BC30)*100</f>
        <v>44.426465300251714</v>
      </c>
      <c r="G32" s="499">
        <f>('Attainment 25+ by race &amp; gender'!DT31/'Pop 25+ by race &amp; gender'!CY30)*100</f>
        <v>53.900000000000006</v>
      </c>
      <c r="H32" s="500">
        <f>('Attainment 25+ by race &amp; gender'!NT31/'Pop 25+ by race &amp; gender'!AT30)*100</f>
        <v>22.311129357829554</v>
      </c>
      <c r="I32" s="499">
        <f>('Attainment 25+ by race &amp; gender'!PD31/'Pop 25+ by race &amp; gender'!CV30)*100</f>
        <v>24.9</v>
      </c>
      <c r="J32" s="500">
        <f>('Attainment 25+ by race &amp; gender'!NZ31/'Pop 25+ by race &amp; gender'!AZ30)*100</f>
        <v>22.447447447447448</v>
      </c>
      <c r="K32" s="499" t="str">
        <f>IF('Pop 25+ by race &amp; gender'!CW30&gt;0,('Attainment 25+ by race &amp; gender'!PE31/'Pop 25+ by race &amp; gender'!CW30)*100,"—")</f>
        <v>—</v>
      </c>
      <c r="L32" s="500">
        <f>('Attainment 25+ by race &amp; gender'!OC31/'Pop 25+ by race &amp; gender'!BC30)*100</f>
        <v>6.6208198489751888</v>
      </c>
      <c r="M32" s="616">
        <f>('Attainment 25+ by race &amp; gender'!PF31/'Pop 25+ by race &amp; gender'!CY30)*100</f>
        <v>7.6</v>
      </c>
      <c r="N32" s="493">
        <f>('Attainment 25+ by race &amp; gender'!CS31/'Pop 25+ by race &amp; gender'!AT30)*100</f>
        <v>86.579082418146356</v>
      </c>
      <c r="O32" s="626">
        <f>('Attainment 25+ by race &amp; gender'!DW31/'Pop 25+ by race &amp; gender'!DA30)*100</f>
        <v>89.94256835840423</v>
      </c>
      <c r="P32" s="494">
        <f>('Attainment 25+ by race &amp; gender'!CT31/'Pop 25+ by race &amp; gender'!AZ30)*100</f>
        <v>82.545045045045043</v>
      </c>
      <c r="Q32" s="493">
        <f>('Attainment 25+ by race &amp; gender'!DX31/'Pop 25+ by race &amp; gender'!DB30)*100</f>
        <v>83.505385996409331</v>
      </c>
      <c r="R32" s="494">
        <f>('Attainment 25+ by race &amp; gender'!CU31/'Pop 25+ by race &amp; gender'!BC30)*100</f>
        <v>44.426465300251714</v>
      </c>
      <c r="S32" s="493">
        <f>('Attainment 25+ by race &amp; gender'!DY31/'Pop 25+ by race &amp; gender'!DD30)*100</f>
        <v>56.979802668380522</v>
      </c>
      <c r="T32" s="494">
        <f>('Attainment 25+ by race &amp; gender'!NT31/'Pop 25+ by race &amp; gender'!AT30)*100</f>
        <v>22.311129357829554</v>
      </c>
      <c r="U32" s="493">
        <f>('Attainment 25+ by race &amp; gender'!PI31/'Pop 25+ by race &amp; gender'!DA30)*100</f>
        <v>25.602027476973365</v>
      </c>
      <c r="V32" s="494">
        <f>('Attainment 25+ by race &amp; gender'!NZ31/'Pop 25+ by race &amp; gender'!AZ30)*100</f>
        <v>22.447447447447448</v>
      </c>
      <c r="W32" s="493">
        <f>('Attainment 25+ by race &amp; gender'!PJ31/'Pop 25+ by race &amp; gender'!DB30)*100</f>
        <v>24.371633752244165</v>
      </c>
      <c r="X32" s="494">
        <f>('Attainment 25+ by race &amp; gender'!OC31/'Pop 25+ by race &amp; gender'!BC30)*100</f>
        <v>6.6208198489751888</v>
      </c>
      <c r="Y32" s="614">
        <f>('Attainment 25+ by race &amp; gender'!PK31/'Pop 25+ by race &amp; gender'!DD30)*100</f>
        <v>8.0134728222706233</v>
      </c>
      <c r="Z32" s="641">
        <f>('Attainment 25+ by race &amp; gender'!CS31/'Pop 25+ by race &amp; gender'!AT30)*100</f>
        <v>86.579082418146356</v>
      </c>
      <c r="AA32" s="642">
        <f>('Attainment 25+ by race &amp; gender'!EB31/'Pop 25+ by race &amp; gender'!DF30)*100</f>
        <v>92.412565144157071</v>
      </c>
      <c r="AB32" s="643">
        <f>('Attainment 25+ by race &amp; gender'!CT31/'Pop 25+ by race &amp; gender'!AZ30)*100</f>
        <v>82.545045045045043</v>
      </c>
      <c r="AC32" s="641">
        <f>('Attainment 25+ by race &amp; gender'!EC31/'Pop 25+ by race &amp; gender'!DG30)*100</f>
        <v>90.718429272646134</v>
      </c>
      <c r="AD32" s="643">
        <f>('Attainment 25+ by race &amp; gender'!CU31/'Pop 25+ by race &amp; gender'!BC30)*100</f>
        <v>44.426465300251714</v>
      </c>
      <c r="AE32" s="641">
        <f>('Attainment 25+ by race &amp; gender'!ED31/'Pop 25+ by race &amp; gender'!DI30)*100</f>
        <v>57.564333904168627</v>
      </c>
      <c r="AF32" s="643">
        <f>('Attainment 25+ by race &amp; gender'!NT31/'Pop 25+ by race &amp; gender'!AT30)*100</f>
        <v>22.311129357829554</v>
      </c>
      <c r="AG32" s="644">
        <f>('Attainment 25+ by race &amp; gender'!PN31/'Pop 25+ by race &amp; gender'!DF30)*100</f>
        <v>27.239335702108935</v>
      </c>
      <c r="AH32" s="643">
        <f>('Attainment 25+ by race &amp; gender'!NZ31/'Pop 25+ by race &amp; gender'!AZ30)*100</f>
        <v>22.447447447447448</v>
      </c>
      <c r="AI32" s="644">
        <f>('Attainment 25+ by race &amp; gender'!PO31/'Pop 25+ by race &amp; gender'!DG30)*100</f>
        <v>30.566711289602853</v>
      </c>
      <c r="AJ32" s="643">
        <f>('Attainment 25+ by race &amp; gender'!OC31/'Pop 25+ by race &amp; gender'!BC30)*100</f>
        <v>6.6208198489751888</v>
      </c>
      <c r="AK32" s="645">
        <f>('Attainment 25+ by race &amp; gender'!PP31/'Pop 25+ by race &amp; gender'!DI30)*100</f>
        <v>9.045249232820348</v>
      </c>
      <c r="AL32" s="643">
        <f>('Attainment 25+ by race &amp; gender'!CS31/'Pop 25+ by race &amp; gender'!AT30)*100</f>
        <v>86.579082418146356</v>
      </c>
      <c r="AM32" s="645">
        <f>('Attainment 25+ by race &amp; gender'!EG31/'Pop 25+ by race &amp; gender'!DK30)*100</f>
        <v>93.107677080541023</v>
      </c>
      <c r="AN32" s="643">
        <v>82.545045045045043</v>
      </c>
      <c r="AO32" s="645" t="str">
        <f>IF('Pop 25+ by race &amp; gender'!DL30&gt;0, ('Attainment 25+ by race &amp; gender'!EH31/'Pop 25+ by race &amp; gender'!DL30)*100,"—")</f>
        <v>—</v>
      </c>
      <c r="AP32" s="645">
        <f>('Attainment 25+ by race &amp; gender'!CU31/'Pop 25+ by race &amp; gender'!BC30)*100</f>
        <v>44.426465300251714</v>
      </c>
      <c r="AQ32" s="645">
        <f>('Attainment 25+ by race &amp; gender'!EI31/'Pop 25+ by race &amp; gender'!DN30)*100</f>
        <v>61.043514997887627</v>
      </c>
      <c r="AR32" s="645">
        <f>('Attainment 25+ by race &amp; gender'!NT31/'Pop 25+ by race &amp; gender'!AT30)*100</f>
        <v>22.311129357829554</v>
      </c>
      <c r="AS32" s="645">
        <f>('Attainment 25+ by race &amp; gender'!PS31/'Pop 25+ by race &amp; gender'!DK30)*100</f>
        <v>27.74087262095588</v>
      </c>
      <c r="AT32" s="645">
        <f>('Attainment 25+ by race &amp; gender'!NZ31/'Pop 25+ by race &amp; gender'!AZ30)*100</f>
        <v>22.447447447447448</v>
      </c>
      <c r="AU32" s="645" t="str">
        <f>IF('Pop 25+ by race &amp; gender'!DL30&gt;0, ('Attainment 25+ by race &amp; gender'!PT31/'Pop 25+ by race &amp; gender'!DL30)*100,"—")</f>
        <v>—</v>
      </c>
      <c r="AV32" s="645">
        <f>('Attainment 25+ by race &amp; gender'!OC31/'Pop 25+ by race &amp; gender'!BC30)*100</f>
        <v>6.6208198489751888</v>
      </c>
      <c r="AW32" s="645">
        <f>('Attainment 25+ by race &amp; gender'!PU31/'Pop 25+ by race &amp; gender'!DN30)*100</f>
        <v>8.1400506970849182</v>
      </c>
      <c r="AX32" s="643">
        <f>('Attainment 25+ by race &amp; gender'!DR31/'Pop 25+ by race &amp; gender'!CV30)*100</f>
        <v>89.499999999999986</v>
      </c>
      <c r="AY32" s="645">
        <f>('Attainment 25+ by race &amp; gender'!EL31/'Pop 25+ by race &amp; gender'!DP30)*100</f>
        <v>93.213991668734749</v>
      </c>
      <c r="AZ32" s="643" t="str">
        <f>IF('Pop 25+ by race &amp; gender'!CW30&gt;0,('Attainment 25+ by race &amp; gender'!DS31/'Pop 25+ by race &amp; gender'!CW30)*100,"—")</f>
        <v>—</v>
      </c>
      <c r="BA32" s="645" t="str">
        <f>IF('Pop 25+ by race &amp; gender'!DQ30&gt;0, ('Attainment 25+ by race &amp; gender'!EM31/'Pop 25+ by race &amp; gender'!DQ30)*100,"—")</f>
        <v>—</v>
      </c>
      <c r="BB32" s="645">
        <f>('Attainment 25+ by race &amp; gender'!DT31/'Pop 25+ by race &amp; gender'!CY30)*100</f>
        <v>53.900000000000006</v>
      </c>
      <c r="BC32" s="645">
        <f>('Attainment 25+ by race &amp; gender'!EN31/'Pop 25+ by race &amp; gender'!DS30)*100</f>
        <v>64.086381417106907</v>
      </c>
      <c r="BD32" s="645">
        <f>('Attainment 25+ by race &amp; gender'!PD31/'Pop 25+ by race &amp; gender'!CV30)*100</f>
        <v>24.9</v>
      </c>
      <c r="BE32" s="645">
        <f>('Attainment 25+ by race &amp; gender'!PX31/'Pop 25+ by race &amp; gender'!DP30)*100</f>
        <v>29.418888390655606</v>
      </c>
      <c r="BF32" s="645" t="str">
        <f>IF('Pop 25+ by race &amp; gender'!CW30&gt;0,('Attainment 25+ by race &amp; gender'!PE31/'Pop 25+ by race &amp; gender'!CW30)*100,"—")</f>
        <v>—</v>
      </c>
      <c r="BG32" s="645" t="str">
        <f>IF('Pop 25+ by race &amp; gender'!DQ30&gt;0, ('Attainment 25+ by race &amp; gender'!PY31/'Pop 25+ by race &amp; gender'!DQ30)*100,"—")</f>
        <v>—</v>
      </c>
      <c r="BH32" s="645">
        <f>('Attainment 25+ by race &amp; gender'!PF31/'Pop 25+ by race &amp; gender'!CY30)*100</f>
        <v>7.6</v>
      </c>
      <c r="BI32" s="645">
        <f>('Attainment 25+ by race &amp; gender'!PZ31/'Pop 25+ by race &amp; gender'!DS30)*100</f>
        <v>9.1351776424567497</v>
      </c>
    </row>
    <row r="33" spans="1:61" s="646" customFormat="1" x14ac:dyDescent="0.25">
      <c r="A33" s="636" t="s">
        <v>33</v>
      </c>
      <c r="B33" s="637">
        <f>('Attainment 25+ by race &amp; gender'!CS32/'Pop 25+ by race &amp; gender'!AT31)*100</f>
        <v>87.84829025731888</v>
      </c>
      <c r="C33" s="638">
        <f>('Attainment 25+ by race &amp; gender'!DR32/'Pop 25+ by race &amp; gender'!CV31)*100</f>
        <v>92.4</v>
      </c>
      <c r="D33" s="639">
        <f>('Attainment 25+ by race &amp; gender'!CT32/'Pop 25+ by race &amp; gender'!AZ31)*100</f>
        <v>91.150442477876098</v>
      </c>
      <c r="E33" s="637" t="str">
        <f>IF('Pop 25+ by race &amp; gender'!CW31&gt;0,('Attainment 25+ by race &amp; gender'!DS32/'Pop 25+ by race &amp; gender'!CW31)*100,"—")</f>
        <v>—</v>
      </c>
      <c r="F33" s="639">
        <f>('Attainment 25+ by race &amp; gender'!CU32/'Pop 25+ by race &amp; gender'!BC31)*100</f>
        <v>78.030654900139339</v>
      </c>
      <c r="G33" s="637">
        <f>('Attainment 25+ by race &amp; gender'!DT32/'Pop 25+ by race &amp; gender'!CY31)*100</f>
        <v>83.399999999999991</v>
      </c>
      <c r="H33" s="639">
        <f>('Attainment 25+ by race &amp; gender'!NT32/'Pop 25+ by race &amp; gender'!AT31)*100</f>
        <v>25.102393804830896</v>
      </c>
      <c r="I33" s="637">
        <f>('Attainment 25+ by race &amp; gender'!PD32/'Pop 25+ by race &amp; gender'!CV31)*100</f>
        <v>29.2</v>
      </c>
      <c r="J33" s="639">
        <f>('Attainment 25+ by race &amp; gender'!NZ32/'Pop 25+ by race &amp; gender'!AZ31)*100</f>
        <v>33.185840707964601</v>
      </c>
      <c r="K33" s="637" t="str">
        <f>IF('Pop 25+ by race &amp; gender'!CW31&gt;0,('Attainment 25+ by race &amp; gender'!PE32/'Pop 25+ by race &amp; gender'!CW31)*100,"—")</f>
        <v>—</v>
      </c>
      <c r="L33" s="639">
        <f>('Attainment 25+ by race &amp; gender'!OC32/'Pop 25+ by race &amp; gender'!BC31)*100</f>
        <v>15.362285183464932</v>
      </c>
      <c r="M33" s="640">
        <f>('Attainment 25+ by race &amp; gender'!PF32/'Pop 25+ by race &amp; gender'!CY31)*100</f>
        <v>18</v>
      </c>
      <c r="N33" s="641">
        <f>('Attainment 25+ by race &amp; gender'!CS32/'Pop 25+ by race &amp; gender'!AT31)*100</f>
        <v>87.84829025731888</v>
      </c>
      <c r="O33" s="642">
        <f>('Attainment 25+ by race &amp; gender'!DW32/'Pop 25+ by race &amp; gender'!DA31)*100</f>
        <v>92.873677592542521</v>
      </c>
      <c r="P33" s="643">
        <f>('Attainment 25+ by race &amp; gender'!CT32/'Pop 25+ by race &amp; gender'!AZ31)*100</f>
        <v>91.150442477876098</v>
      </c>
      <c r="Q33" s="641">
        <f>('Attainment 25+ by race &amp; gender'!DX32/'Pop 25+ by race &amp; gender'!DB31)*100</f>
        <v>89.435723377174369</v>
      </c>
      <c r="R33" s="643">
        <f>('Attainment 25+ by race &amp; gender'!CU32/'Pop 25+ by race &amp; gender'!BC31)*100</f>
        <v>78.030654900139339</v>
      </c>
      <c r="S33" s="641">
        <f>('Attainment 25+ by race &amp; gender'!DY32/'Pop 25+ by race &amp; gender'!DD31)*100</f>
        <v>82.785484862980923</v>
      </c>
      <c r="T33" s="643">
        <f>('Attainment 25+ by race &amp; gender'!NT32/'Pop 25+ by race &amp; gender'!AT31)*100</f>
        <v>25.102393804830896</v>
      </c>
      <c r="U33" s="644">
        <f>('Attainment 25+ by race &amp; gender'!PI32/'Pop 25+ by race &amp; gender'!DA31)*100</f>
        <v>29.767185897733288</v>
      </c>
      <c r="V33" s="643">
        <f>('Attainment 25+ by race &amp; gender'!NZ32/'Pop 25+ by race &amp; gender'!AZ31)*100</f>
        <v>33.185840707964601</v>
      </c>
      <c r="W33" s="644">
        <f>('Attainment 25+ by race &amp; gender'!PJ32/'Pop 25+ by race &amp; gender'!DB31)*100</f>
        <v>30.123037759864236</v>
      </c>
      <c r="X33" s="643">
        <f>('Attainment 25+ by race &amp; gender'!OC32/'Pop 25+ by race &amp; gender'!BC31)*100</f>
        <v>15.362285183464932</v>
      </c>
      <c r="Y33" s="681">
        <f>('Attainment 25+ by race &amp; gender'!PK32/'Pop 25+ by race &amp; gender'!DD31)*100</f>
        <v>16.82498462379553</v>
      </c>
      <c r="Z33" s="641">
        <f>('Attainment 25+ by race &amp; gender'!CS32/'Pop 25+ by race &amp; gender'!AT31)*100</f>
        <v>87.84829025731888</v>
      </c>
      <c r="AA33" s="642">
        <f>('Attainment 25+ by race &amp; gender'!EB32/'Pop 25+ by race &amp; gender'!DF31)*100</f>
        <v>93.212922130531169</v>
      </c>
      <c r="AB33" s="643">
        <f>('Attainment 25+ by race &amp; gender'!CT32/'Pop 25+ by race &amp; gender'!AZ31)*100</f>
        <v>91.150442477876098</v>
      </c>
      <c r="AC33" s="641">
        <f>('Attainment 25+ by race &amp; gender'!EC32/'Pop 25+ by race &amp; gender'!DG31)*100</f>
        <v>91.542288557213936</v>
      </c>
      <c r="AD33" s="643">
        <f>('Attainment 25+ by race &amp; gender'!CU32/'Pop 25+ by race &amp; gender'!BC31)*100</f>
        <v>78.030654900139339</v>
      </c>
      <c r="AE33" s="641">
        <f>('Attainment 25+ by race &amp; gender'!ED32/'Pop 25+ by race &amp; gender'!DI31)*100</f>
        <v>83.975632366573961</v>
      </c>
      <c r="AF33" s="643">
        <f>('Attainment 25+ by race &amp; gender'!NT32/'Pop 25+ by race &amp; gender'!AT31)*100</f>
        <v>25.102393804830896</v>
      </c>
      <c r="AG33" s="644">
        <f>('Attainment 25+ by race &amp; gender'!PN32/'Pop 25+ by race &amp; gender'!DF31)*100</f>
        <v>30.13029184273126</v>
      </c>
      <c r="AH33" s="643">
        <f>('Attainment 25+ by race &amp; gender'!NZ32/'Pop 25+ by race &amp; gender'!AZ31)*100</f>
        <v>33.185840707964601</v>
      </c>
      <c r="AI33" s="644">
        <f>('Attainment 25+ by race &amp; gender'!PO32/'Pop 25+ by race &amp; gender'!DG31)*100</f>
        <v>30.003827018752393</v>
      </c>
      <c r="AJ33" s="643">
        <f>('Attainment 25+ by race &amp; gender'!OC32/'Pop 25+ by race &amp; gender'!BC31)*100</f>
        <v>15.362285183464932</v>
      </c>
      <c r="AK33" s="645">
        <f>('Attainment 25+ by race &amp; gender'!PP32/'Pop 25+ by race &amp; gender'!DI31)*100</f>
        <v>17.322208978943188</v>
      </c>
      <c r="AL33" s="643">
        <f>('Attainment 25+ by race &amp; gender'!CS32/'Pop 25+ by race &amp; gender'!AT31)*100</f>
        <v>87.84829025731888</v>
      </c>
      <c r="AM33" s="645">
        <f>('Attainment 25+ by race &amp; gender'!EG32/'Pop 25+ by race &amp; gender'!DK31)*100</f>
        <v>94.370923117472614</v>
      </c>
      <c r="AN33" s="643">
        <v>91.150442477876098</v>
      </c>
      <c r="AO33" s="645" t="str">
        <f>IF('Pop 25+ by race &amp; gender'!DL31&gt;0, ('Attainment 25+ by race &amp; gender'!EH32/'Pop 25+ by race &amp; gender'!DL31)*100,"—")</f>
        <v>—</v>
      </c>
      <c r="AP33" s="645">
        <f>('Attainment 25+ by race &amp; gender'!CU32/'Pop 25+ by race &amp; gender'!BC31)*100</f>
        <v>78.030654900139339</v>
      </c>
      <c r="AQ33" s="645">
        <f>('Attainment 25+ by race &amp; gender'!EI32/'Pop 25+ by race &amp; gender'!DN31)*100</f>
        <v>84.134072201000691</v>
      </c>
      <c r="AR33" s="645">
        <f>('Attainment 25+ by race &amp; gender'!NT32/'Pop 25+ by race &amp; gender'!AT31)*100</f>
        <v>25.102393804830896</v>
      </c>
      <c r="AS33" s="645">
        <f>('Attainment 25+ by race &amp; gender'!PS32/'Pop 25+ by race &amp; gender'!DK31)*100</f>
        <v>31.993851039215411</v>
      </c>
      <c r="AT33" s="645">
        <f>('Attainment 25+ by race &amp; gender'!NZ32/'Pop 25+ by race &amp; gender'!AZ31)*100</f>
        <v>33.185840707964601</v>
      </c>
      <c r="AU33" s="645" t="str">
        <f>IF('Pop 25+ by race &amp; gender'!DL31&gt;0, ('Attainment 25+ by race &amp; gender'!PT32/'Pop 25+ by race &amp; gender'!DL31)*100,"—")</f>
        <v>—</v>
      </c>
      <c r="AV33" s="645">
        <f>('Attainment 25+ by race &amp; gender'!OC32/'Pop 25+ by race &amp; gender'!BC31)*100</f>
        <v>15.362285183464932</v>
      </c>
      <c r="AW33" s="645">
        <f>('Attainment 25+ by race &amp; gender'!PU32/'Pop 25+ by race &amp; gender'!DN31)*100</f>
        <v>15.344057674718888</v>
      </c>
      <c r="AX33" s="643">
        <f>('Attainment 25+ by race &amp; gender'!DR32/'Pop 25+ by race &amp; gender'!CV31)*100</f>
        <v>92.4</v>
      </c>
      <c r="AY33" s="645">
        <f>('Attainment 25+ by race &amp; gender'!EL32/'Pop 25+ by race &amp; gender'!DP31)*100</f>
        <v>93.574175995997251</v>
      </c>
      <c r="AZ33" s="643" t="str">
        <f>IF('Pop 25+ by race &amp; gender'!CW31&gt;0,('Attainment 25+ by race &amp; gender'!DS32/'Pop 25+ by race &amp; gender'!CW31)*100,"—")</f>
        <v>—</v>
      </c>
      <c r="BA33" s="645" t="str">
        <f>IF('Pop 25+ by race &amp; gender'!DQ31&gt;0, ('Attainment 25+ by race &amp; gender'!EM32/'Pop 25+ by race &amp; gender'!DQ31)*100,"—")</f>
        <v>—</v>
      </c>
      <c r="BB33" s="645">
        <f>('Attainment 25+ by race &amp; gender'!DT32/'Pop 25+ by race &amp; gender'!CY31)*100</f>
        <v>83.399999999999991</v>
      </c>
      <c r="BC33" s="645">
        <f>('Attainment 25+ by race &amp; gender'!EN32/'Pop 25+ by race &amp; gender'!DS31)*100</f>
        <v>82.583710907282565</v>
      </c>
      <c r="BD33" s="645">
        <f>('Attainment 25+ by race &amp; gender'!PD32/'Pop 25+ by race &amp; gender'!CV31)*100</f>
        <v>29.2</v>
      </c>
      <c r="BE33" s="645">
        <f>('Attainment 25+ by race &amp; gender'!PX32/'Pop 25+ by race &amp; gender'!DP31)*100</f>
        <v>31.924291700544121</v>
      </c>
      <c r="BF33" s="645" t="str">
        <f>IF('Pop 25+ by race &amp; gender'!CW31&gt;0,('Attainment 25+ by race &amp; gender'!PE32/'Pop 25+ by race &amp; gender'!CW31)*100,"—")</f>
        <v>—</v>
      </c>
      <c r="BG33" s="645" t="str">
        <f>IF('Pop 25+ by race &amp; gender'!DQ31&gt;0, ('Attainment 25+ by race &amp; gender'!PY32/'Pop 25+ by race &amp; gender'!DQ31)*100,"—")</f>
        <v>—</v>
      </c>
      <c r="BH33" s="645">
        <f>('Attainment 25+ by race &amp; gender'!PF32/'Pop 25+ by race &amp; gender'!CY31)*100</f>
        <v>18</v>
      </c>
      <c r="BI33" s="645">
        <f>('Attainment 25+ by race &amp; gender'!PZ32/'Pop 25+ by race &amp; gender'!DS31)*100</f>
        <v>24.057906951044313</v>
      </c>
    </row>
    <row r="34" spans="1:61" ht="15.75" x14ac:dyDescent="0.25">
      <c r="A34" s="218" t="s">
        <v>35</v>
      </c>
      <c r="B34" s="499">
        <f>('Attainment 25+ by race &amp; gender'!CS33/'Pop 25+ by race &amp; gender'!AT32)*100</f>
        <v>83.869314021455992</v>
      </c>
      <c r="C34" s="625">
        <f>('Attainment 25+ by race &amp; gender'!DR33/'Pop 25+ by race &amp; gender'!CV32)*100</f>
        <v>85.299999999999983</v>
      </c>
      <c r="D34" s="500">
        <f>('Attainment 25+ by race &amp; gender'!CT33/'Pop 25+ by race &amp; gender'!AZ32)*100</f>
        <v>78.934698325013315</v>
      </c>
      <c r="E34" s="499">
        <f>IF('Pop 25+ by race &amp; gender'!CW32&gt;0,('Attainment 25+ by race &amp; gender'!DS33/'Pop 25+ by race &amp; gender'!CW32)*100,"—")</f>
        <v>87.5</v>
      </c>
      <c r="F34" s="500">
        <f>('Attainment 25+ by race &amp; gender'!CU33/'Pop 25+ by race &amp; gender'!BC32)*100</f>
        <v>0</v>
      </c>
      <c r="G34" s="499">
        <f>('Attainment 25+ by race &amp; gender'!DT33/'Pop 25+ by race &amp; gender'!CY32)*100</f>
        <v>57.699999999999996</v>
      </c>
      <c r="H34" s="500">
        <f>('Attainment 25+ by race &amp; gender'!NT33/'Pop 25+ by race &amp; gender'!AT32)*100</f>
        <v>19.328772330647865</v>
      </c>
      <c r="I34" s="499">
        <f>('Attainment 25+ by race &amp; gender'!PD33/'Pop 25+ by race &amp; gender'!CV32)*100</f>
        <v>22.400000000000002</v>
      </c>
      <c r="J34" s="500">
        <f>('Attainment 25+ by race &amp; gender'!NZ33/'Pop 25+ by race &amp; gender'!AZ32)*100</f>
        <v>12.018853102906519</v>
      </c>
      <c r="K34" s="499">
        <f>IF('Pop 25+ by race &amp; gender'!CW32&gt;0,('Attainment 25+ by race &amp; gender'!PE33/'Pop 25+ by race &amp; gender'!CW32)*100,"—")</f>
        <v>16.600000000000001</v>
      </c>
      <c r="L34" s="500">
        <f>('Attainment 25+ by race &amp; gender'!OC33/'Pop 25+ by race &amp; gender'!BC32)*100</f>
        <v>6.3974668367739058</v>
      </c>
      <c r="M34" s="616">
        <f>('Attainment 25+ by race &amp; gender'!PF33/'Pop 25+ by race &amp; gender'!CY32)*100</f>
        <v>8.1</v>
      </c>
      <c r="N34" s="493">
        <f>('Attainment 25+ by race &amp; gender'!CS33/'Pop 25+ by race &amp; gender'!AT32)*100</f>
        <v>83.869314021455992</v>
      </c>
      <c r="O34" s="626">
        <f>('Attainment 25+ by race &amp; gender'!DW33/'Pop 25+ by race &amp; gender'!DA32)*100</f>
        <v>85.984422116506806</v>
      </c>
      <c r="P34" s="494">
        <f>('Attainment 25+ by race &amp; gender'!CT33/'Pop 25+ by race &amp; gender'!AZ32)*100</f>
        <v>78.934698325013315</v>
      </c>
      <c r="Q34" s="493">
        <f>('Attainment 25+ by race &amp; gender'!DX33/'Pop 25+ by race &amp; gender'!DB32)*100</f>
        <v>87.544219766781666</v>
      </c>
      <c r="R34" s="494">
        <f>('Attainment 25+ by race &amp; gender'!CU33/'Pop 25+ by race &amp; gender'!BC32)*100</f>
        <v>0</v>
      </c>
      <c r="S34" s="493">
        <f>('Attainment 25+ by race &amp; gender'!DY33/'Pop 25+ by race &amp; gender'!DD32)*100</f>
        <v>59.43165792073659</v>
      </c>
      <c r="T34" s="494">
        <f>('Attainment 25+ by race &amp; gender'!NT33/'Pop 25+ by race &amp; gender'!AT32)*100</f>
        <v>19.328772330647865</v>
      </c>
      <c r="U34" s="493">
        <f>('Attainment 25+ by race &amp; gender'!PI33/'Pop 25+ by race &amp; gender'!DA32)*100</f>
        <v>22.830678270348407</v>
      </c>
      <c r="V34" s="494">
        <f>('Attainment 25+ by race &amp; gender'!NZ33/'Pop 25+ by race &amp; gender'!AZ32)*100</f>
        <v>12.018853102906519</v>
      </c>
      <c r="W34" s="493">
        <f>('Attainment 25+ by race &amp; gender'!PJ33/'Pop 25+ by race &amp; gender'!DB32)*100</f>
        <v>16.24958145899754</v>
      </c>
      <c r="X34" s="494">
        <f>('Attainment 25+ by race &amp; gender'!OC33/'Pop 25+ by race &amp; gender'!BC32)*100</f>
        <v>6.3974668367739058</v>
      </c>
      <c r="Y34" s="614">
        <f>('Attainment 25+ by race &amp; gender'!PK33/'Pop 25+ by race &amp; gender'!DD32)*100</f>
        <v>8.4466654675227524</v>
      </c>
      <c r="Z34" s="641">
        <f>('Attainment 25+ by race &amp; gender'!CS33/'Pop 25+ by race &amp; gender'!AT32)*100</f>
        <v>83.869314021455992</v>
      </c>
      <c r="AA34" s="642">
        <f>('Attainment 25+ by race &amp; gender'!EB33/'Pop 25+ by race &amp; gender'!DF32)*100</f>
        <v>92.406135935039018</v>
      </c>
      <c r="AB34" s="643">
        <f>('Attainment 25+ by race &amp; gender'!CT33/'Pop 25+ by race &amp; gender'!AZ32)*100</f>
        <v>78.934698325013315</v>
      </c>
      <c r="AC34" s="641">
        <f>('Attainment 25+ by race &amp; gender'!EC33/'Pop 25+ by race &amp; gender'!DG32)*100</f>
        <v>86.755690695214142</v>
      </c>
      <c r="AD34" s="643">
        <f>('Attainment 25+ by race &amp; gender'!CU33/'Pop 25+ by race &amp; gender'!BC32)*100</f>
        <v>0</v>
      </c>
      <c r="AE34" s="641">
        <f>('Attainment 25+ by race &amp; gender'!ED33/'Pop 25+ by race &amp; gender'!DI32)*100</f>
        <v>60.65266051244739</v>
      </c>
      <c r="AF34" s="643">
        <f>('Attainment 25+ by race &amp; gender'!NT33/'Pop 25+ by race &amp; gender'!AT32)*100</f>
        <v>19.328772330647865</v>
      </c>
      <c r="AG34" s="644">
        <f>('Attainment 25+ by race &amp; gender'!PN33/'Pop 25+ by race &amp; gender'!DF32)*100</f>
        <v>26.659560911888946</v>
      </c>
      <c r="AH34" s="643">
        <f>('Attainment 25+ by race &amp; gender'!NZ33/'Pop 25+ by race &amp; gender'!AZ32)*100</f>
        <v>12.018853102906519</v>
      </c>
      <c r="AI34" s="644">
        <f>('Attainment 25+ by race &amp; gender'!PO33/'Pop 25+ by race &amp; gender'!DG32)*100</f>
        <v>16.685699873189801</v>
      </c>
      <c r="AJ34" s="643">
        <f>('Attainment 25+ by race &amp; gender'!OC33/'Pop 25+ by race &amp; gender'!BC32)*100</f>
        <v>6.3974668367739058</v>
      </c>
      <c r="AK34" s="645">
        <f>('Attainment 25+ by race &amp; gender'!PP33/'Pop 25+ by race &amp; gender'!DI32)*100</f>
        <v>8.5519900158150293</v>
      </c>
      <c r="AL34" s="643">
        <f>('Attainment 25+ by race &amp; gender'!CS33/'Pop 25+ by race &amp; gender'!AT32)*100</f>
        <v>83.869314021455992</v>
      </c>
      <c r="AM34" s="645">
        <f>('Attainment 25+ by race &amp; gender'!EG33/'Pop 25+ by race &amp; gender'!DK32)*100</f>
        <v>93.044986841094385</v>
      </c>
      <c r="AN34" s="643">
        <v>78.934698325013315</v>
      </c>
      <c r="AO34" s="645">
        <f>IF('Pop 25+ by race &amp; gender'!DL32&gt;0, ('Attainment 25+ by race &amp; gender'!EH33/'Pop 25+ by race &amp; gender'!DL32)*100,"—")</f>
        <v>88.176556355763708</v>
      </c>
      <c r="AP34" s="645">
        <f>('Attainment 25+ by race &amp; gender'!CU33/'Pop 25+ by race &amp; gender'!BC32)*100</f>
        <v>0</v>
      </c>
      <c r="AQ34" s="645">
        <f>('Attainment 25+ by race &amp; gender'!EI33/'Pop 25+ by race &amp; gender'!DN32)*100</f>
        <v>62.977094935553446</v>
      </c>
      <c r="AR34" s="645">
        <f>('Attainment 25+ by race &amp; gender'!NT33/'Pop 25+ by race &amp; gender'!AT32)*100</f>
        <v>19.328772330647865</v>
      </c>
      <c r="AS34" s="645">
        <f>('Attainment 25+ by race &amp; gender'!PS33/'Pop 25+ by race &amp; gender'!DK32)*100</f>
        <v>28.774140293766092</v>
      </c>
      <c r="AT34" s="645">
        <f>('Attainment 25+ by race &amp; gender'!NZ33/'Pop 25+ by race &amp; gender'!AZ32)*100</f>
        <v>12.018853102906519</v>
      </c>
      <c r="AU34" s="645">
        <f>IF('Pop 25+ by race &amp; gender'!DL32&gt;0, ('Attainment 25+ by race &amp; gender'!PT33/'Pop 25+ by race &amp; gender'!DL32)*100,"—")</f>
        <v>16.732836376719202</v>
      </c>
      <c r="AV34" s="645">
        <f>('Attainment 25+ by race &amp; gender'!OC33/'Pop 25+ by race &amp; gender'!BC32)*100</f>
        <v>6.3974668367739058</v>
      </c>
      <c r="AW34" s="645">
        <f>('Attainment 25+ by race &amp; gender'!PU33/'Pop 25+ by race &amp; gender'!DN32)*100</f>
        <v>8.3123544909747782</v>
      </c>
      <c r="AX34" s="643">
        <f>('Attainment 25+ by race &amp; gender'!DR33/'Pop 25+ by race &amp; gender'!CV32)*100</f>
        <v>85.299999999999983</v>
      </c>
      <c r="AY34" s="645">
        <f>('Attainment 25+ by race &amp; gender'!EL33/'Pop 25+ by race &amp; gender'!DP32)*100</f>
        <v>93.395816423983376</v>
      </c>
      <c r="AZ34" s="643">
        <f>('Attainment 25+ by race &amp; gender'!DS33/'Pop 25+ by race &amp; gender'!CW32)*100</f>
        <v>87.5</v>
      </c>
      <c r="BA34" s="645">
        <f>IF('Pop 25+ by race &amp; gender'!DQ32&gt;0, ('Attainment 25+ by race &amp; gender'!EM33/'Pop 25+ by race &amp; gender'!DQ32)*100,"—")</f>
        <v>90.634577248963396</v>
      </c>
      <c r="BB34" s="645">
        <f>('Attainment 25+ by race &amp; gender'!DT33/'Pop 25+ by race &amp; gender'!CY32)*100</f>
        <v>57.699999999999996</v>
      </c>
      <c r="BC34" s="645">
        <f>('Attainment 25+ by race &amp; gender'!EN33/'Pop 25+ by race &amp; gender'!DS32)*100</f>
        <v>63.477138442749947</v>
      </c>
      <c r="BD34" s="645">
        <f>('Attainment 25+ by race &amp; gender'!PD33/'Pop 25+ by race &amp; gender'!CV32)*100</f>
        <v>22.400000000000002</v>
      </c>
      <c r="BE34" s="645">
        <f>('Attainment 25+ by race &amp; gender'!PX33/'Pop 25+ by race &amp; gender'!DP32)*100</f>
        <v>27.701741637229276</v>
      </c>
      <c r="BF34" s="645">
        <f>('Attainment 25+ by race &amp; gender'!PE33/'Pop 25+ by race &amp; gender'!CW32)*100</f>
        <v>16.600000000000001</v>
      </c>
      <c r="BG34" s="645">
        <f>IF('Pop 25+ by race &amp; gender'!DQ32&gt;0, ('Attainment 25+ by race &amp; gender'!PY33/'Pop 25+ by race &amp; gender'!DQ32)*100,"—")</f>
        <v>18.495883660837688</v>
      </c>
      <c r="BH34" s="645">
        <f>('Attainment 25+ by race &amp; gender'!PF33/'Pop 25+ by race &amp; gender'!CY32)*100</f>
        <v>8.1</v>
      </c>
      <c r="BI34" s="645">
        <f>('Attainment 25+ by race &amp; gender'!PZ33/'Pop 25+ by race &amp; gender'!DS32)*100</f>
        <v>9.5768422562328475</v>
      </c>
    </row>
    <row r="35" spans="1:61" ht="15.75" x14ac:dyDescent="0.25">
      <c r="A35" s="218" t="s">
        <v>38</v>
      </c>
      <c r="B35" s="499">
        <f>('Attainment 25+ by race &amp; gender'!CS34/'Pop 25+ by race &amp; gender'!AT33)*100</f>
        <v>83.308694362416276</v>
      </c>
      <c r="C35" s="625">
        <f>('Attainment 25+ by race &amp; gender'!DR34/'Pop 25+ by race &amp; gender'!CV33)*100</f>
        <v>85.6</v>
      </c>
      <c r="D35" s="500">
        <f>('Attainment 25+ by race &amp; gender'!CT34/'Pop 25+ by race &amp; gender'!AZ33)*100</f>
        <v>79.373801254471005</v>
      </c>
      <c r="E35" s="499">
        <f>IF('Pop 25+ by race &amp; gender'!CW33&gt;0,('Attainment 25+ by race &amp; gender'!DS34/'Pop 25+ by race &amp; gender'!CW33)*100,"—")</f>
        <v>87.5</v>
      </c>
      <c r="F35" s="500">
        <f>('Attainment 25+ by race &amp; gender'!CU34/'Pop 25+ by race &amp; gender'!BC33)*100</f>
        <v>64.3710661189033</v>
      </c>
      <c r="G35" s="499">
        <f>('Attainment 25+ by race &amp; gender'!DT34/'Pop 25+ by race &amp; gender'!CY33)*100</f>
        <v>71.000000000000014</v>
      </c>
      <c r="H35" s="500">
        <f>('Attainment 25+ by race &amp; gender'!NT34/'Pop 25+ by race &amp; gender'!AT33)*100</f>
        <v>28.001020553906852</v>
      </c>
      <c r="I35" s="499">
        <f>('Attainment 25+ by race &amp; gender'!PD34/'Pop 25+ by race &amp; gender'!CV33)*100</f>
        <v>28.9</v>
      </c>
      <c r="J35" s="500">
        <f>('Attainment 25+ by race &amp; gender'!NZ34/'Pop 25+ by race &amp; gender'!AZ33)*100</f>
        <v>18.796329894769581</v>
      </c>
      <c r="K35" s="499">
        <f>IF('Pop 25+ by race &amp; gender'!CW33&gt;0,('Attainment 25+ by race &amp; gender'!PE34/'Pop 25+ by race &amp; gender'!CW33)*100,"—")</f>
        <v>24.7</v>
      </c>
      <c r="L35" s="500">
        <f>('Attainment 25+ by race &amp; gender'!OC34/'Pop 25+ by race &amp; gender'!BC33)*100</f>
        <v>10.769775437612715</v>
      </c>
      <c r="M35" s="616">
        <f>('Attainment 25+ by race &amp; gender'!PF34/'Pop 25+ by race &amp; gender'!CY33)*100</f>
        <v>13</v>
      </c>
      <c r="N35" s="493">
        <f>('Attainment 25+ by race &amp; gender'!CS34/'Pop 25+ by race &amp; gender'!AT33)*100</f>
        <v>83.308694362416276</v>
      </c>
      <c r="O35" s="626">
        <f>('Attainment 25+ by race &amp; gender'!DW34/'Pop 25+ by race &amp; gender'!DA33)*100</f>
        <v>86.02924475842137</v>
      </c>
      <c r="P35" s="494">
        <f>('Attainment 25+ by race &amp; gender'!CT34/'Pop 25+ by race &amp; gender'!AZ33)*100</f>
        <v>79.373801254471005</v>
      </c>
      <c r="Q35" s="493">
        <f>('Attainment 25+ by race &amp; gender'!DX34/'Pop 25+ by race &amp; gender'!DB33)*100</f>
        <v>87.694461107778437</v>
      </c>
      <c r="R35" s="494">
        <f>('Attainment 25+ by race &amp; gender'!CU34/'Pop 25+ by race &amp; gender'!BC33)*100</f>
        <v>64.3710661189033</v>
      </c>
      <c r="S35" s="493">
        <f>('Attainment 25+ by race &amp; gender'!DY34/'Pop 25+ by race &amp; gender'!DD33)*100</f>
        <v>72.185124168430931</v>
      </c>
      <c r="T35" s="494">
        <f>('Attainment 25+ by race &amp; gender'!NT34/'Pop 25+ by race &amp; gender'!AT33)*100</f>
        <v>28.001020553906852</v>
      </c>
      <c r="U35" s="493">
        <f>('Attainment 25+ by race &amp; gender'!PI34/'Pop 25+ by race &amp; gender'!DA33)*100</f>
        <v>29.278925603652855</v>
      </c>
      <c r="V35" s="494">
        <f>('Attainment 25+ by race &amp; gender'!NZ34/'Pop 25+ by race &amp; gender'!AZ33)*100</f>
        <v>18.796329894769581</v>
      </c>
      <c r="W35" s="493">
        <f>('Attainment 25+ by race &amp; gender'!PJ34/'Pop 25+ by race &amp; gender'!DB33)*100</f>
        <v>26.690661867626474</v>
      </c>
      <c r="X35" s="494">
        <f>('Attainment 25+ by race &amp; gender'!OC34/'Pop 25+ by race &amp; gender'!BC33)*100</f>
        <v>10.769775437612715</v>
      </c>
      <c r="Y35" s="614">
        <f>('Attainment 25+ by race &amp; gender'!PK34/'Pop 25+ by race &amp; gender'!DD33)*100</f>
        <v>13.261722636425727</v>
      </c>
      <c r="Z35" s="641">
        <f>('Attainment 25+ by race &amp; gender'!CS34/'Pop 25+ by race &amp; gender'!AT33)*100</f>
        <v>83.308694362416276</v>
      </c>
      <c r="AA35" s="642">
        <f>('Attainment 25+ by race &amp; gender'!EB34/'Pop 25+ by race &amp; gender'!DF33)*100</f>
        <v>94.102587691887962</v>
      </c>
      <c r="AB35" s="643">
        <f>('Attainment 25+ by race &amp; gender'!CT34/'Pop 25+ by race &amp; gender'!AZ33)*100</f>
        <v>79.373801254471005</v>
      </c>
      <c r="AC35" s="641">
        <f>('Attainment 25+ by race &amp; gender'!EC34/'Pop 25+ by race &amp; gender'!DG33)*100</f>
        <v>88.761685945175088</v>
      </c>
      <c r="AD35" s="643">
        <f>('Attainment 25+ by race &amp; gender'!CU34/'Pop 25+ by race &amp; gender'!BC33)*100</f>
        <v>64.3710661189033</v>
      </c>
      <c r="AE35" s="641">
        <f>('Attainment 25+ by race &amp; gender'!ED34/'Pop 25+ by race &amp; gender'!DI33)*100</f>
        <v>72.727159938036806</v>
      </c>
      <c r="AF35" s="643">
        <f>('Attainment 25+ by race &amp; gender'!NT34/'Pop 25+ by race &amp; gender'!AT33)*100</f>
        <v>28.001020553906852</v>
      </c>
      <c r="AG35" s="644">
        <f>('Attainment 25+ by race &amp; gender'!PN34/'Pop 25+ by race &amp; gender'!DF33)*100</f>
        <v>38.542238351896913</v>
      </c>
      <c r="AH35" s="643">
        <f>('Attainment 25+ by race &amp; gender'!NZ34/'Pop 25+ by race &amp; gender'!AZ33)*100</f>
        <v>18.796329894769581</v>
      </c>
      <c r="AI35" s="644">
        <f>('Attainment 25+ by race &amp; gender'!PO34/'Pop 25+ by race &amp; gender'!DG33)*100</f>
        <v>26.984630011091742</v>
      </c>
      <c r="AJ35" s="643">
        <f>('Attainment 25+ by race &amp; gender'!OC34/'Pop 25+ by race &amp; gender'!BC33)*100</f>
        <v>10.769775437612715</v>
      </c>
      <c r="AK35" s="645">
        <f>('Attainment 25+ by race &amp; gender'!PP34/'Pop 25+ by race &amp; gender'!DI33)*100</f>
        <v>13.881454645998092</v>
      </c>
      <c r="AL35" s="643">
        <f>('Attainment 25+ by race &amp; gender'!CS34/'Pop 25+ by race &amp; gender'!AT33)*100</f>
        <v>83.308694362416276</v>
      </c>
      <c r="AM35" s="645">
        <f>('Attainment 25+ by race &amp; gender'!EG34/'Pop 25+ by race &amp; gender'!DK33)*100</f>
        <v>94.585402100307746</v>
      </c>
      <c r="AN35" s="643">
        <v>79.373801254471005</v>
      </c>
      <c r="AO35" s="645">
        <f>IF('Pop 25+ by race &amp; gender'!DL33&gt;0, ('Attainment 25+ by race &amp; gender'!EH34/'Pop 25+ by race &amp; gender'!DL33)*100,"—")</f>
        <v>90.299531871458242</v>
      </c>
      <c r="AP35" s="645">
        <f>('Attainment 25+ by race &amp; gender'!CU34/'Pop 25+ by race &amp; gender'!BC33)*100</f>
        <v>64.3710661189033</v>
      </c>
      <c r="AQ35" s="645">
        <f>('Attainment 25+ by race &amp; gender'!EI34/'Pop 25+ by race &amp; gender'!DN33)*100</f>
        <v>74.974706149970459</v>
      </c>
      <c r="AR35" s="645">
        <f>('Attainment 25+ by race &amp; gender'!NT34/'Pop 25+ by race &amp; gender'!AT33)*100</f>
        <v>28.001020553906852</v>
      </c>
      <c r="AS35" s="645">
        <f>('Attainment 25+ by race &amp; gender'!PS34/'Pop 25+ by race &amp; gender'!DK33)*100</f>
        <v>39.830893982538981</v>
      </c>
      <c r="AT35" s="645">
        <f>('Attainment 25+ by race &amp; gender'!NZ34/'Pop 25+ by race &amp; gender'!AZ33)*100</f>
        <v>18.796329894769581</v>
      </c>
      <c r="AU35" s="645">
        <f>IF('Pop 25+ by race &amp; gender'!DL33&gt;0, ('Attainment 25+ by race &amp; gender'!PT34/'Pop 25+ by race &amp; gender'!DL33)*100,"—")</f>
        <v>31.744746753018198</v>
      </c>
      <c r="AV35" s="645">
        <f>('Attainment 25+ by race &amp; gender'!OC34/'Pop 25+ by race &amp; gender'!BC33)*100</f>
        <v>10.769775437612715</v>
      </c>
      <c r="AW35" s="645">
        <f>('Attainment 25+ by race &amp; gender'!PU34/'Pop 25+ by race &amp; gender'!DN33)*100</f>
        <v>14.36113506576401</v>
      </c>
      <c r="AX35" s="643">
        <f>('Attainment 25+ by race &amp; gender'!DR34/'Pop 25+ by race &amp; gender'!CV33)*100</f>
        <v>85.6</v>
      </c>
      <c r="AY35" s="645">
        <f>('Attainment 25+ by race &amp; gender'!EL34/'Pop 25+ by race &amp; gender'!DP33)*100</f>
        <v>94.769442979431219</v>
      </c>
      <c r="AZ35" s="643">
        <f>('Attainment 25+ by race &amp; gender'!DS34/'Pop 25+ by race &amp; gender'!CW33)*100</f>
        <v>87.5</v>
      </c>
      <c r="BA35" s="645">
        <f>IF('Pop 25+ by race &amp; gender'!DQ33&gt;0, ('Attainment 25+ by race &amp; gender'!EM34/'Pop 25+ by race &amp; gender'!DQ33)*100,"—")</f>
        <v>92.175789680204048</v>
      </c>
      <c r="BB35" s="645">
        <f>('Attainment 25+ by race &amp; gender'!DT34/'Pop 25+ by race &amp; gender'!CY33)*100</f>
        <v>71.000000000000014</v>
      </c>
      <c r="BC35" s="645">
        <f>('Attainment 25+ by race &amp; gender'!EN34/'Pop 25+ by race &amp; gender'!DS33)*100</f>
        <v>75.942414634024033</v>
      </c>
      <c r="BD35" s="645">
        <f>('Attainment 25+ by race &amp; gender'!PD34/'Pop 25+ by race &amp; gender'!CV33)*100</f>
        <v>28.9</v>
      </c>
      <c r="BE35" s="645">
        <f>('Attainment 25+ by race &amp; gender'!PX34/'Pop 25+ by race &amp; gender'!DP33)*100</f>
        <v>40.23952290153759</v>
      </c>
      <c r="BF35" s="645">
        <f>('Attainment 25+ by race &amp; gender'!PE34/'Pop 25+ by race &amp; gender'!CW33)*100</f>
        <v>24.7</v>
      </c>
      <c r="BG35" s="645">
        <f>IF('Pop 25+ by race &amp; gender'!DQ33&gt;0, ('Attainment 25+ by race &amp; gender'!PY34/'Pop 25+ by race &amp; gender'!DQ33)*100,"—")</f>
        <v>28.616833431430255</v>
      </c>
      <c r="BH35" s="645">
        <f>('Attainment 25+ by race &amp; gender'!PF34/'Pop 25+ by race &amp; gender'!CY33)*100</f>
        <v>13</v>
      </c>
      <c r="BI35" s="645">
        <f>('Attainment 25+ by race &amp; gender'!PZ34/'Pop 25+ by race &amp; gender'!DS33)*100</f>
        <v>15.430645002231408</v>
      </c>
    </row>
    <row r="36" spans="1:61" ht="15.75" x14ac:dyDescent="0.25">
      <c r="A36" s="218" t="s">
        <v>42</v>
      </c>
      <c r="B36" s="499">
        <f>('Attainment 25+ by race &amp; gender'!CS35/'Pop 25+ by race &amp; gender'!AT34)*100</f>
        <v>87.108066304501449</v>
      </c>
      <c r="C36" s="625">
        <f>('Attainment 25+ by race &amp; gender'!DR35/'Pop 25+ by race &amp; gender'!CV34)*100</f>
        <v>90.9</v>
      </c>
      <c r="D36" s="500">
        <f>('Attainment 25+ by race &amp; gender'!CT35/'Pop 25+ by race &amp; gender'!AZ34)*100</f>
        <v>79.7718182414268</v>
      </c>
      <c r="E36" s="499">
        <f>IF('Pop 25+ by race &amp; gender'!CW34&gt;0,('Attainment 25+ by race &amp; gender'!DS35/'Pop 25+ by race &amp; gender'!CW34)*100,"—")</f>
        <v>84.899999999999991</v>
      </c>
      <c r="F36" s="500">
        <f>('Attainment 25+ by race &amp; gender'!CU35/'Pop 25+ by race &amp; gender'!BC34)*100</f>
        <v>48.820338278884336</v>
      </c>
      <c r="G36" s="499">
        <f>('Attainment 25+ by race &amp; gender'!DT35/'Pop 25+ by race &amp; gender'!CY34)*100</f>
        <v>56.699999999999996</v>
      </c>
      <c r="H36" s="500">
        <f>('Attainment 25+ by race &amp; gender'!NT35/'Pop 25+ by race &amp; gender'!AT34)*100</f>
        <v>25.708173003230822</v>
      </c>
      <c r="I36" s="499">
        <f>('Attainment 25+ by race &amp; gender'!PD35/'Pop 25+ by race &amp; gender'!CV34)*100</f>
        <v>29.7</v>
      </c>
      <c r="J36" s="500">
        <f>('Attainment 25+ by race &amp; gender'!NZ35/'Pop 25+ by race &amp; gender'!AZ34)*100</f>
        <v>17.798832863418792</v>
      </c>
      <c r="K36" s="499">
        <f>IF('Pop 25+ by race &amp; gender'!CW34&gt;0,('Attainment 25+ by race &amp; gender'!PE35/'Pop 25+ by race &amp; gender'!CW34)*100,"—")</f>
        <v>23.3</v>
      </c>
      <c r="L36" s="500">
        <f>('Attainment 25+ by race &amp; gender'!OC35/'Pop 25+ by race &amp; gender'!BC34)*100</f>
        <v>9.6274458106628948</v>
      </c>
      <c r="M36" s="616">
        <f>('Attainment 25+ by race &amp; gender'!PF35/'Pop 25+ by race &amp; gender'!CY34)*100</f>
        <v>11.3</v>
      </c>
      <c r="N36" s="493">
        <f>('Attainment 25+ by race &amp; gender'!CS35/'Pop 25+ by race &amp; gender'!AT34)*100</f>
        <v>87.108066304501449</v>
      </c>
      <c r="O36" s="626">
        <f>('Attainment 25+ by race &amp; gender'!DW35/'Pop 25+ by race &amp; gender'!DA34)*100</f>
        <v>91.008938225609143</v>
      </c>
      <c r="P36" s="494">
        <f>('Attainment 25+ by race &amp; gender'!CT35/'Pop 25+ by race &amp; gender'!AZ34)*100</f>
        <v>79.7718182414268</v>
      </c>
      <c r="Q36" s="493">
        <f>('Attainment 25+ by race &amp; gender'!DX35/'Pop 25+ by race &amp; gender'!DB34)*100</f>
        <v>86.119095525534163</v>
      </c>
      <c r="R36" s="494">
        <f>('Attainment 25+ by race &amp; gender'!CU35/'Pop 25+ by race &amp; gender'!BC34)*100</f>
        <v>48.820338278884336</v>
      </c>
      <c r="S36" s="493">
        <f>('Attainment 25+ by race &amp; gender'!DY35/'Pop 25+ by race &amp; gender'!DD34)*100</f>
        <v>57.792554743870085</v>
      </c>
      <c r="T36" s="494">
        <f>('Attainment 25+ by race &amp; gender'!NT35/'Pop 25+ by race &amp; gender'!AT34)*100</f>
        <v>25.708173003230822</v>
      </c>
      <c r="U36" s="493">
        <f>('Attainment 25+ by race &amp; gender'!PI35/'Pop 25+ by race &amp; gender'!DA34)*100</f>
        <v>29.882748496839088</v>
      </c>
      <c r="V36" s="494">
        <f>('Attainment 25+ by race &amp; gender'!NZ35/'Pop 25+ by race &amp; gender'!AZ34)*100</f>
        <v>17.798832863418792</v>
      </c>
      <c r="W36" s="493">
        <f>('Attainment 25+ by race &amp; gender'!PJ35/'Pop 25+ by race &amp; gender'!DB34)*100</f>
        <v>23.119670403372616</v>
      </c>
      <c r="X36" s="494">
        <f>('Attainment 25+ by race &amp; gender'!OC35/'Pop 25+ by race &amp; gender'!BC34)*100</f>
        <v>9.6274458106628948</v>
      </c>
      <c r="Y36" s="614">
        <f>('Attainment 25+ by race &amp; gender'!PK35/'Pop 25+ by race &amp; gender'!DD34)*100</f>
        <v>11.424710060659397</v>
      </c>
      <c r="Z36" s="641">
        <f>('Attainment 25+ by race &amp; gender'!CS35/'Pop 25+ by race &amp; gender'!AT34)*100</f>
        <v>87.108066304501449</v>
      </c>
      <c r="AA36" s="642">
        <f>('Attainment 25+ by race &amp; gender'!EB35/'Pop 25+ by race &amp; gender'!DF34)*100</f>
        <v>93.053755062684303</v>
      </c>
      <c r="AB36" s="643">
        <f>('Attainment 25+ by race &amp; gender'!CT35/'Pop 25+ by race &amp; gender'!AZ34)*100</f>
        <v>79.7718182414268</v>
      </c>
      <c r="AC36" s="641">
        <f>('Attainment 25+ by race &amp; gender'!EC35/'Pop 25+ by race &amp; gender'!DG34)*100</f>
        <v>87.008185285089752</v>
      </c>
      <c r="AD36" s="643">
        <f>('Attainment 25+ by race &amp; gender'!CU35/'Pop 25+ by race &amp; gender'!BC34)*100</f>
        <v>48.820338278884336</v>
      </c>
      <c r="AE36" s="641">
        <f>('Attainment 25+ by race &amp; gender'!ED35/'Pop 25+ by race &amp; gender'!DI34)*100</f>
        <v>58.957552377669067</v>
      </c>
      <c r="AF36" s="643">
        <f>('Attainment 25+ by race &amp; gender'!NT35/'Pop 25+ by race &amp; gender'!AT34)*100</f>
        <v>25.708173003230822</v>
      </c>
      <c r="AG36" s="644">
        <f>('Attainment 25+ by race &amp; gender'!PN35/'Pop 25+ by race &amp; gender'!DF34)*100</f>
        <v>31.615538702188147</v>
      </c>
      <c r="AH36" s="643">
        <f>('Attainment 25+ by race &amp; gender'!NZ35/'Pop 25+ by race &amp; gender'!AZ34)*100</f>
        <v>17.798832863418792</v>
      </c>
      <c r="AI36" s="644">
        <f>('Attainment 25+ by race &amp; gender'!PO35/'Pop 25+ by race &amp; gender'!DG34)*100</f>
        <v>22.121198028090411</v>
      </c>
      <c r="AJ36" s="643">
        <f>('Attainment 25+ by race &amp; gender'!OC35/'Pop 25+ by race &amp; gender'!BC34)*100</f>
        <v>9.6274458106628948</v>
      </c>
      <c r="AK36" s="645">
        <f>('Attainment 25+ by race &amp; gender'!PP35/'Pop 25+ by race &amp; gender'!DI34)*100</f>
        <v>12.330189873141526</v>
      </c>
      <c r="AL36" s="643">
        <f>('Attainment 25+ by race &amp; gender'!CS35/'Pop 25+ by race &amp; gender'!AT34)*100</f>
        <v>87.108066304501449</v>
      </c>
      <c r="AM36" s="645">
        <f>('Attainment 25+ by race &amp; gender'!EG35/'Pop 25+ by race &amp; gender'!DK34)*100</f>
        <v>93.427988489521496</v>
      </c>
      <c r="AN36" s="643">
        <v>79.7718182414268</v>
      </c>
      <c r="AO36" s="645">
        <f>IF('Pop 25+ by race &amp; gender'!DL34&gt;0, ('Attainment 25+ by race &amp; gender'!EH35/'Pop 25+ by race &amp; gender'!DL34)*100,"—")</f>
        <v>87.687994392710522</v>
      </c>
      <c r="AP36" s="645">
        <f>('Attainment 25+ by race &amp; gender'!CU35/'Pop 25+ by race &amp; gender'!BC34)*100</f>
        <v>48.820338278884336</v>
      </c>
      <c r="AQ36" s="645">
        <f>('Attainment 25+ by race &amp; gender'!EI35/'Pop 25+ by race &amp; gender'!DN34)*100</f>
        <v>61.858179301549775</v>
      </c>
      <c r="AR36" s="645">
        <f>('Attainment 25+ by race &amp; gender'!NT35/'Pop 25+ by race &amp; gender'!AT34)*100</f>
        <v>25.708173003230822</v>
      </c>
      <c r="AS36" s="645">
        <f>('Attainment 25+ by race &amp; gender'!PS35/'Pop 25+ by race &amp; gender'!DK34)*100</f>
        <v>33.62996547207166</v>
      </c>
      <c r="AT36" s="645">
        <f>('Attainment 25+ by race &amp; gender'!NZ35/'Pop 25+ by race &amp; gender'!AZ34)*100</f>
        <v>17.798832863418792</v>
      </c>
      <c r="AU36" s="645">
        <f>IF('Pop 25+ by race &amp; gender'!DL34&gt;0, ('Attainment 25+ by race &amp; gender'!PT35/'Pop 25+ by race &amp; gender'!DL34)*100,"—")</f>
        <v>28.667267447681986</v>
      </c>
      <c r="AV36" s="645">
        <f>('Attainment 25+ by race &amp; gender'!OC35/'Pop 25+ by race &amp; gender'!BC34)*100</f>
        <v>9.6274458106628948</v>
      </c>
      <c r="AW36" s="645">
        <f>('Attainment 25+ by race &amp; gender'!PU35/'Pop 25+ by race &amp; gender'!DN34)*100</f>
        <v>15.268781250243006</v>
      </c>
      <c r="AX36" s="643">
        <f>('Attainment 25+ by race &amp; gender'!DR35/'Pop 25+ by race &amp; gender'!CV34)*100</f>
        <v>90.9</v>
      </c>
      <c r="AY36" s="645">
        <f>('Attainment 25+ by race &amp; gender'!EL35/'Pop 25+ by race &amp; gender'!DP34)*100</f>
        <v>93.686429037501398</v>
      </c>
      <c r="AZ36" s="643">
        <f>('Attainment 25+ by race &amp; gender'!DS35/'Pop 25+ by race &amp; gender'!CW34)*100</f>
        <v>84.899999999999991</v>
      </c>
      <c r="BA36" s="645">
        <f>IF('Pop 25+ by race &amp; gender'!DQ34&gt;0, ('Attainment 25+ by race &amp; gender'!EM35/'Pop 25+ by race &amp; gender'!DQ34)*100,"—")</f>
        <v>86.70446232626189</v>
      </c>
      <c r="BB36" s="645">
        <f>('Attainment 25+ by race &amp; gender'!DT35/'Pop 25+ by race &amp; gender'!CY34)*100</f>
        <v>56.699999999999996</v>
      </c>
      <c r="BC36" s="645">
        <f>('Attainment 25+ by race &amp; gender'!EN35/'Pop 25+ by race &amp; gender'!DS34)*100</f>
        <v>62.931383875305393</v>
      </c>
      <c r="BD36" s="645">
        <f>('Attainment 25+ by race &amp; gender'!PD35/'Pop 25+ by race &amp; gender'!CV34)*100</f>
        <v>29.7</v>
      </c>
      <c r="BE36" s="645">
        <f>('Attainment 25+ by race &amp; gender'!PX35/'Pop 25+ by race &amp; gender'!DP34)*100</f>
        <v>34.479014062214965</v>
      </c>
      <c r="BF36" s="645">
        <f>('Attainment 25+ by race &amp; gender'!PE35/'Pop 25+ by race &amp; gender'!CW34)*100</f>
        <v>23.3</v>
      </c>
      <c r="BG36" s="645">
        <f>IF('Pop 25+ by race &amp; gender'!DQ34&gt;0, ('Attainment 25+ by race &amp; gender'!PY35/'Pop 25+ by race &amp; gender'!DQ34)*100,"—")</f>
        <v>21.576038364626513</v>
      </c>
      <c r="BH36" s="645">
        <f>('Attainment 25+ by race &amp; gender'!PF35/'Pop 25+ by race &amp; gender'!CY34)*100</f>
        <v>11.3</v>
      </c>
      <c r="BI36" s="645">
        <f>('Attainment 25+ by race &amp; gender'!PZ35/'Pop 25+ by race &amp; gender'!DS34)*100</f>
        <v>13.808071816821652</v>
      </c>
    </row>
    <row r="37" spans="1:61" ht="15.75" x14ac:dyDescent="0.25">
      <c r="A37" s="218" t="s">
        <v>46</v>
      </c>
      <c r="B37" s="499">
        <f>('Attainment 25+ by race &amp; gender'!CS36/'Pop 25+ by race &amp; gender'!AT35)*100</f>
        <v>89.863992650940887</v>
      </c>
      <c r="C37" s="625">
        <f>('Attainment 25+ by race &amp; gender'!DR36/'Pop 25+ by race &amp; gender'!CV35)*100</f>
        <v>91.999999999999986</v>
      </c>
      <c r="D37" s="500">
        <f>('Attainment 25+ by race &amp; gender'!CT36/'Pop 25+ by race &amp; gender'!AZ35)*100</f>
        <v>83.179089544772395</v>
      </c>
      <c r="E37" s="499">
        <f>IF('Pop 25+ by race &amp; gender'!CW35&gt;0,('Attainment 25+ by race &amp; gender'!DS36/'Pop 25+ by race &amp; gender'!CW35)*100,"—")</f>
        <v>82.999999999999986</v>
      </c>
      <c r="F37" s="500">
        <f>('Attainment 25+ by race &amp; gender'!CU36/'Pop 25+ by race &amp; gender'!BC35)*100</f>
        <v>56.494894842481891</v>
      </c>
      <c r="G37" s="499">
        <f>('Attainment 25+ by race &amp; gender'!DT36/'Pop 25+ by race &amp; gender'!CY35)*100</f>
        <v>63.4</v>
      </c>
      <c r="H37" s="500">
        <f>('Attainment 25+ by race &amp; gender'!NT36/'Pop 25+ by race &amp; gender'!AT35)*100</f>
        <v>27.100945445029939</v>
      </c>
      <c r="I37" s="499">
        <f>('Attainment 25+ by race &amp; gender'!PD36/'Pop 25+ by race &amp; gender'!CV35)*100</f>
        <v>30.3</v>
      </c>
      <c r="J37" s="500">
        <f>('Attainment 25+ by race &amp; gender'!NZ36/'Pop 25+ by race &amp; gender'!AZ35)*100</f>
        <v>19.772386193096548</v>
      </c>
      <c r="K37" s="499">
        <f>IF('Pop 25+ by race &amp; gender'!CW35&gt;0,('Attainment 25+ by race &amp; gender'!PE36/'Pop 25+ by race &amp; gender'!CW35)*100,"—")</f>
        <v>18.899999999999999</v>
      </c>
      <c r="L37" s="500">
        <f>('Attainment 25+ by race &amp; gender'!OC36/'Pop 25+ by race &amp; gender'!BC35)*100</f>
        <v>9.7587049480757493</v>
      </c>
      <c r="M37" s="616">
        <f>('Attainment 25+ by race &amp; gender'!PF36/'Pop 25+ by race &amp; gender'!CY35)*100</f>
        <v>11.5</v>
      </c>
      <c r="N37" s="493">
        <f>('Attainment 25+ by race &amp; gender'!CS36/'Pop 25+ by race &amp; gender'!AT35)*100</f>
        <v>89.863992650940887</v>
      </c>
      <c r="O37" s="626">
        <f>('Attainment 25+ by race &amp; gender'!DW36/'Pop 25+ by race &amp; gender'!DA35)*100</f>
        <v>92.390985983666624</v>
      </c>
      <c r="P37" s="494">
        <f>('Attainment 25+ by race &amp; gender'!CT36/'Pop 25+ by race &amp; gender'!AZ35)*100</f>
        <v>83.179089544772395</v>
      </c>
      <c r="Q37" s="493">
        <f>('Attainment 25+ by race &amp; gender'!DX36/'Pop 25+ by race &amp; gender'!DB35)*100</f>
        <v>85.967543979271781</v>
      </c>
      <c r="R37" s="494">
        <f>('Attainment 25+ by race &amp; gender'!CU36/'Pop 25+ by race &amp; gender'!BC35)*100</f>
        <v>56.494894842481891</v>
      </c>
      <c r="S37" s="493">
        <f>('Attainment 25+ by race &amp; gender'!DY36/'Pop 25+ by race &amp; gender'!DD35)*100</f>
        <v>63.991500212494692</v>
      </c>
      <c r="T37" s="494">
        <f>('Attainment 25+ by race &amp; gender'!NT36/'Pop 25+ by race &amp; gender'!AT35)*100</f>
        <v>27.100945445029939</v>
      </c>
      <c r="U37" s="493">
        <f>('Attainment 25+ by race &amp; gender'!PI36/'Pop 25+ by race &amp; gender'!DA35)*100</f>
        <v>30.986162428856073</v>
      </c>
      <c r="V37" s="494">
        <f>('Attainment 25+ by race &amp; gender'!NZ36/'Pop 25+ by race &amp; gender'!AZ35)*100</f>
        <v>19.772386193096548</v>
      </c>
      <c r="W37" s="493">
        <f>('Attainment 25+ by race &amp; gender'!PJ36/'Pop 25+ by race &amp; gender'!DB35)*100</f>
        <v>22.43965634801582</v>
      </c>
      <c r="X37" s="494">
        <f>('Attainment 25+ by race &amp; gender'!OC36/'Pop 25+ by race &amp; gender'!BC35)*100</f>
        <v>9.7587049480757493</v>
      </c>
      <c r="Y37" s="614">
        <f>('Attainment 25+ by race &amp; gender'!PK36/'Pop 25+ by race &amp; gender'!DD35)*100</f>
        <v>12.372857345233037</v>
      </c>
      <c r="Z37" s="641">
        <f>('Attainment 25+ by race &amp; gender'!CS36/'Pop 25+ by race &amp; gender'!AT35)*100</f>
        <v>89.863992650940887</v>
      </c>
      <c r="AA37" s="642">
        <f>('Attainment 25+ by race &amp; gender'!EB36/'Pop 25+ by race &amp; gender'!DF35)*100</f>
        <v>94.83367462458574</v>
      </c>
      <c r="AB37" s="643">
        <f>('Attainment 25+ by race &amp; gender'!CT36/'Pop 25+ by race &amp; gender'!AZ35)*100</f>
        <v>83.179089544772395</v>
      </c>
      <c r="AC37" s="641">
        <f>('Attainment 25+ by race &amp; gender'!EC36/'Pop 25+ by race &amp; gender'!DG35)*100</f>
        <v>85.464221595280847</v>
      </c>
      <c r="AD37" s="643">
        <f>('Attainment 25+ by race &amp; gender'!CU36/'Pop 25+ by race &amp; gender'!BC35)*100</f>
        <v>56.494894842481891</v>
      </c>
      <c r="AE37" s="641">
        <f>('Attainment 25+ by race &amp; gender'!ED36/'Pop 25+ by race &amp; gender'!DI35)*100</f>
        <v>64.487212849715689</v>
      </c>
      <c r="AF37" s="643">
        <f>('Attainment 25+ by race &amp; gender'!NT36/'Pop 25+ by race &amp; gender'!AT35)*100</f>
        <v>27.100945445029939</v>
      </c>
      <c r="AG37" s="644">
        <f>('Attainment 25+ by race &amp; gender'!PN36/'Pop 25+ by race &amp; gender'!DF35)*100</f>
        <v>33.106816702752319</v>
      </c>
      <c r="AH37" s="643">
        <f>('Attainment 25+ by race &amp; gender'!NZ36/'Pop 25+ by race &amp; gender'!AZ35)*100</f>
        <v>19.772386193096548</v>
      </c>
      <c r="AI37" s="644">
        <f>('Attainment 25+ by race &amp; gender'!PO36/'Pop 25+ by race &amp; gender'!DG35)*100</f>
        <v>22.473711208002051</v>
      </c>
      <c r="AJ37" s="643">
        <f>('Attainment 25+ by race &amp; gender'!OC36/'Pop 25+ by race &amp; gender'!BC35)*100</f>
        <v>9.7587049480757493</v>
      </c>
      <c r="AK37" s="645">
        <f>('Attainment 25+ by race &amp; gender'!PP36/'Pop 25+ by race &amp; gender'!DI35)*100</f>
        <v>12.758359125413179</v>
      </c>
      <c r="AL37" s="643">
        <f>('Attainment 25+ by race &amp; gender'!CS36/'Pop 25+ by race &amp; gender'!AT35)*100</f>
        <v>89.863992650940887</v>
      </c>
      <c r="AM37" s="645">
        <f>('Attainment 25+ by race &amp; gender'!EG36/'Pop 25+ by race &amp; gender'!DK35)*100</f>
        <v>95.122779073250342</v>
      </c>
      <c r="AN37" s="643">
        <v>83.179089544772395</v>
      </c>
      <c r="AO37" s="645">
        <f>IF('Pop 25+ by race &amp; gender'!DL35&gt;0, ('Attainment 25+ by race &amp; gender'!EH36/'Pop 25+ by race &amp; gender'!DL35)*100,"—")</f>
        <v>88.755160183731604</v>
      </c>
      <c r="AP37" s="645">
        <f>('Attainment 25+ by race &amp; gender'!CU36/'Pop 25+ by race &amp; gender'!BC35)*100</f>
        <v>56.494894842481891</v>
      </c>
      <c r="AQ37" s="645">
        <f>('Attainment 25+ by race &amp; gender'!EI36/'Pop 25+ by race &amp; gender'!DN35)*100</f>
        <v>68.023382975762033</v>
      </c>
      <c r="AR37" s="645">
        <f>('Attainment 25+ by race &amp; gender'!NT36/'Pop 25+ by race &amp; gender'!AT35)*100</f>
        <v>27.100945445029939</v>
      </c>
      <c r="AS37" s="645">
        <f>('Attainment 25+ by race &amp; gender'!PS36/'Pop 25+ by race &amp; gender'!DK35)*100</f>
        <v>34.551069767962666</v>
      </c>
      <c r="AT37" s="645">
        <f>('Attainment 25+ by race &amp; gender'!NZ36/'Pop 25+ by race &amp; gender'!AZ35)*100</f>
        <v>19.772386193096548</v>
      </c>
      <c r="AU37" s="645">
        <f>IF('Pop 25+ by race &amp; gender'!DL35&gt;0, ('Attainment 25+ by race &amp; gender'!PT36/'Pop 25+ by race &amp; gender'!DL35)*100,"—")</f>
        <v>25.803825803825802</v>
      </c>
      <c r="AV37" s="645">
        <f>('Attainment 25+ by race &amp; gender'!OC36/'Pop 25+ by race &amp; gender'!BC35)*100</f>
        <v>9.7587049480757493</v>
      </c>
      <c r="AW37" s="645">
        <f>('Attainment 25+ by race &amp; gender'!PU36/'Pop 25+ by race &amp; gender'!DN35)*100</f>
        <v>11.472769570317936</v>
      </c>
      <c r="AX37" s="643">
        <f>('Attainment 25+ by race &amp; gender'!DR36/'Pop 25+ by race &amp; gender'!CV35)*100</f>
        <v>91.999999999999986</v>
      </c>
      <c r="AY37" s="645">
        <f>('Attainment 25+ by race &amp; gender'!EL36/'Pop 25+ by race &amp; gender'!DP35)*100</f>
        <v>95.428115895577278</v>
      </c>
      <c r="AZ37" s="643">
        <f>('Attainment 25+ by race &amp; gender'!DS36/'Pop 25+ by race &amp; gender'!CW35)*100</f>
        <v>82.999999999999986</v>
      </c>
      <c r="BA37" s="645">
        <f>IF('Pop 25+ by race &amp; gender'!DQ35&gt;0, ('Attainment 25+ by race &amp; gender'!EM36/'Pop 25+ by race &amp; gender'!DQ35)*100,"—")</f>
        <v>84.108101865219155</v>
      </c>
      <c r="BB37" s="645">
        <f>('Attainment 25+ by race &amp; gender'!DT36/'Pop 25+ by race &amp; gender'!CY35)*100</f>
        <v>63.4</v>
      </c>
      <c r="BC37" s="645">
        <f>('Attainment 25+ by race &amp; gender'!EN36/'Pop 25+ by race &amp; gender'!DS35)*100</f>
        <v>68.045356475972099</v>
      </c>
      <c r="BD37" s="645">
        <f>('Attainment 25+ by race &amp; gender'!PD36/'Pop 25+ by race &amp; gender'!CV35)*100</f>
        <v>30.3</v>
      </c>
      <c r="BE37" s="645">
        <f>('Attainment 25+ by race &amp; gender'!PX36/'Pop 25+ by race &amp; gender'!DP35)*100</f>
        <v>35.344918507925946</v>
      </c>
      <c r="BF37" s="645">
        <f>('Attainment 25+ by race &amp; gender'!PE36/'Pop 25+ by race &amp; gender'!CW35)*100</f>
        <v>18.899999999999999</v>
      </c>
      <c r="BG37" s="645">
        <f>IF('Pop 25+ by race &amp; gender'!DQ35&gt;0, ('Attainment 25+ by race &amp; gender'!PY36/'Pop 25+ by race &amp; gender'!DQ35)*100,"—")</f>
        <v>22.359531096610265</v>
      </c>
      <c r="BH37" s="645">
        <f>('Attainment 25+ by race &amp; gender'!PF36/'Pop 25+ by race &amp; gender'!CY35)*100</f>
        <v>11.5</v>
      </c>
      <c r="BI37" s="645">
        <f>('Attainment 25+ by race &amp; gender'!PZ36/'Pop 25+ by race &amp; gender'!DS35)*100</f>
        <v>13.094166932729612</v>
      </c>
    </row>
    <row r="38" spans="1:61" ht="15.75" x14ac:dyDescent="0.25">
      <c r="A38" s="218" t="s">
        <v>48</v>
      </c>
      <c r="B38" s="499">
        <f>('Attainment 25+ by race &amp; gender'!CS37/'Pop 25+ by race &amp; gender'!AT36)*100</f>
        <v>89.258588520892616</v>
      </c>
      <c r="C38" s="625">
        <f>('Attainment 25+ by race &amp; gender'!DR37/'Pop 25+ by race &amp; gender'!CV36)*100</f>
        <v>92</v>
      </c>
      <c r="D38" s="500">
        <f>('Attainment 25+ by race &amp; gender'!CT37/'Pop 25+ by race &amp; gender'!AZ36)*100</f>
        <v>83.951603910344573</v>
      </c>
      <c r="E38" s="499">
        <f>IF('Pop 25+ by race &amp; gender'!CW36&gt;0,('Attainment 25+ by race &amp; gender'!DS37/'Pop 25+ by race &amp; gender'!CW36)*100,"—")</f>
        <v>87.6</v>
      </c>
      <c r="F38" s="500">
        <f>('Attainment 25+ by race &amp; gender'!CU37/'Pop 25+ by race &amp; gender'!BC36)*100</f>
        <v>53.012954658694568</v>
      </c>
      <c r="G38" s="499">
        <f>('Attainment 25+ by race &amp; gender'!DT37/'Pop 25+ by race &amp; gender'!CY36)*100</f>
        <v>59.099999999999994</v>
      </c>
      <c r="H38" s="500">
        <f>('Attainment 25+ by race &amp; gender'!NT37/'Pop 25+ by race &amp; gender'!AT36)*100</f>
        <v>28.54812985590549</v>
      </c>
      <c r="I38" s="499">
        <f>('Attainment 25+ by race &amp; gender'!PD37/'Pop 25+ by race &amp; gender'!CV36)*100</f>
        <v>31.900000000000002</v>
      </c>
      <c r="J38" s="500">
        <f>('Attainment 25+ by race &amp; gender'!NZ37/'Pop 25+ by race &amp; gender'!AZ36)*100</f>
        <v>19.373304092480392</v>
      </c>
      <c r="K38" s="499">
        <f>IF('Pop 25+ by race &amp; gender'!CW36&gt;0,('Attainment 25+ by race &amp; gender'!PE37/'Pop 25+ by race &amp; gender'!CW36)*100,"—")</f>
        <v>20.8</v>
      </c>
      <c r="L38" s="500">
        <f>('Attainment 25+ by race &amp; gender'!OC37/'Pop 25+ by race &amp; gender'!BC36)*100</f>
        <v>11.128550074738415</v>
      </c>
      <c r="M38" s="616">
        <f>('Attainment 25+ by race &amp; gender'!PF37/'Pop 25+ by race &amp; gender'!CY36)*100</f>
        <v>12.299999999999999</v>
      </c>
      <c r="N38" s="493">
        <f>('Attainment 25+ by race &amp; gender'!CS37/'Pop 25+ by race &amp; gender'!AT36)*100</f>
        <v>89.258588520892616</v>
      </c>
      <c r="O38" s="626">
        <f>('Attainment 25+ by race &amp; gender'!DW37/'Pop 25+ by race &amp; gender'!DA36)*100</f>
        <v>92.133882555615969</v>
      </c>
      <c r="P38" s="494">
        <f>('Attainment 25+ by race &amp; gender'!CT37/'Pop 25+ by race &amp; gender'!AZ36)*100</f>
        <v>83.951603910344573</v>
      </c>
      <c r="Q38" s="493">
        <f>('Attainment 25+ by race &amp; gender'!DX37/'Pop 25+ by race &amp; gender'!DB36)*100</f>
        <v>88.191906483201194</v>
      </c>
      <c r="R38" s="494">
        <f>('Attainment 25+ by race &amp; gender'!CU37/'Pop 25+ by race &amp; gender'!BC36)*100</f>
        <v>53.012954658694568</v>
      </c>
      <c r="S38" s="493">
        <f>('Attainment 25+ by race &amp; gender'!DY37/'Pop 25+ by race &amp; gender'!DD36)*100</f>
        <v>60.655096956370301</v>
      </c>
      <c r="T38" s="494">
        <f>('Attainment 25+ by race &amp; gender'!NT37/'Pop 25+ by race &amp; gender'!AT36)*100</f>
        <v>28.54812985590549</v>
      </c>
      <c r="U38" s="493">
        <f>('Attainment 25+ by race &amp; gender'!PI37/'Pop 25+ by race &amp; gender'!DA36)*100</f>
        <v>32.113115622732622</v>
      </c>
      <c r="V38" s="494">
        <f>('Attainment 25+ by race &amp; gender'!NZ37/'Pop 25+ by race &amp; gender'!AZ36)*100</f>
        <v>19.373304092480392</v>
      </c>
      <c r="W38" s="493">
        <f>('Attainment 25+ by race &amp; gender'!PJ37/'Pop 25+ by race &amp; gender'!DB36)*100</f>
        <v>20.166556827032533</v>
      </c>
      <c r="X38" s="494">
        <f>('Attainment 25+ by race &amp; gender'!OC37/'Pop 25+ by race &amp; gender'!BC36)*100</f>
        <v>11.128550074738415</v>
      </c>
      <c r="Y38" s="614">
        <f>('Attainment 25+ by race &amp; gender'!PK37/'Pop 25+ by race &amp; gender'!DD36)*100</f>
        <v>12.267314017394447</v>
      </c>
      <c r="Z38" s="641">
        <f>('Attainment 25+ by race &amp; gender'!CS37/'Pop 25+ by race &amp; gender'!AT36)*100</f>
        <v>89.258588520892616</v>
      </c>
      <c r="AA38" s="642">
        <f>('Attainment 25+ by race &amp; gender'!EB37/'Pop 25+ by race &amp; gender'!DF36)*100</f>
        <v>93.954087705899269</v>
      </c>
      <c r="AB38" s="643">
        <f>('Attainment 25+ by race &amp; gender'!CT37/'Pop 25+ by race &amp; gender'!AZ36)*100</f>
        <v>83.951603910344573</v>
      </c>
      <c r="AC38" s="641">
        <f>('Attainment 25+ by race &amp; gender'!EC37/'Pop 25+ by race &amp; gender'!DG36)*100</f>
        <v>87.638670819283931</v>
      </c>
      <c r="AD38" s="643">
        <f>('Attainment 25+ by race &amp; gender'!CU37/'Pop 25+ by race &amp; gender'!BC36)*100</f>
        <v>53.012954658694568</v>
      </c>
      <c r="AE38" s="641">
        <f>('Attainment 25+ by race &amp; gender'!ED37/'Pop 25+ by race &amp; gender'!DI36)*100</f>
        <v>61.761465628153864</v>
      </c>
      <c r="AF38" s="643">
        <f>('Attainment 25+ by race &amp; gender'!NT37/'Pop 25+ by race &amp; gender'!AT36)*100</f>
        <v>28.54812985590549</v>
      </c>
      <c r="AG38" s="644">
        <f>('Attainment 25+ by race &amp; gender'!PN37/'Pop 25+ by race &amp; gender'!DF36)*100</f>
        <v>33.727604839994171</v>
      </c>
      <c r="AH38" s="643">
        <f>('Attainment 25+ by race &amp; gender'!NZ37/'Pop 25+ by race &amp; gender'!AZ36)*100</f>
        <v>19.373304092480392</v>
      </c>
      <c r="AI38" s="644">
        <f>('Attainment 25+ by race &amp; gender'!PO37/'Pop 25+ by race &amp; gender'!DG36)*100</f>
        <v>20.359836297649998</v>
      </c>
      <c r="AJ38" s="643">
        <f>('Attainment 25+ by race &amp; gender'!OC37/'Pop 25+ by race &amp; gender'!BC36)*100</f>
        <v>11.128550074738415</v>
      </c>
      <c r="AK38" s="645">
        <f>('Attainment 25+ by race &amp; gender'!PP37/'Pop 25+ by race &amp; gender'!DI36)*100</f>
        <v>13.173242116778761</v>
      </c>
      <c r="AL38" s="643">
        <f>('Attainment 25+ by race &amp; gender'!CS37/'Pop 25+ by race &amp; gender'!AT36)*100</f>
        <v>89.258588520892616</v>
      </c>
      <c r="AM38" s="645">
        <f>('Attainment 25+ by race &amp; gender'!EG37/'Pop 25+ by race &amp; gender'!DK36)*100</f>
        <v>94.380060457124031</v>
      </c>
      <c r="AN38" s="643">
        <v>83.951603910344573</v>
      </c>
      <c r="AO38" s="645">
        <f>IF('Pop 25+ by race &amp; gender'!DL36&gt;0, ('Attainment 25+ by race &amp; gender'!EH37/'Pop 25+ by race &amp; gender'!DL36)*100,"—")</f>
        <v>90.416717214606336</v>
      </c>
      <c r="AP38" s="645">
        <f>('Attainment 25+ by race &amp; gender'!CU37/'Pop 25+ by race &amp; gender'!BC36)*100</f>
        <v>53.012954658694568</v>
      </c>
      <c r="AQ38" s="645">
        <f>('Attainment 25+ by race &amp; gender'!EI37/'Pop 25+ by race &amp; gender'!DN36)*100</f>
        <v>64.41491308325709</v>
      </c>
      <c r="AR38" s="645">
        <f>('Attainment 25+ by race &amp; gender'!NT37/'Pop 25+ by race &amp; gender'!AT36)*100</f>
        <v>28.54812985590549</v>
      </c>
      <c r="AS38" s="645">
        <f>('Attainment 25+ by race &amp; gender'!PS37/'Pop 25+ by race &amp; gender'!DK36)*100</f>
        <v>35.802613799596678</v>
      </c>
      <c r="AT38" s="645">
        <f>('Attainment 25+ by race &amp; gender'!NZ37/'Pop 25+ by race &amp; gender'!AZ36)*100</f>
        <v>19.373304092480392</v>
      </c>
      <c r="AU38" s="645">
        <f>IF('Pop 25+ by race &amp; gender'!DL36&gt;0, ('Attainment 25+ by race &amp; gender'!PT37/'Pop 25+ by race &amp; gender'!DL36)*100,"—")</f>
        <v>23.228193618828097</v>
      </c>
      <c r="AV38" s="645">
        <f>('Attainment 25+ by race &amp; gender'!OC37/'Pop 25+ by race &amp; gender'!BC36)*100</f>
        <v>11.128550074738415</v>
      </c>
      <c r="AW38" s="645">
        <f>('Attainment 25+ by race &amp; gender'!PU37/'Pop 25+ by race &amp; gender'!DN36)*100</f>
        <v>13.785224153705396</v>
      </c>
      <c r="AX38" s="643">
        <f>('Attainment 25+ by race &amp; gender'!DR37/'Pop 25+ by race &amp; gender'!CV36)*100</f>
        <v>92</v>
      </c>
      <c r="AY38" s="645">
        <f>('Attainment 25+ by race &amp; gender'!EL37/'Pop 25+ by race &amp; gender'!DP36)*100</f>
        <v>94.699692133203797</v>
      </c>
      <c r="AZ38" s="643">
        <f>('Attainment 25+ by race &amp; gender'!DS37/'Pop 25+ by race &amp; gender'!CW36)*100</f>
        <v>87.6</v>
      </c>
      <c r="BA38" s="645">
        <f>IF('Pop 25+ by race &amp; gender'!DQ36&gt;0, ('Attainment 25+ by race &amp; gender'!EM37/'Pop 25+ by race &amp; gender'!DQ36)*100,"—")</f>
        <v>85.867513097654225</v>
      </c>
      <c r="BB38" s="645">
        <f>('Attainment 25+ by race &amp; gender'!DT37/'Pop 25+ by race &amp; gender'!CY36)*100</f>
        <v>59.099999999999994</v>
      </c>
      <c r="BC38" s="645">
        <f>('Attainment 25+ by race &amp; gender'!EN37/'Pop 25+ by race &amp; gender'!DS36)*100</f>
        <v>64.694431728790661</v>
      </c>
      <c r="BD38" s="645">
        <f>('Attainment 25+ by race &amp; gender'!PD37/'Pop 25+ by race &amp; gender'!CV36)*100</f>
        <v>31.900000000000002</v>
      </c>
      <c r="BE38" s="645">
        <f>('Attainment 25+ by race &amp; gender'!PX37/'Pop 25+ by race &amp; gender'!DP36)*100</f>
        <v>36.688799211990009</v>
      </c>
      <c r="BF38" s="645">
        <f>('Attainment 25+ by race &amp; gender'!PE37/'Pop 25+ by race &amp; gender'!CW36)*100</f>
        <v>20.8</v>
      </c>
      <c r="BG38" s="645">
        <f>IF('Pop 25+ by race &amp; gender'!DQ36&gt;0, ('Attainment 25+ by race &amp; gender'!PY37/'Pop 25+ by race &amp; gender'!DQ36)*100,"—")</f>
        <v>25.191744937933642</v>
      </c>
      <c r="BH38" s="645">
        <f>('Attainment 25+ by race &amp; gender'!PF37/'Pop 25+ by race &amp; gender'!CY36)*100</f>
        <v>12.299999999999999</v>
      </c>
      <c r="BI38" s="645">
        <f>('Attainment 25+ by race &amp; gender'!PZ37/'Pop 25+ by race &amp; gender'!DS36)*100</f>
        <v>15.268191656259583</v>
      </c>
    </row>
    <row r="39" spans="1:61" ht="15.75" x14ac:dyDescent="0.25">
      <c r="A39" s="222" t="s">
        <v>50</v>
      </c>
      <c r="B39" s="501">
        <f>('Attainment 25+ by race &amp; gender'!CS38/'Pop 25+ by race &amp; gender'!AT37)*100</f>
        <v>88.765099852221425</v>
      </c>
      <c r="C39" s="630">
        <f>('Attainment 25+ by race &amp; gender'!DR38/'Pop 25+ by race &amp; gender'!CV37)*100</f>
        <v>92.8</v>
      </c>
      <c r="D39" s="502">
        <f>('Attainment 25+ by race &amp; gender'!CT38/'Pop 25+ by race &amp; gender'!AZ37)*100</f>
        <v>86.655405405405403</v>
      </c>
      <c r="E39" s="501" t="str">
        <f>IF('Pop 25+ by race &amp; gender'!CW37&gt;0,('Attainment 25+ by race &amp; gender'!DS38/'Pop 25+ by race &amp; gender'!CW37)*100,"—")</f>
        <v>—</v>
      </c>
      <c r="F39" s="502">
        <f>('Attainment 25+ by race &amp; gender'!CU38/'Pop 25+ by race &amp; gender'!BC37)*100</f>
        <v>66.294390764211315</v>
      </c>
      <c r="G39" s="501">
        <f>('Attainment 25+ by race &amp; gender'!DT38/'Pop 25+ by race &amp; gender'!CY37)*100</f>
        <v>75.999999999999986</v>
      </c>
      <c r="H39" s="502">
        <f>('Attainment 25+ by race &amp; gender'!NT38/'Pop 25+ by race &amp; gender'!AT37)*100</f>
        <v>22.587752003145379</v>
      </c>
      <c r="I39" s="501">
        <f>('Attainment 25+ by race &amp; gender'!PD38/'Pop 25+ by race &amp; gender'!CV37)*100</f>
        <v>24.9</v>
      </c>
      <c r="J39" s="502">
        <f>('Attainment 25+ by race &amp; gender'!NZ38/'Pop 25+ by race &amp; gender'!AZ37)*100</f>
        <v>18.637387387387388</v>
      </c>
      <c r="K39" s="501" t="str">
        <f>IF('Pop 25+ by race &amp; gender'!CW37&gt;0,('Attainment 25+ by race &amp; gender'!PE38/'Pop 25+ by race &amp; gender'!CW37)*100,"—")</f>
        <v>—</v>
      </c>
      <c r="L39" s="502">
        <f>('Attainment 25+ by race &amp; gender'!OC38/'Pop 25+ by race &amp; gender'!BC37)*100</f>
        <v>7.755050821934999</v>
      </c>
      <c r="M39" s="617">
        <f>('Attainment 25+ by race &amp; gender'!PF38/'Pop 25+ by race &amp; gender'!CY37)*100</f>
        <v>11.4</v>
      </c>
      <c r="N39" s="497">
        <f>('Attainment 25+ by race &amp; gender'!CS38/'Pop 25+ by race &amp; gender'!AT37)*100</f>
        <v>88.765099852221425</v>
      </c>
      <c r="O39" s="631">
        <f>('Attainment 25+ by race &amp; gender'!DW38/'Pop 25+ by race &amp; gender'!DA37)*100</f>
        <v>92.711911879869447</v>
      </c>
      <c r="P39" s="498">
        <f>('Attainment 25+ by race &amp; gender'!CT38/'Pop 25+ by race &amp; gender'!AZ37)*100</f>
        <v>86.655405405405403</v>
      </c>
      <c r="Q39" s="607">
        <f>('Attainment 25+ by race &amp; gender'!DX38/'Pop 25+ by race &amp; gender'!DB37)*100</f>
        <v>85.926181441876508</v>
      </c>
      <c r="R39" s="498">
        <f>('Attainment 25+ by race &amp; gender'!CU38/'Pop 25+ by race &amp; gender'!BC37)*100</f>
        <v>66.294390764211315</v>
      </c>
      <c r="S39" s="607">
        <f>('Attainment 25+ by race &amp; gender'!DY38/'Pop 25+ by race &amp; gender'!DD37)*100</f>
        <v>76.536453645364531</v>
      </c>
      <c r="T39" s="498">
        <f>('Attainment 25+ by race &amp; gender'!NT38/'Pop 25+ by race &amp; gender'!AT37)*100</f>
        <v>22.587752003145379</v>
      </c>
      <c r="U39" s="607">
        <f>('Attainment 25+ by race &amp; gender'!PI38/'Pop 25+ by race &amp; gender'!DA37)*100</f>
        <v>25.218785547292548</v>
      </c>
      <c r="V39" s="498">
        <f>('Attainment 25+ by race &amp; gender'!NZ38/'Pop 25+ by race &amp; gender'!AZ37)*100</f>
        <v>18.637387387387388</v>
      </c>
      <c r="W39" s="607">
        <f>('Attainment 25+ by race &amp; gender'!PJ38/'Pop 25+ by race &amp; gender'!DB37)*100</f>
        <v>12.107623318385651</v>
      </c>
      <c r="X39" s="498">
        <f>('Attainment 25+ by race &amp; gender'!OC38/'Pop 25+ by race &amp; gender'!BC37)*100</f>
        <v>7.755050821934999</v>
      </c>
      <c r="Y39" s="615">
        <f>('Attainment 25+ by race &amp; gender'!PK38/'Pop 25+ by race &amp; gender'!DD37)*100</f>
        <v>12.536453645364537</v>
      </c>
      <c r="Z39" s="687">
        <f>('Attainment 25+ by race &amp; gender'!CS38/'Pop 25+ by race &amp; gender'!AT37)*100</f>
        <v>88.765099852221425</v>
      </c>
      <c r="AA39" s="656">
        <f>('Attainment 25+ by race &amp; gender'!EB38/'Pop 25+ by race &amp; gender'!DF37)*100</f>
        <v>93.969078177951531</v>
      </c>
      <c r="AB39" s="649">
        <f>('Attainment 25+ by race &amp; gender'!CT38/'Pop 25+ by race &amp; gender'!AZ37)*100</f>
        <v>86.655405405405403</v>
      </c>
      <c r="AC39" s="650">
        <f>('Attainment 25+ by race &amp; gender'!EC38/'Pop 25+ by race &amp; gender'!DG37)*100</f>
        <v>89.983739837398375</v>
      </c>
      <c r="AD39" s="649">
        <f>('Attainment 25+ by race &amp; gender'!CU38/'Pop 25+ by race &amp; gender'!BC37)*100</f>
        <v>66.294390764211315</v>
      </c>
      <c r="AE39" s="650">
        <f>('Attainment 25+ by race &amp; gender'!ED38/'Pop 25+ by race &amp; gender'!DI37)*100</f>
        <v>75.422432376051745</v>
      </c>
      <c r="AF39" s="649">
        <f>('Attainment 25+ by race &amp; gender'!NT38/'Pop 25+ by race &amp; gender'!AT37)*100</f>
        <v>22.587752003145379</v>
      </c>
      <c r="AG39" s="651">
        <f>('Attainment 25+ by race &amp; gender'!PN38/'Pop 25+ by race &amp; gender'!DF37)*100</f>
        <v>26.655639538535624</v>
      </c>
      <c r="AH39" s="649">
        <f>('Attainment 25+ by race &amp; gender'!NZ38/'Pop 25+ by race &amp; gender'!AZ37)*100</f>
        <v>18.637387387387388</v>
      </c>
      <c r="AI39" s="651">
        <f>('Attainment 25+ by race &amp; gender'!PO38/'Pop 25+ by race &amp; gender'!DG37)*100</f>
        <v>15.186991869918698</v>
      </c>
      <c r="AJ39" s="649">
        <f>('Attainment 25+ by race &amp; gender'!OC38/'Pop 25+ by race &amp; gender'!BC37)*100</f>
        <v>7.755050821934999</v>
      </c>
      <c r="AK39" s="651">
        <f>('Attainment 25+ by race &amp; gender'!PP38/'Pop 25+ by race &amp; gender'!DI37)*100</f>
        <v>11.442180655030944</v>
      </c>
      <c r="AL39" s="649">
        <f>('Attainment 25+ by race &amp; gender'!CS38/'Pop 25+ by race &amp; gender'!AT37)*100</f>
        <v>88.765099852221425</v>
      </c>
      <c r="AM39" s="651">
        <f>('Attainment 25+ by race &amp; gender'!EG38/'Pop 25+ by race &amp; gender'!DK37)*100</f>
        <v>94.326495671180339</v>
      </c>
      <c r="AN39" s="649">
        <v>86.655405405405403</v>
      </c>
      <c r="AO39" s="645" t="str">
        <f>IF('Pop 25+ by race &amp; gender'!DL37&gt;0, ('Attainment 25+ by race &amp; gender'!EH38/'Pop 25+ by race &amp; gender'!DL37)*100,"—")</f>
        <v>—</v>
      </c>
      <c r="AP39" s="651">
        <f>('Attainment 25+ by race &amp; gender'!CU38/'Pop 25+ by race &amp; gender'!BC37)*100</f>
        <v>66.294390764211315</v>
      </c>
      <c r="AQ39" s="651">
        <f>('Attainment 25+ by race &amp; gender'!EI38/'Pop 25+ by race &amp; gender'!DN37)*100</f>
        <v>70.812479688007798</v>
      </c>
      <c r="AR39" s="651">
        <f>('Attainment 25+ by race &amp; gender'!NT38/'Pop 25+ by race &amp; gender'!AT37)*100</f>
        <v>22.587752003145379</v>
      </c>
      <c r="AS39" s="651">
        <f>('Attainment 25+ by race &amp; gender'!PS38/'Pop 25+ by race &amp; gender'!DK37)*100</f>
        <v>27.900956370557555</v>
      </c>
      <c r="AT39" s="651">
        <f>('Attainment 25+ by race &amp; gender'!NZ38/'Pop 25+ by race &amp; gender'!AZ37)*100</f>
        <v>18.637387387387388</v>
      </c>
      <c r="AU39" s="645" t="str">
        <f>IF('Pop 25+ by race &amp; gender'!DL37&gt;0, ('Attainment 25+ by race &amp; gender'!PT38/'Pop 25+ by race &amp; gender'!DL37)*100,"—")</f>
        <v>—</v>
      </c>
      <c r="AV39" s="651">
        <f>('Attainment 25+ by race &amp; gender'!OC38/'Pop 25+ by race &amp; gender'!BC37)*100</f>
        <v>7.755050821934999</v>
      </c>
      <c r="AW39" s="651">
        <f>('Attainment 25+ by race &amp; gender'!PU38/'Pop 25+ by race &amp; gender'!DN37)*100</f>
        <v>12.820929476763082</v>
      </c>
      <c r="AX39" s="649">
        <f>('Attainment 25+ by race &amp; gender'!DR38/'Pop 25+ by race &amp; gender'!CV37)*100</f>
        <v>92.8</v>
      </c>
      <c r="AY39" s="651">
        <f>('Attainment 25+ by race &amp; gender'!EL38/'Pop 25+ by race &amp; gender'!DP37)*100</f>
        <v>94.856116896066723</v>
      </c>
      <c r="AZ39" s="649" t="str">
        <f>IF('Pop 25+ by race &amp; gender'!CW37&gt;0,('Attainment 25+ by race &amp; gender'!DS38/'Pop 25+ by race &amp; gender'!CW37)*100,"—")</f>
        <v>—</v>
      </c>
      <c r="BA39" s="645" t="str">
        <f>IF('Pop 25+ by race &amp; gender'!DQ37&gt;0, ('Attainment 25+ by race &amp; gender'!EM38/'Pop 25+ by race &amp; gender'!DQ37)*100,"—")</f>
        <v>—</v>
      </c>
      <c r="BB39" s="651">
        <f>('Attainment 25+ by race &amp; gender'!DT38/'Pop 25+ by race &amp; gender'!CY37)*100</f>
        <v>75.999999999999986</v>
      </c>
      <c r="BC39" s="651">
        <f>('Attainment 25+ by race &amp; gender'!EN38/'Pop 25+ by race &amp; gender'!DS37)*100</f>
        <v>75.544961367746183</v>
      </c>
      <c r="BD39" s="651">
        <f>('Attainment 25+ by race &amp; gender'!PD38/'Pop 25+ by race &amp; gender'!CV37)*100</f>
        <v>24.9</v>
      </c>
      <c r="BE39" s="651">
        <f>('Attainment 25+ by race &amp; gender'!PX38/'Pop 25+ by race &amp; gender'!DP37)*100</f>
        <v>28.485667248573744</v>
      </c>
      <c r="BF39" s="651" t="str">
        <f>IF( 'Pop 25+ by race &amp; gender'!CW37&gt;0, ('Attainment 25+ by race &amp; gender'!PE38/'Pop 25+ by race &amp; gender'!CW37)*100,"—")</f>
        <v>—</v>
      </c>
      <c r="BG39" s="645" t="str">
        <f>IF('Pop 25+ by race &amp; gender'!DQ37&gt;0, ('Attainment 25+ by race &amp; gender'!PY38/'Pop 25+ by race &amp; gender'!DQ37)*100,"—")</f>
        <v>—</v>
      </c>
      <c r="BH39" s="651">
        <f>('Attainment 25+ by race &amp; gender'!PF38/'Pop 25+ by race &amp; gender'!CY37)*100</f>
        <v>11.4</v>
      </c>
      <c r="BI39" s="651">
        <f>('Attainment 25+ by race &amp; gender'!PZ38/'Pop 25+ by race &amp; gender'!DS37)*100</f>
        <v>11.027453559099129</v>
      </c>
    </row>
    <row r="40" spans="1:61" x14ac:dyDescent="0.2">
      <c r="A40" s="223" t="s">
        <v>183</v>
      </c>
      <c r="B40" s="495">
        <f>('Attainment 25+ by race &amp; gender'!CS39/'Pop 25+ by race &amp; gender'!AT38)*100</f>
        <v>85.272768798360545</v>
      </c>
      <c r="C40" s="628">
        <f>('Attainment 25+ by race &amp; gender'!DR39/'Pop 25+ by race &amp; gender'!CV38)*100</f>
        <v>89.965191196468837</v>
      </c>
      <c r="D40" s="496">
        <f>('Attainment 25+ by race &amp; gender'!CT39/'Pop 25+ by race &amp; gender'!AZ38)*100</f>
        <v>72.06076627279495</v>
      </c>
      <c r="E40" s="495">
        <f>IF('Pop 25+ by race &amp; gender'!CW38&gt;0,('Attainment 25+ by race &amp; gender'!DS39/'Pop 25+ by race &amp; gender'!CW38)*100,"—")</f>
        <v>82.264442390978303</v>
      </c>
      <c r="F40" s="496">
        <f>('Attainment 25+ by race &amp; gender'!CU39/'Pop 25+ by race &amp; gender'!BC38)*100</f>
        <v>50.652241681120955</v>
      </c>
      <c r="G40" s="495">
        <f>('Attainment 25+ by race &amp; gender'!DT39/'Pop 25+ by race &amp; gender'!CY38)*100</f>
        <v>61.975056993072499</v>
      </c>
      <c r="H40" s="496">
        <f>('Attainment 25+ by race &amp; gender'!NT39/'Pop 25+ by race &amp; gender'!AT38)*100</f>
        <v>23.686332730400512</v>
      </c>
      <c r="I40" s="495">
        <f>('Attainment 25+ by race &amp; gender'!PD39/'Pop 25+ by race &amp; gender'!CV38)*100</f>
        <v>27.664365073555736</v>
      </c>
      <c r="J40" s="496">
        <f>('Attainment 25+ by race &amp; gender'!NZ39/'Pop 25+ by race &amp; gender'!AZ38)*100</f>
        <v>13.267898437163893</v>
      </c>
      <c r="K40" s="495">
        <f>IF('Pop 25+ by race &amp; gender'!CW38&gt;0,('Attainment 25+ by race &amp; gender'!PE39/'Pop 25+ by race &amp; gender'!CW38)*100,"—")</f>
        <v>16.187563163655703</v>
      </c>
      <c r="L40" s="496">
        <f>('Attainment 25+ by race &amp; gender'!OC39/'Pop 25+ by race &amp; gender'!BC38)*100</f>
        <v>10.74500227804999</v>
      </c>
      <c r="M40" s="612">
        <f>('Attainment 25+ by race &amp; gender'!PF39/'Pop 25+ by race &amp; gender'!CY38)*100</f>
        <v>12.837843528772661</v>
      </c>
      <c r="N40" s="493">
        <f>('Attainment 25+ by race &amp; gender'!CS39/'Pop 25+ by race &amp; gender'!AT38)*100</f>
        <v>85.272768798360545</v>
      </c>
      <c r="O40" s="628">
        <f>('Attainment 25+ by race &amp; gender'!DW39/'Pop 25+ by race &amp; gender'!DA38)*100</f>
        <v>90.322174514370175</v>
      </c>
      <c r="P40" s="494">
        <f>('Attainment 25+ by race &amp; gender'!CT39/'Pop 25+ by race &amp; gender'!AZ38)*100</f>
        <v>72.06076627279495</v>
      </c>
      <c r="Q40" s="493">
        <f>('Attainment 25+ by race &amp; gender'!DX39/'Pop 25+ by race &amp; gender'!DB38)*100</f>
        <v>82.797733216243927</v>
      </c>
      <c r="R40" s="494">
        <f>('Attainment 25+ by race &amp; gender'!CU39/'Pop 25+ by race &amp; gender'!BC38)*100</f>
        <v>50.652241681120955</v>
      </c>
      <c r="S40" s="493">
        <f>('Attainment 25+ by race &amp; gender'!DY39/'Pop 25+ by race &amp; gender'!DD38)*100</f>
        <v>62.7793328648645</v>
      </c>
      <c r="T40" s="494">
        <f>('Attainment 25+ by race &amp; gender'!NT39/'Pop 25+ by race &amp; gender'!AT38)*100</f>
        <v>23.686332730400512</v>
      </c>
      <c r="U40" s="493">
        <f>('Attainment 25+ by race &amp; gender'!PI39/'Pop 25+ by race &amp; gender'!DA38)*100</f>
        <v>28.103174225106255</v>
      </c>
      <c r="V40" s="494">
        <f>('Attainment 25+ by race &amp; gender'!NZ39/'Pop 25+ by race &amp; gender'!AZ38)*100</f>
        <v>13.267898437163893</v>
      </c>
      <c r="W40" s="493">
        <f>('Attainment 25+ by race &amp; gender'!PJ39/'Pop 25+ by race &amp; gender'!DB38)*100</f>
        <v>16.494138913605251</v>
      </c>
      <c r="X40" s="494">
        <f>('Attainment 25+ by race &amp; gender'!OC39/'Pop 25+ by race &amp; gender'!BC38)*100</f>
        <v>10.74500227804999</v>
      </c>
      <c r="Y40" s="680">
        <f>('Attainment 25+ by race &amp; gender'!PK39/'Pop 25+ by race &amp; gender'!DD38)*100</f>
        <v>13.234466428435837</v>
      </c>
      <c r="Z40" s="495">
        <f>('Attainment 25+ by race &amp; gender'!CS39/'Pop 25+ by race &amp; gender'!AT38)*100</f>
        <v>85.272768798360545</v>
      </c>
      <c r="AA40" s="628">
        <f>('Attainment 25+ by race &amp; gender'!EB39/'Pop 25+ by race &amp; gender'!DF38)*100</f>
        <v>91.634894675643423</v>
      </c>
      <c r="AB40" s="496">
        <f>('Attainment 25+ by race &amp; gender'!CT39/'Pop 25+ by race &amp; gender'!AZ38)*100</f>
        <v>72.06076627279495</v>
      </c>
      <c r="AC40" s="495">
        <f>('Attainment 25+ by race &amp; gender'!EC39/'Pop 25+ by race &amp; gender'!DG38)*100</f>
        <v>83.350571633930755</v>
      </c>
      <c r="AD40" s="496">
        <f>('Attainment 25+ by race &amp; gender'!CU39/'Pop 25+ by race &amp; gender'!BC38)*100</f>
        <v>50.652241681120955</v>
      </c>
      <c r="AE40" s="495">
        <f>('Attainment 25+ by race &amp; gender'!ED39/'Pop 25+ by race &amp; gender'!DI38)*100</f>
        <v>63.352905676222626</v>
      </c>
      <c r="AF40" s="496">
        <f>('Attainment 25+ by race &amp; gender'!NT39/'Pop 25+ by race &amp; gender'!AT38)*100</f>
        <v>23.686332730400512</v>
      </c>
      <c r="AG40" s="495">
        <f>('Attainment 25+ by race &amp; gender'!PN39/'Pop 25+ by race &amp; gender'!DF38)*100</f>
        <v>29.121108318562953</v>
      </c>
      <c r="AH40" s="496">
        <f>('Attainment 25+ by race &amp; gender'!NZ39/'Pop 25+ by race &amp; gender'!AZ38)*100</f>
        <v>13.267898437163893</v>
      </c>
      <c r="AI40" s="495">
        <f>('Attainment 25+ by race &amp; gender'!PO39/'Pop 25+ by race &amp; gender'!DG38)*100</f>
        <v>16.857275542392252</v>
      </c>
      <c r="AJ40" s="496">
        <f>('Attainment 25+ by race &amp; gender'!OC39/'Pop 25+ by race &amp; gender'!BC38)*100</f>
        <v>10.74500227804999</v>
      </c>
      <c r="AK40" s="634">
        <f>('Attainment 25+ by race &amp; gender'!PP39/'Pop 25+ by race &amp; gender'!DI38)*100</f>
        <v>13.246897262830748</v>
      </c>
      <c r="AL40" s="496">
        <f>('Attainment 25+ by race &amp; gender'!CS39/'Pop 25+ by race &amp; gender'!AT38)*100</f>
        <v>85.272768798360545</v>
      </c>
      <c r="AM40" s="634">
        <f>('Attainment 25+ by race &amp; gender'!EG39/'Pop 25+ by race &amp; gender'!DK38)*100</f>
        <v>92.440415906071181</v>
      </c>
      <c r="AN40" s="496">
        <v>72.06076627279495</v>
      </c>
      <c r="AO40" s="634">
        <f>('Attainment 25+ by race &amp; gender'!EH39/'Pop 25+ by race &amp; gender'!DL38)*100</f>
        <v>84.968408311065787</v>
      </c>
      <c r="AP40" s="634">
        <f>('Attainment 25+ by race &amp; gender'!CU39/'Pop 25+ by race &amp; gender'!BC38)*100</f>
        <v>50.652241681120955</v>
      </c>
      <c r="AQ40" s="634">
        <f>('Attainment 25+ by race &amp; gender'!EI39/'Pop 25+ by race &amp; gender'!DN38)*100</f>
        <v>65.693368908373301</v>
      </c>
      <c r="AR40" s="634">
        <f>('Attainment 25+ by race &amp; gender'!NT39/'Pop 25+ by race &amp; gender'!AT38)*100</f>
        <v>23.686332730400512</v>
      </c>
      <c r="AS40" s="634">
        <f>('Attainment 25+ by race &amp; gender'!PS39/'Pop 25+ by race &amp; gender'!DK38)*100</f>
        <v>30.633593033255764</v>
      </c>
      <c r="AT40" s="634">
        <f>('Attainment 25+ by race &amp; gender'!NZ39/'Pop 25+ by race &amp; gender'!AZ38)*100</f>
        <v>13.267898437163893</v>
      </c>
      <c r="AU40" s="634">
        <f>('Attainment 25+ by race &amp; gender'!PT39/'Pop 25+ by race &amp; gender'!DL38)*100</f>
        <v>17.763521484767512</v>
      </c>
      <c r="AV40" s="634">
        <f>('Attainment 25+ by race &amp; gender'!OC39/'Pop 25+ by race &amp; gender'!BC38)*100</f>
        <v>10.74500227804999</v>
      </c>
      <c r="AW40" s="634">
        <f>('Attainment 25+ by race &amp; gender'!PU39/'Pop 25+ by race &amp; gender'!DN38)*100</f>
        <v>14.083658240053662</v>
      </c>
      <c r="AX40" s="496">
        <f>('Attainment 25+ by race &amp; gender'!DR39/'Pop 25+ by race &amp; gender'!CV38)*100</f>
        <v>89.965191196468837</v>
      </c>
      <c r="AY40" s="634">
        <f>('Attainment 25+ by race &amp; gender'!EL39/'Pop 25+ by race &amp; gender'!DP38)*100</f>
        <v>92.673834295032805</v>
      </c>
      <c r="AZ40" s="496">
        <f>('Attainment 25+ by race &amp; gender'!DS39/'Pop 25+ by race &amp; gender'!CW38)*100</f>
        <v>82.264442390978303</v>
      </c>
      <c r="BA40" s="634">
        <f>('Attainment 25+ by race &amp; gender'!EM39/'Pop 25+ by race &amp; gender'!DQ38)*100</f>
        <v>85.427142754581197</v>
      </c>
      <c r="BB40" s="634">
        <f>('Attainment 25+ by race &amp; gender'!DT39/'Pop 25+ by race &amp; gender'!CY38)*100</f>
        <v>61.975056993072499</v>
      </c>
      <c r="BC40" s="634">
        <f>('Attainment 25+ by race &amp; gender'!EN39/'Pop 25+ by race &amp; gender'!DS38)*100</f>
        <v>67.379564581194373</v>
      </c>
      <c r="BD40" s="634">
        <f>('Attainment 25+ by race &amp; gender'!PD39/'Pop 25+ by race &amp; gender'!CV38)*100</f>
        <v>27.664365073555736</v>
      </c>
      <c r="BE40" s="634">
        <f>('Attainment 25+ by race &amp; gender'!PX39/'Pop 25+ by race &amp; gender'!DP38)*100</f>
        <v>31.429317187413595</v>
      </c>
      <c r="BF40" s="634">
        <f>('Attainment 25+ by race &amp; gender'!PE39/'Pop 25+ by race &amp; gender'!CW38)*100</f>
        <v>16.187563163655703</v>
      </c>
      <c r="BG40" s="634">
        <f>('Attainment 25+ by race &amp; gender'!PY39/'Pop 25+ by race &amp; gender'!DQ38)*100</f>
        <v>18.352270799182527</v>
      </c>
      <c r="BH40" s="634">
        <f>('Attainment 25+ by race &amp; gender'!PF39/'Pop 25+ by race &amp; gender'!CY38)*100</f>
        <v>12.837843528772661</v>
      </c>
      <c r="BI40" s="634">
        <f>('Attainment 25+ by race &amp; gender'!PZ39/'Pop 25+ by race &amp; gender'!DS38)*100</f>
        <v>15.138347589821757</v>
      </c>
    </row>
    <row r="41" spans="1:61" x14ac:dyDescent="0.2">
      <c r="A41" s="223"/>
      <c r="B41" s="495"/>
      <c r="C41" s="626"/>
      <c r="D41" s="496"/>
      <c r="E41" s="495"/>
      <c r="F41" s="496"/>
      <c r="G41" s="495"/>
      <c r="H41" s="496"/>
      <c r="I41" s="495"/>
      <c r="J41" s="496"/>
      <c r="K41" s="495"/>
      <c r="L41" s="496"/>
      <c r="M41" s="613"/>
      <c r="N41" s="495"/>
      <c r="O41" s="626"/>
      <c r="P41" s="496"/>
      <c r="Q41" s="493"/>
      <c r="R41" s="494"/>
      <c r="S41" s="493"/>
      <c r="T41" s="494"/>
      <c r="U41" s="493"/>
      <c r="V41" s="494"/>
      <c r="W41" s="493"/>
      <c r="X41" s="494"/>
      <c r="Y41" s="614"/>
      <c r="Z41" s="495"/>
      <c r="AA41" s="626"/>
      <c r="AB41" s="496"/>
      <c r="AC41" s="495"/>
      <c r="AD41" s="496"/>
      <c r="AE41" s="495"/>
      <c r="AF41" s="496"/>
      <c r="AG41" s="495"/>
      <c r="AH41" s="496"/>
      <c r="AI41" s="495"/>
      <c r="AJ41" s="496"/>
      <c r="AK41" s="634"/>
      <c r="AL41" s="496"/>
      <c r="AM41" s="634"/>
      <c r="AN41" s="496"/>
      <c r="AO41" s="634"/>
      <c r="AP41" s="634"/>
      <c r="AQ41" s="634"/>
      <c r="AR41" s="634"/>
      <c r="AS41" s="634"/>
      <c r="AT41" s="634"/>
      <c r="AU41" s="634"/>
      <c r="AV41" s="634"/>
      <c r="AW41" s="634"/>
      <c r="AX41" s="496"/>
      <c r="AY41" s="634"/>
      <c r="AZ41" s="496"/>
      <c r="BA41" s="634"/>
      <c r="BB41" s="634"/>
      <c r="BC41" s="634"/>
      <c r="BD41" s="634"/>
      <c r="BE41" s="634"/>
      <c r="BF41" s="634"/>
      <c r="BG41" s="634"/>
      <c r="BH41" s="634"/>
      <c r="BI41" s="634"/>
    </row>
    <row r="42" spans="1:61" x14ac:dyDescent="0.2">
      <c r="A42" s="218" t="s">
        <v>24</v>
      </c>
      <c r="B42" s="499">
        <f>('Attainment 25+ by race &amp; gender'!CS41/'Pop 25+ by race &amp; gender'!AT40)*100</f>
        <v>84.963161071112125</v>
      </c>
      <c r="C42" s="625">
        <f>('Attainment 25+ by race &amp; gender'!DR41/'Pop 25+ by race &amp; gender'!CV40)*100</f>
        <v>89.700000000000017</v>
      </c>
      <c r="D42" s="500">
        <f>('Attainment 25+ by race &amp; gender'!CT41/'Pop 25+ by race &amp; gender'!AZ40)*100</f>
        <v>73.01750279000035</v>
      </c>
      <c r="E42" s="499">
        <f>IF('Pop 25+ by race &amp; gender'!CW40&gt;0,('Attainment 25+ by race &amp; gender'!DS41/'Pop 25+ by race &amp; gender'!CW40)*100,"—")</f>
        <v>82.6</v>
      </c>
      <c r="F42" s="500">
        <f>('Attainment 25+ by race &amp; gender'!CU41/'Pop 25+ by race &amp; gender'!BC40)*100</f>
        <v>48.472665401617711</v>
      </c>
      <c r="G42" s="499">
        <f>('Attainment 25+ by race &amp; gender'!DT41/'Pop 25+ by race &amp; gender'!CY40)*100</f>
        <v>60.8</v>
      </c>
      <c r="H42" s="500">
        <f>('Attainment 25+ by race &amp; gender'!NT41/'Pop 25+ by race &amp; gender'!AT40)*100</f>
        <v>27.822603483959423</v>
      </c>
      <c r="I42" s="499">
        <f>('Attainment 25+ by race &amp; gender'!PD41/'Pop 25+ by race &amp; gender'!CV40)*100</f>
        <v>32.6</v>
      </c>
      <c r="J42" s="500">
        <f>('Attainment 25+ by race &amp; gender'!NZ41/'Pop 25+ by race &amp; gender'!AZ40)*100</f>
        <v>14.685359355801134</v>
      </c>
      <c r="K42" s="499">
        <f>IF('Pop 25+ by race &amp; gender'!CW40&gt;0,('Attainment 25+ by race &amp; gender'!PE41/'Pop 25+ by race &amp; gender'!CW40)*100,"—")</f>
        <v>18.500000000000004</v>
      </c>
      <c r="L42" s="500">
        <f>('Attainment 25+ by race &amp; gender'!OC41/'Pop 25+ by race &amp; gender'!BC40)*100</f>
        <v>9.0515048075394091</v>
      </c>
      <c r="M42" s="616">
        <f>('Attainment 25+ by race &amp; gender'!PF41/'Pop 25+ by race &amp; gender'!CY40)*100</f>
        <v>12.3</v>
      </c>
      <c r="N42" s="493">
        <f>('Attainment 25+ by race &amp; gender'!CS41/'Pop 25+ by race &amp; gender'!AT40)*100</f>
        <v>84.963161071112125</v>
      </c>
      <c r="O42" s="626">
        <f>('Attainment 25+ by race &amp; gender'!DW41/'Pop 25+ by race &amp; gender'!DA40)*100</f>
        <v>89.88133318485032</v>
      </c>
      <c r="P42" s="494">
        <f>('Attainment 25+ by race &amp; gender'!CT41/'Pop 25+ by race &amp; gender'!AZ40)*100</f>
        <v>73.01750279000035</v>
      </c>
      <c r="Q42" s="493">
        <f>('Attainment 25+ by race &amp; gender'!DX41/'Pop 25+ by race &amp; gender'!DB40)*100</f>
        <v>83.140576885270903</v>
      </c>
      <c r="R42" s="494">
        <f>('Attainment 25+ by race &amp; gender'!CU41/'Pop 25+ by race &amp; gender'!BC40)*100</f>
        <v>48.472665401617711</v>
      </c>
      <c r="S42" s="493">
        <f>('Attainment 25+ by race &amp; gender'!DY41/'Pop 25+ by race &amp; gender'!DD40)*100</f>
        <v>61.252527688117539</v>
      </c>
      <c r="T42" s="494">
        <f>('Attainment 25+ by race &amp; gender'!NT41/'Pop 25+ by race &amp; gender'!AT40)*100</f>
        <v>27.822603483959423</v>
      </c>
      <c r="U42" s="493">
        <f>('Attainment 25+ by race &amp; gender'!PI41/'Pop 25+ by race &amp; gender'!DA40)*100</f>
        <v>32.837080121961087</v>
      </c>
      <c r="V42" s="494">
        <f>('Attainment 25+ by race &amp; gender'!NZ41/'Pop 25+ by race &amp; gender'!AZ40)*100</f>
        <v>14.685359355801134</v>
      </c>
      <c r="W42" s="493">
        <f>('Attainment 25+ by race &amp; gender'!PJ41/'Pop 25+ by race &amp; gender'!DB40)*100</f>
        <v>18.714786575018096</v>
      </c>
      <c r="X42" s="494">
        <f>('Attainment 25+ by race &amp; gender'!OC41/'Pop 25+ by race &amp; gender'!BC40)*100</f>
        <v>9.0515048075394091</v>
      </c>
      <c r="Y42" s="614">
        <f>('Attainment 25+ by race &amp; gender'!PK41/'Pop 25+ by race &amp; gender'!DD40)*100</f>
        <v>12.371651897843952</v>
      </c>
      <c r="Z42" s="495">
        <f>('Attainment 25+ by race &amp; gender'!CS41/'Pop 25+ by race &amp; gender'!AT40)*100</f>
        <v>84.963161071112125</v>
      </c>
      <c r="AA42" s="626">
        <f>('Attainment 25+ by race &amp; gender'!EB41/'Pop 25+ by race &amp; gender'!DF40)*100</f>
        <v>92.978301540833002</v>
      </c>
      <c r="AB42" s="496">
        <f>('Attainment 25+ by race &amp; gender'!CT41/'Pop 25+ by race &amp; gender'!AZ40)*100</f>
        <v>73.01750279000035</v>
      </c>
      <c r="AC42" s="495">
        <f>('Attainment 25+ by race &amp; gender'!EC41/'Pop 25+ by race &amp; gender'!DG40)*100</f>
        <v>84.053822862735672</v>
      </c>
      <c r="AD42" s="496">
        <f>('Attainment 25+ by race &amp; gender'!CU41/'Pop 25+ by race &amp; gender'!BC40)*100</f>
        <v>48.472665401617711</v>
      </c>
      <c r="AE42" s="495">
        <f>('Attainment 25+ by race &amp; gender'!ED41/'Pop 25+ by race &amp; gender'!DI40)*100</f>
        <v>61.672491012971022</v>
      </c>
      <c r="AF42" s="496">
        <f>('Attainment 25+ by race &amp; gender'!NT41/'Pop 25+ by race &amp; gender'!AT40)*100</f>
        <v>27.822603483959423</v>
      </c>
      <c r="AG42" s="495">
        <f>('Attainment 25+ by race &amp; gender'!PN41/'Pop 25+ by race &amp; gender'!DF40)*100</f>
        <v>35.433996807973571</v>
      </c>
      <c r="AH42" s="496">
        <f>('Attainment 25+ by race &amp; gender'!NZ41/'Pop 25+ by race &amp; gender'!AZ40)*100</f>
        <v>14.685359355801134</v>
      </c>
      <c r="AI42" s="495">
        <f>('Attainment 25+ by race &amp; gender'!PO41/'Pop 25+ by race &amp; gender'!DG40)*100</f>
        <v>19.23813198652843</v>
      </c>
      <c r="AJ42" s="496">
        <f>('Attainment 25+ by race &amp; gender'!OC41/'Pop 25+ by race &amp; gender'!BC40)*100</f>
        <v>9.0515048075394091</v>
      </c>
      <c r="AK42" s="634">
        <f>('Attainment 25+ by race &amp; gender'!PP41/'Pop 25+ by race &amp; gender'!DI40)*100</f>
        <v>12.47313732752867</v>
      </c>
      <c r="AL42" s="496">
        <f>('Attainment 25+ by race &amp; gender'!CS41/'Pop 25+ by race &amp; gender'!AT40)*100</f>
        <v>84.963161071112125</v>
      </c>
      <c r="AM42" s="634">
        <f>('Attainment 25+ by race &amp; gender'!EG41/'Pop 25+ by race &amp; gender'!DK40)*100</f>
        <v>93.789682325684794</v>
      </c>
      <c r="AN42" s="496">
        <v>73.01750279000035</v>
      </c>
      <c r="AO42" s="634">
        <f>('Attainment 25+ by race &amp; gender'!EH41/'Pop 25+ by race &amp; gender'!DL40)*100</f>
        <v>85.990277272974495</v>
      </c>
      <c r="AP42" s="634">
        <f>('Attainment 25+ by race &amp; gender'!CU41/'Pop 25+ by race &amp; gender'!BC40)*100</f>
        <v>48.472665401617711</v>
      </c>
      <c r="AQ42" s="634">
        <f>('Attainment 25+ by race &amp; gender'!EI41/'Pop 25+ by race &amp; gender'!DN40)*100</f>
        <v>64.594628070815602</v>
      </c>
      <c r="AR42" s="634">
        <f>('Attainment 25+ by race &amp; gender'!NT41/'Pop 25+ by race &amp; gender'!AT40)*100</f>
        <v>27.822603483959423</v>
      </c>
      <c r="AS42" s="634">
        <f>('Attainment 25+ by race &amp; gender'!PS41/'Pop 25+ by race &amp; gender'!DK40)*100</f>
        <v>37.046492055445754</v>
      </c>
      <c r="AT42" s="634">
        <f>('Attainment 25+ by race &amp; gender'!NZ41/'Pop 25+ by race &amp; gender'!AZ40)*100</f>
        <v>14.685359355801134</v>
      </c>
      <c r="AU42" s="634">
        <f>('Attainment 25+ by race &amp; gender'!PT41/'Pop 25+ by race &amp; gender'!DL40)*100</f>
        <v>20.146471130096511</v>
      </c>
      <c r="AV42" s="634">
        <f>('Attainment 25+ by race &amp; gender'!OC41/'Pop 25+ by race &amp; gender'!BC40)*100</f>
        <v>9.0515048075394091</v>
      </c>
      <c r="AW42" s="634">
        <f>('Attainment 25+ by race &amp; gender'!PU41/'Pop 25+ by race &amp; gender'!DN40)*100</f>
        <v>13.456771318912894</v>
      </c>
      <c r="AX42" s="496">
        <f>('Attainment 25+ by race &amp; gender'!DR41/'Pop 25+ by race &amp; gender'!CV40)*100</f>
        <v>89.700000000000017</v>
      </c>
      <c r="AY42" s="634">
        <f>('Attainment 25+ by race &amp; gender'!EL41/'Pop 25+ by race &amp; gender'!DP40)*100</f>
        <v>93.790537234469056</v>
      </c>
      <c r="AZ42" s="496">
        <f>('Attainment 25+ by race &amp; gender'!DS41/'Pop 25+ by race &amp; gender'!CW40)*100</f>
        <v>82.6</v>
      </c>
      <c r="BA42" s="634">
        <f>('Attainment 25+ by race &amp; gender'!EM41/'Pop 25+ by race &amp; gender'!DQ40)*100</f>
        <v>86.21674255497571</v>
      </c>
      <c r="BB42" s="634">
        <f>('Attainment 25+ by race &amp; gender'!DT41/'Pop 25+ by race &amp; gender'!CY40)*100</f>
        <v>60.8</v>
      </c>
      <c r="BC42" s="634">
        <f>('Attainment 25+ by race &amp; gender'!EN41/'Pop 25+ by race &amp; gender'!DS40)*100</f>
        <v>66.900571013177029</v>
      </c>
      <c r="BD42" s="634">
        <f>('Attainment 25+ by race &amp; gender'!PD41/'Pop 25+ by race &amp; gender'!CV40)*100</f>
        <v>32.6</v>
      </c>
      <c r="BE42" s="634">
        <f>('Attainment 25+ by race &amp; gender'!PX41/'Pop 25+ by race &amp; gender'!DP40)*100</f>
        <v>37.811023839374506</v>
      </c>
      <c r="BF42" s="634">
        <f>('Attainment 25+ by race &amp; gender'!PE41/'Pop 25+ by race &amp; gender'!CW40)*100</f>
        <v>18.500000000000004</v>
      </c>
      <c r="BG42" s="634">
        <f>('Attainment 25+ by race &amp; gender'!PY41/'Pop 25+ by race &amp; gender'!DQ40)*100</f>
        <v>21.640123084599871</v>
      </c>
      <c r="BH42" s="634">
        <f>('Attainment 25+ by race &amp; gender'!PF41/'Pop 25+ by race &amp; gender'!CY40)*100</f>
        <v>12.3</v>
      </c>
      <c r="BI42" s="634">
        <f>('Attainment 25+ by race &amp; gender'!PZ41/'Pop 25+ by race &amp; gender'!DS40)*100</f>
        <v>14.497892620312335</v>
      </c>
    </row>
    <row r="43" spans="1:61" x14ac:dyDescent="0.2">
      <c r="A43" s="218" t="s">
        <v>25</v>
      </c>
      <c r="B43" s="499">
        <f>('Attainment 25+ by race &amp; gender'!CS42/'Pop 25+ by race &amp; gender'!AT41)*100</f>
        <v>83.16706914051305</v>
      </c>
      <c r="C43" s="625">
        <f>('Attainment 25+ by race &amp; gender'!DR42/'Pop 25+ by race &amp; gender'!CV41)*100</f>
        <v>87.9</v>
      </c>
      <c r="D43" s="500">
        <f>('Attainment 25+ by race &amp; gender'!CT42/'Pop 25+ by race &amp; gender'!AZ41)*100</f>
        <v>74.938306990010275</v>
      </c>
      <c r="E43" s="499">
        <f>IF('Pop 25+ by race &amp; gender'!CW41&gt;0,('Attainment 25+ by race &amp; gender'!DS42/'Pop 25+ by race &amp; gender'!CW41)*100,"—")</f>
        <v>83.500000000000014</v>
      </c>
      <c r="F43" s="500">
        <f>('Attainment 25+ by race &amp; gender'!CU42/'Pop 25+ by race &amp; gender'!BC41)*100</f>
        <v>57.926546251765245</v>
      </c>
      <c r="G43" s="499">
        <f>('Attainment 25+ by race &amp; gender'!DT42/'Pop 25+ by race &amp; gender'!CY41)*100</f>
        <v>61.199999999999996</v>
      </c>
      <c r="H43" s="500">
        <f>('Attainment 25+ by race &amp; gender'!NT42/'Pop 25+ by race &amp; gender'!AT41)*100</f>
        <v>19.810365399877718</v>
      </c>
      <c r="I43" s="499">
        <f>('Attainment 25+ by race &amp; gender'!PD42/'Pop 25+ by race &amp; gender'!CV41)*100</f>
        <v>23.199999999999996</v>
      </c>
      <c r="J43" s="500">
        <f>('Attainment 25+ by race &amp; gender'!NZ42/'Pop 25+ by race &amp; gender'!AZ41)*100</f>
        <v>12.089033674246926</v>
      </c>
      <c r="K43" s="499">
        <f>IF('Pop 25+ by race &amp; gender'!CW41&gt;0,('Attainment 25+ by race &amp; gender'!PE42/'Pop 25+ by race &amp; gender'!CW41)*100,"—")</f>
        <v>14.299999999999999</v>
      </c>
      <c r="L43" s="500">
        <f>('Attainment 25+ by race &amp; gender'!OC42/'Pop 25+ by race &amp; gender'!BC41)*100</f>
        <v>11.256061069908455</v>
      </c>
      <c r="M43" s="616">
        <f>('Attainment 25+ by race &amp; gender'!PF42/'Pop 25+ by race &amp; gender'!CY41)*100</f>
        <v>11.999999999999998</v>
      </c>
      <c r="N43" s="493">
        <f>('Attainment 25+ by race &amp; gender'!CS42/'Pop 25+ by race &amp; gender'!AT41)*100</f>
        <v>83.16706914051305</v>
      </c>
      <c r="O43" s="626">
        <f>('Attainment 25+ by race &amp; gender'!DW42/'Pop 25+ by race &amp; gender'!DA41)*100</f>
        <v>88.285550852305221</v>
      </c>
      <c r="P43" s="494">
        <f>('Attainment 25+ by race &amp; gender'!CT42/'Pop 25+ by race &amp; gender'!AZ41)*100</f>
        <v>74.938306990010275</v>
      </c>
      <c r="Q43" s="493">
        <f>('Attainment 25+ by race &amp; gender'!DX42/'Pop 25+ by race &amp; gender'!DB41)*100</f>
        <v>83.896112156774308</v>
      </c>
      <c r="R43" s="494">
        <f>('Attainment 25+ by race &amp; gender'!CU42/'Pop 25+ by race &amp; gender'!BC41)*100</f>
        <v>57.926546251765245</v>
      </c>
      <c r="S43" s="493">
        <f>('Attainment 25+ by race &amp; gender'!DY42/'Pop 25+ by race &amp; gender'!DD41)*100</f>
        <v>62.014204894846884</v>
      </c>
      <c r="T43" s="494">
        <f>('Attainment 25+ by race &amp; gender'!NT42/'Pop 25+ by race &amp; gender'!AT41)*100</f>
        <v>19.810365399877718</v>
      </c>
      <c r="U43" s="493">
        <f>('Attainment 25+ by race &amp; gender'!PI42/'Pop 25+ by race &amp; gender'!DA41)*100</f>
        <v>23.528335026952092</v>
      </c>
      <c r="V43" s="494">
        <f>('Attainment 25+ by race &amp; gender'!NZ42/'Pop 25+ by race &amp; gender'!AZ41)*100</f>
        <v>12.089033674246926</v>
      </c>
      <c r="W43" s="493">
        <f>('Attainment 25+ by race &amp; gender'!PJ42/'Pop 25+ by race &amp; gender'!DB41)*100</f>
        <v>15.213098449430859</v>
      </c>
      <c r="X43" s="494">
        <f>('Attainment 25+ by race &amp; gender'!OC42/'Pop 25+ by race &amp; gender'!BC41)*100</f>
        <v>11.256061069908455</v>
      </c>
      <c r="Y43" s="614">
        <f>('Attainment 25+ by race &amp; gender'!PK42/'Pop 25+ by race &amp; gender'!DD41)*100</f>
        <v>12.641434017955971</v>
      </c>
      <c r="Z43" s="495">
        <f>('Attainment 25+ by race &amp; gender'!CS42/'Pop 25+ by race &amp; gender'!AT41)*100</f>
        <v>83.16706914051305</v>
      </c>
      <c r="AA43" s="626">
        <f>('Attainment 25+ by race &amp; gender'!EB42/'Pop 25+ by race &amp; gender'!DF41)*100</f>
        <v>89.119058991062232</v>
      </c>
      <c r="AB43" s="496">
        <f>('Attainment 25+ by race &amp; gender'!CT42/'Pop 25+ by race &amp; gender'!AZ41)*100</f>
        <v>74.938306990010275</v>
      </c>
      <c r="AC43" s="495">
        <f>('Attainment 25+ by race &amp; gender'!EC42/'Pop 25+ by race &amp; gender'!DG41)*100</f>
        <v>84.668147950053623</v>
      </c>
      <c r="AD43" s="496">
        <f>('Attainment 25+ by race &amp; gender'!CU42/'Pop 25+ by race &amp; gender'!BC41)*100</f>
        <v>57.926546251765245</v>
      </c>
      <c r="AE43" s="495">
        <f>('Attainment 25+ by race &amp; gender'!ED42/'Pop 25+ by race &amp; gender'!DI41)*100</f>
        <v>63.007879649042621</v>
      </c>
      <c r="AF43" s="496">
        <f>('Attainment 25+ by race &amp; gender'!NT42/'Pop 25+ by race &amp; gender'!AT41)*100</f>
        <v>19.810365399877718</v>
      </c>
      <c r="AG43" s="495">
        <f>('Attainment 25+ by race &amp; gender'!PN42/'Pop 25+ by race &amp; gender'!DF41)*100</f>
        <v>24.220957770023748</v>
      </c>
      <c r="AH43" s="496">
        <f>('Attainment 25+ by race &amp; gender'!NZ42/'Pop 25+ by race &amp; gender'!AZ41)*100</f>
        <v>12.089033674246926</v>
      </c>
      <c r="AI43" s="495">
        <f>('Attainment 25+ by race &amp; gender'!PO42/'Pop 25+ by race &amp; gender'!DG41)*100</f>
        <v>15.742666366996019</v>
      </c>
      <c r="AJ43" s="496">
        <f>('Attainment 25+ by race &amp; gender'!OC42/'Pop 25+ by race &amp; gender'!BC41)*100</f>
        <v>11.256061069908455</v>
      </c>
      <c r="AK43" s="634">
        <f>('Attainment 25+ by race &amp; gender'!PP42/'Pop 25+ by race &amp; gender'!DI41)*100</f>
        <v>12.083287791015412</v>
      </c>
      <c r="AL43" s="496">
        <f>('Attainment 25+ by race &amp; gender'!CS42/'Pop 25+ by race &amp; gender'!AT41)*100</f>
        <v>83.16706914051305</v>
      </c>
      <c r="AM43" s="634">
        <f>('Attainment 25+ by race &amp; gender'!EG42/'Pop 25+ by race &amp; gender'!DK41)*100</f>
        <v>90.044576238236445</v>
      </c>
      <c r="AN43" s="496">
        <v>74.938306990010275</v>
      </c>
      <c r="AO43" s="634">
        <f>('Attainment 25+ by race &amp; gender'!EH42/'Pop 25+ by race &amp; gender'!DL41)*100</f>
        <v>85.443499925914139</v>
      </c>
      <c r="AP43" s="634">
        <f>('Attainment 25+ by race &amp; gender'!CU42/'Pop 25+ by race &amp; gender'!BC41)*100</f>
        <v>57.926546251765245</v>
      </c>
      <c r="AQ43" s="634">
        <f>('Attainment 25+ by race &amp; gender'!EI42/'Pop 25+ by race &amp; gender'!DN41)*100</f>
        <v>62.793444766084605</v>
      </c>
      <c r="AR43" s="634">
        <f>('Attainment 25+ by race &amp; gender'!NT42/'Pop 25+ by race &amp; gender'!AT41)*100</f>
        <v>19.810365399877718</v>
      </c>
      <c r="AS43" s="634">
        <f>('Attainment 25+ by race &amp; gender'!PS42/'Pop 25+ by race &amp; gender'!DK41)*100</f>
        <v>25.6886727616732</v>
      </c>
      <c r="AT43" s="634">
        <f>('Attainment 25+ by race &amp; gender'!NZ42/'Pop 25+ by race &amp; gender'!AZ41)*100</f>
        <v>12.089033674246926</v>
      </c>
      <c r="AU43" s="634">
        <f>('Attainment 25+ by race &amp; gender'!PT42/'Pop 25+ by race &amp; gender'!DL41)*100</f>
        <v>16.890753535542007</v>
      </c>
      <c r="AV43" s="634">
        <f>('Attainment 25+ by race &amp; gender'!OC42/'Pop 25+ by race &amp; gender'!BC41)*100</f>
        <v>11.256061069908455</v>
      </c>
      <c r="AW43" s="634">
        <f>('Attainment 25+ by race &amp; gender'!PU42/'Pop 25+ by race &amp; gender'!DN41)*100</f>
        <v>11.943225324493417</v>
      </c>
      <c r="AX43" s="496">
        <f>('Attainment 25+ by race &amp; gender'!DR42/'Pop 25+ by race &amp; gender'!CV41)*100</f>
        <v>87.9</v>
      </c>
      <c r="AY43" s="634">
        <f>('Attainment 25+ by race &amp; gender'!EL42/'Pop 25+ by race &amp; gender'!DP41)*100</f>
        <v>90.143536011446997</v>
      </c>
      <c r="AZ43" s="496">
        <f>('Attainment 25+ by race &amp; gender'!DS42/'Pop 25+ by race &amp; gender'!CW41)*100</f>
        <v>83.500000000000014</v>
      </c>
      <c r="BA43" s="634">
        <f>('Attainment 25+ by race &amp; gender'!EM42/'Pop 25+ by race &amp; gender'!DQ41)*100</f>
        <v>85.540902656970914</v>
      </c>
      <c r="BB43" s="634">
        <f>('Attainment 25+ by race &amp; gender'!DT42/'Pop 25+ by race &amp; gender'!CY41)*100</f>
        <v>61.199999999999996</v>
      </c>
      <c r="BC43" s="634">
        <f>('Attainment 25+ by race &amp; gender'!EN42/'Pop 25+ by race &amp; gender'!DS41)*100</f>
        <v>66.784490145672663</v>
      </c>
      <c r="BD43" s="634">
        <f>('Attainment 25+ by race &amp; gender'!PD42/'Pop 25+ by race &amp; gender'!CV41)*100</f>
        <v>23.199999999999996</v>
      </c>
      <c r="BE43" s="634">
        <f>('Attainment 25+ by race &amp; gender'!PX42/'Pop 25+ by race &amp; gender'!DP41)*100</f>
        <v>26.76119047046031</v>
      </c>
      <c r="BF43" s="634">
        <f>('Attainment 25+ by race &amp; gender'!PE42/'Pop 25+ by race &amp; gender'!CW41)*100</f>
        <v>14.299999999999999</v>
      </c>
      <c r="BG43" s="634">
        <f>('Attainment 25+ by race &amp; gender'!PY42/'Pop 25+ by race &amp; gender'!DQ41)*100</f>
        <v>15.748414353477616</v>
      </c>
      <c r="BH43" s="634">
        <f>('Attainment 25+ by race &amp; gender'!PF42/'Pop 25+ by race &amp; gender'!CY41)*100</f>
        <v>11.999999999999998</v>
      </c>
      <c r="BI43" s="634">
        <f>('Attainment 25+ by race &amp; gender'!PZ42/'Pop 25+ by race &amp; gender'!DS41)*100</f>
        <v>13.273439731505285</v>
      </c>
    </row>
    <row r="44" spans="1:61" x14ac:dyDescent="0.2">
      <c r="A44" s="218" t="s">
        <v>26</v>
      </c>
      <c r="B44" s="499">
        <f>('Attainment 25+ by race &amp; gender'!CS43/'Pop 25+ by race &amp; gender'!AT42)*100</f>
        <v>86.88499596474162</v>
      </c>
      <c r="C44" s="625">
        <f>('Attainment 25+ by race &amp; gender'!DR43/'Pop 25+ by race &amp; gender'!CV42)*100</f>
        <v>91.600000000000009</v>
      </c>
      <c r="D44" s="500">
        <f>('Attainment 25+ by race &amp; gender'!CT43/'Pop 25+ by race &amp; gender'!AZ42)*100</f>
        <v>77.262031396060976</v>
      </c>
      <c r="E44" s="499">
        <f>IF('Pop 25+ by race &amp; gender'!CW42&gt;0,('Attainment 25+ by race &amp; gender'!DS43/'Pop 25+ by race &amp; gender'!CW42)*100,"—")</f>
        <v>82.2</v>
      </c>
      <c r="F44" s="500">
        <f>('Attainment 25+ by race &amp; gender'!CU43/'Pop 25+ by race &amp; gender'!BC42)*100</f>
        <v>52.303937345778351</v>
      </c>
      <c r="G44" s="499">
        <f>('Attainment 25+ by race &amp; gender'!DT43/'Pop 25+ by race &amp; gender'!CY42)*100</f>
        <v>54.999999999999993</v>
      </c>
      <c r="H44" s="500">
        <f>('Attainment 25+ by race &amp; gender'!NT43/'Pop 25+ by race &amp; gender'!AT42)*100</f>
        <v>21.26412685681268</v>
      </c>
      <c r="I44" s="499">
        <f>('Attainment 25+ by race &amp; gender'!PD43/'Pop 25+ by race &amp; gender'!CV42)*100</f>
        <v>25.400000000000006</v>
      </c>
      <c r="J44" s="500">
        <f>('Attainment 25+ by race &amp; gender'!NZ43/'Pop 25+ by race &amp; gender'!AZ42)*100</f>
        <v>14.695548464042806</v>
      </c>
      <c r="K44" s="499">
        <f>IF('Pop 25+ by race &amp; gender'!CW42&gt;0,('Attainment 25+ by race &amp; gender'!PE43/'Pop 25+ by race &amp; gender'!CW42)*100,"—")</f>
        <v>16.600000000000001</v>
      </c>
      <c r="L44" s="500">
        <f>('Attainment 25+ by race &amp; gender'!OC43/'Pop 25+ by race &amp; gender'!BC42)*100</f>
        <v>10.975217251367878</v>
      </c>
      <c r="M44" s="616">
        <f>('Attainment 25+ by race &amp; gender'!PF43/'Pop 25+ by race &amp; gender'!CY42)*100</f>
        <v>10.600000000000001</v>
      </c>
      <c r="N44" s="493">
        <f>('Attainment 25+ by race &amp; gender'!CS43/'Pop 25+ by race &amp; gender'!AT42)*100</f>
        <v>86.88499596474162</v>
      </c>
      <c r="O44" s="626">
        <f>('Attainment 25+ by race &amp; gender'!DW43/'Pop 25+ by race &amp; gender'!DA42)*100</f>
        <v>91.940028947335207</v>
      </c>
      <c r="P44" s="494">
        <f>('Attainment 25+ by race &amp; gender'!CT43/'Pop 25+ by race &amp; gender'!AZ42)*100</f>
        <v>77.262031396060976</v>
      </c>
      <c r="Q44" s="493">
        <f>('Attainment 25+ by race &amp; gender'!DX43/'Pop 25+ by race &amp; gender'!DB42)*100</f>
        <v>82.740715415188674</v>
      </c>
      <c r="R44" s="494">
        <f>('Attainment 25+ by race &amp; gender'!CU43/'Pop 25+ by race &amp; gender'!BC42)*100</f>
        <v>52.303937345778351</v>
      </c>
      <c r="S44" s="493">
        <f>('Attainment 25+ by race &amp; gender'!DY43/'Pop 25+ by race &amp; gender'!DD42)*100</f>
        <v>54.888390957823972</v>
      </c>
      <c r="T44" s="494">
        <f>('Attainment 25+ by race &amp; gender'!NT43/'Pop 25+ by race &amp; gender'!AT42)*100</f>
        <v>21.26412685681268</v>
      </c>
      <c r="U44" s="493">
        <f>('Attainment 25+ by race &amp; gender'!PI43/'Pop 25+ by race &amp; gender'!DA42)*100</f>
        <v>25.900870103040734</v>
      </c>
      <c r="V44" s="494">
        <f>('Attainment 25+ by race &amp; gender'!NZ43/'Pop 25+ by race &amp; gender'!AZ42)*100</f>
        <v>14.695548464042806</v>
      </c>
      <c r="W44" s="493">
        <f>('Attainment 25+ by race &amp; gender'!PJ43/'Pop 25+ by race &amp; gender'!DB42)*100</f>
        <v>18.212316765673748</v>
      </c>
      <c r="X44" s="494">
        <f>('Attainment 25+ by race &amp; gender'!OC43/'Pop 25+ by race &amp; gender'!BC42)*100</f>
        <v>10.975217251367878</v>
      </c>
      <c r="Y44" s="614">
        <f>('Attainment 25+ by race &amp; gender'!PK43/'Pop 25+ by race &amp; gender'!DD42)*100</f>
        <v>10.463170434240009</v>
      </c>
      <c r="Z44" s="495">
        <f>('Attainment 25+ by race &amp; gender'!CS43/'Pop 25+ by race &amp; gender'!AT42)*100</f>
        <v>86.88499596474162</v>
      </c>
      <c r="AA44" s="626">
        <f>('Attainment 25+ by race &amp; gender'!EB43/'Pop 25+ by race &amp; gender'!DF42)*100</f>
        <v>92.979080721514592</v>
      </c>
      <c r="AB44" s="496">
        <f>('Attainment 25+ by race &amp; gender'!CT43/'Pop 25+ by race &amp; gender'!AZ42)*100</f>
        <v>77.262031396060976</v>
      </c>
      <c r="AC44" s="495">
        <f>('Attainment 25+ by race &amp; gender'!EC43/'Pop 25+ by race &amp; gender'!DG42)*100</f>
        <v>82.930998970133885</v>
      </c>
      <c r="AD44" s="496">
        <f>('Attainment 25+ by race &amp; gender'!CU43/'Pop 25+ by race &amp; gender'!BC42)*100</f>
        <v>52.303937345778351</v>
      </c>
      <c r="AE44" s="495">
        <f>('Attainment 25+ by race &amp; gender'!ED43/'Pop 25+ by race &amp; gender'!DI42)*100</f>
        <v>56.167299349240785</v>
      </c>
      <c r="AF44" s="496">
        <f>('Attainment 25+ by race &amp; gender'!NT43/'Pop 25+ by race &amp; gender'!AT42)*100</f>
        <v>21.26412685681268</v>
      </c>
      <c r="AG44" s="495">
        <f>('Attainment 25+ by race &amp; gender'!PN43/'Pop 25+ by race &amp; gender'!DF42)*100</f>
        <v>26.57878354884803</v>
      </c>
      <c r="AH44" s="496">
        <f>('Attainment 25+ by race &amp; gender'!NZ43/'Pop 25+ by race &amp; gender'!AZ42)*100</f>
        <v>14.695548464042806</v>
      </c>
      <c r="AI44" s="495">
        <f>('Attainment 25+ by race &amp; gender'!PO43/'Pop 25+ by race &amp; gender'!DG42)*100</f>
        <v>16.889804325437694</v>
      </c>
      <c r="AJ44" s="496">
        <f>('Attainment 25+ by race &amp; gender'!OC43/'Pop 25+ by race &amp; gender'!BC42)*100</f>
        <v>10.975217251367878</v>
      </c>
      <c r="AK44" s="634">
        <f>('Attainment 25+ by race &amp; gender'!PP43/'Pop 25+ by race &amp; gender'!DI42)*100</f>
        <v>11.228308026030369</v>
      </c>
      <c r="AL44" s="496">
        <f>('Attainment 25+ by race &amp; gender'!CS43/'Pop 25+ by race &amp; gender'!AT42)*100</f>
        <v>86.88499596474162</v>
      </c>
      <c r="AM44" s="634">
        <f>('Attainment 25+ by race &amp; gender'!EG43/'Pop 25+ by race &amp; gender'!DK42)*100</f>
        <v>93.643528746304668</v>
      </c>
      <c r="AN44" s="496">
        <v>77.262031396060976</v>
      </c>
      <c r="AO44" s="634">
        <f>('Attainment 25+ by race &amp; gender'!EH43/'Pop 25+ by race &amp; gender'!DL42)*100</f>
        <v>83.502086671714594</v>
      </c>
      <c r="AP44" s="634">
        <f>('Attainment 25+ by race &amp; gender'!CU43/'Pop 25+ by race &amp; gender'!BC42)*100</f>
        <v>52.303937345778351</v>
      </c>
      <c r="AQ44" s="634">
        <f>('Attainment 25+ by race &amp; gender'!EI43/'Pop 25+ by race &amp; gender'!DN42)*100</f>
        <v>57.691687644936074</v>
      </c>
      <c r="AR44" s="634">
        <f>('Attainment 25+ by race &amp; gender'!NT43/'Pop 25+ by race &amp; gender'!AT42)*100</f>
        <v>21.26412685681268</v>
      </c>
      <c r="AS44" s="634">
        <f>('Attainment 25+ by race &amp; gender'!PS43/'Pop 25+ by race &amp; gender'!DK42)*100</f>
        <v>27.580070224868997</v>
      </c>
      <c r="AT44" s="634">
        <f>('Attainment 25+ by race &amp; gender'!NZ43/'Pop 25+ by race &amp; gender'!AZ42)*100</f>
        <v>14.695548464042806</v>
      </c>
      <c r="AU44" s="634">
        <f>('Attainment 25+ by race &amp; gender'!PT43/'Pop 25+ by race &amp; gender'!DL42)*100</f>
        <v>14.19465037243128</v>
      </c>
      <c r="AV44" s="634">
        <f>('Attainment 25+ by race &amp; gender'!OC43/'Pop 25+ by race &amp; gender'!BC42)*100</f>
        <v>10.975217251367878</v>
      </c>
      <c r="AW44" s="634">
        <f>('Attainment 25+ by race &amp; gender'!PU43/'Pop 25+ by race &amp; gender'!DN42)*100</f>
        <v>10.814866255781942</v>
      </c>
      <c r="AX44" s="496">
        <f>('Attainment 25+ by race &amp; gender'!DR43/'Pop 25+ by race &amp; gender'!CV42)*100</f>
        <v>91.600000000000009</v>
      </c>
      <c r="AY44" s="634">
        <f>('Attainment 25+ by race &amp; gender'!EL43/'Pop 25+ by race &amp; gender'!DP42)*100</f>
        <v>93.717487080234392</v>
      </c>
      <c r="AZ44" s="496">
        <f>('Attainment 25+ by race &amp; gender'!DS43/'Pop 25+ by race &amp; gender'!CW42)*100</f>
        <v>82.2</v>
      </c>
      <c r="BA44" s="634">
        <f>('Attainment 25+ by race &amp; gender'!EM43/'Pop 25+ by race &amp; gender'!DQ42)*100</f>
        <v>82.329135180520581</v>
      </c>
      <c r="BB44" s="634">
        <f>('Attainment 25+ by race &amp; gender'!DT43/'Pop 25+ by race &amp; gender'!CY42)*100</f>
        <v>54.999999999999993</v>
      </c>
      <c r="BC44" s="634">
        <f>('Attainment 25+ by race &amp; gender'!EN43/'Pop 25+ by race &amp; gender'!DS42)*100</f>
        <v>60.898731958160468</v>
      </c>
      <c r="BD44" s="634">
        <f>('Attainment 25+ by race &amp; gender'!PD43/'Pop 25+ by race &amp; gender'!CV42)*100</f>
        <v>25.400000000000006</v>
      </c>
      <c r="BE44" s="634">
        <f>('Attainment 25+ by race &amp; gender'!PX43/'Pop 25+ by race &amp; gender'!DP42)*100</f>
        <v>28.803311046893331</v>
      </c>
      <c r="BF44" s="634">
        <f>('Attainment 25+ by race &amp; gender'!PE43/'Pop 25+ by race &amp; gender'!CW42)*100</f>
        <v>16.600000000000001</v>
      </c>
      <c r="BG44" s="634">
        <f>('Attainment 25+ by race &amp; gender'!PY43/'Pop 25+ by race &amp; gender'!DQ42)*100</f>
        <v>19.867338371116709</v>
      </c>
      <c r="BH44" s="634">
        <f>('Attainment 25+ by race &amp; gender'!PF43/'Pop 25+ by race &amp; gender'!CY42)*100</f>
        <v>10.600000000000001</v>
      </c>
      <c r="BI44" s="634">
        <f>('Attainment 25+ by race &amp; gender'!PZ43/'Pop 25+ by race &amp; gender'!DS42)*100</f>
        <v>12.432653538245777</v>
      </c>
    </row>
    <row r="45" spans="1:61" x14ac:dyDescent="0.2">
      <c r="A45" s="218" t="s">
        <v>27</v>
      </c>
      <c r="B45" s="499">
        <f>('Attainment 25+ by race &amp; gender'!CS44/'Pop 25+ by race &amp; gender'!AT43)*100</f>
        <v>87.845677587757336</v>
      </c>
      <c r="C45" s="625">
        <f>('Attainment 25+ by race &amp; gender'!DR44/'Pop 25+ by race &amp; gender'!CV43)*100</f>
        <v>90.8</v>
      </c>
      <c r="D45" s="500">
        <f>('Attainment 25+ by race &amp; gender'!CT44/'Pop 25+ by race &amp; gender'!AZ43)*100</f>
        <v>0</v>
      </c>
      <c r="E45" s="499">
        <f>IF('Pop 25+ by race &amp; gender'!CW43&gt;0,('Attainment 25+ by race &amp; gender'!DS44/'Pop 25+ by race &amp; gender'!CW43)*100,"—")</f>
        <v>85.90000000000002</v>
      </c>
      <c r="F45" s="500">
        <f>('Attainment 25+ by race &amp; gender'!CU44/'Pop 25+ by race &amp; gender'!BC43)*100</f>
        <v>0</v>
      </c>
      <c r="G45" s="499">
        <f>('Attainment 25+ by race &amp; gender'!DT44/'Pop 25+ by race &amp; gender'!CY43)*100</f>
        <v>59.599999999999994</v>
      </c>
      <c r="H45" s="500">
        <f>('Attainment 25+ by race &amp; gender'!NT44/'Pop 25+ by race &amp; gender'!AT43)*100</f>
        <v>26.892489462221835</v>
      </c>
      <c r="I45" s="499">
        <f>('Attainment 25+ by race &amp; gender'!PD44/'Pop 25+ by race &amp; gender'!CV43)*100</f>
        <v>30.700000000000006</v>
      </c>
      <c r="J45" s="500">
        <f>('Attainment 25+ by race &amp; gender'!NZ44/'Pop 25+ by race &amp; gender'!AZ43)*100</f>
        <v>14.852196400991344</v>
      </c>
      <c r="K45" s="499">
        <f>IF('Pop 25+ by race &amp; gender'!CW43&gt;0,('Attainment 25+ by race &amp; gender'!PE44/'Pop 25+ by race &amp; gender'!CW43)*100,"—")</f>
        <v>19.000000000000004</v>
      </c>
      <c r="L45" s="500">
        <f>('Attainment 25+ by race &amp; gender'!OC44/'Pop 25+ by race &amp; gender'!BC43)*100</f>
        <v>9.709087529335223</v>
      </c>
      <c r="M45" s="616">
        <f>('Attainment 25+ by race &amp; gender'!PF44/'Pop 25+ by race &amp; gender'!CY43)*100</f>
        <v>11.200000000000001</v>
      </c>
      <c r="N45" s="493">
        <f>('Attainment 25+ by race &amp; gender'!CS44/'Pop 25+ by race &amp; gender'!AT43)*100</f>
        <v>87.845677587757336</v>
      </c>
      <c r="O45" s="626">
        <f>('Attainment 25+ by race &amp; gender'!DW44/'Pop 25+ by race &amp; gender'!DA43)*100</f>
        <v>90.975087561213059</v>
      </c>
      <c r="P45" s="494">
        <f>('Attainment 25+ by race &amp; gender'!CT44/'Pop 25+ by race &amp; gender'!AZ43)*100</f>
        <v>0</v>
      </c>
      <c r="Q45" s="493">
        <f>('Attainment 25+ by race &amp; gender'!DX44/'Pop 25+ by race &amp; gender'!DB43)*100</f>
        <v>86.795325487614178</v>
      </c>
      <c r="R45" s="494">
        <f>('Attainment 25+ by race &amp; gender'!CU44/'Pop 25+ by race &amp; gender'!BC43)*100</f>
        <v>0</v>
      </c>
      <c r="S45" s="493">
        <f>('Attainment 25+ by race &amp; gender'!DY44/'Pop 25+ by race &amp; gender'!DD43)*100</f>
        <v>59.891303602881209</v>
      </c>
      <c r="T45" s="494">
        <f>('Attainment 25+ by race &amp; gender'!NT44/'Pop 25+ by race &amp; gender'!AT43)*100</f>
        <v>26.892489462221835</v>
      </c>
      <c r="U45" s="493">
        <f>('Attainment 25+ by race &amp; gender'!PI44/'Pop 25+ by race &amp; gender'!DA43)*100</f>
        <v>31.074747137457294</v>
      </c>
      <c r="V45" s="494">
        <f>('Attainment 25+ by race &amp; gender'!NZ44/'Pop 25+ by race &amp; gender'!AZ43)*100</f>
        <v>14.852196400991344</v>
      </c>
      <c r="W45" s="493">
        <f>('Attainment 25+ by race &amp; gender'!PJ44/'Pop 25+ by race &amp; gender'!DB43)*100</f>
        <v>18.594148629742406</v>
      </c>
      <c r="X45" s="494">
        <f>('Attainment 25+ by race &amp; gender'!OC44/'Pop 25+ by race &amp; gender'!BC43)*100</f>
        <v>9.709087529335223</v>
      </c>
      <c r="Y45" s="614">
        <f>('Attainment 25+ by race &amp; gender'!PK44/'Pop 25+ by race &amp; gender'!DD43)*100</f>
        <v>11.833240811179417</v>
      </c>
      <c r="Z45" s="495">
        <f>('Attainment 25+ by race &amp; gender'!CS44/'Pop 25+ by race &amp; gender'!AT43)*100</f>
        <v>87.845677587757336</v>
      </c>
      <c r="AA45" s="626">
        <f>('Attainment 25+ by race &amp; gender'!EB44/'Pop 25+ by race &amp; gender'!DF43)*100</f>
        <v>93.3821719433315</v>
      </c>
      <c r="AB45" s="496">
        <f>('Attainment 25+ by race &amp; gender'!CT44/'Pop 25+ by race &amp; gender'!AZ43)*100</f>
        <v>0</v>
      </c>
      <c r="AC45" s="495">
        <f>('Attainment 25+ by race &amp; gender'!EC44/'Pop 25+ by race &amp; gender'!DG43)*100</f>
        <v>87.251320355351126</v>
      </c>
      <c r="AD45" s="496">
        <f>('Attainment 25+ by race &amp; gender'!CU44/'Pop 25+ by race &amp; gender'!BC43)*100</f>
        <v>0</v>
      </c>
      <c r="AE45" s="495">
        <f>('Attainment 25+ by race &amp; gender'!ED44/'Pop 25+ by race &amp; gender'!DI43)*100</f>
        <v>60.204040781466851</v>
      </c>
      <c r="AF45" s="496">
        <f>('Attainment 25+ by race &amp; gender'!NT44/'Pop 25+ by race &amp; gender'!AT43)*100</f>
        <v>26.892489462221835</v>
      </c>
      <c r="AG45" s="495">
        <f>('Attainment 25+ by race &amp; gender'!PN44/'Pop 25+ by race &amp; gender'!DF43)*100</f>
        <v>32.819545918768171</v>
      </c>
      <c r="AH45" s="496">
        <f>('Attainment 25+ by race &amp; gender'!NZ44/'Pop 25+ by race &amp; gender'!AZ43)*100</f>
        <v>14.852196400991344</v>
      </c>
      <c r="AI45" s="495">
        <f>('Attainment 25+ by race &amp; gender'!PO44/'Pop 25+ by race &amp; gender'!DG43)*100</f>
        <v>18.029083434246811</v>
      </c>
      <c r="AJ45" s="496">
        <f>('Attainment 25+ by race &amp; gender'!OC44/'Pop 25+ by race &amp; gender'!BC43)*100</f>
        <v>9.709087529335223</v>
      </c>
      <c r="AK45" s="634">
        <f>('Attainment 25+ by race &amp; gender'!PP44/'Pop 25+ by race &amp; gender'!DI43)*100</f>
        <v>11.57921426283762</v>
      </c>
      <c r="AL45" s="496">
        <f>('Attainment 25+ by race &amp; gender'!CS44/'Pop 25+ by race &amp; gender'!AT43)*100</f>
        <v>87.845677587757336</v>
      </c>
      <c r="AM45" s="634">
        <f>('Attainment 25+ by race &amp; gender'!EG44/'Pop 25+ by race &amp; gender'!DK43)*100</f>
        <v>93.744619218535931</v>
      </c>
      <c r="AN45" s="496">
        <v>0</v>
      </c>
      <c r="AO45" s="634">
        <f>('Attainment 25+ by race &amp; gender'!EH44/'Pop 25+ by race &amp; gender'!DL43)*100</f>
        <v>86.425933125972008</v>
      </c>
      <c r="AP45" s="634">
        <f>('Attainment 25+ by race &amp; gender'!CU44/'Pop 25+ by race &amp; gender'!BC43)*100</f>
        <v>0</v>
      </c>
      <c r="AQ45" s="634">
        <f>('Attainment 25+ by race &amp; gender'!EI44/'Pop 25+ by race &amp; gender'!DN43)*100</f>
        <v>62.603474158267211</v>
      </c>
      <c r="AR45" s="634">
        <f>('Attainment 25+ by race &amp; gender'!NT44/'Pop 25+ by race &amp; gender'!AT43)*100</f>
        <v>26.892489462221835</v>
      </c>
      <c r="AS45" s="634">
        <f>('Attainment 25+ by race &amp; gender'!PS44/'Pop 25+ by race &amp; gender'!DK43)*100</f>
        <v>34.279371805390475</v>
      </c>
      <c r="AT45" s="634">
        <f>('Attainment 25+ by race &amp; gender'!NZ44/'Pop 25+ by race &amp; gender'!AZ43)*100</f>
        <v>14.852196400991344</v>
      </c>
      <c r="AU45" s="634">
        <f>('Attainment 25+ by race &amp; gender'!PT44/'Pop 25+ by race &amp; gender'!DL43)*100</f>
        <v>19.275855365474339</v>
      </c>
      <c r="AV45" s="634">
        <f>('Attainment 25+ by race &amp; gender'!OC44/'Pop 25+ by race &amp; gender'!BC43)*100</f>
        <v>9.709087529335223</v>
      </c>
      <c r="AW45" s="634">
        <f>('Attainment 25+ by race &amp; gender'!PU44/'Pop 25+ by race &amp; gender'!DN43)*100</f>
        <v>12.744707576361019</v>
      </c>
      <c r="AX45" s="496">
        <f>('Attainment 25+ by race &amp; gender'!DR44/'Pop 25+ by race &amp; gender'!CV43)*100</f>
        <v>90.8</v>
      </c>
      <c r="AY45" s="634">
        <f>('Attainment 25+ by race &amp; gender'!EL44/'Pop 25+ by race &amp; gender'!DP43)*100</f>
        <v>93.841343882390717</v>
      </c>
      <c r="AZ45" s="496">
        <f>('Attainment 25+ by race &amp; gender'!DS44/'Pop 25+ by race &amp; gender'!CW43)*100</f>
        <v>85.90000000000002</v>
      </c>
      <c r="BA45" s="634">
        <f>('Attainment 25+ by race &amp; gender'!EM44/'Pop 25+ by race &amp; gender'!DQ43)*100</f>
        <v>88.109950156190337</v>
      </c>
      <c r="BB45" s="634">
        <f>('Attainment 25+ by race &amp; gender'!DT44/'Pop 25+ by race &amp; gender'!CY43)*100</f>
        <v>59.599999999999994</v>
      </c>
      <c r="BC45" s="634">
        <f>('Attainment 25+ by race &amp; gender'!EN44/'Pop 25+ by race &amp; gender'!DS43)*100</f>
        <v>63.552500290767078</v>
      </c>
      <c r="BD45" s="634">
        <f>('Attainment 25+ by race &amp; gender'!PD44/'Pop 25+ by race &amp; gender'!CV43)*100</f>
        <v>30.700000000000006</v>
      </c>
      <c r="BE45" s="634">
        <f>('Attainment 25+ by race &amp; gender'!PX44/'Pop 25+ by race &amp; gender'!DP43)*100</f>
        <v>35.207740035865406</v>
      </c>
      <c r="BF45" s="634">
        <f>('Attainment 25+ by race &amp; gender'!PE44/'Pop 25+ by race &amp; gender'!CW43)*100</f>
        <v>19.000000000000004</v>
      </c>
      <c r="BG45" s="634">
        <f>('Attainment 25+ by race &amp; gender'!PY44/'Pop 25+ by race &amp; gender'!DQ43)*100</f>
        <v>20.420293970759605</v>
      </c>
      <c r="BH45" s="634">
        <f>('Attainment 25+ by race &amp; gender'!PF44/'Pop 25+ by race &amp; gender'!CY43)*100</f>
        <v>11.200000000000001</v>
      </c>
      <c r="BI45" s="634">
        <f>('Attainment 25+ by race &amp; gender'!PZ44/'Pop 25+ by race &amp; gender'!DS43)*100</f>
        <v>13.928661063534136</v>
      </c>
    </row>
    <row r="46" spans="1:61" x14ac:dyDescent="0.2">
      <c r="A46" s="218" t="s">
        <v>30</v>
      </c>
      <c r="B46" s="499">
        <f>('Attainment 25+ by race &amp; gender'!CS45/'Pop 25+ by race &amp; gender'!AT44)*100</f>
        <v>85.296528570955005</v>
      </c>
      <c r="C46" s="625">
        <f>('Attainment 25+ by race &amp; gender'!DR45/'Pop 25+ by race &amp; gender'!CV44)*100</f>
        <v>89.999999999999986</v>
      </c>
      <c r="D46" s="500">
        <f>('Attainment 25+ by race &amp; gender'!CT45/'Pop 25+ by race &amp; gender'!AZ44)*100</f>
        <v>74.125259932482507</v>
      </c>
      <c r="E46" s="499">
        <f>IF('Pop 25+ by race &amp; gender'!CW44&gt;0,('Attainment 25+ by race &amp; gender'!DS45/'Pop 25+ by race &amp; gender'!CW44)*100,"—")</f>
        <v>82.3</v>
      </c>
      <c r="F46" s="500">
        <f>('Attainment 25+ by race &amp; gender'!CU45/'Pop 25+ by race &amp; gender'!BC44)*100</f>
        <v>62.256143297667052</v>
      </c>
      <c r="G46" s="499">
        <f>('Attainment 25+ by race &amp; gender'!DT45/'Pop 25+ by race &amp; gender'!CY44)*100</f>
        <v>67.600000000000009</v>
      </c>
      <c r="H46" s="500">
        <f>('Attainment 25+ by race &amp; gender'!NT45/'Pop 25+ by race &amp; gender'!AT44)*100</f>
        <v>22.630796388436003</v>
      </c>
      <c r="I46" s="499">
        <f>('Attainment 25+ by race &amp; gender'!PD45/'Pop 25+ by race &amp; gender'!CV44)*100</f>
        <v>26</v>
      </c>
      <c r="J46" s="500">
        <f>('Attainment 25+ by race &amp; gender'!NZ45/'Pop 25+ by race &amp; gender'!AZ44)*100</f>
        <v>12.757937759700539</v>
      </c>
      <c r="K46" s="499">
        <f>IF('Pop 25+ by race &amp; gender'!CW44&gt;0,('Attainment 25+ by race &amp; gender'!PE45/'Pop 25+ by race &amp; gender'!CW44)*100,"—")</f>
        <v>15.799999999999997</v>
      </c>
      <c r="L46" s="500">
        <f>('Attainment 25+ by race &amp; gender'!OC45/'Pop 25+ by race &amp; gender'!BC44)*100</f>
        <v>12.886019630344334</v>
      </c>
      <c r="M46" s="616">
        <f>('Attainment 25+ by race &amp; gender'!PF45/'Pop 25+ by race &amp; gender'!CY44)*100</f>
        <v>14.6</v>
      </c>
      <c r="N46" s="493">
        <f>('Attainment 25+ by race &amp; gender'!CS45/'Pop 25+ by race &amp; gender'!AT44)*100</f>
        <v>85.296528570955005</v>
      </c>
      <c r="O46" s="626">
        <f>('Attainment 25+ by race &amp; gender'!DW45/'Pop 25+ by race &amp; gender'!DA44)*100</f>
        <v>90.288374398592836</v>
      </c>
      <c r="P46" s="494">
        <f>('Attainment 25+ by race &amp; gender'!CT45/'Pop 25+ by race &amp; gender'!AZ44)*100</f>
        <v>74.125259932482507</v>
      </c>
      <c r="Q46" s="493">
        <f>('Attainment 25+ by race &amp; gender'!DX45/'Pop 25+ by race &amp; gender'!DB44)*100</f>
        <v>82.995270125733839</v>
      </c>
      <c r="R46" s="494">
        <f>('Attainment 25+ by race &amp; gender'!CU45/'Pop 25+ by race &amp; gender'!BC44)*100</f>
        <v>62.256143297667052</v>
      </c>
      <c r="S46" s="493">
        <f>('Attainment 25+ by race &amp; gender'!DY45/'Pop 25+ by race &amp; gender'!DD44)*100</f>
        <v>68.392355615731546</v>
      </c>
      <c r="T46" s="494">
        <f>('Attainment 25+ by race &amp; gender'!NT45/'Pop 25+ by race &amp; gender'!AT44)*100</f>
        <v>22.630796388436003</v>
      </c>
      <c r="U46" s="493">
        <f>('Attainment 25+ by race &amp; gender'!PI45/'Pop 25+ by race &amp; gender'!DA44)*100</f>
        <v>26.455321757332449</v>
      </c>
      <c r="V46" s="494">
        <f>('Attainment 25+ by race &amp; gender'!NZ45/'Pop 25+ by race &amp; gender'!AZ44)*100</f>
        <v>12.757937759700539</v>
      </c>
      <c r="W46" s="493">
        <f>('Attainment 25+ by race &amp; gender'!PJ45/'Pop 25+ by race &amp; gender'!DB44)*100</f>
        <v>15.884771706319967</v>
      </c>
      <c r="X46" s="494">
        <f>('Attainment 25+ by race &amp; gender'!OC45/'Pop 25+ by race &amp; gender'!BC44)*100</f>
        <v>12.886019630344334</v>
      </c>
      <c r="Y46" s="614">
        <f>('Attainment 25+ by race &amp; gender'!PK45/'Pop 25+ by race &amp; gender'!DD44)*100</f>
        <v>15.262695660924535</v>
      </c>
      <c r="Z46" s="495">
        <f>('Attainment 25+ by race &amp; gender'!CS45/'Pop 25+ by race &amp; gender'!AT44)*100</f>
        <v>85.296528570955005</v>
      </c>
      <c r="AA46" s="626">
        <f>('Attainment 25+ by race &amp; gender'!EB45/'Pop 25+ by race &amp; gender'!DF44)*100</f>
        <v>90.979893041805553</v>
      </c>
      <c r="AB46" s="496">
        <f>('Attainment 25+ by race &amp; gender'!CT45/'Pop 25+ by race &amp; gender'!AZ44)*100</f>
        <v>74.125259932482507</v>
      </c>
      <c r="AC46" s="495">
        <f>('Attainment 25+ by race &amp; gender'!EC45/'Pop 25+ by race &amp; gender'!DG44)*100</f>
        <v>83.532072099691405</v>
      </c>
      <c r="AD46" s="496">
        <f>('Attainment 25+ by race &amp; gender'!CU45/'Pop 25+ by race &amp; gender'!BC44)*100</f>
        <v>62.256143297667052</v>
      </c>
      <c r="AE46" s="495">
        <f>('Attainment 25+ by race &amp; gender'!ED45/'Pop 25+ by race &amp; gender'!DI44)*100</f>
        <v>69.357816208581227</v>
      </c>
      <c r="AF46" s="496">
        <f>('Attainment 25+ by race &amp; gender'!NT45/'Pop 25+ by race &amp; gender'!AT44)*100</f>
        <v>22.630796388436003</v>
      </c>
      <c r="AG46" s="495">
        <f>('Attainment 25+ by race &amp; gender'!PN45/'Pop 25+ by race &amp; gender'!DF44)*100</f>
        <v>27.255580971264081</v>
      </c>
      <c r="AH46" s="496">
        <f>('Attainment 25+ by race &amp; gender'!NZ45/'Pop 25+ by race &amp; gender'!AZ44)*100</f>
        <v>12.757937759700539</v>
      </c>
      <c r="AI46" s="495">
        <f>('Attainment 25+ by race &amp; gender'!PO45/'Pop 25+ by race &amp; gender'!DG44)*100</f>
        <v>16.072470432781142</v>
      </c>
      <c r="AJ46" s="496">
        <f>('Attainment 25+ by race &amp; gender'!OC45/'Pop 25+ by race &amp; gender'!BC44)*100</f>
        <v>12.886019630344334</v>
      </c>
      <c r="AK46" s="634">
        <f>('Attainment 25+ by race &amp; gender'!PP45/'Pop 25+ by race &amp; gender'!DI44)*100</f>
        <v>15.742822533423325</v>
      </c>
      <c r="AL46" s="496">
        <f>('Attainment 25+ by race &amp; gender'!CS45/'Pop 25+ by race &amp; gender'!AT44)*100</f>
        <v>85.296528570955005</v>
      </c>
      <c r="AM46" s="634">
        <f>('Attainment 25+ by race &amp; gender'!EG45/'Pop 25+ by race &amp; gender'!DK44)*100</f>
        <v>91.932955039759193</v>
      </c>
      <c r="AN46" s="496">
        <v>74.125259932482507</v>
      </c>
      <c r="AO46" s="634">
        <f>('Attainment 25+ by race &amp; gender'!EH45/'Pop 25+ by race &amp; gender'!DL44)*100</f>
        <v>84.845252169127846</v>
      </c>
      <c r="AP46" s="634">
        <f>('Attainment 25+ by race &amp; gender'!CU45/'Pop 25+ by race &amp; gender'!BC44)*100</f>
        <v>62.256143297667052</v>
      </c>
      <c r="AQ46" s="634">
        <f>('Attainment 25+ by race &amp; gender'!EI45/'Pop 25+ by race &amp; gender'!DN44)*100</f>
        <v>71.110644551753097</v>
      </c>
      <c r="AR46" s="634">
        <f>('Attainment 25+ by race &amp; gender'!NT45/'Pop 25+ by race &amp; gender'!AT44)*100</f>
        <v>22.630796388436003</v>
      </c>
      <c r="AS46" s="634">
        <f>('Attainment 25+ by race &amp; gender'!PS45/'Pop 25+ by race &amp; gender'!DK44)*100</f>
        <v>28.916815721706925</v>
      </c>
      <c r="AT46" s="634">
        <f>('Attainment 25+ by race &amp; gender'!NZ45/'Pop 25+ by race &amp; gender'!AZ44)*100</f>
        <v>12.757937759700539</v>
      </c>
      <c r="AU46" s="634">
        <f>('Attainment 25+ by race &amp; gender'!PT45/'Pop 25+ by race &amp; gender'!DL44)*100</f>
        <v>17.0428975490779</v>
      </c>
      <c r="AV46" s="634">
        <f>('Attainment 25+ by race &amp; gender'!OC45/'Pop 25+ by race &amp; gender'!BC44)*100</f>
        <v>12.886019630344334</v>
      </c>
      <c r="AW46" s="634">
        <f>('Attainment 25+ by race &amp; gender'!PU45/'Pop 25+ by race &amp; gender'!DN44)*100</f>
        <v>16.69898276337619</v>
      </c>
      <c r="AX46" s="496">
        <f>('Attainment 25+ by race &amp; gender'!DR45/'Pop 25+ by race &amp; gender'!CV44)*100</f>
        <v>89.999999999999986</v>
      </c>
      <c r="AY46" s="634">
        <f>('Attainment 25+ by race &amp; gender'!EL45/'Pop 25+ by race &amp; gender'!DP44)*100</f>
        <v>92.246925200697234</v>
      </c>
      <c r="AZ46" s="496">
        <f>('Attainment 25+ by race &amp; gender'!DS45/'Pop 25+ by race &amp; gender'!CW44)*100</f>
        <v>82.3</v>
      </c>
      <c r="BA46" s="634">
        <f>('Attainment 25+ by race &amp; gender'!EM45/'Pop 25+ by race &amp; gender'!DQ44)*100</f>
        <v>85.230112501509623</v>
      </c>
      <c r="BB46" s="634">
        <f>('Attainment 25+ by race &amp; gender'!DT45/'Pop 25+ by race &amp; gender'!CY44)*100</f>
        <v>67.600000000000009</v>
      </c>
      <c r="BC46" s="634">
        <f>('Attainment 25+ by race &amp; gender'!EN45/'Pop 25+ by race &amp; gender'!DS44)*100</f>
        <v>71.794240410776425</v>
      </c>
      <c r="BD46" s="634">
        <f>('Attainment 25+ by race &amp; gender'!PD45/'Pop 25+ by race &amp; gender'!CV44)*100</f>
        <v>26</v>
      </c>
      <c r="BE46" s="634">
        <f>('Attainment 25+ by race &amp; gender'!PX45/'Pop 25+ by race &amp; gender'!DP44)*100</f>
        <v>29.438077765123861</v>
      </c>
      <c r="BF46" s="634">
        <f>('Attainment 25+ by race &amp; gender'!PE45/'Pop 25+ by race &amp; gender'!CW44)*100</f>
        <v>15.799999999999997</v>
      </c>
      <c r="BG46" s="634">
        <f>('Attainment 25+ by race &amp; gender'!PY45/'Pop 25+ by race &amp; gender'!DQ44)*100</f>
        <v>17.01167284449523</v>
      </c>
      <c r="BH46" s="634">
        <f>('Attainment 25+ by race &amp; gender'!PF45/'Pop 25+ by race &amp; gender'!CY44)*100</f>
        <v>14.6</v>
      </c>
      <c r="BI46" s="634">
        <f>('Attainment 25+ by race &amp; gender'!PZ45/'Pop 25+ by race &amp; gender'!DS44)*100</f>
        <v>17.52702582692168</v>
      </c>
    </row>
    <row r="47" spans="1:61" s="646" customFormat="1" x14ac:dyDescent="0.25">
      <c r="A47" s="636" t="s">
        <v>31</v>
      </c>
      <c r="B47" s="637">
        <f>('Attainment 25+ by race &amp; gender'!CS46/'Pop 25+ by race &amp; gender'!AT45)*100</f>
        <v>89.195769446988081</v>
      </c>
      <c r="C47" s="638">
        <f>('Attainment 25+ by race &amp; gender'!DR46/'Pop 25+ by race &amp; gender'!CV45)*100</f>
        <v>93.2</v>
      </c>
      <c r="D47" s="639">
        <f>('Attainment 25+ by race &amp; gender'!CT46/'Pop 25+ by race &amp; gender'!AZ45)*100</f>
        <v>79.004930418435265</v>
      </c>
      <c r="E47" s="637">
        <f>IF('Pop 25+ by race &amp; gender'!CW45&gt;0,('Attainment 25+ by race &amp; gender'!DS46/'Pop 25+ by race &amp; gender'!CW45)*100,"—")</f>
        <v>79.5</v>
      </c>
      <c r="F47" s="639">
        <f>('Attainment 25+ by race &amp; gender'!CU46/'Pop 25+ by race &amp; gender'!BC45)*100</f>
        <v>58.096480601372967</v>
      </c>
      <c r="G47" s="637">
        <f>('Attainment 25+ by race &amp; gender'!DT46/'Pop 25+ by race &amp; gender'!CY45)*100</f>
        <v>60.699999999999996</v>
      </c>
      <c r="H47" s="639">
        <f>('Attainment 25+ by race &amp; gender'!NT46/'Pop 25+ by race &amp; gender'!AT45)*100</f>
        <v>27.91410633113296</v>
      </c>
      <c r="I47" s="637">
        <f>('Attainment 25+ by race &amp; gender'!PD46/'Pop 25+ by race &amp; gender'!CV45)*100</f>
        <v>32.499999999999993</v>
      </c>
      <c r="J47" s="639">
        <f>('Attainment 25+ by race &amp; gender'!NZ46/'Pop 25+ by race &amp; gender'!AZ45)*100</f>
        <v>18.696572354186124</v>
      </c>
      <c r="K47" s="637">
        <f>IF('Pop 25+ by race &amp; gender'!CW45&gt;0,('Attainment 25+ by race &amp; gender'!PE46/'Pop 25+ by race &amp; gender'!CW45)*100,"—")</f>
        <v>18.399999999999999</v>
      </c>
      <c r="L47" s="639">
        <f>('Attainment 25+ by race &amp; gender'!OC46/'Pop 25+ by race &amp; gender'!BC45)*100</f>
        <v>14.021681732053551</v>
      </c>
      <c r="M47" s="640">
        <f>('Attainment 25+ by race &amp; gender'!PF46/'Pop 25+ by race &amp; gender'!CY45)*100</f>
        <v>13.599999999999998</v>
      </c>
      <c r="N47" s="641">
        <f>('Attainment 25+ by race &amp; gender'!CS46/'Pop 25+ by race &amp; gender'!AT45)*100</f>
        <v>89.195769446988081</v>
      </c>
      <c r="O47" s="642">
        <f>('Attainment 25+ by race &amp; gender'!DW46/'Pop 25+ by race &amp; gender'!DA45)*100</f>
        <v>93.692311032202468</v>
      </c>
      <c r="P47" s="643">
        <f>('Attainment 25+ by race &amp; gender'!CT46/'Pop 25+ by race &amp; gender'!AZ45)*100</f>
        <v>79.004930418435265</v>
      </c>
      <c r="Q47" s="641">
        <f>('Attainment 25+ by race &amp; gender'!DX46/'Pop 25+ by race &amp; gender'!DB45)*100</f>
        <v>80.490621265625634</v>
      </c>
      <c r="R47" s="643">
        <f>('Attainment 25+ by race &amp; gender'!CU46/'Pop 25+ by race &amp; gender'!BC45)*100</f>
        <v>58.096480601372967</v>
      </c>
      <c r="S47" s="641">
        <f>('Attainment 25+ by race &amp; gender'!DY46/'Pop 25+ by race &amp; gender'!DD45)*100</f>
        <v>64.041361201040559</v>
      </c>
      <c r="T47" s="643">
        <f>('Attainment 25+ by race &amp; gender'!NT46/'Pop 25+ by race &amp; gender'!AT45)*100</f>
        <v>27.91410633113296</v>
      </c>
      <c r="U47" s="644">
        <f>('Attainment 25+ by race &amp; gender'!PI46/'Pop 25+ by race &amp; gender'!DA45)*100</f>
        <v>33.276228393331273</v>
      </c>
      <c r="V47" s="643">
        <f>('Attainment 25+ by race &amp; gender'!NZ46/'Pop 25+ by race &amp; gender'!AZ45)*100</f>
        <v>18.696572354186124</v>
      </c>
      <c r="W47" s="644">
        <f>('Attainment 25+ by race &amp; gender'!PJ46/'Pop 25+ by race &amp; gender'!DB45)*100</f>
        <v>18.814533345865168</v>
      </c>
      <c r="X47" s="643">
        <f>('Attainment 25+ by race &amp; gender'!OC46/'Pop 25+ by race &amp; gender'!BC45)*100</f>
        <v>14.021681732053551</v>
      </c>
      <c r="Y47" s="681">
        <f>('Attainment 25+ by race &amp; gender'!PK46/'Pop 25+ by race &amp; gender'!DD45)*100</f>
        <v>15.645820251657467</v>
      </c>
      <c r="Z47" s="495">
        <f>('Attainment 25+ by race &amp; gender'!CS46/'Pop 25+ by race &amp; gender'!AT45)*100</f>
        <v>89.195769446988081</v>
      </c>
      <c r="AA47" s="626">
        <f>('Attainment 25+ by race &amp; gender'!EB46/'Pop 25+ by race &amp; gender'!DF45)*100</f>
        <v>94.64670471184435</v>
      </c>
      <c r="AB47" s="496">
        <f>('Attainment 25+ by race &amp; gender'!CT46/'Pop 25+ by race &amp; gender'!AZ45)*100</f>
        <v>79.004930418435265</v>
      </c>
      <c r="AC47" s="495">
        <f>('Attainment 25+ by race &amp; gender'!EC46/'Pop 25+ by race &amp; gender'!DG45)*100</f>
        <v>80.560329115242411</v>
      </c>
      <c r="AD47" s="496">
        <f>('Attainment 25+ by race &amp; gender'!CU46/'Pop 25+ by race &amp; gender'!BC45)*100</f>
        <v>58.096480601372967</v>
      </c>
      <c r="AE47" s="495">
        <f>('Attainment 25+ by race &amp; gender'!ED46/'Pop 25+ by race &amp; gender'!DI45)*100</f>
        <v>64.41855485324092</v>
      </c>
      <c r="AF47" s="496">
        <f>('Attainment 25+ by race &amp; gender'!NT46/'Pop 25+ by race &amp; gender'!AT45)*100</f>
        <v>27.91410633113296</v>
      </c>
      <c r="AG47" s="495">
        <f>('Attainment 25+ by race &amp; gender'!PN46/'Pop 25+ by race &amp; gender'!DF45)*100</f>
        <v>34.232126059834535</v>
      </c>
      <c r="AH47" s="496">
        <f>('Attainment 25+ by race &amp; gender'!NZ46/'Pop 25+ by race &amp; gender'!AZ45)*100</f>
        <v>18.696572354186124</v>
      </c>
      <c r="AI47" s="495">
        <f>('Attainment 25+ by race &amp; gender'!PO46/'Pop 25+ by race &amp; gender'!DG45)*100</f>
        <v>19.32250169244389</v>
      </c>
      <c r="AJ47" s="496">
        <f>('Attainment 25+ by race &amp; gender'!OC46/'Pop 25+ by race &amp; gender'!BC45)*100</f>
        <v>14.021681732053551</v>
      </c>
      <c r="AK47" s="634">
        <f>('Attainment 25+ by race &amp; gender'!PP46/'Pop 25+ by race &amp; gender'!DI45)*100</f>
        <v>16.130413748800471</v>
      </c>
      <c r="AL47" s="496">
        <f>('Attainment 25+ by race &amp; gender'!CS46/'Pop 25+ by race &amp; gender'!AT45)*100</f>
        <v>89.195769446988081</v>
      </c>
      <c r="AM47" s="634">
        <f>('Attainment 25+ by race &amp; gender'!EG46/'Pop 25+ by race &amp; gender'!DK45)*100</f>
        <v>95.401036998090078</v>
      </c>
      <c r="AN47" s="496">
        <v>79.004930418435265</v>
      </c>
      <c r="AO47" s="634">
        <f>('Attainment 25+ by race &amp; gender'!EH46/'Pop 25+ by race &amp; gender'!DL45)*100</f>
        <v>80.717842154110159</v>
      </c>
      <c r="AP47" s="634">
        <f>('Attainment 25+ by race &amp; gender'!CU46/'Pop 25+ by race &amp; gender'!BC45)*100</f>
        <v>58.096480601372967</v>
      </c>
      <c r="AQ47" s="634">
        <f>('Attainment 25+ by race &amp; gender'!EI46/'Pop 25+ by race &amp; gender'!DN45)*100</f>
        <v>64.622268439861742</v>
      </c>
      <c r="AR47" s="634">
        <f>('Attainment 25+ by race &amp; gender'!NT46/'Pop 25+ by race &amp; gender'!AT45)*100</f>
        <v>27.91410633113296</v>
      </c>
      <c r="AS47" s="634">
        <f>('Attainment 25+ by race &amp; gender'!PS46/'Pop 25+ by race &amp; gender'!DK45)*100</f>
        <v>36.107678030147063</v>
      </c>
      <c r="AT47" s="634">
        <f>('Attainment 25+ by race &amp; gender'!NZ46/'Pop 25+ by race &amp; gender'!AZ45)*100</f>
        <v>18.696572354186124</v>
      </c>
      <c r="AU47" s="634">
        <f>('Attainment 25+ by race &amp; gender'!PT46/'Pop 25+ by race &amp; gender'!DL45)*100</f>
        <v>19.028245553616351</v>
      </c>
      <c r="AV47" s="634">
        <f>('Attainment 25+ by race &amp; gender'!OC46/'Pop 25+ by race &amp; gender'!BC45)*100</f>
        <v>14.021681732053551</v>
      </c>
      <c r="AW47" s="634">
        <f>('Attainment 25+ by race &amp; gender'!PU46/'Pop 25+ by race &amp; gender'!DN45)*100</f>
        <v>17.461479875798229</v>
      </c>
      <c r="AX47" s="496">
        <f>('Attainment 25+ by race &amp; gender'!DR46/'Pop 25+ by race &amp; gender'!CV45)*100</f>
        <v>93.2</v>
      </c>
      <c r="AY47" s="634">
        <f>('Attainment 25+ by race &amp; gender'!EL46/'Pop 25+ by race &amp; gender'!DP45)*100</f>
        <v>95.664495524486711</v>
      </c>
      <c r="AZ47" s="496">
        <f>('Attainment 25+ by race &amp; gender'!DS46/'Pop 25+ by race &amp; gender'!CW45)*100</f>
        <v>79.5</v>
      </c>
      <c r="BA47" s="634">
        <f>('Attainment 25+ by race &amp; gender'!EM46/'Pop 25+ by race &amp; gender'!DQ45)*100</f>
        <v>81.759608975783166</v>
      </c>
      <c r="BB47" s="634">
        <f>('Attainment 25+ by race &amp; gender'!DT46/'Pop 25+ by race &amp; gender'!CY45)*100</f>
        <v>60.699999999999996</v>
      </c>
      <c r="BC47" s="634">
        <f>('Attainment 25+ by race &amp; gender'!EN46/'Pop 25+ by race &amp; gender'!DS45)*100</f>
        <v>62.583193206064806</v>
      </c>
      <c r="BD47" s="634">
        <f>('Attainment 25+ by race &amp; gender'!PD46/'Pop 25+ by race &amp; gender'!CV45)*100</f>
        <v>32.499999999999993</v>
      </c>
      <c r="BE47" s="634">
        <f>('Attainment 25+ by race &amp; gender'!PX46/'Pop 25+ by race &amp; gender'!DP45)*100</f>
        <v>36.369163443326428</v>
      </c>
      <c r="BF47" s="634">
        <f>('Attainment 25+ by race &amp; gender'!PE46/'Pop 25+ by race &amp; gender'!CW45)*100</f>
        <v>18.399999999999999</v>
      </c>
      <c r="BG47" s="634">
        <f>('Attainment 25+ by race &amp; gender'!PY46/'Pop 25+ by race &amp; gender'!DQ45)*100</f>
        <v>20.739835592090646</v>
      </c>
      <c r="BH47" s="634">
        <f>('Attainment 25+ by race &amp; gender'!PF46/'Pop 25+ by race &amp; gender'!CY45)*100</f>
        <v>13.599999999999998</v>
      </c>
      <c r="BI47" s="634">
        <f>('Attainment 25+ by race &amp; gender'!PZ46/'Pop 25+ by race &amp; gender'!DS45)*100</f>
        <v>15.174723395837161</v>
      </c>
    </row>
    <row r="48" spans="1:61" x14ac:dyDescent="0.2">
      <c r="A48" s="218" t="s">
        <v>32</v>
      </c>
      <c r="B48" s="499">
        <f>('Attainment 25+ by race &amp; gender'!CS47/'Pop 25+ by race &amp; gender'!AT46)*100</f>
        <v>82.379612039998335</v>
      </c>
      <c r="C48" s="625">
        <f>('Attainment 25+ by race &amp; gender'!DR47/'Pop 25+ by race &amp; gender'!CV46)*100</f>
        <v>88.1</v>
      </c>
      <c r="D48" s="500">
        <f>('Attainment 25+ by race &amp; gender'!CT47/'Pop 25+ by race &amp; gender'!AZ46)*100</f>
        <v>73.890145734291863</v>
      </c>
      <c r="E48" s="499">
        <f>IF('Pop 25+ by race &amp; gender'!CW46&gt;0,('Attainment 25+ by race &amp; gender'!DS47/'Pop 25+ by race &amp; gender'!CW46)*100,"—")</f>
        <v>81.899999999999991</v>
      </c>
      <c r="F48" s="500">
        <f>('Attainment 25+ by race &amp; gender'!CU47/'Pop 25+ by race &amp; gender'!BC46)*100</f>
        <v>65.700559049615663</v>
      </c>
      <c r="G48" s="499">
        <f>('Attainment 25+ by race &amp; gender'!DT47/'Pop 25+ by race &amp; gender'!CY46)*100</f>
        <v>66.500000000000014</v>
      </c>
      <c r="H48" s="500">
        <f>('Attainment 25+ by race &amp; gender'!NT47/'Pop 25+ by race &amp; gender'!AT46)*100</f>
        <v>22.311528565444043</v>
      </c>
      <c r="I48" s="499">
        <f>('Attainment 25+ by race &amp; gender'!PD47/'Pop 25+ by race &amp; gender'!CV46)*100</f>
        <v>26.5</v>
      </c>
      <c r="J48" s="500">
        <f>('Attainment 25+ by race &amp; gender'!NZ47/'Pop 25+ by race &amp; gender'!AZ46)*100</f>
        <v>13.18573972823825</v>
      </c>
      <c r="K48" s="499">
        <f>IF('Pop 25+ by race &amp; gender'!CW46&gt;0,('Attainment 25+ by race &amp; gender'!PE47/'Pop 25+ by race &amp; gender'!CW46)*100,"—")</f>
        <v>16.099999999999998</v>
      </c>
      <c r="L48" s="500">
        <f>('Attainment 25+ by race &amp; gender'!OC47/'Pop 25+ by race &amp; gender'!BC46)*100</f>
        <v>16.060447239692525</v>
      </c>
      <c r="M48" s="616">
        <f>('Attainment 25+ by race &amp; gender'!PF47/'Pop 25+ by race &amp; gender'!CY46)*100</f>
        <v>17</v>
      </c>
      <c r="N48" s="493">
        <f>('Attainment 25+ by race &amp; gender'!CS47/'Pop 25+ by race &amp; gender'!AT46)*100</f>
        <v>82.379612039998335</v>
      </c>
      <c r="O48" s="626">
        <f>('Attainment 25+ by race &amp; gender'!DW47/'Pop 25+ by race &amp; gender'!DA46)*100</f>
        <v>88.527740431596442</v>
      </c>
      <c r="P48" s="494">
        <f>('Attainment 25+ by race &amp; gender'!CT47/'Pop 25+ by race &amp; gender'!AZ46)*100</f>
        <v>73.890145734291863</v>
      </c>
      <c r="Q48" s="493">
        <f>('Attainment 25+ by race &amp; gender'!DX47/'Pop 25+ by race &amp; gender'!DB46)*100</f>
        <v>82.095506078932004</v>
      </c>
      <c r="R48" s="494">
        <f>('Attainment 25+ by race &amp; gender'!CU47/'Pop 25+ by race &amp; gender'!BC46)*100</f>
        <v>65.700559049615663</v>
      </c>
      <c r="S48" s="493">
        <f>('Attainment 25+ by race &amp; gender'!DY47/'Pop 25+ by race &amp; gender'!DD46)*100</f>
        <v>67.406127577795843</v>
      </c>
      <c r="T48" s="494">
        <f>('Attainment 25+ by race &amp; gender'!NT47/'Pop 25+ by race &amp; gender'!AT46)*100</f>
        <v>22.311528565444043</v>
      </c>
      <c r="U48" s="493">
        <f>('Attainment 25+ by race &amp; gender'!PI47/'Pop 25+ by race &amp; gender'!DA46)*100</f>
        <v>26.978286842454608</v>
      </c>
      <c r="V48" s="494">
        <f>('Attainment 25+ by race &amp; gender'!NZ47/'Pop 25+ by race &amp; gender'!AZ46)*100</f>
        <v>13.18573972823825</v>
      </c>
      <c r="W48" s="493">
        <f>('Attainment 25+ by race &amp; gender'!PJ47/'Pop 25+ by race &amp; gender'!DB46)*100</f>
        <v>16.397430390316181</v>
      </c>
      <c r="X48" s="494">
        <f>('Attainment 25+ by race &amp; gender'!OC47/'Pop 25+ by race &amp; gender'!BC46)*100</f>
        <v>16.060447239692525</v>
      </c>
      <c r="Y48" s="614">
        <f>('Attainment 25+ by race &amp; gender'!PK47/'Pop 25+ by race &amp; gender'!DD46)*100</f>
        <v>17.833912336462415</v>
      </c>
      <c r="Z48" s="495">
        <f>('Attainment 25+ by race &amp; gender'!CS47/'Pop 25+ by race &amp; gender'!AT46)*100</f>
        <v>82.379612039998335</v>
      </c>
      <c r="AA48" s="626">
        <f>('Attainment 25+ by race &amp; gender'!EB47/'Pop 25+ by race &amp; gender'!DF46)*100</f>
        <v>89.43765799564494</v>
      </c>
      <c r="AB48" s="496">
        <f>('Attainment 25+ by race &amp; gender'!CT47/'Pop 25+ by race &amp; gender'!AZ46)*100</f>
        <v>73.890145734291863</v>
      </c>
      <c r="AC48" s="495">
        <f>('Attainment 25+ by race &amp; gender'!EC47/'Pop 25+ by race &amp; gender'!DG46)*100</f>
        <v>82.971160020876582</v>
      </c>
      <c r="AD48" s="496">
        <f>('Attainment 25+ by race &amp; gender'!CU47/'Pop 25+ by race &amp; gender'!BC46)*100</f>
        <v>65.700559049615663</v>
      </c>
      <c r="AE48" s="495">
        <f>('Attainment 25+ by race &amp; gender'!ED47/'Pop 25+ by race &amp; gender'!DI46)*100</f>
        <v>68.351430502365389</v>
      </c>
      <c r="AF48" s="496">
        <f>('Attainment 25+ by race &amp; gender'!NT47/'Pop 25+ by race &amp; gender'!AT46)*100</f>
        <v>22.311528565444043</v>
      </c>
      <c r="AG48" s="495">
        <f>('Attainment 25+ by race &amp; gender'!PN47/'Pop 25+ by race &amp; gender'!DF46)*100</f>
        <v>27.535257545707196</v>
      </c>
      <c r="AH48" s="496">
        <f>('Attainment 25+ by race &amp; gender'!NZ47/'Pop 25+ by race &amp; gender'!AZ46)*100</f>
        <v>13.18573972823825</v>
      </c>
      <c r="AI48" s="495">
        <f>('Attainment 25+ by race &amp; gender'!PO47/'Pop 25+ by race &amp; gender'!DG46)*100</f>
        <v>16.384504193353649</v>
      </c>
      <c r="AJ48" s="496">
        <f>('Attainment 25+ by race &amp; gender'!OC47/'Pop 25+ by race &amp; gender'!BC46)*100</f>
        <v>16.060447239692525</v>
      </c>
      <c r="AK48" s="634">
        <f>('Attainment 25+ by race &amp; gender'!PP47/'Pop 25+ by race &amp; gender'!DI46)*100</f>
        <v>17.574228429826537</v>
      </c>
      <c r="AL48" s="496">
        <f>('Attainment 25+ by race &amp; gender'!CS47/'Pop 25+ by race &amp; gender'!AT46)*100</f>
        <v>82.379612039998335</v>
      </c>
      <c r="AM48" s="634">
        <f>('Attainment 25+ by race &amp; gender'!EG47/'Pop 25+ by race &amp; gender'!DK46)*100</f>
        <v>90.22451000151527</v>
      </c>
      <c r="AN48" s="496">
        <v>73.890145734291863</v>
      </c>
      <c r="AO48" s="634">
        <f>('Attainment 25+ by race &amp; gender'!EH47/'Pop 25+ by race &amp; gender'!DL46)*100</f>
        <v>85.320407703932361</v>
      </c>
      <c r="AP48" s="634">
        <f>('Attainment 25+ by race &amp; gender'!CU47/'Pop 25+ by race &amp; gender'!BC46)*100</f>
        <v>65.700559049615663</v>
      </c>
      <c r="AQ48" s="634">
        <f>('Attainment 25+ by race &amp; gender'!EI47/'Pop 25+ by race &amp; gender'!DN46)*100</f>
        <v>68.959078367135987</v>
      </c>
      <c r="AR48" s="634">
        <f>('Attainment 25+ by race &amp; gender'!NT47/'Pop 25+ by race &amp; gender'!AT46)*100</f>
        <v>22.311528565444043</v>
      </c>
      <c r="AS48" s="634">
        <f>('Attainment 25+ by race &amp; gender'!PS47/'Pop 25+ by race &amp; gender'!DK46)*100</f>
        <v>28.90669616783892</v>
      </c>
      <c r="AT48" s="634">
        <f>('Attainment 25+ by race &amp; gender'!NZ47/'Pop 25+ by race &amp; gender'!AZ46)*100</f>
        <v>13.18573972823825</v>
      </c>
      <c r="AU48" s="634">
        <f>('Attainment 25+ by race &amp; gender'!PT47/'Pop 25+ by race &amp; gender'!DL46)*100</f>
        <v>17.10349230846964</v>
      </c>
      <c r="AV48" s="634">
        <f>('Attainment 25+ by race &amp; gender'!OC47/'Pop 25+ by race &amp; gender'!BC46)*100</f>
        <v>16.060447239692525</v>
      </c>
      <c r="AW48" s="634">
        <f>('Attainment 25+ by race &amp; gender'!PU47/'Pop 25+ by race &amp; gender'!DN46)*100</f>
        <v>18.61938463333917</v>
      </c>
      <c r="AX48" s="496">
        <f>('Attainment 25+ by race &amp; gender'!DR47/'Pop 25+ by race &amp; gender'!CV46)*100</f>
        <v>88.1</v>
      </c>
      <c r="AY48" s="634">
        <f>('Attainment 25+ by race &amp; gender'!EL47/'Pop 25+ by race &amp; gender'!DP46)*100</f>
        <v>90.710072964450177</v>
      </c>
      <c r="AZ48" s="496">
        <f>('Attainment 25+ by race &amp; gender'!DS47/'Pop 25+ by race &amp; gender'!CW46)*100</f>
        <v>81.899999999999991</v>
      </c>
      <c r="BA48" s="634">
        <f>('Attainment 25+ by race &amp; gender'!EM47/'Pop 25+ by race &amp; gender'!DQ46)*100</f>
        <v>86.53813217754292</v>
      </c>
      <c r="BB48" s="634">
        <f>('Attainment 25+ by race &amp; gender'!DT47/'Pop 25+ by race &amp; gender'!CY46)*100</f>
        <v>66.500000000000014</v>
      </c>
      <c r="BC48" s="634">
        <f>('Attainment 25+ by race &amp; gender'!EN47/'Pop 25+ by race &amp; gender'!DS46)*100</f>
        <v>72.702111330644499</v>
      </c>
      <c r="BD48" s="634">
        <f>('Attainment 25+ by race &amp; gender'!PD47/'Pop 25+ by race &amp; gender'!CV46)*100</f>
        <v>26.5</v>
      </c>
      <c r="BE48" s="634">
        <f>('Attainment 25+ by race &amp; gender'!PX47/'Pop 25+ by race &amp; gender'!DP46)*100</f>
        <v>29.490509636966312</v>
      </c>
      <c r="BF48" s="634">
        <f>('Attainment 25+ by race &amp; gender'!PE47/'Pop 25+ by race &amp; gender'!CW46)*100</f>
        <v>16.099999999999998</v>
      </c>
      <c r="BG48" s="634">
        <f>('Attainment 25+ by race &amp; gender'!PY47/'Pop 25+ by race &amp; gender'!DQ46)*100</f>
        <v>18.257362797463411</v>
      </c>
      <c r="BH48" s="634">
        <f>('Attainment 25+ by race &amp; gender'!PF47/'Pop 25+ by race &amp; gender'!CY46)*100</f>
        <v>17</v>
      </c>
      <c r="BI48" s="634">
        <f>('Attainment 25+ by race &amp; gender'!PZ47/'Pop 25+ by race &amp; gender'!DS46)*100</f>
        <v>19.435508891102366</v>
      </c>
    </row>
    <row r="49" spans="1:61" x14ac:dyDescent="0.2">
      <c r="A49" s="218" t="s">
        <v>34</v>
      </c>
      <c r="B49" s="499">
        <f>('Attainment 25+ by race &amp; gender'!CS48/'Pop 25+ by race &amp; gender'!AT47)*100</f>
        <v>88.186937996209451</v>
      </c>
      <c r="C49" s="625">
        <f>('Attainment 25+ by race &amp; gender'!DR48/'Pop 25+ by race &amp; gender'!CV47)*100</f>
        <v>91.899999999999977</v>
      </c>
      <c r="D49" s="500">
        <f>('Attainment 25+ by race &amp; gender'!CT48/'Pop 25+ by race &amp; gender'!AZ47)*100</f>
        <v>78.601142603583114</v>
      </c>
      <c r="E49" s="499">
        <f>IF('Pop 25+ by race &amp; gender'!CW47&gt;0,('Attainment 25+ by race &amp; gender'!DS48/'Pop 25+ by race &amp; gender'!CW47)*100,"—")</f>
        <v>83.600000000000009</v>
      </c>
      <c r="F49" s="500">
        <f>('Attainment 25+ by race &amp; gender'!CU48/'Pop 25+ by race &amp; gender'!BC47)*100</f>
        <v>46.619906787873191</v>
      </c>
      <c r="G49" s="499">
        <f>('Attainment 25+ by race &amp; gender'!DT48/'Pop 25+ by race &amp; gender'!CY47)*100</f>
        <v>50.7</v>
      </c>
      <c r="H49" s="500">
        <f>('Attainment 25+ by race &amp; gender'!NT48/'Pop 25+ by race &amp; gender'!AT47)*100</f>
        <v>24.387637267518308</v>
      </c>
      <c r="I49" s="499">
        <f>('Attainment 25+ by race &amp; gender'!PD48/'Pop 25+ by race &amp; gender'!CV47)*100</f>
        <v>28.9</v>
      </c>
      <c r="J49" s="500">
        <f>('Attainment 25+ by race &amp; gender'!NZ48/'Pop 25+ by race &amp; gender'!AZ47)*100</f>
        <v>14.110599589550169</v>
      </c>
      <c r="K49" s="499">
        <f>IF('Pop 25+ by race &amp; gender'!CW47&gt;0,('Attainment 25+ by race &amp; gender'!PE48/'Pop 25+ by race &amp; gender'!CW47)*100,"—")</f>
        <v>17.599999999999998</v>
      </c>
      <c r="L49" s="500">
        <f>('Attainment 25+ by race &amp; gender'!OC48/'Pop 25+ by race &amp; gender'!BC47)*100</f>
        <v>8.5367541876240143</v>
      </c>
      <c r="M49" s="616">
        <f>('Attainment 25+ by race &amp; gender'!PF48/'Pop 25+ by race &amp; gender'!CY47)*100</f>
        <v>9.0000000000000018</v>
      </c>
      <c r="N49" s="493">
        <f>('Attainment 25+ by race &amp; gender'!CS48/'Pop 25+ by race &amp; gender'!AT47)*100</f>
        <v>88.186937996209451</v>
      </c>
      <c r="O49" s="626">
        <f>('Attainment 25+ by race &amp; gender'!DW48/'Pop 25+ by race &amp; gender'!DA47)*100</f>
        <v>92.117277667748183</v>
      </c>
      <c r="P49" s="494">
        <f>('Attainment 25+ by race &amp; gender'!CT48/'Pop 25+ by race &amp; gender'!AZ47)*100</f>
        <v>78.601142603583114</v>
      </c>
      <c r="Q49" s="493">
        <f>('Attainment 25+ by race &amp; gender'!DX48/'Pop 25+ by race &amp; gender'!DB47)*100</f>
        <v>82.553164039821951</v>
      </c>
      <c r="R49" s="494">
        <f>('Attainment 25+ by race &amp; gender'!CU48/'Pop 25+ by race &amp; gender'!BC47)*100</f>
        <v>46.619906787873191</v>
      </c>
      <c r="S49" s="493">
        <f>('Attainment 25+ by race &amp; gender'!DY48/'Pop 25+ by race &amp; gender'!DD47)*100</f>
        <v>52.769975127764098</v>
      </c>
      <c r="T49" s="494">
        <f>('Attainment 25+ by race &amp; gender'!NT48/'Pop 25+ by race &amp; gender'!AT47)*100</f>
        <v>24.387637267518308</v>
      </c>
      <c r="U49" s="493">
        <f>('Attainment 25+ by race &amp; gender'!PI48/'Pop 25+ by race &amp; gender'!DA47)*100</f>
        <v>29.177858452538867</v>
      </c>
      <c r="V49" s="494">
        <f>('Attainment 25+ by race &amp; gender'!NZ48/'Pop 25+ by race &amp; gender'!AZ47)*100</f>
        <v>14.110599589550169</v>
      </c>
      <c r="W49" s="493">
        <f>('Attainment 25+ by race &amp; gender'!PJ48/'Pop 25+ by race &amp; gender'!DB47)*100</f>
        <v>17.625303717719913</v>
      </c>
      <c r="X49" s="494">
        <f>('Attainment 25+ by race &amp; gender'!OC48/'Pop 25+ by race &amp; gender'!BC47)*100</f>
        <v>8.5367541876240143</v>
      </c>
      <c r="Y49" s="614">
        <f>('Attainment 25+ by race &amp; gender'!PK48/'Pop 25+ by race &amp; gender'!DD47)*100</f>
        <v>10.09614789699677</v>
      </c>
      <c r="Z49" s="495">
        <f>('Attainment 25+ by race &amp; gender'!CS48/'Pop 25+ by race &amp; gender'!AT47)*100</f>
        <v>88.186937996209451</v>
      </c>
      <c r="AA49" s="626">
        <f>('Attainment 25+ by race &amp; gender'!EB48/'Pop 25+ by race &amp; gender'!DF47)*100</f>
        <v>94.40931452174317</v>
      </c>
      <c r="AB49" s="496">
        <f>('Attainment 25+ by race &amp; gender'!CT48/'Pop 25+ by race &amp; gender'!AZ47)*100</f>
        <v>78.601142603583114</v>
      </c>
      <c r="AC49" s="495">
        <f>('Attainment 25+ by race &amp; gender'!EC48/'Pop 25+ by race &amp; gender'!DG47)*100</f>
        <v>84.977993238502265</v>
      </c>
      <c r="AD49" s="496">
        <f>('Attainment 25+ by race &amp; gender'!CU48/'Pop 25+ by race &amp; gender'!BC47)*100</f>
        <v>46.619906787873191</v>
      </c>
      <c r="AE49" s="495">
        <f>('Attainment 25+ by race &amp; gender'!ED48/'Pop 25+ by race &amp; gender'!DI47)*100</f>
        <v>50.969331286372231</v>
      </c>
      <c r="AF49" s="496">
        <f>('Attainment 25+ by race &amp; gender'!NT48/'Pop 25+ by race &amp; gender'!AT47)*100</f>
        <v>24.387637267518308</v>
      </c>
      <c r="AG49" s="495">
        <f>('Attainment 25+ by race &amp; gender'!PN48/'Pop 25+ by race &amp; gender'!DF47)*100</f>
        <v>30.463734317229001</v>
      </c>
      <c r="AH49" s="496">
        <f>('Attainment 25+ by race &amp; gender'!NZ48/'Pop 25+ by race &amp; gender'!AZ47)*100</f>
        <v>14.110599589550169</v>
      </c>
      <c r="AI49" s="495">
        <f>('Attainment 25+ by race &amp; gender'!PO48/'Pop 25+ by race &amp; gender'!DG47)*100</f>
        <v>19.227743403287192</v>
      </c>
      <c r="AJ49" s="496">
        <f>('Attainment 25+ by race &amp; gender'!OC48/'Pop 25+ by race &amp; gender'!BC47)*100</f>
        <v>8.5367541876240143</v>
      </c>
      <c r="AK49" s="634">
        <f>('Attainment 25+ by race &amp; gender'!PP48/'Pop 25+ by race &amp; gender'!DI47)*100</f>
        <v>9.5445511561759915</v>
      </c>
      <c r="AL49" s="496">
        <f>('Attainment 25+ by race &amp; gender'!CS48/'Pop 25+ by race &amp; gender'!AT47)*100</f>
        <v>88.186937996209451</v>
      </c>
      <c r="AM49" s="634">
        <f>('Attainment 25+ by race &amp; gender'!EG48/'Pop 25+ by race &amp; gender'!DK47)*100</f>
        <v>94.632546082508171</v>
      </c>
      <c r="AN49" s="496">
        <v>78.601142603583114</v>
      </c>
      <c r="AO49" s="634">
        <f>('Attainment 25+ by race &amp; gender'!EH48/'Pop 25+ by race &amp; gender'!DL47)*100</f>
        <v>87.627722772277224</v>
      </c>
      <c r="AP49" s="634">
        <f>('Attainment 25+ by race &amp; gender'!CU48/'Pop 25+ by race &amp; gender'!BC47)*100</f>
        <v>46.619906787873191</v>
      </c>
      <c r="AQ49" s="634">
        <f>('Attainment 25+ by race &amp; gender'!EI48/'Pop 25+ by race &amp; gender'!DN47)*100</f>
        <v>56.294420656828017</v>
      </c>
      <c r="AR49" s="634">
        <f>('Attainment 25+ by race &amp; gender'!NT48/'Pop 25+ by race &amp; gender'!AT47)*100</f>
        <v>24.387637267518308</v>
      </c>
      <c r="AS49" s="634">
        <f>('Attainment 25+ by race &amp; gender'!PS48/'Pop 25+ by race &amp; gender'!DK47)*100</f>
        <v>32.103158192998983</v>
      </c>
      <c r="AT49" s="634">
        <f>('Attainment 25+ by race &amp; gender'!NZ48/'Pop 25+ by race &amp; gender'!AZ47)*100</f>
        <v>14.110599589550169</v>
      </c>
      <c r="AU49" s="634">
        <f>('Attainment 25+ by race &amp; gender'!PT48/'Pop 25+ by race &amp; gender'!DL47)*100</f>
        <v>22.174257425742574</v>
      </c>
      <c r="AV49" s="634">
        <f>('Attainment 25+ by race &amp; gender'!OC48/'Pop 25+ by race &amp; gender'!BC47)*100</f>
        <v>8.5367541876240143</v>
      </c>
      <c r="AW49" s="634">
        <f>('Attainment 25+ by race &amp; gender'!PU48/'Pop 25+ by race &amp; gender'!DN47)*100</f>
        <v>10.173009628550936</v>
      </c>
      <c r="AX49" s="496">
        <f>('Attainment 25+ by race &amp; gender'!DR48/'Pop 25+ by race &amp; gender'!CV47)*100</f>
        <v>91.899999999999977</v>
      </c>
      <c r="AY49" s="634">
        <f>('Attainment 25+ by race &amp; gender'!EL48/'Pop 25+ by race &amp; gender'!DP47)*100</f>
        <v>94.927913694871535</v>
      </c>
      <c r="AZ49" s="496">
        <f>('Attainment 25+ by race &amp; gender'!DS48/'Pop 25+ by race &amp; gender'!CW47)*100</f>
        <v>83.600000000000009</v>
      </c>
      <c r="BA49" s="634">
        <f>('Attainment 25+ by race &amp; gender'!EM48/'Pop 25+ by race &amp; gender'!DQ47)*100</f>
        <v>86.40786240786241</v>
      </c>
      <c r="BB49" s="634">
        <f>('Attainment 25+ by race &amp; gender'!DT48/'Pop 25+ by race &amp; gender'!CY47)*100</f>
        <v>50.7</v>
      </c>
      <c r="BC49" s="634">
        <f>('Attainment 25+ by race &amp; gender'!EN48/'Pop 25+ by race &amp; gender'!DS47)*100</f>
        <v>55.551606482797844</v>
      </c>
      <c r="BD49" s="634">
        <f>('Attainment 25+ by race &amp; gender'!PD48/'Pop 25+ by race &amp; gender'!CV47)*100</f>
        <v>28.9</v>
      </c>
      <c r="BE49" s="634">
        <f>('Attainment 25+ by race &amp; gender'!PX48/'Pop 25+ by race &amp; gender'!DP47)*100</f>
        <v>33.622880628284243</v>
      </c>
      <c r="BF49" s="634">
        <f>('Attainment 25+ by race &amp; gender'!PE48/'Pop 25+ by race &amp; gender'!CW47)*100</f>
        <v>17.599999999999998</v>
      </c>
      <c r="BG49" s="634">
        <f>('Attainment 25+ by race &amp; gender'!PY48/'Pop 25+ by race &amp; gender'!DQ47)*100</f>
        <v>23.272727272727273</v>
      </c>
      <c r="BH49" s="634">
        <f>('Attainment 25+ by race &amp; gender'!PF48/'Pop 25+ by race &amp; gender'!CY47)*100</f>
        <v>9.0000000000000018</v>
      </c>
      <c r="BI49" s="634">
        <f>('Attainment 25+ by race &amp; gender'!PZ48/'Pop 25+ by race &amp; gender'!DS47)*100</f>
        <v>10.825988058003981</v>
      </c>
    </row>
    <row r="50" spans="1:61" x14ac:dyDescent="0.2">
      <c r="A50" s="218" t="s">
        <v>40</v>
      </c>
      <c r="B50" s="499">
        <f>('Attainment 25+ by race &amp; gender'!CS49/'Pop 25+ by race &amp; gender'!AT48)*100</f>
        <v>84.20287267542804</v>
      </c>
      <c r="C50" s="625">
        <f>('Attainment 25+ by race &amp; gender'!DR49/'Pop 25+ by race &amp; gender'!CV48)*100</f>
        <v>91.1</v>
      </c>
      <c r="D50" s="500">
        <f>('Attainment 25+ by race &amp; gender'!CT49/'Pop 25+ by race &amp; gender'!AZ48)*100</f>
        <v>92.569870483980907</v>
      </c>
      <c r="E50" s="499" t="str">
        <f>IF('Pop 25+ by race &amp; gender'!CW48&gt;0,('Attainment 25+ by race &amp; gender'!DS49/'Pop 25+ by race &amp; gender'!CW48)*100,"—")</f>
        <v>—</v>
      </c>
      <c r="F50" s="500">
        <f>('Attainment 25+ by race &amp; gender'!CU49/'Pop 25+ by race &amp; gender'!BC48)*100</f>
        <v>72.988505747126439</v>
      </c>
      <c r="G50" s="499" t="str">
        <f>IF('Pop 25+ by race &amp; gender'!CY48&gt;0,('Attainment 25+ by race &amp; gender'!DT49/'Pop 25+ by race &amp; gender'!CY48)*100,"—")</f>
        <v>—</v>
      </c>
      <c r="H50" s="500">
        <f>('Attainment 25+ by race &amp; gender'!NT49/'Pop 25+ by race &amp; gender'!AT48)*100</f>
        <v>22.364795106463909</v>
      </c>
      <c r="I50" s="499">
        <f>('Attainment 25+ by race &amp; gender'!PD49/'Pop 25+ by race &amp; gender'!CV48)*100</f>
        <v>27.200000000000003</v>
      </c>
      <c r="J50" s="500">
        <f>('Attainment 25+ by race &amp; gender'!NZ49/'Pop 25+ by race &amp; gender'!AZ48)*100</f>
        <v>20.518064076346285</v>
      </c>
      <c r="K50" s="499" t="str">
        <f>IF('Pop 25+ by race &amp; gender'!CW48&gt;0,('Attainment 25+ by race &amp; gender'!PE49/'Pop 25+ by race &amp; gender'!CW48)*100,"—")</f>
        <v>—</v>
      </c>
      <c r="L50" s="500">
        <f>('Attainment 25+ by race &amp; gender'!OC49/'Pop 25+ by race &amp; gender'!BC48)*100</f>
        <v>16.303690260133092</v>
      </c>
      <c r="M50" s="616" t="str">
        <f>IF('Pop 25+ by race &amp; gender'!CY48&gt;0,('Attainment 25+ by race &amp; gender'!PF49/'Pop 25+ by race &amp; gender'!CY48)*100,"—")</f>
        <v>—</v>
      </c>
      <c r="N50" s="493">
        <f>('Attainment 25+ by race &amp; gender'!CS49/'Pop 25+ by race &amp; gender'!AT48)*100</f>
        <v>84.20287267542804</v>
      </c>
      <c r="O50" s="626">
        <f>('Attainment 25+ by race &amp; gender'!DW49/'Pop 25+ by race &amp; gender'!DA48)*100</f>
        <v>91.601911370158945</v>
      </c>
      <c r="P50" s="494">
        <f>('Attainment 25+ by race &amp; gender'!CT49/'Pop 25+ by race &amp; gender'!AZ48)*100</f>
        <v>92.569870483980907</v>
      </c>
      <c r="Q50" s="493">
        <f>('Attainment 25+ by race &amp; gender'!DX49/'Pop 25+ by race &amp; gender'!DB48)*100</f>
        <v>84.593639575971736</v>
      </c>
      <c r="R50" s="494">
        <f>('Attainment 25+ by race &amp; gender'!CU49/'Pop 25+ by race &amp; gender'!BC48)*100</f>
        <v>72.988505747126439</v>
      </c>
      <c r="S50" s="493">
        <f>('Attainment 25+ by race &amp; gender'!DY49/'Pop 25+ by race &amp; gender'!DD48)*100</f>
        <v>76.089644513137557</v>
      </c>
      <c r="T50" s="494">
        <f>('Attainment 25+ by race &amp; gender'!NT49/'Pop 25+ by race &amp; gender'!AT48)*100</f>
        <v>22.364795106463909</v>
      </c>
      <c r="U50" s="493">
        <f>('Attainment 25+ by race &amp; gender'!PI49/'Pop 25+ by race &amp; gender'!DA48)*100</f>
        <v>27.754907296629206</v>
      </c>
      <c r="V50" s="494">
        <f>('Attainment 25+ by race &amp; gender'!NZ49/'Pop 25+ by race &amp; gender'!AZ48)*100</f>
        <v>20.518064076346285</v>
      </c>
      <c r="W50" s="493">
        <f>('Attainment 25+ by race &amp; gender'!PJ49/'Pop 25+ by race &amp; gender'!DB48)*100</f>
        <v>31.54299175500589</v>
      </c>
      <c r="X50" s="494">
        <f>('Attainment 25+ by race &amp; gender'!OC49/'Pop 25+ by race &amp; gender'!BC48)*100</f>
        <v>16.303690260133092</v>
      </c>
      <c r="Y50" s="614">
        <f>('Attainment 25+ by race &amp; gender'!PK49/'Pop 25+ by race &amp; gender'!DD48)*100</f>
        <v>17.666151468315302</v>
      </c>
      <c r="Z50" s="495">
        <f>('Attainment 25+ by race &amp; gender'!CS49/'Pop 25+ by race &amp; gender'!AT48)*100</f>
        <v>84.20287267542804</v>
      </c>
      <c r="AA50" s="626">
        <f>('Attainment 25+ by race &amp; gender'!EB49/'Pop 25+ by race &amp; gender'!DF48)*100</f>
        <v>92.096971148090518</v>
      </c>
      <c r="AB50" s="496">
        <f>('Attainment 25+ by race &amp; gender'!CT49/'Pop 25+ by race &amp; gender'!AZ48)*100</f>
        <v>92.569870483980907</v>
      </c>
      <c r="AC50" s="495">
        <f>('Attainment 25+ by race &amp; gender'!EC49/'Pop 25+ by race &amp; gender'!DG48)*100</f>
        <v>83.523107836570659</v>
      </c>
      <c r="AD50" s="496">
        <f>('Attainment 25+ by race &amp; gender'!CU49/'Pop 25+ by race &amp; gender'!BC48)*100</f>
        <v>72.988505747126439</v>
      </c>
      <c r="AE50" s="495">
        <f>('Attainment 25+ by race &amp; gender'!ED49/'Pop 25+ by race &amp; gender'!DI48)*100</f>
        <v>75.628240925408846</v>
      </c>
      <c r="AF50" s="496">
        <f>('Attainment 25+ by race &amp; gender'!NT49/'Pop 25+ by race &amp; gender'!AT48)*100</f>
        <v>22.364795106463909</v>
      </c>
      <c r="AG50" s="495">
        <f>('Attainment 25+ by race &amp; gender'!PN49/'Pop 25+ by race &amp; gender'!DF48)*100</f>
        <v>27.854423560397461</v>
      </c>
      <c r="AH50" s="496">
        <f>('Attainment 25+ by race &amp; gender'!NZ49/'Pop 25+ by race &amp; gender'!AZ48)*100</f>
        <v>20.518064076346285</v>
      </c>
      <c r="AI50" s="495">
        <f>('Attainment 25+ by race &amp; gender'!PO49/'Pop 25+ by race &amp; gender'!DG48)*100</f>
        <v>27.796383121232417</v>
      </c>
      <c r="AJ50" s="496">
        <f>('Attainment 25+ by race &amp; gender'!OC49/'Pop 25+ by race &amp; gender'!BC48)*100</f>
        <v>16.303690260133092</v>
      </c>
      <c r="AK50" s="634">
        <f>('Attainment 25+ by race &amp; gender'!PP49/'Pop 25+ by race &amp; gender'!DI48)*100</f>
        <v>15.370296503124584</v>
      </c>
      <c r="AL50" s="496">
        <f>('Attainment 25+ by race &amp; gender'!CS49/'Pop 25+ by race &amp; gender'!AT48)*100</f>
        <v>84.20287267542804</v>
      </c>
      <c r="AM50" s="634">
        <f>('Attainment 25+ by race &amp; gender'!EG49/'Pop 25+ by race &amp; gender'!DK48)*100</f>
        <v>93.368772622346924</v>
      </c>
      <c r="AN50" s="496">
        <v>92.569870483980907</v>
      </c>
      <c r="AO50" s="634">
        <f>('Attainment 25+ by race &amp; gender'!EH49/'Pop 25+ by race &amp; gender'!DL48)*100</f>
        <v>88.085553077024016</v>
      </c>
      <c r="AP50" s="634">
        <f>('Attainment 25+ by race &amp; gender'!CU49/'Pop 25+ by race &amp; gender'!BC48)*100</f>
        <v>72.988505747126439</v>
      </c>
      <c r="AQ50" s="634">
        <f>('Attainment 25+ by race &amp; gender'!EI49/'Pop 25+ by race &amp; gender'!DN48)*100</f>
        <v>82.345319080012956</v>
      </c>
      <c r="AR50" s="634">
        <f>('Attainment 25+ by race &amp; gender'!NT49/'Pop 25+ by race &amp; gender'!AT48)*100</f>
        <v>22.364795106463909</v>
      </c>
      <c r="AS50" s="634">
        <f>('Attainment 25+ by race &amp; gender'!PS49/'Pop 25+ by race &amp; gender'!DK48)*100</f>
        <v>29.910439002473417</v>
      </c>
      <c r="AT50" s="634">
        <f>('Attainment 25+ by race &amp; gender'!NZ49/'Pop 25+ by race &amp; gender'!AZ48)*100</f>
        <v>20.518064076346285</v>
      </c>
      <c r="AU50" s="634">
        <f>('Attainment 25+ by race &amp; gender'!PT49/'Pop 25+ by race &amp; gender'!DL48)*100</f>
        <v>34.588636661855396</v>
      </c>
      <c r="AV50" s="634">
        <f>('Attainment 25+ by race &amp; gender'!OC49/'Pop 25+ by race &amp; gender'!BC48)*100</f>
        <v>16.303690260133092</v>
      </c>
      <c r="AW50" s="634">
        <f>('Attainment 25+ by race &amp; gender'!PU49/'Pop 25+ by race &amp; gender'!DN48)*100</f>
        <v>23.866213151927436</v>
      </c>
      <c r="AX50" s="496">
        <f>('Attainment 25+ by race &amp; gender'!DR49/'Pop 25+ by race &amp; gender'!CV48)*100</f>
        <v>91.1</v>
      </c>
      <c r="AY50" s="634">
        <f>('Attainment 25+ by race &amp; gender'!EL49/'Pop 25+ by race &amp; gender'!DP48)*100</f>
        <v>93.646689719925803</v>
      </c>
      <c r="AZ50" s="496" t="str">
        <f>IF('Pop 25+ by race &amp; gender'!CW48&gt;0, ('Attainment 25+ by race &amp; gender'!DS49/'Pop 25+ by race &amp; gender'!CW48)*100,"—")</f>
        <v>—</v>
      </c>
      <c r="BA50" s="634" t="str">
        <f>IF('Pop 25+ by race &amp; gender'!DQ48&gt;0,('Attainment 25+ by race &amp; gender'!EM49/'Pop 25+ by race &amp; gender'!DQ48)*100,"—")</f>
        <v>—</v>
      </c>
      <c r="BB50" s="634" t="str">
        <f>IF('Pop 25+ by race &amp; gender'!CY48&gt;0,('Attainment 25+ by race &amp; gender'!DT49/'Pop 25+ by race &amp; gender'!CY48)*100,"—")</f>
        <v>—</v>
      </c>
      <c r="BC50" s="634">
        <f>('Attainment 25+ by race &amp; gender'!EN49/'Pop 25+ by race &amp; gender'!DS48)*100</f>
        <v>75.757824693994905</v>
      </c>
      <c r="BD50" s="634">
        <f>('Attainment 25+ by race &amp; gender'!PD49/'Pop 25+ by race &amp; gender'!CV48)*100</f>
        <v>27.200000000000003</v>
      </c>
      <c r="BE50" s="634">
        <f>('Attainment 25+ by race &amp; gender'!PX49/'Pop 25+ by race &amp; gender'!DP48)*100</f>
        <v>31.013122037236357</v>
      </c>
      <c r="BF50" s="634" t="str">
        <f>IF('Pop 25+ by race &amp; gender'!CW48&gt; 0, ('Attainment 25+ by race &amp; gender'!PE49/'Pop 25+ by race &amp; gender'!CW48)*100*100,"—")</f>
        <v>—</v>
      </c>
      <c r="BG50" s="634" t="str">
        <f>IF('Pop 25+ by race &amp; gender'!DQ48&gt;0, ('Attainment 25+ by race &amp; gender'!PY49/'Pop 25+ by race &amp; gender'!DQ48)*100,"—")</f>
        <v>—</v>
      </c>
      <c r="BH50" s="634" t="str">
        <f>IF('Pop 25+ by race &amp; gender'!CY48&gt;0,('Attainment 25+ by race &amp; gender'!PF49/'Pop 25+ by race &amp; gender'!CY48)*100,"—")</f>
        <v>—</v>
      </c>
      <c r="BI50" s="634">
        <f>('Attainment 25+ by race &amp; gender'!PZ49/'Pop 25+ by race &amp; gender'!DS48)*100</f>
        <v>15.345436622032366</v>
      </c>
    </row>
    <row r="51" spans="1:61" x14ac:dyDescent="0.2">
      <c r="A51" s="218" t="s">
        <v>41</v>
      </c>
      <c r="B51" s="499">
        <f>('Attainment 25+ by race &amp; gender'!CS50/'Pop 25+ by race &amp; gender'!AT49)*100</f>
        <v>84.195414293390812</v>
      </c>
      <c r="C51" s="625">
        <f>('Attainment 25+ by race &amp; gender'!DR50/'Pop 25+ by race &amp; gender'!CV49)*100</f>
        <v>88.9</v>
      </c>
      <c r="D51" s="500">
        <f>('Attainment 25+ by race &amp; gender'!CT50/'Pop 25+ by race &amp; gender'!AZ49)*100</f>
        <v>73.891583364268797</v>
      </c>
      <c r="E51" s="499">
        <f>IF('Pop 25+ by race &amp; gender'!CW49&gt;0,('Attainment 25+ by race &amp; gender'!DS50/'Pop 25+ by race &amp; gender'!CW49)*100,"—")</f>
        <v>82.09999999999998</v>
      </c>
      <c r="F51" s="500">
        <f>('Attainment 25+ by race &amp; gender'!CU50/'Pop 25+ by race &amp; gender'!BC49)*100</f>
        <v>67.095602078469767</v>
      </c>
      <c r="G51" s="499">
        <f>('Attainment 25+ by race &amp; gender'!DT50/'Pop 25+ by race &amp; gender'!CY49)*100</f>
        <v>71.000000000000014</v>
      </c>
      <c r="H51" s="500">
        <f>('Attainment 25+ by race &amp; gender'!NT50/'Pop 25+ by race &amp; gender'!AT49)*100</f>
        <v>21.784860678938315</v>
      </c>
      <c r="I51" s="499">
        <f>('Attainment 25+ by race &amp; gender'!PD50/'Pop 25+ by race &amp; gender'!CV49)*100</f>
        <v>25.2</v>
      </c>
      <c r="J51" s="500">
        <f>('Attainment 25+ by race &amp; gender'!NZ50/'Pop 25+ by race &amp; gender'!AZ49)*100</f>
        <v>11.921970256386889</v>
      </c>
      <c r="K51" s="499">
        <f>IF('Pop 25+ by race &amp; gender'!CW49&gt;0,('Attainment 25+ by race &amp; gender'!PE50/'Pop 25+ by race &amp; gender'!CW49)*100,"—")</f>
        <v>14.299999999999999</v>
      </c>
      <c r="L51" s="500">
        <f>('Attainment 25+ by race &amp; gender'!OC50/'Pop 25+ by race &amp; gender'!BC49)*100</f>
        <v>15.165863393327811</v>
      </c>
      <c r="M51" s="616">
        <f>('Attainment 25+ by race &amp; gender'!PF50/'Pop 25+ by race &amp; gender'!CY49)*100</f>
        <v>16.7</v>
      </c>
      <c r="N51" s="493">
        <f>('Attainment 25+ by race &amp; gender'!CS50/'Pop 25+ by race &amp; gender'!AT49)*100</f>
        <v>84.195414293390812</v>
      </c>
      <c r="O51" s="626">
        <f>('Attainment 25+ by race &amp; gender'!DW50/'Pop 25+ by race &amp; gender'!DA49)*100</f>
        <v>89.405786083595245</v>
      </c>
      <c r="P51" s="494">
        <f>('Attainment 25+ by race &amp; gender'!CT50/'Pop 25+ by race &amp; gender'!AZ49)*100</f>
        <v>73.891583364268797</v>
      </c>
      <c r="Q51" s="493">
        <f>('Attainment 25+ by race &amp; gender'!DX50/'Pop 25+ by race &amp; gender'!DB49)*100</f>
        <v>82.708658827399063</v>
      </c>
      <c r="R51" s="494">
        <f>('Attainment 25+ by race &amp; gender'!CU50/'Pop 25+ by race &amp; gender'!BC49)*100</f>
        <v>67.095602078469767</v>
      </c>
      <c r="S51" s="493">
        <f>('Attainment 25+ by race &amp; gender'!DY50/'Pop 25+ by race &amp; gender'!DD49)*100</f>
        <v>71.824283765347886</v>
      </c>
      <c r="T51" s="494">
        <f>('Attainment 25+ by race &amp; gender'!NT50/'Pop 25+ by race &amp; gender'!AT49)*100</f>
        <v>21.784860678938315</v>
      </c>
      <c r="U51" s="493">
        <f>('Attainment 25+ by race &amp; gender'!PI50/'Pop 25+ by race &amp; gender'!DA49)*100</f>
        <v>25.605095445038256</v>
      </c>
      <c r="V51" s="494">
        <f>('Attainment 25+ by race &amp; gender'!NZ50/'Pop 25+ by race &amp; gender'!AZ49)*100</f>
        <v>11.921970256386889</v>
      </c>
      <c r="W51" s="493">
        <f>('Attainment 25+ by race &amp; gender'!PJ50/'Pop 25+ by race &amp; gender'!DB49)*100</f>
        <v>14.681710855545244</v>
      </c>
      <c r="X51" s="494">
        <f>('Attainment 25+ by race &amp; gender'!OC50/'Pop 25+ by race &amp; gender'!BC49)*100</f>
        <v>15.165863393327811</v>
      </c>
      <c r="Y51" s="614">
        <f>('Attainment 25+ by race &amp; gender'!PK50/'Pop 25+ by race &amp; gender'!DD49)*100</f>
        <v>17.227830832196453</v>
      </c>
      <c r="Z51" s="495">
        <f>('Attainment 25+ by race &amp; gender'!CS50/'Pop 25+ by race &amp; gender'!AT49)*100</f>
        <v>84.195414293390812</v>
      </c>
      <c r="AA51" s="626">
        <f>('Attainment 25+ by race &amp; gender'!EB50/'Pop 25+ by race &amp; gender'!DF49)*100</f>
        <v>90.05508097050236</v>
      </c>
      <c r="AB51" s="496">
        <f>('Attainment 25+ by race &amp; gender'!CT50/'Pop 25+ by race &amp; gender'!AZ49)*100</f>
        <v>73.891583364268797</v>
      </c>
      <c r="AC51" s="495">
        <f>('Attainment 25+ by race &amp; gender'!EC50/'Pop 25+ by race &amp; gender'!DG49)*100</f>
        <v>82.779604432961492</v>
      </c>
      <c r="AD51" s="496">
        <f>('Attainment 25+ by race &amp; gender'!CU50/'Pop 25+ by race &amp; gender'!BC49)*100</f>
        <v>67.095602078469767</v>
      </c>
      <c r="AE51" s="495">
        <f>('Attainment 25+ by race &amp; gender'!ED50/'Pop 25+ by race &amp; gender'!DI49)*100</f>
        <v>71.712466434898218</v>
      </c>
      <c r="AF51" s="496">
        <f>('Attainment 25+ by race &amp; gender'!NT50/'Pop 25+ by race &amp; gender'!AT49)*100</f>
        <v>21.784860678938315</v>
      </c>
      <c r="AG51" s="495">
        <f>('Attainment 25+ by race &amp; gender'!PN50/'Pop 25+ by race &amp; gender'!DF49)*100</f>
        <v>26.232573525840035</v>
      </c>
      <c r="AH51" s="496">
        <f>('Attainment 25+ by race &amp; gender'!NZ50/'Pop 25+ by race &amp; gender'!AZ49)*100</f>
        <v>11.921970256386889</v>
      </c>
      <c r="AI51" s="495">
        <f>('Attainment 25+ by race &amp; gender'!PO50/'Pop 25+ by race &amp; gender'!DG49)*100</f>
        <v>15.355603005548831</v>
      </c>
      <c r="AJ51" s="496">
        <f>('Attainment 25+ by race &amp; gender'!OC50/'Pop 25+ by race &amp; gender'!BC49)*100</f>
        <v>15.165863393327811</v>
      </c>
      <c r="AK51" s="634">
        <f>('Attainment 25+ by race &amp; gender'!PP50/'Pop 25+ by race &amp; gender'!DI49)*100</f>
        <v>16.533813048317921</v>
      </c>
      <c r="AL51" s="496">
        <f>('Attainment 25+ by race &amp; gender'!CS50/'Pop 25+ by race &amp; gender'!AT49)*100</f>
        <v>84.195414293390812</v>
      </c>
      <c r="AM51" s="634">
        <f>('Attainment 25+ by race &amp; gender'!EG50/'Pop 25+ by race &amp; gender'!DK49)*100</f>
        <v>90.923375006076796</v>
      </c>
      <c r="AN51" s="496">
        <v>73.891583364268797</v>
      </c>
      <c r="AO51" s="634">
        <f>('Attainment 25+ by race &amp; gender'!EH50/'Pop 25+ by race &amp; gender'!DL49)*100</f>
        <v>84.886442514672396</v>
      </c>
      <c r="AP51" s="634">
        <f>('Attainment 25+ by race &amp; gender'!CU50/'Pop 25+ by race &amp; gender'!BC49)*100</f>
        <v>67.095602078469767</v>
      </c>
      <c r="AQ51" s="634">
        <f>('Attainment 25+ by race &amp; gender'!EI50/'Pop 25+ by race &amp; gender'!DN49)*100</f>
        <v>76.240534898952532</v>
      </c>
      <c r="AR51" s="634">
        <f>('Attainment 25+ by race &amp; gender'!NT50/'Pop 25+ by race &amp; gender'!AT49)*100</f>
        <v>21.784860678938315</v>
      </c>
      <c r="AS51" s="634">
        <f>('Attainment 25+ by race &amp; gender'!PS50/'Pop 25+ by race &amp; gender'!DK49)*100</f>
        <v>27.721934188476087</v>
      </c>
      <c r="AT51" s="634">
        <f>('Attainment 25+ by race &amp; gender'!NZ50/'Pop 25+ by race &amp; gender'!AZ49)*100</f>
        <v>11.921970256386889</v>
      </c>
      <c r="AU51" s="634">
        <f>('Attainment 25+ by race &amp; gender'!PT50/'Pop 25+ by race &amp; gender'!DL49)*100</f>
        <v>16.428779295249463</v>
      </c>
      <c r="AV51" s="634">
        <f>('Attainment 25+ by race &amp; gender'!OC50/'Pop 25+ by race &amp; gender'!BC49)*100</f>
        <v>15.165863393327811</v>
      </c>
      <c r="AW51" s="634">
        <f>('Attainment 25+ by race &amp; gender'!PU50/'Pop 25+ by race &amp; gender'!DN49)*100</f>
        <v>17.129300230413662</v>
      </c>
      <c r="AX51" s="496">
        <f>('Attainment 25+ by race &amp; gender'!DR50/'Pop 25+ by race &amp; gender'!CV49)*100</f>
        <v>88.9</v>
      </c>
      <c r="AY51" s="634">
        <f>('Attainment 25+ by race &amp; gender'!EL50/'Pop 25+ by race &amp; gender'!DP49)*100</f>
        <v>91.216914222085592</v>
      </c>
      <c r="AZ51" s="496">
        <f>('Attainment 25+ by race &amp; gender'!DS50/'Pop 25+ by race &amp; gender'!CW49)*100</f>
        <v>82.09999999999998</v>
      </c>
      <c r="BA51" s="634">
        <f>('Attainment 25+ by race &amp; gender'!EM50/'Pop 25+ by race &amp; gender'!DQ49)*100</f>
        <v>85.499799509269778</v>
      </c>
      <c r="BB51" s="634">
        <f>('Attainment 25+ by race &amp; gender'!DT50/'Pop 25+ by race &amp; gender'!CY49)*100</f>
        <v>71.000000000000014</v>
      </c>
      <c r="BC51" s="634">
        <f>('Attainment 25+ by race &amp; gender'!EN50/'Pop 25+ by race &amp; gender'!DS49)*100</f>
        <v>74.703248210179396</v>
      </c>
      <c r="BD51" s="634">
        <f>('Attainment 25+ by race &amp; gender'!PD50/'Pop 25+ by race &amp; gender'!CV49)*100</f>
        <v>25.2</v>
      </c>
      <c r="BE51" s="634">
        <f>('Attainment 25+ by race &amp; gender'!PX50/'Pop 25+ by race &amp; gender'!DP49)*100</f>
        <v>28.590899566070604</v>
      </c>
      <c r="BF51" s="634">
        <f>('Attainment 25+ by race &amp; gender'!PE50/'Pop 25+ by race &amp; gender'!CW49)*100</f>
        <v>14.299999999999999</v>
      </c>
      <c r="BG51" s="634">
        <f>('Attainment 25+ by race &amp; gender'!PY50/'Pop 25+ by race &amp; gender'!DQ49)*100</f>
        <v>16.215867980464093</v>
      </c>
      <c r="BH51" s="634">
        <f>('Attainment 25+ by race &amp; gender'!PF50/'Pop 25+ by race &amp; gender'!CY49)*100</f>
        <v>16.7</v>
      </c>
      <c r="BI51" s="634">
        <f>('Attainment 25+ by race &amp; gender'!PZ50/'Pop 25+ by race &amp; gender'!DS49)*100</f>
        <v>19.69547447701861</v>
      </c>
    </row>
    <row r="52" spans="1:61" x14ac:dyDescent="0.2">
      <c r="A52" s="218" t="s">
        <v>45</v>
      </c>
      <c r="B52" s="499">
        <f>('Attainment 25+ by race &amp; gender'!CS51/'Pop 25+ by race &amp; gender'!AT50)*100</f>
        <v>85.663487033415919</v>
      </c>
      <c r="C52" s="625">
        <f>('Attainment 25+ by race &amp; gender'!DR51/'Pop 25+ by race &amp; gender'!CV50)*100</f>
        <v>91.5</v>
      </c>
      <c r="D52" s="500">
        <f>('Attainment 25+ by race &amp; gender'!CT51/'Pop 25+ by race &amp; gender'!AZ50)*100</f>
        <v>84.078947368421055</v>
      </c>
      <c r="E52" s="499" t="str">
        <f>IF('Pop 25+ by race &amp; gender'!CW50&gt;0,('Attainment 25+ by race &amp; gender'!DS51/'Pop 25+ by race &amp; gender'!CW50)*100,"—")</f>
        <v>—</v>
      </c>
      <c r="F52" s="500">
        <f>('Attainment 25+ by race &amp; gender'!CU51/'Pop 25+ by race &amp; gender'!BC50)*100</f>
        <v>64.92022423458387</v>
      </c>
      <c r="G52" s="499">
        <f>('Attainment 25+ by race &amp; gender'!DT51/'Pop 25+ by race &amp; gender'!CY50)*100</f>
        <v>64.3</v>
      </c>
      <c r="H52" s="500">
        <f>('Attainment 25+ by race &amp; gender'!NT51/'Pop 25+ by race &amp; gender'!AT50)*100</f>
        <v>22.30925635048931</v>
      </c>
      <c r="I52" s="499">
        <f>('Attainment 25+ by race &amp; gender'!PD51/'Pop 25+ by race &amp; gender'!CV50)*100</f>
        <v>27.1</v>
      </c>
      <c r="J52" s="500">
        <f>('Attainment 25+ by race &amp; gender'!NZ51/'Pop 25+ by race &amp; gender'!AZ50)*100</f>
        <v>19.342105263157894</v>
      </c>
      <c r="K52" s="499" t="str">
        <f>IF('Pop 25+ by race &amp; gender'!CW50&gt;0,('Attainment 25+ by race &amp; gender'!PE51/'Pop 25+ by race &amp; gender'!CW50)*100,"—")</f>
        <v>—</v>
      </c>
      <c r="L52" s="500">
        <f>('Attainment 25+ by race &amp; gender'!OC51/'Pop 25+ by race &amp; gender'!BC50)*100</f>
        <v>11.707632600258734</v>
      </c>
      <c r="M52" s="616">
        <f>('Attainment 25+ by race &amp; gender'!PF51/'Pop 25+ by race &amp; gender'!CY50)*100</f>
        <v>15.299999999999999</v>
      </c>
      <c r="N52" s="493">
        <f>('Attainment 25+ by race &amp; gender'!CS51/'Pop 25+ by race &amp; gender'!AT50)*100</f>
        <v>85.663487033415919</v>
      </c>
      <c r="O52" s="626">
        <f>('Attainment 25+ by race &amp; gender'!DW51/'Pop 25+ by race &amp; gender'!DA50)*100</f>
        <v>91.91374272035813</v>
      </c>
      <c r="P52" s="494">
        <f>('Attainment 25+ by race &amp; gender'!CT51/'Pop 25+ by race &amp; gender'!AZ50)*100</f>
        <v>84.078947368421055</v>
      </c>
      <c r="Q52" s="493">
        <f>('Attainment 25+ by race &amp; gender'!DX51/'Pop 25+ by race &amp; gender'!DB50)*100</f>
        <v>79.26315789473685</v>
      </c>
      <c r="R52" s="494">
        <f>('Attainment 25+ by race &amp; gender'!CU51/'Pop 25+ by race &amp; gender'!BC50)*100</f>
        <v>64.92022423458387</v>
      </c>
      <c r="S52" s="493">
        <f>('Attainment 25+ by race &amp; gender'!DY51/'Pop 25+ by race &amp; gender'!DD50)*100</f>
        <v>65.120663650075414</v>
      </c>
      <c r="T52" s="494">
        <f>('Attainment 25+ by race &amp; gender'!NT51/'Pop 25+ by race &amp; gender'!AT50)*100</f>
        <v>22.30925635048931</v>
      </c>
      <c r="U52" s="493">
        <f>('Attainment 25+ by race &amp; gender'!PI51/'Pop 25+ by race &amp; gender'!DA50)*100</f>
        <v>27.6562143789766</v>
      </c>
      <c r="V52" s="494">
        <f>('Attainment 25+ by race &amp; gender'!NZ51/'Pop 25+ by race &amp; gender'!AZ50)*100</f>
        <v>19.342105263157894</v>
      </c>
      <c r="W52" s="493">
        <f>('Attainment 25+ by race &amp; gender'!PJ51/'Pop 25+ by race &amp; gender'!DB50)*100</f>
        <v>18.701754385964911</v>
      </c>
      <c r="X52" s="494">
        <f>('Attainment 25+ by race &amp; gender'!OC51/'Pop 25+ by race &amp; gender'!BC50)*100</f>
        <v>11.707632600258734</v>
      </c>
      <c r="Y52" s="614">
        <f>('Attainment 25+ by race &amp; gender'!PK51/'Pop 25+ by race &amp; gender'!DD50)*100</f>
        <v>14.903846153846153</v>
      </c>
      <c r="Z52" s="495">
        <f>('Attainment 25+ by race &amp; gender'!CS51/'Pop 25+ by race &amp; gender'!AT50)*100</f>
        <v>85.663487033415919</v>
      </c>
      <c r="AA52" s="626">
        <f>('Attainment 25+ by race &amp; gender'!EB51/'Pop 25+ by race &amp; gender'!DF50)*100</f>
        <v>92.767374271858827</v>
      </c>
      <c r="AB52" s="496">
        <f>('Attainment 25+ by race &amp; gender'!CT51/'Pop 25+ by race &amp; gender'!AZ50)*100</f>
        <v>84.078947368421055</v>
      </c>
      <c r="AC52" s="495">
        <f>('Attainment 25+ by race &amp; gender'!EC51/'Pop 25+ by race &amp; gender'!DG50)*100</f>
        <v>78.056924789314678</v>
      </c>
      <c r="AD52" s="496">
        <f>('Attainment 25+ by race &amp; gender'!CU51/'Pop 25+ by race &amp; gender'!BC50)*100</f>
        <v>64.92022423458387</v>
      </c>
      <c r="AE52" s="495">
        <f>('Attainment 25+ by race &amp; gender'!ED51/'Pop 25+ by race &amp; gender'!DI50)*100</f>
        <v>68.018667798048369</v>
      </c>
      <c r="AF52" s="496">
        <f>('Attainment 25+ by race &amp; gender'!NT51/'Pop 25+ by race &amp; gender'!AT50)*100</f>
        <v>22.30925635048931</v>
      </c>
      <c r="AG52" s="495">
        <f>('Attainment 25+ by race &amp; gender'!PN51/'Pop 25+ by race &amp; gender'!DF50)*100</f>
        <v>27.874932762912646</v>
      </c>
      <c r="AH52" s="496">
        <f>('Attainment 25+ by race &amp; gender'!NZ51/'Pop 25+ by race &amp; gender'!AZ50)*100</f>
        <v>19.342105263157894</v>
      </c>
      <c r="AI52" s="495">
        <f>('Attainment 25+ by race &amp; gender'!PO51/'Pop 25+ by race &amp; gender'!DG50)*100</f>
        <v>18.397201462871681</v>
      </c>
      <c r="AJ52" s="496">
        <f>('Attainment 25+ by race &amp; gender'!OC51/'Pop 25+ by race &amp; gender'!BC50)*100</f>
        <v>11.707632600258734</v>
      </c>
      <c r="AK52" s="634">
        <f>('Attainment 25+ by race &amp; gender'!PP51/'Pop 25+ by race &amp; gender'!DI50)*100</f>
        <v>13.075943996605854</v>
      </c>
      <c r="AL52" s="496">
        <f>('Attainment 25+ by race &amp; gender'!CS51/'Pop 25+ by race &amp; gender'!AT50)*100</f>
        <v>85.663487033415919</v>
      </c>
      <c r="AM52" s="634">
        <f>('Attainment 25+ by race &amp; gender'!EG51/'Pop 25+ by race &amp; gender'!DK50)*100</f>
        <v>93.410956304945245</v>
      </c>
      <c r="AN52" s="496">
        <v>84.078947368421055</v>
      </c>
      <c r="AO52" s="634">
        <f>('Attainment 25+ by race &amp; gender'!EH51/'Pop 25+ by race &amp; gender'!DL50)*100</f>
        <v>67.053426875337294</v>
      </c>
      <c r="AP52" s="634">
        <f>('Attainment 25+ by race &amp; gender'!CU51/'Pop 25+ by race &amp; gender'!BC50)*100</f>
        <v>64.92022423458387</v>
      </c>
      <c r="AQ52" s="634">
        <f>('Attainment 25+ by race &amp; gender'!EI51/'Pop 25+ by race &amp; gender'!DN50)*100</f>
        <v>70.945945945945937</v>
      </c>
      <c r="AR52" s="634">
        <f>('Attainment 25+ by race &amp; gender'!NT51/'Pop 25+ by race &amp; gender'!AT50)*100</f>
        <v>22.30925635048931</v>
      </c>
      <c r="AS52" s="634">
        <f>('Attainment 25+ by race &amp; gender'!PS51/'Pop 25+ by race &amp; gender'!DK50)*100</f>
        <v>29.29570108559269</v>
      </c>
      <c r="AT52" s="634">
        <f>('Attainment 25+ by race &amp; gender'!NZ51/'Pop 25+ by race &amp; gender'!AZ50)*100</f>
        <v>19.342105263157894</v>
      </c>
      <c r="AU52" s="634">
        <f>('Attainment 25+ by race &amp; gender'!PT51/'Pop 25+ by race &amp; gender'!DL50)*100</f>
        <v>16.419320021586618</v>
      </c>
      <c r="AV52" s="634">
        <f>('Attainment 25+ by race &amp; gender'!OC51/'Pop 25+ by race &amp; gender'!BC50)*100</f>
        <v>11.707632600258734</v>
      </c>
      <c r="AW52" s="634">
        <f>('Attainment 25+ by race &amp; gender'!PU51/'Pop 25+ by race &amp; gender'!DN50)*100</f>
        <v>18.712660028449502</v>
      </c>
      <c r="AX52" s="496">
        <f>('Attainment 25+ by race &amp; gender'!DR51/'Pop 25+ by race &amp; gender'!CV50)*100</f>
        <v>91.5</v>
      </c>
      <c r="AY52" s="634">
        <f>('Attainment 25+ by race &amp; gender'!EL51/'Pop 25+ by race &amp; gender'!DP50)*100</f>
        <v>93.656935209964516</v>
      </c>
      <c r="AZ52" s="496" t="str">
        <f>IF('Pop 25+ by race &amp; gender'!CW50&gt;0,('Attainment 25+ by race &amp; gender'!DS51/'Pop 25+ by race &amp; gender'!CW50)*100,"—")</f>
        <v>—</v>
      </c>
      <c r="BA52" s="634">
        <f>('Attainment 25+ by race &amp; gender'!EM51/'Pop 25+ by race &amp; gender'!DQ50)*100</f>
        <v>71.389719880337239</v>
      </c>
      <c r="BB52" s="634">
        <f>('Attainment 25+ by race &amp; gender'!DT51/'Pop 25+ by race &amp; gender'!CY50)*100</f>
        <v>64.3</v>
      </c>
      <c r="BC52" s="634">
        <f>('Attainment 25+ by race &amp; gender'!EN51/'Pop 25+ by race &amp; gender'!DS50)*100</f>
        <v>66.090558491644046</v>
      </c>
      <c r="BD52" s="634">
        <f>('Attainment 25+ by race &amp; gender'!PD51/'Pop 25+ by race &amp; gender'!CV50)*100</f>
        <v>27.1</v>
      </c>
      <c r="BE52" s="634">
        <f>('Attainment 25+ by race &amp; gender'!PX51/'Pop 25+ by race &amp; gender'!DP50)*100</f>
        <v>30.853431642079336</v>
      </c>
      <c r="BF52" s="634" t="str">
        <f>IF('Pop 25+ by race &amp; gender'!CW50, ('Attainment 25+ by race &amp; gender'!PE51/'Pop 25+ by race &amp; gender'!CW50)*100,"—")</f>
        <v>—</v>
      </c>
      <c r="BG52" s="634">
        <f>('Attainment 25+ by race &amp; gender'!PY51/'Pop 25+ by race &amp; gender'!DQ50)*100</f>
        <v>16.834375849877617</v>
      </c>
      <c r="BH52" s="634">
        <f>('Attainment 25+ by race &amp; gender'!PF51/'Pop 25+ by race &amp; gender'!CY50)*100</f>
        <v>15.299999999999999</v>
      </c>
      <c r="BI52" s="634">
        <f>('Attainment 25+ by race &amp; gender'!PZ51/'Pop 25+ by race &amp; gender'!DS50)*100</f>
        <v>16.883302385373518</v>
      </c>
    </row>
    <row r="53" spans="1:61" x14ac:dyDescent="0.2">
      <c r="A53" s="222" t="s">
        <v>49</v>
      </c>
      <c r="B53" s="501">
        <f>('Attainment 25+ by race &amp; gender'!CS52/'Pop 25+ by race &amp; gender'!AT51)*100</f>
        <v>86.610070692241464</v>
      </c>
      <c r="C53" s="630">
        <f>('Attainment 25+ by race &amp; gender'!DR52/'Pop 25+ by race &amp; gender'!CV51)*100</f>
        <v>91.300000000000011</v>
      </c>
      <c r="D53" s="502">
        <f>('Attainment 25+ by race &amp; gender'!CT52/'Pop 25+ by race &amp; gender'!AZ51)*100</f>
        <v>68.469339436508562</v>
      </c>
      <c r="E53" s="501">
        <f>IF('Pop 25+ by race &amp; gender'!CW51&gt;0,('Attainment 25+ by race &amp; gender'!DS52/'Pop 25+ by race &amp; gender'!CW51)*100,"—")</f>
        <v>79.400000000000006</v>
      </c>
      <c r="F53" s="502">
        <f>('Attainment 25+ by race &amp; gender'!CU52/'Pop 25+ by race &amp; gender'!BC51)*100</f>
        <v>54.608125215790082</v>
      </c>
      <c r="G53" s="501">
        <f>('Attainment 25+ by race &amp; gender'!DT52/'Pop 25+ by race &amp; gender'!CY51)*100</f>
        <v>61.6</v>
      </c>
      <c r="H53" s="502">
        <f>('Attainment 25+ by race &amp; gender'!NT52/'Pop 25+ by race &amp; gender'!AT51)*100</f>
        <v>23.026801909808739</v>
      </c>
      <c r="I53" s="501">
        <f>('Attainment 25+ by race &amp; gender'!PD52/'Pop 25+ by race &amp; gender'!CV51)*100</f>
        <v>26.900000000000002</v>
      </c>
      <c r="J53" s="502">
        <f>('Attainment 25+ by race &amp; gender'!NZ52/'Pop 25+ by race &amp; gender'!AZ51)*100</f>
        <v>10.527319601189067</v>
      </c>
      <c r="K53" s="501">
        <f>IF('Pop 25+ by race &amp; gender'!CW51&gt;0,('Attainment 25+ by race &amp; gender'!PE52/'Pop 25+ by race &amp; gender'!CW51)*100,"—")</f>
        <v>12.700000000000003</v>
      </c>
      <c r="L53" s="502">
        <f>('Attainment 25+ by race &amp; gender'!OC52/'Pop 25+ by race &amp; gender'!BC51)*100</f>
        <v>11.445505811946138</v>
      </c>
      <c r="M53" s="617">
        <f>('Attainment 25+ by race &amp; gender'!PF52/'Pop 25+ by race &amp; gender'!CY51)*100</f>
        <v>11.6</v>
      </c>
      <c r="N53" s="497">
        <f>('Attainment 25+ by race &amp; gender'!CS52/'Pop 25+ by race &amp; gender'!AT51)*100</f>
        <v>86.610070692241464</v>
      </c>
      <c r="O53" s="631">
        <f>('Attainment 25+ by race &amp; gender'!DW52/'Pop 25+ by race &amp; gender'!DA51)*100</f>
        <v>91.677277650600601</v>
      </c>
      <c r="P53" s="498">
        <f>('Attainment 25+ by race &amp; gender'!CT52/'Pop 25+ by race &amp; gender'!AZ51)*100</f>
        <v>68.469339436508562</v>
      </c>
      <c r="Q53" s="607">
        <f>('Attainment 25+ by race &amp; gender'!DX52/'Pop 25+ by race &amp; gender'!DB51)*100</f>
        <v>79.783232092750765</v>
      </c>
      <c r="R53" s="498">
        <f>('Attainment 25+ by race &amp; gender'!CU52/'Pop 25+ by race &amp; gender'!BC51)*100</f>
        <v>54.608125215790082</v>
      </c>
      <c r="S53" s="607">
        <f>('Attainment 25+ by race &amp; gender'!DY52/'Pop 25+ by race &amp; gender'!DD51)*100</f>
        <v>62.516430332362148</v>
      </c>
      <c r="T53" s="498">
        <f>('Attainment 25+ by race &amp; gender'!NT52/'Pop 25+ by race &amp; gender'!AT51)*100</f>
        <v>23.026801909808739</v>
      </c>
      <c r="U53" s="607">
        <f>('Attainment 25+ by race &amp; gender'!PI52/'Pop 25+ by race &amp; gender'!DA51)*100</f>
        <v>27.492334578819317</v>
      </c>
      <c r="V53" s="498">
        <f>('Attainment 25+ by race &amp; gender'!NZ52/'Pop 25+ by race &amp; gender'!AZ51)*100</f>
        <v>10.527319601189067</v>
      </c>
      <c r="W53" s="607">
        <f>('Attainment 25+ by race &amp; gender'!PJ52/'Pop 25+ by race &amp; gender'!DB51)*100</f>
        <v>12.694130101857276</v>
      </c>
      <c r="X53" s="498">
        <f>('Attainment 25+ by race &amp; gender'!OC52/'Pop 25+ by race &amp; gender'!BC51)*100</f>
        <v>11.445505811946138</v>
      </c>
      <c r="Y53" s="615">
        <f>('Attainment 25+ by race &amp; gender'!PK52/'Pop 25+ by race &amp; gender'!DD51)*100</f>
        <v>11.410070809432375</v>
      </c>
      <c r="Z53" s="748">
        <f>('Attainment 25+ by race &amp; gender'!CS52/'Pop 25+ by race &amp; gender'!AT51)*100</f>
        <v>86.610070692241464</v>
      </c>
      <c r="AA53" s="678">
        <f>('Attainment 25+ by race &amp; gender'!EB52/'Pop 25+ by race &amp; gender'!DF51)*100</f>
        <v>92.91562679704839</v>
      </c>
      <c r="AB53" s="746">
        <f>('Attainment 25+ by race &amp; gender'!CT52/'Pop 25+ by race &amp; gender'!AZ51)*100</f>
        <v>68.469339436508562</v>
      </c>
      <c r="AC53" s="749">
        <f>('Attainment 25+ by race &amp; gender'!EC52/'Pop 25+ by race &amp; gender'!DG51)*100</f>
        <v>79.561851624956333</v>
      </c>
      <c r="AD53" s="746">
        <f>('Attainment 25+ by race &amp; gender'!CU52/'Pop 25+ by race &amp; gender'!BC51)*100</f>
        <v>54.608125215790082</v>
      </c>
      <c r="AE53" s="749">
        <f>('Attainment 25+ by race &amp; gender'!ED52/'Pop 25+ by race &amp; gender'!DI51)*100</f>
        <v>64.673467955167652</v>
      </c>
      <c r="AF53" s="746">
        <f>('Attainment 25+ by race &amp; gender'!NT52/'Pop 25+ by race &amp; gender'!AT51)*100</f>
        <v>23.026801909808739</v>
      </c>
      <c r="AG53" s="747">
        <f>('Attainment 25+ by race &amp; gender'!PN52/'Pop 25+ by race &amp; gender'!DF51)*100</f>
        <v>28.532719224609153</v>
      </c>
      <c r="AH53" s="746">
        <f>('Attainment 25+ by race &amp; gender'!NZ52/'Pop 25+ by race &amp; gender'!AZ51)*100</f>
        <v>10.527319601189067</v>
      </c>
      <c r="AI53" s="747">
        <f>('Attainment 25+ by race &amp; gender'!PO52/'Pop 25+ by race &amp; gender'!DG51)*100</f>
        <v>12.603727349592178</v>
      </c>
      <c r="AJ53" s="746">
        <f>('Attainment 25+ by race &amp; gender'!OC52/'Pop 25+ by race &amp; gender'!BC51)*100</f>
        <v>11.445505811946138</v>
      </c>
      <c r="AK53" s="747">
        <f>('Attainment 25+ by race &amp; gender'!PP52/'Pop 25+ by race &amp; gender'!DI51)*100</f>
        <v>11.900109974963147</v>
      </c>
      <c r="AL53" s="746">
        <f>('Attainment 25+ by race &amp; gender'!CS52/'Pop 25+ by race &amp; gender'!AT51)*100</f>
        <v>86.610070692241464</v>
      </c>
      <c r="AM53" s="747">
        <f>('Attainment 25+ by race &amp; gender'!EG52/'Pop 25+ by race &amp; gender'!DK51)*100</f>
        <v>93.739174926071939</v>
      </c>
      <c r="AN53" s="746">
        <v>68.469339436508562</v>
      </c>
      <c r="AO53" s="747">
        <f>('Attainment 25+ by race &amp; gender'!EH52/'Pop 25+ by race &amp; gender'!DL51)*100</f>
        <v>81.552683125592168</v>
      </c>
      <c r="AP53" s="747">
        <f>('Attainment 25+ by race &amp; gender'!CU52/'Pop 25+ by race &amp; gender'!BC51)*100</f>
        <v>54.608125215790082</v>
      </c>
      <c r="AQ53" s="747">
        <f>('Attainment 25+ by race &amp; gender'!EI52/'Pop 25+ by race &amp; gender'!DN51)*100</f>
        <v>64.999071888838799</v>
      </c>
      <c r="AR53" s="747">
        <f>('Attainment 25+ by race &amp; gender'!NT52/'Pop 25+ by race &amp; gender'!AT51)*100</f>
        <v>23.026801909808739</v>
      </c>
      <c r="AS53" s="747">
        <f>('Attainment 25+ by race &amp; gender'!PS52/'Pop 25+ by race &amp; gender'!DK51)*100</f>
        <v>29.900352931539832</v>
      </c>
      <c r="AT53" s="747">
        <f>('Attainment 25+ by race &amp; gender'!NZ52/'Pop 25+ by race &amp; gender'!AZ51)*100</f>
        <v>10.527319601189067</v>
      </c>
      <c r="AU53" s="747">
        <f>('Attainment 25+ by race &amp; gender'!PT52/'Pop 25+ by race &amp; gender'!DL51)*100</f>
        <v>13.499820814044252</v>
      </c>
      <c r="AV53" s="747">
        <f>('Attainment 25+ by race &amp; gender'!OC52/'Pop 25+ by race &amp; gender'!BC51)*100</f>
        <v>11.445505811946138</v>
      </c>
      <c r="AW53" s="747">
        <f>('Attainment 25+ by race &amp; gender'!PU52/'Pop 25+ by race &amp; gender'!DN51)*100</f>
        <v>11.837925273792793</v>
      </c>
      <c r="AX53" s="746">
        <f>('Attainment 25+ by race &amp; gender'!DR52/'Pop 25+ by race &amp; gender'!CV51)*100</f>
        <v>91.300000000000011</v>
      </c>
      <c r="AY53" s="747">
        <f>('Attainment 25+ by race &amp; gender'!EL52/'Pop 25+ by race &amp; gender'!DP51)*100</f>
        <v>94.117044118762323</v>
      </c>
      <c r="AZ53" s="746">
        <f>('Attainment 25+ by race &amp; gender'!DS52/'Pop 25+ by race &amp; gender'!CW51)*100</f>
        <v>79.400000000000006</v>
      </c>
      <c r="BA53" s="747">
        <f>('Attainment 25+ by race &amp; gender'!EM52/'Pop 25+ by race &amp; gender'!DQ51)*100</f>
        <v>82.007006886741223</v>
      </c>
      <c r="BB53" s="747">
        <f>('Attainment 25+ by race &amp; gender'!DT52/'Pop 25+ by race &amp; gender'!CY51)*100</f>
        <v>61.6</v>
      </c>
      <c r="BC53" s="747">
        <f>('Attainment 25+ by race &amp; gender'!EN52/'Pop 25+ by race &amp; gender'!DS51)*100</f>
        <v>69.103451866507001</v>
      </c>
      <c r="BD53" s="747">
        <f>('Attainment 25+ by race &amp; gender'!PD52/'Pop 25+ by race &amp; gender'!CV51)*100</f>
        <v>26.900000000000002</v>
      </c>
      <c r="BE53" s="747">
        <f>('Attainment 25+ by race &amp; gender'!PX52/'Pop 25+ by race &amp; gender'!DP51)*100</f>
        <v>30.828950923327771</v>
      </c>
      <c r="BF53" s="747">
        <f>('Attainment 25+ by race &amp; gender'!PE52/'Pop 25+ by race &amp; gender'!CW51)*100</f>
        <v>12.700000000000003</v>
      </c>
      <c r="BG53" s="747">
        <f>('Attainment 25+ by race &amp; gender'!PY52/'Pop 25+ by race &amp; gender'!DQ51)*100</f>
        <v>15.07297638900236</v>
      </c>
      <c r="BH53" s="747">
        <f>('Attainment 25+ by race &amp; gender'!PF52/'Pop 25+ by race &amp; gender'!CY51)*100</f>
        <v>11.6</v>
      </c>
      <c r="BI53" s="747">
        <f>('Attainment 25+ by race &amp; gender'!PZ52/'Pop 25+ by race &amp; gender'!DS51)*100</f>
        <v>14.692039360649764</v>
      </c>
    </row>
    <row r="54" spans="1:61" x14ac:dyDescent="0.2">
      <c r="A54" s="223" t="s">
        <v>184</v>
      </c>
      <c r="B54" s="495">
        <f>('Attainment 25+ by race &amp; gender'!CS53/'Pop 25+ by race &amp; gender'!AT52)*100</f>
        <v>84.560566871897763</v>
      </c>
      <c r="C54" s="628">
        <f>('Attainment 25+ by race &amp; gender'!DR53/'Pop 25+ by race &amp; gender'!CV52)*100</f>
        <v>89.974236262718492</v>
      </c>
      <c r="D54" s="496">
        <f>('Attainment 25+ by race &amp; gender'!CT53/'Pop 25+ by race &amp; gender'!AZ52)*100</f>
        <v>72.119101229729367</v>
      </c>
      <c r="E54" s="495">
        <f>IF('Pop 25+ by race &amp; gender'!CW52&gt;0,('Attainment 25+ by race &amp; gender'!DS53/'Pop 25+ by race &amp; gender'!CW52)*100,"—")</f>
        <v>81.955062176296749</v>
      </c>
      <c r="F54" s="496">
        <f>('Attainment 25+ by race &amp; gender'!CU53/'Pop 25+ by race &amp; gender'!BC52)*100</f>
        <v>56.561006928061339</v>
      </c>
      <c r="G54" s="495">
        <f>('Attainment 25+ by race &amp; gender'!DT53/'Pop 25+ by race &amp; gender'!CY52)*100</f>
        <v>66.470408442113893</v>
      </c>
      <c r="H54" s="496">
        <f>('Attainment 25+ by race &amp; gender'!NT53/'Pop 25+ by race &amp; gender'!AT52)*100</f>
        <v>29.017157610302718</v>
      </c>
      <c r="I54" s="495">
        <f>('Attainment 25+ by race &amp; gender'!PD53/'Pop 25+ by race &amp; gender'!CV52)*100</f>
        <v>34.165454911948657</v>
      </c>
      <c r="J54" s="496">
        <f>('Attainment 25+ by race &amp; gender'!NZ53/'Pop 25+ by race &amp; gender'!AZ52)*100</f>
        <v>15.268201059339621</v>
      </c>
      <c r="K54" s="495">
        <f>IF('Pop 25+ by race &amp; gender'!CW52&gt;0,('Attainment 25+ by race &amp; gender'!PE53/'Pop 25+ by race &amp; gender'!CW52)*100,"—")</f>
        <v>19.451908330470154</v>
      </c>
      <c r="L54" s="496">
        <f>('Attainment 25+ by race &amp; gender'!OC53/'Pop 25+ by race &amp; gender'!BC52)*100</f>
        <v>11.961421753863567</v>
      </c>
      <c r="M54" s="612">
        <f>('Attainment 25+ by race &amp; gender'!PF53/'Pop 25+ by race &amp; gender'!CY52)*100</f>
        <v>15.404909871717642</v>
      </c>
      <c r="N54" s="493">
        <f>('Attainment 25+ by race &amp; gender'!CS53/'Pop 25+ by race &amp; gender'!AT52)*100</f>
        <v>84.560566871897763</v>
      </c>
      <c r="O54" s="628">
        <f>('Attainment 25+ by race &amp; gender'!DW53/'Pop 25+ by race &amp; gender'!DA52)*100</f>
        <v>90.250324079351117</v>
      </c>
      <c r="P54" s="494">
        <f>('Attainment 25+ by race &amp; gender'!CT53/'Pop 25+ by race &amp; gender'!AZ52)*100</f>
        <v>72.119101229729367</v>
      </c>
      <c r="Q54" s="493">
        <f>('Attainment 25+ by race &amp; gender'!DX53/'Pop 25+ by race &amp; gender'!DB52)*100</f>
        <v>82.296906625033614</v>
      </c>
      <c r="R54" s="494">
        <f>('Attainment 25+ by race &amp; gender'!CU53/'Pop 25+ by race &amp; gender'!BC52)*100</f>
        <v>56.561006928061339</v>
      </c>
      <c r="S54" s="493">
        <f>('Attainment 25+ by race &amp; gender'!DY53/'Pop 25+ by race &amp; gender'!DD52)*100</f>
        <v>67.133879860848666</v>
      </c>
      <c r="T54" s="494">
        <f>('Attainment 25+ by race &amp; gender'!NT53/'Pop 25+ by race &amp; gender'!AT52)*100</f>
        <v>29.017157610302718</v>
      </c>
      <c r="U54" s="493">
        <f>('Attainment 25+ by race &amp; gender'!PI53/'Pop 25+ by race &amp; gender'!DA52)*100</f>
        <v>34.709591051157282</v>
      </c>
      <c r="V54" s="494">
        <f>('Attainment 25+ by race &amp; gender'!NZ53/'Pop 25+ by race &amp; gender'!AZ52)*100</f>
        <v>15.268201059339621</v>
      </c>
      <c r="W54" s="493">
        <f>('Attainment 25+ by race &amp; gender'!PJ53/'Pop 25+ by race &amp; gender'!DB52)*100</f>
        <v>19.624948243654728</v>
      </c>
      <c r="X54" s="494">
        <f>('Attainment 25+ by race &amp; gender'!OC53/'Pop 25+ by race &amp; gender'!BC52)*100</f>
        <v>11.961421753863567</v>
      </c>
      <c r="Y54" s="680">
        <f>('Attainment 25+ by race &amp; gender'!PK53/'Pop 25+ by race &amp; gender'!DD52)*100</f>
        <v>15.672185237942962</v>
      </c>
      <c r="Z54" s="495">
        <f>('Attainment 25+ by race &amp; gender'!CS53/'Pop 25+ by race &amp; gender'!AT52)*100</f>
        <v>84.560566871897763</v>
      </c>
      <c r="AA54" s="628">
        <f>('Attainment 25+ by race &amp; gender'!EB53/'Pop 25+ by race &amp; gender'!DF52)*100</f>
        <v>91.988027624455725</v>
      </c>
      <c r="AB54" s="496">
        <f>('Attainment 25+ by race &amp; gender'!CT53/'Pop 25+ by race &amp; gender'!AZ52)*100</f>
        <v>72.119101229729367</v>
      </c>
      <c r="AC54" s="495">
        <f>('Attainment 25+ by race &amp; gender'!EC53/'Pop 25+ by race &amp; gender'!DG52)*100</f>
        <v>82.739553496178303</v>
      </c>
      <c r="AD54" s="496">
        <f>('Attainment 25+ by race &amp; gender'!CU53/'Pop 25+ by race &amp; gender'!BC52)*100</f>
        <v>56.561006928061339</v>
      </c>
      <c r="AE54" s="495">
        <f>('Attainment 25+ by race &amp; gender'!ED53/'Pop 25+ by race &amp; gender'!DI52)*100</f>
        <v>67.870753338949712</v>
      </c>
      <c r="AF54" s="496">
        <f>('Attainment 25+ by race &amp; gender'!NT53/'Pop 25+ by race &amp; gender'!AT52)*100</f>
        <v>29.017157610302718</v>
      </c>
      <c r="AG54" s="495">
        <f>('Attainment 25+ by race &amp; gender'!PN53/'Pop 25+ by race &amp; gender'!DF52)*100</f>
        <v>36.44213956140598</v>
      </c>
      <c r="AH54" s="496">
        <f>('Attainment 25+ by race &amp; gender'!NZ53/'Pop 25+ by race &amp; gender'!AZ52)*100</f>
        <v>15.268201059339621</v>
      </c>
      <c r="AI54" s="495">
        <f>('Attainment 25+ by race &amp; gender'!PO53/'Pop 25+ by race &amp; gender'!DG52)*100</f>
        <v>20.148301340994916</v>
      </c>
      <c r="AJ54" s="496">
        <f>('Attainment 25+ by race &amp; gender'!OC53/'Pop 25+ by race &amp; gender'!BC52)*100</f>
        <v>11.961421753863567</v>
      </c>
      <c r="AK54" s="634">
        <f>('Attainment 25+ by race &amp; gender'!PP53/'Pop 25+ by race &amp; gender'!DI52)*100</f>
        <v>16.197143833797224</v>
      </c>
      <c r="AL54" s="496">
        <f>('Attainment 25+ by race &amp; gender'!CS53/'Pop 25+ by race &amp; gender'!AT52)*100</f>
        <v>84.560566871897763</v>
      </c>
      <c r="AM54" s="634">
        <f>('Attainment 25+ by race &amp; gender'!EG53/'Pop 25+ by race &amp; gender'!DK52)*100</f>
        <v>92.789085889135421</v>
      </c>
      <c r="AN54" s="496">
        <v>72.119101229729367</v>
      </c>
      <c r="AO54" s="634">
        <f>('Attainment 25+ by race &amp; gender'!EH53/'Pop 25+ by race &amp; gender'!DL52)*100</f>
        <v>84.568406830200104</v>
      </c>
      <c r="AP54" s="634">
        <f>('Attainment 25+ by race &amp; gender'!CU53/'Pop 25+ by race &amp; gender'!BC52)*100</f>
        <v>56.561006928061339</v>
      </c>
      <c r="AQ54" s="634">
        <f>('Attainment 25+ by race &amp; gender'!EI53/'Pop 25+ by race &amp; gender'!DN52)*100</f>
        <v>69.492763345500478</v>
      </c>
      <c r="AR54" s="634">
        <f>('Attainment 25+ by race &amp; gender'!NT53/'Pop 25+ by race &amp; gender'!AT52)*100</f>
        <v>29.017157610302718</v>
      </c>
      <c r="AS54" s="634">
        <f>('Attainment 25+ by race &amp; gender'!PS53/'Pop 25+ by race &amp; gender'!DK52)*100</f>
        <v>38.333282215079755</v>
      </c>
      <c r="AT54" s="634">
        <f>('Attainment 25+ by race &amp; gender'!NZ53/'Pop 25+ by race &amp; gender'!AZ52)*100</f>
        <v>15.268201059339621</v>
      </c>
      <c r="AU54" s="634">
        <f>('Attainment 25+ by race &amp; gender'!PT53/'Pop 25+ by race &amp; gender'!DL52)*100</f>
        <v>21.632934982644954</v>
      </c>
      <c r="AV54" s="634">
        <f>('Attainment 25+ by race &amp; gender'!OC53/'Pop 25+ by race &amp; gender'!BC52)*100</f>
        <v>11.961421753863567</v>
      </c>
      <c r="AW54" s="634">
        <f>('Attainment 25+ by race &amp; gender'!PU53/'Pop 25+ by race &amp; gender'!DN52)*100</f>
        <v>17.389929469096298</v>
      </c>
      <c r="AX54" s="496">
        <f>('Attainment 25+ by race &amp; gender'!DR53/'Pop 25+ by race &amp; gender'!CV52)*100</f>
        <v>89.974236262718492</v>
      </c>
      <c r="AY54" s="634">
        <f>('Attainment 25+ by race &amp; gender'!EL53/'Pop 25+ by race &amp; gender'!DP52)*100</f>
        <v>93.061570973776838</v>
      </c>
      <c r="AZ54" s="496">
        <f>('Attainment 25+ by race &amp; gender'!DS53/'Pop 25+ by race &amp; gender'!CW52)*100</f>
        <v>81.955062176296749</v>
      </c>
      <c r="BA54" s="634">
        <f>('Attainment 25+ by race &amp; gender'!EM53/'Pop 25+ by race &amp; gender'!DQ52)*100</f>
        <v>85.057702111881852</v>
      </c>
      <c r="BB54" s="634">
        <f>('Attainment 25+ by race &amp; gender'!DT53/'Pop 25+ by race &amp; gender'!CY52)*100</f>
        <v>66.470408442113893</v>
      </c>
      <c r="BC54" s="634">
        <f>('Attainment 25+ by race &amp; gender'!EN53/'Pop 25+ by race &amp; gender'!DS52)*100</f>
        <v>70.394749229946711</v>
      </c>
      <c r="BD54" s="634">
        <f>('Attainment 25+ by race &amp; gender'!PD53/'Pop 25+ by race &amp; gender'!CV52)*100</f>
        <v>34.165454911948657</v>
      </c>
      <c r="BE54" s="634">
        <f>('Attainment 25+ by race &amp; gender'!PX53/'Pop 25+ by race &amp; gender'!DP52)*100</f>
        <v>39.407654049560307</v>
      </c>
      <c r="BF54" s="634">
        <f>('Attainment 25+ by race &amp; gender'!PE53/'Pop 25+ by race &amp; gender'!CW52)*100</f>
        <v>19.451908330470154</v>
      </c>
      <c r="BG54" s="634">
        <f>('Attainment 25+ by race &amp; gender'!PY53/'Pop 25+ by race &amp; gender'!DQ52)*100</f>
        <v>22.561181024999062</v>
      </c>
      <c r="BH54" s="634">
        <f>('Attainment 25+ by race &amp; gender'!PF53/'Pop 25+ by race &amp; gender'!CY52)*100</f>
        <v>15.404909871717642</v>
      </c>
      <c r="BI54" s="634">
        <f>('Attainment 25+ by race &amp; gender'!PZ53/'Pop 25+ by race &amp; gender'!DS52)*100</f>
        <v>17.667378027559224</v>
      </c>
    </row>
    <row r="55" spans="1:61" x14ac:dyDescent="0.2">
      <c r="A55" s="223"/>
      <c r="B55" s="495"/>
      <c r="C55" s="626"/>
      <c r="D55" s="496"/>
      <c r="E55" s="495"/>
      <c r="F55" s="496"/>
      <c r="G55" s="495"/>
      <c r="H55" s="496"/>
      <c r="I55" s="495"/>
      <c r="J55" s="496"/>
      <c r="K55" s="495"/>
      <c r="L55" s="496"/>
      <c r="M55" s="613"/>
      <c r="N55" s="495"/>
      <c r="O55" s="626"/>
      <c r="P55" s="496"/>
      <c r="Q55" s="493"/>
      <c r="R55" s="494"/>
      <c r="S55" s="493"/>
      <c r="T55" s="494"/>
      <c r="U55" s="493"/>
      <c r="V55" s="494"/>
      <c r="W55" s="493"/>
      <c r="X55" s="494"/>
      <c r="Y55" s="614"/>
      <c r="Z55" s="495"/>
      <c r="AA55" s="626"/>
      <c r="AB55" s="496"/>
      <c r="AC55" s="495"/>
      <c r="AD55" s="496"/>
      <c r="AE55" s="495"/>
      <c r="AF55" s="496"/>
      <c r="AG55" s="495"/>
      <c r="AH55" s="496"/>
      <c r="AI55" s="495"/>
      <c r="AJ55" s="496"/>
      <c r="AK55" s="634"/>
      <c r="AL55" s="496"/>
      <c r="AM55" s="634"/>
      <c r="AN55" s="496"/>
      <c r="AO55" s="634"/>
      <c r="AP55" s="634"/>
      <c r="AQ55" s="634"/>
      <c r="AR55" s="634"/>
      <c r="AS55" s="634"/>
      <c r="AT55" s="634"/>
      <c r="AU55" s="634"/>
      <c r="AV55" s="634"/>
      <c r="AW55" s="634"/>
      <c r="AX55" s="496"/>
      <c r="AY55" s="634"/>
      <c r="AZ55" s="496"/>
      <c r="BA55" s="634"/>
      <c r="BB55" s="634"/>
      <c r="BC55" s="634"/>
      <c r="BD55" s="634"/>
      <c r="BE55" s="634"/>
      <c r="BF55" s="634"/>
      <c r="BG55" s="634"/>
      <c r="BH55" s="634"/>
      <c r="BI55" s="634"/>
    </row>
    <row r="56" spans="1:61" x14ac:dyDescent="0.2">
      <c r="A56" s="218" t="s">
        <v>21</v>
      </c>
      <c r="B56" s="499">
        <f>('Attainment 25+ by race &amp; gender'!CS55/'Pop 25+ by race &amp; gender'!AT54)*100</f>
        <v>86.310046020532241</v>
      </c>
      <c r="C56" s="625">
        <f>('Attainment 25+ by race &amp; gender'!DR55/'Pop 25+ by race &amp; gender'!CV54)*100</f>
        <v>90.999999999999986</v>
      </c>
      <c r="D56" s="500">
        <f>('Attainment 25+ by race &amp; gender'!CT55/'Pop 25+ by race &amp; gender'!AZ54)*100</f>
        <v>73.942470389170893</v>
      </c>
      <c r="E56" s="499">
        <f>IF('Pop 25+ by race &amp; gender'!CW54&gt;0,('Attainment 25+ by race &amp; gender'!DS55/'Pop 25+ by race &amp; gender'!CW54)*100,"—")</f>
        <v>81.800000000000011</v>
      </c>
      <c r="F56" s="500">
        <f>('Attainment 25+ by race &amp; gender'!CU55/'Pop 25+ by race &amp; gender'!BC54)*100</f>
        <v>58.526527656754332</v>
      </c>
      <c r="G56" s="499">
        <f>('Attainment 25+ by race &amp; gender'!DT55/'Pop 25+ by race &amp; gender'!CY54)*100</f>
        <v>67.7</v>
      </c>
      <c r="H56" s="500">
        <f>('Attainment 25+ by race &amp; gender'!NT55/'Pop 25+ by race &amp; gender'!AT54)*100</f>
        <v>33.495097812870355</v>
      </c>
      <c r="I56" s="499">
        <f>('Attainment 25+ by race &amp; gender'!PD55/'Pop 25+ by race &amp; gender'!CV54)*100</f>
        <v>38.200000000000003</v>
      </c>
      <c r="J56" s="500">
        <f>('Attainment 25+ by race &amp; gender'!NZ55/'Pop 25+ by race &amp; gender'!AZ54)*100</f>
        <v>13.744893947939632</v>
      </c>
      <c r="K56" s="499">
        <f>IF('Pop 25+ by race &amp; gender'!CW54&gt;0,('Attainment 25+ by race &amp; gender'!PE55/'Pop 25+ by race &amp; gender'!CW54)*100,"—")</f>
        <v>17.8</v>
      </c>
      <c r="L56" s="500">
        <f>('Attainment 25+ by race &amp; gender'!OC55/'Pop 25+ by race &amp; gender'!BC54)*100</f>
        <v>11.306930450043568</v>
      </c>
      <c r="M56" s="616">
        <f>('Attainment 25+ by race &amp; gender'!PF55/'Pop 25+ by race &amp; gender'!CY54)*100</f>
        <v>14.3</v>
      </c>
      <c r="N56" s="493">
        <f>('Attainment 25+ by race &amp; gender'!CS55/'Pop 25+ by race &amp; gender'!AT54)*100</f>
        <v>86.310046020532241</v>
      </c>
      <c r="O56" s="626">
        <f>('Attainment 25+ by race &amp; gender'!DW55/'Pop 25+ by race &amp; gender'!DA54)*100</f>
        <v>91.329460001639447</v>
      </c>
      <c r="P56" s="494">
        <f>('Attainment 25+ by race &amp; gender'!CT55/'Pop 25+ by race &amp; gender'!AZ54)*100</f>
        <v>73.942470389170893</v>
      </c>
      <c r="Q56" s="493">
        <f>('Attainment 25+ by race &amp; gender'!DX55/'Pop 25+ by race &amp; gender'!DB54)*100</f>
        <v>83.133527185243139</v>
      </c>
      <c r="R56" s="494">
        <f>('Attainment 25+ by race &amp; gender'!CU55/'Pop 25+ by race &amp; gender'!BC54)*100</f>
        <v>58.526527656754332</v>
      </c>
      <c r="S56" s="493">
        <f>('Attainment 25+ by race &amp; gender'!DY55/'Pop 25+ by race &amp; gender'!DD54)*100</f>
        <v>69.311002944178952</v>
      </c>
      <c r="T56" s="494">
        <f>('Attainment 25+ by race &amp; gender'!NT55/'Pop 25+ by race &amp; gender'!AT54)*100</f>
        <v>33.495097812870355</v>
      </c>
      <c r="U56" s="493">
        <f>('Attainment 25+ by race &amp; gender'!PI55/'Pop 25+ by race &amp; gender'!DA54)*100</f>
        <v>38.690771643912981</v>
      </c>
      <c r="V56" s="494">
        <f>('Attainment 25+ by race &amp; gender'!NZ55/'Pop 25+ by race &amp; gender'!AZ54)*100</f>
        <v>13.744893947939632</v>
      </c>
      <c r="W56" s="493">
        <f>('Attainment 25+ by race &amp; gender'!PJ55/'Pop 25+ by race &amp; gender'!DB54)*100</f>
        <v>18.243484631281909</v>
      </c>
      <c r="X56" s="494">
        <f>('Attainment 25+ by race &amp; gender'!OC55/'Pop 25+ by race &amp; gender'!BC54)*100</f>
        <v>11.306930450043568</v>
      </c>
      <c r="Y56" s="614">
        <f>('Attainment 25+ by race &amp; gender'!PK55/'Pop 25+ by race &amp; gender'!DD54)*100</f>
        <v>15.455460046455888</v>
      </c>
      <c r="Z56" s="495">
        <f>('Attainment 25+ by race &amp; gender'!CS55/'Pop 25+ by race &amp; gender'!AT54)*100</f>
        <v>86.310046020532241</v>
      </c>
      <c r="AA56" s="626">
        <f>('Attainment 25+ by race &amp; gender'!EB55/'Pop 25+ by race &amp; gender'!DF54)*100</f>
        <v>93.194484032985713</v>
      </c>
      <c r="AB56" s="496">
        <f>('Attainment 25+ by race &amp; gender'!CT55/'Pop 25+ by race &amp; gender'!AZ54)*100</f>
        <v>73.942470389170893</v>
      </c>
      <c r="AC56" s="495">
        <f>('Attainment 25+ by race &amp; gender'!EC55/'Pop 25+ by race &amp; gender'!DG54)*100</f>
        <v>83.906816557857965</v>
      </c>
      <c r="AD56" s="496">
        <f>('Attainment 25+ by race &amp; gender'!CU55/'Pop 25+ by race &amp; gender'!BC54)*100</f>
        <v>58.526527656754332</v>
      </c>
      <c r="AE56" s="495">
        <f>('Attainment 25+ by race &amp; gender'!ED55/'Pop 25+ by race &amp; gender'!DI54)*100</f>
        <v>69.89412196835427</v>
      </c>
      <c r="AF56" s="496">
        <f>('Attainment 25+ by race &amp; gender'!NT55/'Pop 25+ by race &amp; gender'!AT54)*100</f>
        <v>33.495097812870355</v>
      </c>
      <c r="AG56" s="495">
        <f>('Attainment 25+ by race &amp; gender'!PN55/'Pop 25+ by race &amp; gender'!DF54)*100</f>
        <v>40.947493035146984</v>
      </c>
      <c r="AH56" s="496">
        <f>('Attainment 25+ by race &amp; gender'!NZ55/'Pop 25+ by race &amp; gender'!AZ54)*100</f>
        <v>13.744893947939632</v>
      </c>
      <c r="AI56" s="495">
        <f>('Attainment 25+ by race &amp; gender'!PO55/'Pop 25+ by race &amp; gender'!DG54)*100</f>
        <v>19.042779348390503</v>
      </c>
      <c r="AJ56" s="496">
        <f>('Attainment 25+ by race &amp; gender'!OC55/'Pop 25+ by race &amp; gender'!BC54)*100</f>
        <v>11.306930450043568</v>
      </c>
      <c r="AK56" s="634">
        <f>('Attainment 25+ by race &amp; gender'!PP55/'Pop 25+ by race &amp; gender'!DI54)*100</f>
        <v>15.628867008776215</v>
      </c>
      <c r="AL56" s="496">
        <f>('Attainment 25+ by race &amp; gender'!CS55/'Pop 25+ by race &amp; gender'!AT54)*100</f>
        <v>86.310046020532241</v>
      </c>
      <c r="AM56" s="634">
        <f>('Attainment 25+ by race &amp; gender'!EG55/'Pop 25+ by race &amp; gender'!DK54)*100</f>
        <v>93.985981709553599</v>
      </c>
      <c r="AN56" s="496">
        <v>73.942470389170893</v>
      </c>
      <c r="AO56" s="634">
        <f>('Attainment 25+ by race &amp; gender'!EH55/'Pop 25+ by race &amp; gender'!DL54)*100</f>
        <v>86.382498740931595</v>
      </c>
      <c r="AP56" s="634">
        <f>('Attainment 25+ by race &amp; gender'!CU55/'Pop 25+ by race &amp; gender'!BC54)*100</f>
        <v>58.526527656754332</v>
      </c>
      <c r="AQ56" s="634">
        <f>('Attainment 25+ by race &amp; gender'!EI55/'Pop 25+ by race &amp; gender'!DN54)*100</f>
        <v>70.930827362779127</v>
      </c>
      <c r="AR56" s="634">
        <f>('Attainment 25+ by race &amp; gender'!NT55/'Pop 25+ by race &amp; gender'!AT54)*100</f>
        <v>33.495097812870355</v>
      </c>
      <c r="AS56" s="634">
        <f>('Attainment 25+ by race &amp; gender'!PS55/'Pop 25+ by race &amp; gender'!DK54)*100</f>
        <v>42.868498535627126</v>
      </c>
      <c r="AT56" s="634">
        <f>('Attainment 25+ by race &amp; gender'!NZ55/'Pop 25+ by race &amp; gender'!AZ54)*100</f>
        <v>13.744893947939632</v>
      </c>
      <c r="AU56" s="634">
        <f>('Attainment 25+ by race &amp; gender'!PT55/'Pop 25+ by race &amp; gender'!DL54)*100</f>
        <v>22.170842056631024</v>
      </c>
      <c r="AV56" s="634">
        <f>('Attainment 25+ by race &amp; gender'!OC55/'Pop 25+ by race &amp; gender'!BC54)*100</f>
        <v>11.306930450043568</v>
      </c>
      <c r="AW56" s="634">
        <f>('Attainment 25+ by race &amp; gender'!PU55/'Pop 25+ by race &amp; gender'!DN54)*100</f>
        <v>16.063713078811315</v>
      </c>
      <c r="AX56" s="496">
        <f>('Attainment 25+ by race &amp; gender'!DR55/'Pop 25+ by race &amp; gender'!CV54)*100</f>
        <v>90.999999999999986</v>
      </c>
      <c r="AY56" s="634">
        <f>('Attainment 25+ by race &amp; gender'!EL55/'Pop 25+ by race &amp; gender'!DP54)*100</f>
        <v>94.217715573935052</v>
      </c>
      <c r="AZ56" s="496">
        <f>('Attainment 25+ by race &amp; gender'!DS55/'Pop 25+ by race &amp; gender'!CW54)*100</f>
        <v>81.800000000000011</v>
      </c>
      <c r="BA56" s="634">
        <f>('Attainment 25+ by race &amp; gender'!EM55/'Pop 25+ by race &amp; gender'!DQ54)*100</f>
        <v>86.169100997785463</v>
      </c>
      <c r="BB56" s="634">
        <f>('Attainment 25+ by race &amp; gender'!DT55/'Pop 25+ by race &amp; gender'!CY54)*100</f>
        <v>67.7</v>
      </c>
      <c r="BC56" s="634">
        <f>('Attainment 25+ by race &amp; gender'!EN55/'Pop 25+ by race &amp; gender'!DS54)*100</f>
        <v>72.322934898680018</v>
      </c>
      <c r="BD56" s="634">
        <f>('Attainment 25+ by race &amp; gender'!PD55/'Pop 25+ by race &amp; gender'!CV54)*100</f>
        <v>38.200000000000003</v>
      </c>
      <c r="BE56" s="634">
        <f>('Attainment 25+ by race &amp; gender'!PX55/'Pop 25+ by race &amp; gender'!DP54)*100</f>
        <v>43.300300116233885</v>
      </c>
      <c r="BF56" s="634">
        <f>('Attainment 25+ by race &amp; gender'!PE55/'Pop 25+ by race &amp; gender'!CW54)*100</f>
        <v>17.8</v>
      </c>
      <c r="BG56" s="634">
        <f>('Attainment 25+ by race &amp; gender'!PY55/'Pop 25+ by race &amp; gender'!DQ54)*100</f>
        <v>19.523169689881975</v>
      </c>
      <c r="BH56" s="634">
        <f>('Attainment 25+ by race &amp; gender'!PF55/'Pop 25+ by race &amp; gender'!CY54)*100</f>
        <v>14.3</v>
      </c>
      <c r="BI56" s="634">
        <f>('Attainment 25+ by race &amp; gender'!PZ55/'Pop 25+ by race &amp; gender'!DS54)*100</f>
        <v>17.901125356215367</v>
      </c>
    </row>
    <row r="57" spans="1:61" x14ac:dyDescent="0.2">
      <c r="A57" s="218" t="s">
        <v>28</v>
      </c>
      <c r="B57" s="499">
        <f>('Attainment 25+ by race &amp; gender'!CS56/'Pop 25+ by race &amp; gender'!AT55)*100</f>
        <v>85.532547825339989</v>
      </c>
      <c r="C57" s="625">
        <f>('Attainment 25+ by race &amp; gender'!DR56/'Pop 25+ by race &amp; gender'!CV55)*100</f>
        <v>90.90000000000002</v>
      </c>
      <c r="D57" s="500">
        <f>('Attainment 25+ by race &amp; gender'!CT56/'Pop 25+ by race &amp; gender'!AZ55)*100</f>
        <v>84.663428174878547</v>
      </c>
      <c r="E57" s="499" t="str">
        <f>IF('Pop 25+ by race &amp; gender'!CW55&gt;0,('Attainment 25+ by race &amp; gender'!DS56/'Pop 25+ by race &amp; gender'!CW55)*100,"—")</f>
        <v>—</v>
      </c>
      <c r="F57" s="500">
        <f>('Attainment 25+ by race &amp; gender'!CU56/'Pop 25+ by race &amp; gender'!BC55)*100</f>
        <v>79.240674955595026</v>
      </c>
      <c r="G57" s="499" t="str">
        <f>IF('Pop 25+ by race &amp; gender'!CY55&gt;0,('Attainment 25+ by race &amp; gender'!DT56/'Pop 25+ by race &amp; gender'!CY55)*100,"—")</f>
        <v>—</v>
      </c>
      <c r="H57" s="500">
        <f>('Attainment 25+ by race &amp; gender'!NT56/'Pop 25+ by race &amp; gender'!AT55)*100</f>
        <v>22.923685384161889</v>
      </c>
      <c r="I57" s="499">
        <f>('Attainment 25+ by race &amp; gender'!PD56/'Pop 25+ by race &amp; gender'!CV55)*100</f>
        <v>27.800000000000004</v>
      </c>
      <c r="J57" s="500">
        <f>('Attainment 25+ by race &amp; gender'!NZ56/'Pop 25+ by race &amp; gender'!AZ55)*100</f>
        <v>22.484385843164471</v>
      </c>
      <c r="K57" s="499" t="str">
        <f>IF('Pop 25+ by race &amp; gender'!CW55&gt;0,('Attainment 25+ by race &amp; gender'!PE56/'Pop 25+ by race &amp; gender'!CW55)*100,"—")</f>
        <v>—</v>
      </c>
      <c r="L57" s="500">
        <f>('Attainment 25+ by race &amp; gender'!OC56/'Pop 25+ by race &amp; gender'!BC55)*100</f>
        <v>21.625222024866787</v>
      </c>
      <c r="M57" s="616" t="str">
        <f>IF('Pop 25+ by race &amp; gender'!CY55&gt;0,('Attainment 25+ by race &amp; gender'!PF56/'Pop 25+ by race &amp; gender'!CY55)*100,"—")</f>
        <v>—</v>
      </c>
      <c r="N57" s="493">
        <f>('Attainment 25+ by race &amp; gender'!CS56/'Pop 25+ by race &amp; gender'!AT55)*100</f>
        <v>85.532547825339989</v>
      </c>
      <c r="O57" s="626">
        <f>('Attainment 25+ by race &amp; gender'!DW56/'Pop 25+ by race &amp; gender'!DA55)*100</f>
        <v>91.294019710990398</v>
      </c>
      <c r="P57" s="494">
        <f>('Attainment 25+ by race &amp; gender'!CT56/'Pop 25+ by race &amp; gender'!AZ55)*100</f>
        <v>84.663428174878547</v>
      </c>
      <c r="Q57" s="493">
        <f>('Attainment 25+ by race &amp; gender'!DX56/'Pop 25+ by race &amp; gender'!DB55)*100</f>
        <v>75.939849624060145</v>
      </c>
      <c r="R57" s="494">
        <f>('Attainment 25+ by race &amp; gender'!CU56/'Pop 25+ by race &amp; gender'!BC55)*100</f>
        <v>79.240674955595026</v>
      </c>
      <c r="S57" s="493">
        <f>('Attainment 25+ by race &amp; gender'!DY56/'Pop 25+ by race &amp; gender'!DD55)*100</f>
        <v>85.573122529644266</v>
      </c>
      <c r="T57" s="494">
        <f>('Attainment 25+ by race &amp; gender'!NT56/'Pop 25+ by race &amp; gender'!AT55)*100</f>
        <v>22.923685384161889</v>
      </c>
      <c r="U57" s="493">
        <f>('Attainment 25+ by race &amp; gender'!PI56/'Pop 25+ by race &amp; gender'!DA55)*100</f>
        <v>27.973835823747635</v>
      </c>
      <c r="V57" s="494">
        <f>('Attainment 25+ by race &amp; gender'!NZ56/'Pop 25+ by race &amp; gender'!AZ55)*100</f>
        <v>22.484385843164471</v>
      </c>
      <c r="W57" s="493">
        <f>('Attainment 25+ by race &amp; gender'!PJ56/'Pop 25+ by race &amp; gender'!DB55)*100</f>
        <v>17.032376860518646</v>
      </c>
      <c r="X57" s="494">
        <f>('Attainment 25+ by race &amp; gender'!OC56/'Pop 25+ by race &amp; gender'!BC55)*100</f>
        <v>21.625222024866787</v>
      </c>
      <c r="Y57" s="614">
        <f>('Attainment 25+ by race &amp; gender'!PK56/'Pop 25+ by race &amp; gender'!DD55)*100</f>
        <v>25.831202046035806</v>
      </c>
      <c r="Z57" s="495">
        <f>('Attainment 25+ by race &amp; gender'!CS56/'Pop 25+ by race &amp; gender'!AT55)*100</f>
        <v>85.532547825339989</v>
      </c>
      <c r="AA57" s="626">
        <f>('Attainment 25+ by race &amp; gender'!EB56/'Pop 25+ by race &amp; gender'!DF55)*100</f>
        <v>91.87447831439664</v>
      </c>
      <c r="AB57" s="496">
        <f>('Attainment 25+ by race &amp; gender'!CT56/'Pop 25+ by race &amp; gender'!AZ55)*100</f>
        <v>84.663428174878547</v>
      </c>
      <c r="AC57" s="495">
        <f>('Attainment 25+ by race &amp; gender'!EC56/'Pop 25+ by race &amp; gender'!DG55)*100</f>
        <v>77.639567599585362</v>
      </c>
      <c r="AD57" s="496">
        <f>('Attainment 25+ by race &amp; gender'!CU56/'Pop 25+ by race &amp; gender'!BC55)*100</f>
        <v>79.240674955595026</v>
      </c>
      <c r="AE57" s="495">
        <f>('Attainment 25+ by race &amp; gender'!ED56/'Pop 25+ by race &amp; gender'!DI55)*100</f>
        <v>81.802407547988281</v>
      </c>
      <c r="AF57" s="496">
        <f>('Attainment 25+ by race &amp; gender'!NT56/'Pop 25+ by race &amp; gender'!AT55)*100</f>
        <v>22.923685384161889</v>
      </c>
      <c r="AG57" s="495">
        <f>('Attainment 25+ by race &amp; gender'!PN56/'Pop 25+ by race &amp; gender'!DF55)*100</f>
        <v>28.334328068942888</v>
      </c>
      <c r="AH57" s="496">
        <f>('Attainment 25+ by race &amp; gender'!NZ56/'Pop 25+ by race &amp; gender'!AZ55)*100</f>
        <v>22.484385843164471</v>
      </c>
      <c r="AI57" s="495">
        <f>('Attainment 25+ by race &amp; gender'!PO56/'Pop 25+ by race &amp; gender'!DG55)*100</f>
        <v>20.035539760106619</v>
      </c>
      <c r="AJ57" s="496">
        <f>('Attainment 25+ by race &amp; gender'!OC56/'Pop 25+ by race &amp; gender'!BC55)*100</f>
        <v>21.625222024866787</v>
      </c>
      <c r="AK57" s="634">
        <f>('Attainment 25+ by race &amp; gender'!PP56/'Pop 25+ by race &amp; gender'!DI55)*100</f>
        <v>26.374579763583128</v>
      </c>
      <c r="AL57" s="496">
        <f>('Attainment 25+ by race &amp; gender'!CS56/'Pop 25+ by race &amp; gender'!AT55)*100</f>
        <v>85.532547825339989</v>
      </c>
      <c r="AM57" s="634">
        <f>('Attainment 25+ by race &amp; gender'!EG56/'Pop 25+ by race &amp; gender'!DK55)*100</f>
        <v>92.05911779869102</v>
      </c>
      <c r="AN57" s="496">
        <v>84.663428174878547</v>
      </c>
      <c r="AO57" s="634">
        <f>('Attainment 25+ by race &amp; gender'!EH56/'Pop 25+ by race &amp; gender'!DL55)*100</f>
        <v>83.646692817530095</v>
      </c>
      <c r="AP57" s="634">
        <f>('Attainment 25+ by race &amp; gender'!CU56/'Pop 25+ by race &amp; gender'!BC55)*100</f>
        <v>79.240674955595026</v>
      </c>
      <c r="AQ57" s="634">
        <f>('Attainment 25+ by race &amp; gender'!EI56/'Pop 25+ by race &amp; gender'!DN55)*100</f>
        <v>92.364295616935053</v>
      </c>
      <c r="AR57" s="634">
        <f>('Attainment 25+ by race &amp; gender'!NT56/'Pop 25+ by race &amp; gender'!AT55)*100</f>
        <v>22.923685384161889</v>
      </c>
      <c r="AS57" s="634">
        <f>('Attainment 25+ by race &amp; gender'!PS56/'Pop 25+ by race &amp; gender'!DK55)*100</f>
        <v>30.087665259828206</v>
      </c>
      <c r="AT57" s="634">
        <f>('Attainment 25+ by race &amp; gender'!NZ56/'Pop 25+ by race &amp; gender'!AZ55)*100</f>
        <v>22.484385843164471</v>
      </c>
      <c r="AU57" s="634">
        <f>('Attainment 25+ by race &amp; gender'!PT56/'Pop 25+ by race &amp; gender'!DL55)*100</f>
        <v>26.389828215879884</v>
      </c>
      <c r="AV57" s="634">
        <f>('Attainment 25+ by race &amp; gender'!OC56/'Pop 25+ by race &amp; gender'!BC55)*100</f>
        <v>21.625222024866787</v>
      </c>
      <c r="AW57" s="634">
        <f>('Attainment 25+ by race &amp; gender'!PU56/'Pop 25+ by race &amp; gender'!DN55)*100</f>
        <v>43.670683587501337</v>
      </c>
      <c r="AX57" s="496">
        <f>('Attainment 25+ by race &amp; gender'!DR56/'Pop 25+ by race &amp; gender'!CV55)*100</f>
        <v>90.90000000000002</v>
      </c>
      <c r="AY57" s="634">
        <f>('Attainment 25+ by race &amp; gender'!EL56/'Pop 25+ by race &amp; gender'!DP55)*100</f>
        <v>92.6415701695623</v>
      </c>
      <c r="AZ57" s="496" t="str">
        <f>IF('Pop 25+ by race &amp; gender'!CW55&gt;0,('Attainment 25+ by race &amp; gender'!DS56/'Pop 25+ by race &amp; gender'!CW55)*100,"—")</f>
        <v>—</v>
      </c>
      <c r="BA57" s="634">
        <f>('Attainment 25+ by race &amp; gender'!EM56/'Pop 25+ by race &amp; gender'!DQ55)*100</f>
        <v>79.517926356589157</v>
      </c>
      <c r="BB57" s="634" t="str">
        <f>IF('Pop 25+ by race &amp; gender'!CY55&gt;0,('Attainment 25+ by race &amp; gender'!DT56/'Pop 25+ by race &amp; gender'!CY55)*100,"—")</f>
        <v>—</v>
      </c>
      <c r="BC57" s="634">
        <f>('Attainment 25+ by race &amp; gender'!EN56/'Pop 25+ by race &amp; gender'!DS55)*100</f>
        <v>88.905507654407884</v>
      </c>
      <c r="BD57" s="634">
        <f>('Attainment 25+ by race &amp; gender'!PD56/'Pop 25+ by race &amp; gender'!CV55)*100</f>
        <v>27.800000000000004</v>
      </c>
      <c r="BE57" s="634">
        <f>('Attainment 25+ by race &amp; gender'!PX56/'Pop 25+ by race &amp; gender'!DP55)*100</f>
        <v>30.283379588143688</v>
      </c>
      <c r="BF57" s="634" t="str">
        <f>IF('Pop 25+ by race &amp; gender'!CW55&gt;0, ('Attainment 25+ by race &amp; gender'!PE56/'Pop 25+ by race &amp; gender'!CW55)*100,"—")</f>
        <v>—</v>
      </c>
      <c r="BG57" s="634">
        <f>('Attainment 25+ by race &amp; gender'!PY56/'Pop 25+ by race &amp; gender'!DQ55)*100</f>
        <v>19.379844961240313</v>
      </c>
      <c r="BH57" s="634" t="str">
        <f>IF('Pop 25+ by race &amp; gender'!CY55&gt;0,('Attainment 25+ by race &amp; gender'!PF56/'Pop 25+ by race &amp; gender'!CY55)*100,"—")</f>
        <v>—</v>
      </c>
      <c r="BI57" s="634">
        <f>('Attainment 25+ by race &amp; gender'!PZ56/'Pop 25+ by race &amp; gender'!DS55)*100</f>
        <v>27.705437269048041</v>
      </c>
    </row>
    <row r="58" spans="1:61" x14ac:dyDescent="0.2">
      <c r="A58" s="218" t="s">
        <v>29</v>
      </c>
      <c r="B58" s="499">
        <f>('Attainment 25+ by race &amp; gender'!CS57/'Pop 25+ by race &amp; gender'!AT56)*100</f>
        <v>86.790828204228717</v>
      </c>
      <c r="C58" s="625">
        <f>('Attainment 25+ by race &amp; gender'!DR57/'Pop 25+ by race &amp; gender'!CV56)*100</f>
        <v>91.3</v>
      </c>
      <c r="D58" s="500">
        <f>('Attainment 25+ by race &amp; gender'!CT57/'Pop 25+ by race &amp; gender'!AZ56)*100</f>
        <v>76.334846296678364</v>
      </c>
      <c r="E58" s="499">
        <f>IF('Pop 25+ by race &amp; gender'!CW56&gt;0,('Attainment 25+ by race &amp; gender'!DS57/'Pop 25+ by race &amp; gender'!CW56)*100,"—")</f>
        <v>82.300000000000011</v>
      </c>
      <c r="F58" s="500">
        <f>('Attainment 25+ by race &amp; gender'!CU57/'Pop 25+ by race &amp; gender'!BC56)*100</f>
        <v>57.257984327280475</v>
      </c>
      <c r="G58" s="499">
        <f>('Attainment 25+ by race &amp; gender'!DT57/'Pop 25+ by race &amp; gender'!CY56)*100</f>
        <v>65.900000000000006</v>
      </c>
      <c r="H58" s="500">
        <f>('Attainment 25+ by race &amp; gender'!NT57/'Pop 25+ by race &amp; gender'!AT56)*100</f>
        <v>34.25236025462263</v>
      </c>
      <c r="I58" s="499">
        <f>('Attainment 25+ by race &amp; gender'!PD57/'Pop 25+ by race &amp; gender'!CV56)*100</f>
        <v>40.199999999999996</v>
      </c>
      <c r="J58" s="500">
        <f>('Attainment 25+ by race &amp; gender'!NZ57/'Pop 25+ by race &amp; gender'!AZ56)*100</f>
        <v>19.728182380854136</v>
      </c>
      <c r="K58" s="499">
        <f>IF('Pop 25+ by race &amp; gender'!CW56&gt;0,('Attainment 25+ by race &amp; gender'!PE57/'Pop 25+ by race &amp; gender'!CW56)*100,"—")</f>
        <v>22.4</v>
      </c>
      <c r="L58" s="500">
        <f>('Attainment 25+ by race &amp; gender'!OC57/'Pop 25+ by race &amp; gender'!BC56)*100</f>
        <v>14.084140249532423</v>
      </c>
      <c r="M58" s="616">
        <f>('Attainment 25+ by race &amp; gender'!PF57/'Pop 25+ by race &amp; gender'!CY56)*100</f>
        <v>16.7</v>
      </c>
      <c r="N58" s="493">
        <f>('Attainment 25+ by race &amp; gender'!CS57/'Pop 25+ by race &amp; gender'!AT56)*100</f>
        <v>86.790828204228717</v>
      </c>
      <c r="O58" s="626">
        <f>('Attainment 25+ by race &amp; gender'!DW57/'Pop 25+ by race &amp; gender'!DA56)*100</f>
        <v>91.573831010114716</v>
      </c>
      <c r="P58" s="494">
        <f>('Attainment 25+ by race &amp; gender'!CT57/'Pop 25+ by race &amp; gender'!AZ56)*100</f>
        <v>76.334846296678364</v>
      </c>
      <c r="Q58" s="493">
        <f>('Attainment 25+ by race &amp; gender'!DX57/'Pop 25+ by race &amp; gender'!DB56)*100</f>
        <v>82.115242732772614</v>
      </c>
      <c r="R58" s="494">
        <f>('Attainment 25+ by race &amp; gender'!CU57/'Pop 25+ by race &amp; gender'!BC56)*100</f>
        <v>57.257984327280475</v>
      </c>
      <c r="S58" s="493">
        <f>('Attainment 25+ by race &amp; gender'!DY57/'Pop 25+ by race &amp; gender'!DD56)*100</f>
        <v>66.784349018847493</v>
      </c>
      <c r="T58" s="494">
        <f>('Attainment 25+ by race &amp; gender'!NT57/'Pop 25+ by race &amp; gender'!AT56)*100</f>
        <v>34.25236025462263</v>
      </c>
      <c r="U58" s="493">
        <f>('Attainment 25+ by race &amp; gender'!PI57/'Pop 25+ by race &amp; gender'!DA56)*100</f>
        <v>40.762818927250144</v>
      </c>
      <c r="V58" s="494">
        <f>('Attainment 25+ by race &amp; gender'!NZ57/'Pop 25+ by race &amp; gender'!AZ56)*100</f>
        <v>19.728182380854136</v>
      </c>
      <c r="W58" s="493">
        <f>('Attainment 25+ by race &amp; gender'!PJ57/'Pop 25+ by race &amp; gender'!DB56)*100</f>
        <v>22.440976833407113</v>
      </c>
      <c r="X58" s="494">
        <f>('Attainment 25+ by race &amp; gender'!OC57/'Pop 25+ by race &amp; gender'!BC56)*100</f>
        <v>14.084140249532423</v>
      </c>
      <c r="Y58" s="614">
        <f>('Attainment 25+ by race &amp; gender'!PK57/'Pop 25+ by race &amp; gender'!DD56)*100</f>
        <v>16.810538165254961</v>
      </c>
      <c r="Z58" s="495">
        <f>('Attainment 25+ by race &amp; gender'!CS57/'Pop 25+ by race &amp; gender'!AT56)*100</f>
        <v>86.790828204228717</v>
      </c>
      <c r="AA58" s="626">
        <f>('Attainment 25+ by race &amp; gender'!EB57/'Pop 25+ by race &amp; gender'!DF56)*100</f>
        <v>92.78162543110993</v>
      </c>
      <c r="AB58" s="496">
        <f>('Attainment 25+ by race &amp; gender'!CT57/'Pop 25+ by race &amp; gender'!AZ56)*100</f>
        <v>76.334846296678364</v>
      </c>
      <c r="AC58" s="495">
        <f>('Attainment 25+ by race &amp; gender'!EC57/'Pop 25+ by race &amp; gender'!DG56)*100</f>
        <v>81.667807926046393</v>
      </c>
      <c r="AD58" s="496">
        <f>('Attainment 25+ by race &amp; gender'!CU57/'Pop 25+ by race &amp; gender'!BC56)*100</f>
        <v>57.257984327280475</v>
      </c>
      <c r="AE58" s="495">
        <f>('Attainment 25+ by race &amp; gender'!ED57/'Pop 25+ by race &amp; gender'!DI56)*100</f>
        <v>67.79802648634039</v>
      </c>
      <c r="AF58" s="496">
        <f>('Attainment 25+ by race &amp; gender'!NT57/'Pop 25+ by race &amp; gender'!AT56)*100</f>
        <v>34.25236025462263</v>
      </c>
      <c r="AG58" s="495">
        <f>('Attainment 25+ by race &amp; gender'!PN57/'Pop 25+ by race &amp; gender'!DF56)*100</f>
        <v>42.035745958530782</v>
      </c>
      <c r="AH58" s="496">
        <f>('Attainment 25+ by race &amp; gender'!NZ57/'Pop 25+ by race &amp; gender'!AZ56)*100</f>
        <v>19.728182380854136</v>
      </c>
      <c r="AI58" s="495">
        <f>('Attainment 25+ by race &amp; gender'!PO57/'Pop 25+ by race &amp; gender'!DG56)*100</f>
        <v>23.179334645781623</v>
      </c>
      <c r="AJ58" s="496">
        <f>('Attainment 25+ by race &amp; gender'!OC57/'Pop 25+ by race &amp; gender'!BC56)*100</f>
        <v>14.084140249532423</v>
      </c>
      <c r="AK58" s="634">
        <f>('Attainment 25+ by race &amp; gender'!PP57/'Pop 25+ by race &amp; gender'!DI56)*100</f>
        <v>17.272932857513197</v>
      </c>
      <c r="AL58" s="496">
        <f>('Attainment 25+ by race &amp; gender'!CS57/'Pop 25+ by race &amp; gender'!AT56)*100</f>
        <v>86.790828204228717</v>
      </c>
      <c r="AM58" s="634">
        <f>('Attainment 25+ by race &amp; gender'!EG57/'Pop 25+ by race &amp; gender'!DK56)*100</f>
        <v>93.628987370290361</v>
      </c>
      <c r="AN58" s="496">
        <v>76.334846296678364</v>
      </c>
      <c r="AO58" s="634">
        <f>('Attainment 25+ by race &amp; gender'!EH57/'Pop 25+ by race &amp; gender'!DL56)*100</f>
        <v>84.087884762950083</v>
      </c>
      <c r="AP58" s="634">
        <f>('Attainment 25+ by race &amp; gender'!CU57/'Pop 25+ by race &amp; gender'!BC56)*100</f>
        <v>57.257984327280475</v>
      </c>
      <c r="AQ58" s="634">
        <f>('Attainment 25+ by race &amp; gender'!EI57/'Pop 25+ by race &amp; gender'!DN56)*100</f>
        <v>68.924761971217592</v>
      </c>
      <c r="AR58" s="634">
        <f>('Attainment 25+ by race &amp; gender'!NT57/'Pop 25+ by race &amp; gender'!AT56)*100</f>
        <v>34.25236025462263</v>
      </c>
      <c r="AS58" s="634">
        <f>('Attainment 25+ by race &amp; gender'!PS57/'Pop 25+ by race &amp; gender'!DK56)*100</f>
        <v>44.482067049224504</v>
      </c>
      <c r="AT58" s="634">
        <f>('Attainment 25+ by race &amp; gender'!NZ57/'Pop 25+ by race &amp; gender'!AZ56)*100</f>
        <v>19.728182380854136</v>
      </c>
      <c r="AU58" s="634">
        <f>('Attainment 25+ by race &amp; gender'!PT57/'Pop 25+ by race &amp; gender'!DL56)*100</f>
        <v>22.919843682716063</v>
      </c>
      <c r="AV58" s="634">
        <f>('Attainment 25+ by race &amp; gender'!OC57/'Pop 25+ by race &amp; gender'!BC56)*100</f>
        <v>14.084140249532423</v>
      </c>
      <c r="AW58" s="634">
        <f>('Attainment 25+ by race &amp; gender'!PU57/'Pop 25+ by race &amp; gender'!DN56)*100</f>
        <v>17.745626213603913</v>
      </c>
      <c r="AX58" s="496">
        <f>('Attainment 25+ by race &amp; gender'!DR57/'Pop 25+ by race &amp; gender'!CV56)*100</f>
        <v>91.3</v>
      </c>
      <c r="AY58" s="634">
        <f>('Attainment 25+ by race &amp; gender'!EL57/'Pop 25+ by race &amp; gender'!DP56)*100</f>
        <v>93.897231554202108</v>
      </c>
      <c r="AZ58" s="496">
        <f>('Attainment 25+ by race &amp; gender'!DS57/'Pop 25+ by race &amp; gender'!CW56)*100</f>
        <v>82.300000000000011</v>
      </c>
      <c r="BA58" s="634">
        <f>('Attainment 25+ by race &amp; gender'!EM57/'Pop 25+ by race &amp; gender'!DQ56)*100</f>
        <v>85.040570678392356</v>
      </c>
      <c r="BB58" s="634">
        <f>('Attainment 25+ by race &amp; gender'!DT57/'Pop 25+ by race &amp; gender'!CY56)*100</f>
        <v>65.900000000000006</v>
      </c>
      <c r="BC58" s="634">
        <f>('Attainment 25+ by race &amp; gender'!EN57/'Pop 25+ by race &amp; gender'!DS56)*100</f>
        <v>69.271909340340486</v>
      </c>
      <c r="BD58" s="634">
        <f>('Attainment 25+ by race &amp; gender'!PD57/'Pop 25+ by race &amp; gender'!CV56)*100</f>
        <v>40.199999999999996</v>
      </c>
      <c r="BE58" s="634">
        <f>('Attainment 25+ by race &amp; gender'!PX57/'Pop 25+ by race &amp; gender'!DP56)*100</f>
        <v>46.036880649588937</v>
      </c>
      <c r="BF58" s="634">
        <f>('Attainment 25+ by race &amp; gender'!PE57/'Pop 25+ by race &amp; gender'!CW56)*100</f>
        <v>22.4</v>
      </c>
      <c r="BG58" s="634">
        <f>('Attainment 25+ by race &amp; gender'!PY57/'Pop 25+ by race &amp; gender'!DQ56)*100</f>
        <v>24.980782310235199</v>
      </c>
      <c r="BH58" s="634">
        <f>('Attainment 25+ by race &amp; gender'!PF57/'Pop 25+ by race &amp; gender'!CY56)*100</f>
        <v>16.7</v>
      </c>
      <c r="BI58" s="634">
        <f>('Attainment 25+ by race &amp; gender'!PZ57/'Pop 25+ by race &amp; gender'!DS56)*100</f>
        <v>17.956907877938153</v>
      </c>
    </row>
    <row r="59" spans="1:61" s="646" customFormat="1" x14ac:dyDescent="0.25">
      <c r="A59" s="636" t="s">
        <v>36</v>
      </c>
      <c r="B59" s="637">
        <f>('Attainment 25+ by race &amp; gender'!CS58/'Pop 25+ by race &amp; gender'!AT57)*100</f>
        <v>87.622362000763033</v>
      </c>
      <c r="C59" s="638">
        <f>('Attainment 25+ by race &amp; gender'!DR58/'Pop 25+ by race &amp; gender'!CV57)*100</f>
        <v>91.8</v>
      </c>
      <c r="D59" s="639">
        <f>('Attainment 25+ by race &amp; gender'!CT58/'Pop 25+ by race &amp; gender'!AZ57)*100</f>
        <v>84.376828554710357</v>
      </c>
      <c r="E59" s="637" t="str">
        <f>IF('Pop 25+ by race &amp; gender'!CW57&gt;0,('Attainment 25+ by race &amp; gender'!DS58/'Pop 25+ by race &amp; gender'!CW57)*100,"—")</f>
        <v>—</v>
      </c>
      <c r="F59" s="639">
        <f>('Attainment 25+ by race &amp; gender'!CU58/'Pop 25+ by race &amp; gender'!BC57)*100</f>
        <v>73.562058526740671</v>
      </c>
      <c r="G59" s="637">
        <f>('Attainment 25+ by race &amp; gender'!DT58/'Pop 25+ by race &amp; gender'!CY57)*100</f>
        <v>76.3</v>
      </c>
      <c r="H59" s="639">
        <f>('Attainment 25+ by race &amp; gender'!NT58/'Pop 25+ by race &amp; gender'!AT57)*100</f>
        <v>28.488634766370151</v>
      </c>
      <c r="I59" s="637">
        <f>('Attainment 25+ by race &amp; gender'!PD58/'Pop 25+ by race &amp; gender'!CV57)*100</f>
        <v>32.499999999999993</v>
      </c>
      <c r="J59" s="639">
        <f>('Attainment 25+ by race &amp; gender'!NZ58/'Pop 25+ by race &amp; gender'!AZ57)*100</f>
        <v>27.774527013848253</v>
      </c>
      <c r="K59" s="637" t="str">
        <f>IF('Pop 25+ by race &amp; gender'!CW57&gt;0,('Attainment 25+ by race &amp; gender'!PE58/'Pop 25+ by race &amp; gender'!CW57)*100,"—")</f>
        <v>—</v>
      </c>
      <c r="L59" s="639">
        <f>('Attainment 25+ by race &amp; gender'!OC58/'Pop 25+ by race &amp; gender'!BC57)*100</f>
        <v>22.694248234106961</v>
      </c>
      <c r="M59" s="640">
        <f>('Attainment 25+ by race &amp; gender'!PF58/'Pop 25+ by race &amp; gender'!CY57)*100</f>
        <v>22.5</v>
      </c>
      <c r="N59" s="641">
        <f>('Attainment 25+ by race &amp; gender'!CS58/'Pop 25+ by race &amp; gender'!AT57)*100</f>
        <v>87.622362000763033</v>
      </c>
      <c r="O59" s="642">
        <f>('Attainment 25+ by race &amp; gender'!DW58/'Pop 25+ by race &amp; gender'!DA57)*100</f>
        <v>91.922140895669131</v>
      </c>
      <c r="P59" s="643">
        <f>('Attainment 25+ by race &amp; gender'!CT58/'Pop 25+ by race &amp; gender'!AZ57)*100</f>
        <v>84.376828554710357</v>
      </c>
      <c r="Q59" s="641">
        <f>('Attainment 25+ by race &amp; gender'!DX58/'Pop 25+ by race &amp; gender'!DB57)*100</f>
        <v>85.388437217705516</v>
      </c>
      <c r="R59" s="643">
        <f>('Attainment 25+ by race &amp; gender'!CU58/'Pop 25+ by race &amp; gender'!BC57)*100</f>
        <v>73.562058526740671</v>
      </c>
      <c r="S59" s="641">
        <f>('Attainment 25+ by race &amp; gender'!DY58/'Pop 25+ by race &amp; gender'!DD57)*100</f>
        <v>76.986951364175553</v>
      </c>
      <c r="T59" s="643">
        <f>('Attainment 25+ by race &amp; gender'!NT58/'Pop 25+ by race &amp; gender'!AT57)*100</f>
        <v>28.488634766370151</v>
      </c>
      <c r="U59" s="644">
        <f>('Attainment 25+ by race &amp; gender'!PI58/'Pop 25+ by race &amp; gender'!DA57)*100</f>
        <v>33.340951715916255</v>
      </c>
      <c r="V59" s="643">
        <f>('Attainment 25+ by race &amp; gender'!NZ58/'Pop 25+ by race &amp; gender'!AZ57)*100</f>
        <v>27.774527013848253</v>
      </c>
      <c r="W59" s="644">
        <f>('Attainment 25+ by race &amp; gender'!PJ58/'Pop 25+ by race &amp; gender'!DB57)*100</f>
        <v>29.392502258355918</v>
      </c>
      <c r="X59" s="643">
        <f>('Attainment 25+ by race &amp; gender'!OC58/'Pop 25+ by race &amp; gender'!BC57)*100</f>
        <v>22.694248234106961</v>
      </c>
      <c r="Y59" s="681">
        <f>('Attainment 25+ by race &amp; gender'!PK58/'Pop 25+ by race &amp; gender'!DD57)*100</f>
        <v>24.266336582598381</v>
      </c>
      <c r="Z59" s="495">
        <f>('Attainment 25+ by race &amp; gender'!CS58/'Pop 25+ by race &amp; gender'!AT57)*100</f>
        <v>87.622362000763033</v>
      </c>
      <c r="AA59" s="626">
        <f>('Attainment 25+ by race &amp; gender'!EB58/'Pop 25+ by race &amp; gender'!DF57)*100</f>
        <v>92.558940181676491</v>
      </c>
      <c r="AB59" s="496">
        <f>('Attainment 25+ by race &amp; gender'!CT58/'Pop 25+ by race &amp; gender'!AZ57)*100</f>
        <v>84.376828554710357</v>
      </c>
      <c r="AC59" s="495">
        <f>('Attainment 25+ by race &amp; gender'!EC58/'Pop 25+ by race &amp; gender'!DG57)*100</f>
        <v>85.430251202565472</v>
      </c>
      <c r="AD59" s="496">
        <f>('Attainment 25+ by race &amp; gender'!CU58/'Pop 25+ by race &amp; gender'!BC57)*100</f>
        <v>73.562058526740671</v>
      </c>
      <c r="AE59" s="495">
        <f>('Attainment 25+ by race &amp; gender'!ED58/'Pop 25+ by race &amp; gender'!DI57)*100</f>
        <v>78.68583558471633</v>
      </c>
      <c r="AF59" s="496">
        <f>('Attainment 25+ by race &amp; gender'!NT58/'Pop 25+ by race &amp; gender'!AT57)*100</f>
        <v>28.488634766370151</v>
      </c>
      <c r="AG59" s="495">
        <f>('Attainment 25+ by race &amp; gender'!PN58/'Pop 25+ by race &amp; gender'!DF57)*100</f>
        <v>34.08632541261035</v>
      </c>
      <c r="AH59" s="496">
        <f>('Attainment 25+ by race &amp; gender'!NZ58/'Pop 25+ by race &amp; gender'!AZ57)*100</f>
        <v>27.774527013848253</v>
      </c>
      <c r="AI59" s="495">
        <f>('Attainment 25+ by race &amp; gender'!PO58/'Pop 25+ by race &amp; gender'!DG57)*100</f>
        <v>28.530197755211116</v>
      </c>
      <c r="AJ59" s="496">
        <f>('Attainment 25+ by race &amp; gender'!OC58/'Pop 25+ by race &amp; gender'!BC57)*100</f>
        <v>22.694248234106961</v>
      </c>
      <c r="AK59" s="634">
        <f>('Attainment 25+ by race &amp; gender'!PP58/'Pop 25+ by race &amp; gender'!DI57)*100</f>
        <v>23.205326128907757</v>
      </c>
      <c r="AL59" s="496">
        <f>('Attainment 25+ by race &amp; gender'!CS58/'Pop 25+ by race &amp; gender'!AT57)*100</f>
        <v>87.622362000763033</v>
      </c>
      <c r="AM59" s="634">
        <f>('Attainment 25+ by race &amp; gender'!EG58/'Pop 25+ by race &amp; gender'!DK57)*100</f>
        <v>93.661105991418836</v>
      </c>
      <c r="AN59" s="496">
        <v>84.376828554710357</v>
      </c>
      <c r="AO59" s="634">
        <f>('Attainment 25+ by race &amp; gender'!EH58/'Pop 25+ by race &amp; gender'!DL57)*100</f>
        <v>89.353099730458212</v>
      </c>
      <c r="AP59" s="634">
        <f>('Attainment 25+ by race &amp; gender'!CU58/'Pop 25+ by race &amp; gender'!BC57)*100</f>
        <v>73.562058526740671</v>
      </c>
      <c r="AQ59" s="634">
        <f>('Attainment 25+ by race &amp; gender'!EI58/'Pop 25+ by race &amp; gender'!DN57)*100</f>
        <v>79.131142624566209</v>
      </c>
      <c r="AR59" s="634">
        <f>('Attainment 25+ by race &amp; gender'!NT58/'Pop 25+ by race &amp; gender'!AT57)*100</f>
        <v>28.488634766370151</v>
      </c>
      <c r="AS59" s="634">
        <f>('Attainment 25+ by race &amp; gender'!PS58/'Pop 25+ by race &amp; gender'!DK57)*100</f>
        <v>35.465793688913202</v>
      </c>
      <c r="AT59" s="634">
        <f>('Attainment 25+ by race &amp; gender'!NZ58/'Pop 25+ by race &amp; gender'!AZ57)*100</f>
        <v>27.774527013848253</v>
      </c>
      <c r="AU59" s="634">
        <f>('Attainment 25+ by race &amp; gender'!PT58/'Pop 25+ by race &amp; gender'!DL57)*100</f>
        <v>20.940026954177899</v>
      </c>
      <c r="AV59" s="634">
        <f>('Attainment 25+ by race &amp; gender'!OC58/'Pop 25+ by race &amp; gender'!BC57)*100</f>
        <v>22.694248234106961</v>
      </c>
      <c r="AW59" s="634">
        <f>('Attainment 25+ by race &amp; gender'!PU58/'Pop 25+ by race &amp; gender'!DN57)*100</f>
        <v>26.237093526412753</v>
      </c>
      <c r="AX59" s="496">
        <f>('Attainment 25+ by race &amp; gender'!DR58/'Pop 25+ by race &amp; gender'!CV57)*100</f>
        <v>91.8</v>
      </c>
      <c r="AY59" s="634">
        <f>('Attainment 25+ by race &amp; gender'!EL58/'Pop 25+ by race &amp; gender'!DP57)*100</f>
        <v>93.45799828250216</v>
      </c>
      <c r="AZ59" s="496" t="str">
        <f>IF('Pop 25+ by race &amp; gender'!CW57&gt;0,('Attainment 25+ by race &amp; gender'!DS58/'Pop 25+ by race &amp; gender'!CW57)*100,"—")</f>
        <v>—</v>
      </c>
      <c r="BA59" s="634">
        <f>('Attainment 25+ by race &amp; gender'!EM58/'Pop 25+ by race &amp; gender'!DQ57)*100</f>
        <v>88.727709507530264</v>
      </c>
      <c r="BB59" s="634">
        <f>('Attainment 25+ by race &amp; gender'!DT58/'Pop 25+ by race &amp; gender'!CY57)*100</f>
        <v>76.3</v>
      </c>
      <c r="BC59" s="634">
        <f>('Attainment 25+ by race &amp; gender'!EN58/'Pop 25+ by race &amp; gender'!DS57)*100</f>
        <v>76.170766319772937</v>
      </c>
      <c r="BD59" s="634">
        <f>('Attainment 25+ by race &amp; gender'!PD58/'Pop 25+ by race &amp; gender'!CV57)*100</f>
        <v>32.499999999999993</v>
      </c>
      <c r="BE59" s="634">
        <f>('Attainment 25+ by race &amp; gender'!PX58/'Pop 25+ by race &amp; gender'!DP57)*100</f>
        <v>36.501048631646896</v>
      </c>
      <c r="BF59" s="634" t="str">
        <f>IF('Pop 25+ by race &amp; gender'!CW57&gt;0,('Attainment 25+ by race &amp; gender'!PE58/'Pop 25+ by race &amp; gender'!CW57)*100,"—")</f>
        <v>—</v>
      </c>
      <c r="BG59" s="634">
        <f>('Attainment 25+ by race &amp; gender'!PY58/'Pop 25+ by race &amp; gender'!DQ57)*100</f>
        <v>29.40959068650097</v>
      </c>
      <c r="BH59" s="634">
        <f>('Attainment 25+ by race &amp; gender'!PF58/'Pop 25+ by race &amp; gender'!CY57)*100</f>
        <v>22.5</v>
      </c>
      <c r="BI59" s="634">
        <f>('Attainment 25+ by race &amp; gender'!PZ58/'Pop 25+ by race &amp; gender'!DS57)*100</f>
        <v>29.150898770104067</v>
      </c>
    </row>
    <row r="60" spans="1:61" x14ac:dyDescent="0.2">
      <c r="A60" s="218" t="s">
        <v>37</v>
      </c>
      <c r="B60" s="499">
        <f>('Attainment 25+ by race &amp; gender'!CS59/'Pop 25+ by race &amp; gender'!AT58)*100</f>
        <v>84.652571646182977</v>
      </c>
      <c r="C60" s="625">
        <f>('Attainment 25+ by race &amp; gender'!DR59/'Pop 25+ by race &amp; gender'!CV58)*100</f>
        <v>89.8</v>
      </c>
      <c r="D60" s="500">
        <f>('Attainment 25+ by race &amp; gender'!CT59/'Pop 25+ by race &amp; gender'!AZ58)*100</f>
        <v>74.510775766694692</v>
      </c>
      <c r="E60" s="499">
        <f>IF('Pop 25+ by race &amp; gender'!CW58&gt;0,('Attainment 25+ by race &amp; gender'!DS59/'Pop 25+ by race &amp; gender'!CW58)*100,"—")</f>
        <v>84.4</v>
      </c>
      <c r="F60" s="500">
        <f>('Attainment 25+ by race &amp; gender'!CU59/'Pop 25+ by race &amp; gender'!BC58)*100</f>
        <v>59.512756299890434</v>
      </c>
      <c r="G60" s="499">
        <f>('Attainment 25+ by race &amp; gender'!DT59/'Pop 25+ by race &amp; gender'!CY58)*100</f>
        <v>70.300000000000011</v>
      </c>
      <c r="H60" s="500">
        <f>('Attainment 25+ by race &amp; gender'!NT59/'Pop 25+ by race &amp; gender'!AT58)*100</f>
        <v>31.014208332019155</v>
      </c>
      <c r="I60" s="499">
        <f>('Attainment 25+ by race &amp; gender'!PD59/'Pop 25+ by race &amp; gender'!CV58)*100</f>
        <v>35.900000000000006</v>
      </c>
      <c r="J60" s="500">
        <f>('Attainment 25+ by race &amp; gender'!NZ59/'Pop 25+ by race &amp; gender'!AZ58)*100</f>
        <v>16.15302916316325</v>
      </c>
      <c r="K60" s="499">
        <f>IF('Pop 25+ by race &amp; gender'!CW58&gt;0,('Attainment 25+ by race &amp; gender'!PE59/'Pop 25+ by race &amp; gender'!CW58)*100,"—")</f>
        <v>20.9</v>
      </c>
      <c r="L60" s="500">
        <f>('Attainment 25+ by race &amp; gender'!OC59/'Pop 25+ by race &amp; gender'!BC58)*100</f>
        <v>12.516512756299891</v>
      </c>
      <c r="M60" s="616">
        <f>('Attainment 25+ by race &amp; gender'!PF59/'Pop 25+ by race &amp; gender'!CY58)*100</f>
        <v>15.6</v>
      </c>
      <c r="N60" s="493">
        <f>('Attainment 25+ by race &amp; gender'!CS59/'Pop 25+ by race &amp; gender'!AT58)*100</f>
        <v>84.652571646182977</v>
      </c>
      <c r="O60" s="626">
        <f>('Attainment 25+ by race &amp; gender'!DW59/'Pop 25+ by race &amp; gender'!DA58)*100</f>
        <v>90.032052419142587</v>
      </c>
      <c r="P60" s="494">
        <f>('Attainment 25+ by race &amp; gender'!CT59/'Pop 25+ by race &amp; gender'!AZ58)*100</f>
        <v>74.510775766694692</v>
      </c>
      <c r="Q60" s="493">
        <f>('Attainment 25+ by race &amp; gender'!DX59/'Pop 25+ by race &amp; gender'!DB58)*100</f>
        <v>84.965287898460474</v>
      </c>
      <c r="R60" s="494">
        <f>('Attainment 25+ by race &amp; gender'!CU59/'Pop 25+ by race &amp; gender'!BC58)*100</f>
        <v>59.512756299890434</v>
      </c>
      <c r="S60" s="493">
        <f>('Attainment 25+ by race &amp; gender'!DY59/'Pop 25+ by race &amp; gender'!DD58)*100</f>
        <v>70.689644244725145</v>
      </c>
      <c r="T60" s="494">
        <f>('Attainment 25+ by race &amp; gender'!NT59/'Pop 25+ by race &amp; gender'!AT58)*100</f>
        <v>31.014208332019155</v>
      </c>
      <c r="U60" s="493">
        <f>('Attainment 25+ by race &amp; gender'!PI59/'Pop 25+ by race &amp; gender'!DA58)*100</f>
        <v>36.510703578773288</v>
      </c>
      <c r="V60" s="494">
        <f>('Attainment 25+ by race &amp; gender'!NZ59/'Pop 25+ by race &amp; gender'!AZ58)*100</f>
        <v>16.15302916316325</v>
      </c>
      <c r="W60" s="493">
        <f>('Attainment 25+ by race &amp; gender'!PJ59/'Pop 25+ by race &amp; gender'!DB58)*100</f>
        <v>21.115821828877287</v>
      </c>
      <c r="X60" s="494">
        <f>('Attainment 25+ by race &amp; gender'!OC59/'Pop 25+ by race &amp; gender'!BC58)*100</f>
        <v>12.516512756299891</v>
      </c>
      <c r="Y60" s="614">
        <f>('Attainment 25+ by race &amp; gender'!PK59/'Pop 25+ by race &amp; gender'!DD58)*100</f>
        <v>15.735817007548627</v>
      </c>
      <c r="Z60" s="495">
        <f>('Attainment 25+ by race &amp; gender'!CS59/'Pop 25+ by race &amp; gender'!AT58)*100</f>
        <v>84.652571646182977</v>
      </c>
      <c r="AA60" s="626">
        <f>('Attainment 25+ by race &amp; gender'!EB59/'Pop 25+ by race &amp; gender'!DF58)*100</f>
        <v>92.794682151392465</v>
      </c>
      <c r="AB60" s="496">
        <f>('Attainment 25+ by race &amp; gender'!CT59/'Pop 25+ by race &amp; gender'!AZ58)*100</f>
        <v>74.510775766694692</v>
      </c>
      <c r="AC60" s="495">
        <f>('Attainment 25+ by race &amp; gender'!EC59/'Pop 25+ by race &amp; gender'!DG58)*100</f>
        <v>85.617849150152779</v>
      </c>
      <c r="AD60" s="496">
        <f>('Attainment 25+ by race &amp; gender'!CU59/'Pop 25+ by race &amp; gender'!BC58)*100</f>
        <v>59.512756299890434</v>
      </c>
      <c r="AE60" s="495">
        <f>('Attainment 25+ by race &amp; gender'!ED59/'Pop 25+ by race &amp; gender'!DI58)*100</f>
        <v>71.004326303432308</v>
      </c>
      <c r="AF60" s="496">
        <f>('Attainment 25+ by race &amp; gender'!NT59/'Pop 25+ by race &amp; gender'!AT58)*100</f>
        <v>31.014208332019155</v>
      </c>
      <c r="AG60" s="495">
        <f>('Attainment 25+ by race &amp; gender'!PN59/'Pop 25+ by race &amp; gender'!DF58)*100</f>
        <v>39.670389754497272</v>
      </c>
      <c r="AH60" s="496">
        <f>('Attainment 25+ by race &amp; gender'!NZ59/'Pop 25+ by race &amp; gender'!AZ58)*100</f>
        <v>16.15302916316325</v>
      </c>
      <c r="AI60" s="495">
        <f>('Attainment 25+ by race &amp; gender'!PO59/'Pop 25+ by race &amp; gender'!DG58)*100</f>
        <v>21.252338848736105</v>
      </c>
      <c r="AJ60" s="496">
        <f>('Attainment 25+ by race &amp; gender'!OC59/'Pop 25+ by race &amp; gender'!BC58)*100</f>
        <v>12.516512756299891</v>
      </c>
      <c r="AK60" s="634">
        <f>('Attainment 25+ by race &amp; gender'!PP59/'Pop 25+ by race &amp; gender'!DI58)*100</f>
        <v>16.074741612143203</v>
      </c>
      <c r="AL60" s="496">
        <f>('Attainment 25+ by race &amp; gender'!CS59/'Pop 25+ by race &amp; gender'!AT58)*100</f>
        <v>84.652571646182977</v>
      </c>
      <c r="AM60" s="634">
        <f>('Attainment 25+ by race &amp; gender'!EG59/'Pop 25+ by race &amp; gender'!DK58)*100</f>
        <v>93.594376112181905</v>
      </c>
      <c r="AN60" s="496">
        <v>74.510775766694692</v>
      </c>
      <c r="AO60" s="634">
        <f>('Attainment 25+ by race &amp; gender'!EH59/'Pop 25+ by race &amp; gender'!DL58)*100</f>
        <v>87.783795890940937</v>
      </c>
      <c r="AP60" s="634">
        <f>('Attainment 25+ by race &amp; gender'!CU59/'Pop 25+ by race &amp; gender'!BC58)*100</f>
        <v>59.512756299890434</v>
      </c>
      <c r="AQ60" s="634">
        <f>('Attainment 25+ by race &amp; gender'!EI59/'Pop 25+ by race &amp; gender'!DN58)*100</f>
        <v>72.512151071809797</v>
      </c>
      <c r="AR60" s="634">
        <f>('Attainment 25+ by race &amp; gender'!NT59/'Pop 25+ by race &amp; gender'!AT58)*100</f>
        <v>31.014208332019155</v>
      </c>
      <c r="AS60" s="634">
        <f>('Attainment 25+ by race &amp; gender'!PS59/'Pop 25+ by race &amp; gender'!DK58)*100</f>
        <v>41.724414921619726</v>
      </c>
      <c r="AT60" s="634">
        <f>('Attainment 25+ by race &amp; gender'!NZ59/'Pop 25+ by race &amp; gender'!AZ58)*100</f>
        <v>16.15302916316325</v>
      </c>
      <c r="AU60" s="634">
        <f>('Attainment 25+ by race &amp; gender'!PT59/'Pop 25+ by race &amp; gender'!DL58)*100</f>
        <v>21.789415813157948</v>
      </c>
      <c r="AV60" s="634">
        <f>('Attainment 25+ by race &amp; gender'!OC59/'Pop 25+ by race &amp; gender'!BC58)*100</f>
        <v>12.516512756299891</v>
      </c>
      <c r="AW60" s="634">
        <f>('Attainment 25+ by race &amp; gender'!PU59/'Pop 25+ by race &amp; gender'!DN58)*100</f>
        <v>17.848768028761228</v>
      </c>
      <c r="AX60" s="496">
        <f>('Attainment 25+ by race &amp; gender'!DR59/'Pop 25+ by race &amp; gender'!CV58)*100</f>
        <v>89.8</v>
      </c>
      <c r="AY60" s="634">
        <f>('Attainment 25+ by race &amp; gender'!EL59/'Pop 25+ by race &amp; gender'!DP58)*100</f>
        <v>93.756318011535939</v>
      </c>
      <c r="AZ60" s="496">
        <f>('Attainment 25+ by race &amp; gender'!DS59/'Pop 25+ by race &amp; gender'!CW58)*100</f>
        <v>84.4</v>
      </c>
      <c r="BA60" s="634">
        <f>('Attainment 25+ by race &amp; gender'!EM59/'Pop 25+ by race &amp; gender'!DQ58)*100</f>
        <v>88.205914834616692</v>
      </c>
      <c r="BB60" s="634">
        <f>('Attainment 25+ by race &amp; gender'!DT59/'Pop 25+ by race &amp; gender'!CY58)*100</f>
        <v>70.300000000000011</v>
      </c>
      <c r="BC60" s="634">
        <f>('Attainment 25+ by race &amp; gender'!EN59/'Pop 25+ by race &amp; gender'!DS58)*100</f>
        <v>72.869511240405245</v>
      </c>
      <c r="BD60" s="634">
        <f>('Attainment 25+ by race &amp; gender'!PD59/'Pop 25+ by race &amp; gender'!CV58)*100</f>
        <v>35.900000000000006</v>
      </c>
      <c r="BE60" s="634">
        <f>('Attainment 25+ by race &amp; gender'!PX59/'Pop 25+ by race &amp; gender'!DP58)*100</f>
        <v>43.027504809841041</v>
      </c>
      <c r="BF60" s="634">
        <f>('Attainment 25+ by race &amp; gender'!PE59/'Pop 25+ by race &amp; gender'!CW58)*100</f>
        <v>20.9</v>
      </c>
      <c r="BG60" s="634">
        <f>('Attainment 25+ by race &amp; gender'!PY59/'Pop 25+ by race &amp; gender'!DQ58)*100</f>
        <v>23.452950872381553</v>
      </c>
      <c r="BH60" s="634">
        <f>('Attainment 25+ by race &amp; gender'!PF59/'Pop 25+ by race &amp; gender'!CY58)*100</f>
        <v>15.6</v>
      </c>
      <c r="BI60" s="634">
        <f>('Attainment 25+ by race &amp; gender'!PZ59/'Pop 25+ by race &amp; gender'!DS58)*100</f>
        <v>17.311196861117416</v>
      </c>
    </row>
    <row r="61" spans="1:61" x14ac:dyDescent="0.2">
      <c r="A61" s="218" t="s">
        <v>39</v>
      </c>
      <c r="B61" s="499">
        <f>('Attainment 25+ by race &amp; gender'!CS60/'Pop 25+ by race &amp; gender'!AT59)*100</f>
        <v>83.990700904030291</v>
      </c>
      <c r="C61" s="625">
        <f>('Attainment 25+ by race &amp; gender'!DR60/'Pop 25+ by race &amp; gender'!CV59)*100</f>
        <v>89.3</v>
      </c>
      <c r="D61" s="500">
        <f>('Attainment 25+ by race &amp; gender'!CT60/'Pop 25+ by race &amp; gender'!AZ59)*100</f>
        <v>70.635527172445322</v>
      </c>
      <c r="E61" s="499">
        <f>IF('Pop 25+ by race &amp; gender'!CW59&gt;0,('Attainment 25+ by race &amp; gender'!DS60/'Pop 25+ by race &amp; gender'!CW59)*100,"—")</f>
        <v>80.800000000000011</v>
      </c>
      <c r="F61" s="500">
        <f>('Attainment 25+ by race &amp; gender'!CU60/'Pop 25+ by race &amp; gender'!BC59)*100</f>
        <v>55.027954419883564</v>
      </c>
      <c r="G61" s="499">
        <f>('Attainment 25+ by race &amp; gender'!DT60/'Pop 25+ by race &amp; gender'!CY59)*100</f>
        <v>64.8</v>
      </c>
      <c r="H61" s="500">
        <f>('Attainment 25+ by race &amp; gender'!NT60/'Pop 25+ by race &amp; gender'!AT59)*100</f>
        <v>30.457739249598582</v>
      </c>
      <c r="I61" s="499">
        <f>('Attainment 25+ by race &amp; gender'!PD60/'Pop 25+ by race &amp; gender'!CV59)*100</f>
        <v>36.000000000000007</v>
      </c>
      <c r="J61" s="500">
        <f>('Attainment 25+ by race &amp; gender'!NZ60/'Pop 25+ by race &amp; gender'!AZ59)*100</f>
        <v>15.840274408248384</v>
      </c>
      <c r="K61" s="499">
        <f>IF('Pop 25+ by race &amp; gender'!CW59&gt;0,('Attainment 25+ by race &amp; gender'!PE60/'Pop 25+ by race &amp; gender'!CW59)*100,"—")</f>
        <v>20.7</v>
      </c>
      <c r="L61" s="500">
        <f>('Attainment 25+ by race &amp; gender'!OC60/'Pop 25+ by race &amp; gender'!BC59)*100</f>
        <v>11.485557548861081</v>
      </c>
      <c r="M61" s="616">
        <f>('Attainment 25+ by race &amp; gender'!PF60/'Pop 25+ by race &amp; gender'!CY59)*100</f>
        <v>15.7</v>
      </c>
      <c r="N61" s="493">
        <f>('Attainment 25+ by race &amp; gender'!CS60/'Pop 25+ by race &amp; gender'!AT59)*100</f>
        <v>83.990700904030291</v>
      </c>
      <c r="O61" s="626">
        <f>('Attainment 25+ by race &amp; gender'!DW60/'Pop 25+ by race &amp; gender'!DA59)*100</f>
        <v>89.582244052596621</v>
      </c>
      <c r="P61" s="494">
        <f>('Attainment 25+ by race &amp; gender'!CT60/'Pop 25+ by race &amp; gender'!AZ59)*100</f>
        <v>70.635527172445322</v>
      </c>
      <c r="Q61" s="493">
        <f>('Attainment 25+ by race &amp; gender'!DX60/'Pop 25+ by race &amp; gender'!DB59)*100</f>
        <v>81.0286150007651</v>
      </c>
      <c r="R61" s="494">
        <f>('Attainment 25+ by race &amp; gender'!CU60/'Pop 25+ by race &amp; gender'!BC59)*100</f>
        <v>55.027954419883564</v>
      </c>
      <c r="S61" s="493">
        <f>('Attainment 25+ by race &amp; gender'!DY60/'Pop 25+ by race &amp; gender'!DD59)*100</f>
        <v>65.263243361143964</v>
      </c>
      <c r="T61" s="494">
        <f>('Attainment 25+ by race &amp; gender'!NT60/'Pop 25+ by race &amp; gender'!AT59)*100</f>
        <v>30.457739249598582</v>
      </c>
      <c r="U61" s="493">
        <f>('Attainment 25+ by race &amp; gender'!PI60/'Pop 25+ by race &amp; gender'!DA59)*100</f>
        <v>36.642761295412932</v>
      </c>
      <c r="V61" s="494">
        <f>('Attainment 25+ by race &amp; gender'!NZ60/'Pop 25+ by race &amp; gender'!AZ59)*100</f>
        <v>15.840274408248384</v>
      </c>
      <c r="W61" s="493">
        <f>('Attainment 25+ by race &amp; gender'!PJ60/'Pop 25+ by race &amp; gender'!DB59)*100</f>
        <v>20.743372747149003</v>
      </c>
      <c r="X61" s="494">
        <f>('Attainment 25+ by race &amp; gender'!OC60/'Pop 25+ by race &amp; gender'!BC59)*100</f>
        <v>11.485557548861081</v>
      </c>
      <c r="Y61" s="614">
        <f>('Attainment 25+ by race &amp; gender'!PK60/'Pop 25+ by race &amp; gender'!DD59)*100</f>
        <v>15.873921068789281</v>
      </c>
      <c r="Z61" s="495">
        <f>('Attainment 25+ by race &amp; gender'!CS60/'Pop 25+ by race &amp; gender'!AT59)*100</f>
        <v>83.990700904030291</v>
      </c>
      <c r="AA61" s="626">
        <f>('Attainment 25+ by race &amp; gender'!EB60/'Pop 25+ by race &amp; gender'!DF59)*100</f>
        <v>92.154370620097893</v>
      </c>
      <c r="AB61" s="496">
        <f>('Attainment 25+ by race &amp; gender'!CT60/'Pop 25+ by race &amp; gender'!AZ59)*100</f>
        <v>70.635527172445322</v>
      </c>
      <c r="AC61" s="495">
        <f>('Attainment 25+ by race &amp; gender'!EC60/'Pop 25+ by race &amp; gender'!DG59)*100</f>
        <v>81.31574596085791</v>
      </c>
      <c r="AD61" s="496">
        <f>('Attainment 25+ by race &amp; gender'!CU60/'Pop 25+ by race &amp; gender'!BC59)*100</f>
        <v>55.027954419883564</v>
      </c>
      <c r="AE61" s="495">
        <f>('Attainment 25+ by race &amp; gender'!ED60/'Pop 25+ by race &amp; gender'!DI59)*100</f>
        <v>66.073208817276239</v>
      </c>
      <c r="AF61" s="496">
        <f>('Attainment 25+ by race &amp; gender'!NT60/'Pop 25+ by race &amp; gender'!AT59)*100</f>
        <v>30.457739249598582</v>
      </c>
      <c r="AG61" s="495">
        <f>('Attainment 25+ by race &amp; gender'!PN60/'Pop 25+ by race &amp; gender'!DF59)*100</f>
        <v>39.283894620610731</v>
      </c>
      <c r="AH61" s="496">
        <f>('Attainment 25+ by race &amp; gender'!NZ60/'Pop 25+ by race &amp; gender'!AZ59)*100</f>
        <v>15.840274408248384</v>
      </c>
      <c r="AI61" s="495">
        <f>('Attainment 25+ by race &amp; gender'!PO60/'Pop 25+ by race &amp; gender'!DG59)*100</f>
        <v>21.175696090039811</v>
      </c>
      <c r="AJ61" s="496">
        <f>('Attainment 25+ by race &amp; gender'!OC60/'Pop 25+ by race &amp; gender'!BC59)*100</f>
        <v>11.485557548861081</v>
      </c>
      <c r="AK61" s="634">
        <f>('Attainment 25+ by race &amp; gender'!PP60/'Pop 25+ by race &amp; gender'!DI59)*100</f>
        <v>16.484004537266134</v>
      </c>
      <c r="AL61" s="496">
        <f>('Attainment 25+ by race &amp; gender'!CS60/'Pop 25+ by race &amp; gender'!AT59)*100</f>
        <v>83.990700904030291</v>
      </c>
      <c r="AM61" s="634">
        <f>('Attainment 25+ by race &amp; gender'!EG60/'Pop 25+ by race &amp; gender'!DK59)*100</f>
        <v>92.885157884818526</v>
      </c>
      <c r="AN61" s="496">
        <v>70.635527172445322</v>
      </c>
      <c r="AO61" s="634">
        <f>('Attainment 25+ by race &amp; gender'!EH60/'Pop 25+ by race &amp; gender'!DL59)*100</f>
        <v>83.146373349944653</v>
      </c>
      <c r="AP61" s="634">
        <f>('Attainment 25+ by race &amp; gender'!CU60/'Pop 25+ by race &amp; gender'!BC59)*100</f>
        <v>55.027954419883564</v>
      </c>
      <c r="AQ61" s="634">
        <f>('Attainment 25+ by race &amp; gender'!EI60/'Pop 25+ by race &amp; gender'!DN59)*100</f>
        <v>67.647685324467417</v>
      </c>
      <c r="AR61" s="634">
        <f>('Attainment 25+ by race &amp; gender'!NT60/'Pop 25+ by race &amp; gender'!AT59)*100</f>
        <v>30.457739249598582</v>
      </c>
      <c r="AS61" s="634">
        <f>('Attainment 25+ by race &amp; gender'!PS60/'Pop 25+ by race &amp; gender'!DK59)*100</f>
        <v>40.974387736862035</v>
      </c>
      <c r="AT61" s="634">
        <f>('Attainment 25+ by race &amp; gender'!NZ60/'Pop 25+ by race &amp; gender'!AZ59)*100</f>
        <v>15.840274408248384</v>
      </c>
      <c r="AU61" s="634">
        <f>('Attainment 25+ by race &amp; gender'!PT60/'Pop 25+ by race &amp; gender'!DL59)*100</f>
        <v>23.308829655963212</v>
      </c>
      <c r="AV61" s="634">
        <f>('Attainment 25+ by race &amp; gender'!OC60/'Pop 25+ by race &amp; gender'!BC59)*100</f>
        <v>11.485557548861081</v>
      </c>
      <c r="AW61" s="634">
        <f>('Attainment 25+ by race &amp; gender'!PU60/'Pop 25+ by race &amp; gender'!DN59)*100</f>
        <v>17.618237196872041</v>
      </c>
      <c r="AX61" s="496">
        <f>('Attainment 25+ by race &amp; gender'!DR60/'Pop 25+ by race &amp; gender'!CV59)*100</f>
        <v>89.3</v>
      </c>
      <c r="AY61" s="634">
        <f>('Attainment 25+ by race &amp; gender'!EL60/'Pop 25+ by race &amp; gender'!DP59)*100</f>
        <v>93.048339533784855</v>
      </c>
      <c r="AZ61" s="496">
        <f>('Attainment 25+ by race &amp; gender'!DS60/'Pop 25+ by race &amp; gender'!CW59)*100</f>
        <v>80.800000000000011</v>
      </c>
      <c r="BA61" s="634">
        <f>('Attainment 25+ by race &amp; gender'!EM60/'Pop 25+ by race &amp; gender'!DQ59)*100</f>
        <v>83.497466871845816</v>
      </c>
      <c r="BB61" s="634">
        <f>('Attainment 25+ by race &amp; gender'!DT60/'Pop 25+ by race &amp; gender'!CY59)*100</f>
        <v>64.8</v>
      </c>
      <c r="BC61" s="634">
        <f>('Attainment 25+ by race &amp; gender'!EN60/'Pop 25+ by race &amp; gender'!DS59)*100</f>
        <v>68.928942503110719</v>
      </c>
      <c r="BD61" s="634">
        <f>('Attainment 25+ by race &amp; gender'!PD60/'Pop 25+ by race &amp; gender'!CV59)*100</f>
        <v>36.000000000000007</v>
      </c>
      <c r="BE61" s="634">
        <f>('Attainment 25+ by race &amp; gender'!PX60/'Pop 25+ by race &amp; gender'!DP59)*100</f>
        <v>42.063011846471014</v>
      </c>
      <c r="BF61" s="634">
        <f>('Attainment 25+ by race &amp; gender'!PE60/'Pop 25+ by race &amp; gender'!CW59)*100</f>
        <v>20.7</v>
      </c>
      <c r="BG61" s="634">
        <f>('Attainment 25+ by race &amp; gender'!PY60/'Pop 25+ by race &amp; gender'!DQ59)*100</f>
        <v>23.53809859939815</v>
      </c>
      <c r="BH61" s="634">
        <f>('Attainment 25+ by race &amp; gender'!PF60/'Pop 25+ by race &amp; gender'!CY59)*100</f>
        <v>15.7</v>
      </c>
      <c r="BI61" s="634">
        <f>('Attainment 25+ by race &amp; gender'!PZ60/'Pop 25+ by race &amp; gender'!DS59)*100</f>
        <v>18.135377311511686</v>
      </c>
    </row>
    <row r="62" spans="1:61" x14ac:dyDescent="0.2">
      <c r="A62" s="218" t="s">
        <v>43</v>
      </c>
      <c r="B62" s="499">
        <f>('Attainment 25+ by race &amp; gender'!CS61/'Pop 25+ by race &amp; gender'!AT60)*100</f>
        <v>83.407985054395411</v>
      </c>
      <c r="C62" s="625">
        <f>('Attainment 25+ by race &amp; gender'!DR61/'Pop 25+ by race &amp; gender'!CV60)*100</f>
        <v>89.800000000000011</v>
      </c>
      <c r="D62" s="500">
        <f>('Attainment 25+ by race &amp; gender'!CT61/'Pop 25+ by race &amp; gender'!AZ60)*100</f>
        <v>71.842834326519039</v>
      </c>
      <c r="E62" s="499">
        <f>IF('Pop 25+ by race &amp; gender'!CW60&gt;0,('Attainment 25+ by race &amp; gender'!DS61/'Pop 25+ by race &amp; gender'!CW60)*100,"—")</f>
        <v>82.600000000000009</v>
      </c>
      <c r="F62" s="500">
        <f>('Attainment 25+ by race &amp; gender'!CU61/'Pop 25+ by race &amp; gender'!BC60)*100</f>
        <v>56.875111311325988</v>
      </c>
      <c r="G62" s="499">
        <f>('Attainment 25+ by race &amp; gender'!DT61/'Pop 25+ by race &amp; gender'!CY60)*100</f>
        <v>66.400000000000006</v>
      </c>
      <c r="H62" s="500">
        <f>('Attainment 25+ by race &amp; gender'!NT61/'Pop 25+ by race &amp; gender'!AT60)*100</f>
        <v>23.098670168830285</v>
      </c>
      <c r="I62" s="499">
        <f>('Attainment 25+ by race &amp; gender'!PD61/'Pop 25+ by race &amp; gender'!CV60)*100</f>
        <v>27.900000000000002</v>
      </c>
      <c r="J62" s="500">
        <f>('Attainment 25+ by race &amp; gender'!NZ61/'Pop 25+ by race &amp; gender'!AZ60)*100</f>
        <v>11.952192353358914</v>
      </c>
      <c r="K62" s="499">
        <f>IF('Pop 25+ by race &amp; gender'!CW60&gt;0,('Attainment 25+ by race &amp; gender'!PE61/'Pop 25+ by race &amp; gender'!CW60)*100,"—")</f>
        <v>14.800000000000002</v>
      </c>
      <c r="L62" s="500">
        <f>('Attainment 25+ by race &amp; gender'!OC61/'Pop 25+ by race &amp; gender'!BC60)*100</f>
        <v>12.006956303102049</v>
      </c>
      <c r="M62" s="616">
        <f>('Attainment 25+ by race &amp; gender'!PF61/'Pop 25+ by race &amp; gender'!CY60)*100</f>
        <v>13.299999999999997</v>
      </c>
      <c r="N62" s="493">
        <f>('Attainment 25+ by race &amp; gender'!CS61/'Pop 25+ by race &amp; gender'!AT60)*100</f>
        <v>83.407985054395411</v>
      </c>
      <c r="O62" s="626">
        <f>('Attainment 25+ by race &amp; gender'!DW61/'Pop 25+ by race &amp; gender'!DA60)*100</f>
        <v>90.064381050102952</v>
      </c>
      <c r="P62" s="494">
        <f>('Attainment 25+ by race &amp; gender'!CT61/'Pop 25+ by race &amp; gender'!AZ60)*100</f>
        <v>71.842834326519039</v>
      </c>
      <c r="Q62" s="493">
        <f>('Attainment 25+ by race &amp; gender'!DX61/'Pop 25+ by race &amp; gender'!DB60)*100</f>
        <v>82.940912221856195</v>
      </c>
      <c r="R62" s="494">
        <f>('Attainment 25+ by race &amp; gender'!CU61/'Pop 25+ by race &amp; gender'!BC60)*100</f>
        <v>56.875111311325988</v>
      </c>
      <c r="S62" s="493">
        <f>('Attainment 25+ by race &amp; gender'!DY61/'Pop 25+ by race &amp; gender'!DD60)*100</f>
        <v>67.264615062542518</v>
      </c>
      <c r="T62" s="494">
        <f>('Attainment 25+ by race &amp; gender'!NT61/'Pop 25+ by race &amp; gender'!AT60)*100</f>
        <v>23.098670168830285</v>
      </c>
      <c r="U62" s="493">
        <f>('Attainment 25+ by race &amp; gender'!PI61/'Pop 25+ by race &amp; gender'!DA60)*100</f>
        <v>28.297516530442856</v>
      </c>
      <c r="V62" s="494">
        <f>('Attainment 25+ by race &amp; gender'!NZ61/'Pop 25+ by race &amp; gender'!AZ60)*100</f>
        <v>11.952192353358914</v>
      </c>
      <c r="W62" s="493">
        <f>('Attainment 25+ by race &amp; gender'!PJ61/'Pop 25+ by race &amp; gender'!DB60)*100</f>
        <v>15.119403432062532</v>
      </c>
      <c r="X62" s="494">
        <f>('Attainment 25+ by race &amp; gender'!OC61/'Pop 25+ by race &amp; gender'!BC60)*100</f>
        <v>12.006956303102049</v>
      </c>
      <c r="Y62" s="614">
        <f>('Attainment 25+ by race &amp; gender'!PK61/'Pop 25+ by race &amp; gender'!DD60)*100</f>
        <v>13.34563249071021</v>
      </c>
      <c r="Z62" s="495">
        <f>('Attainment 25+ by race &amp; gender'!CS61/'Pop 25+ by race &amp; gender'!AT60)*100</f>
        <v>83.407985054395411</v>
      </c>
      <c r="AA62" s="626">
        <f>('Attainment 25+ by race &amp; gender'!EB61/'Pop 25+ by race &amp; gender'!DF60)*100</f>
        <v>90.851910971565985</v>
      </c>
      <c r="AB62" s="496">
        <f>('Attainment 25+ by race &amp; gender'!CT61/'Pop 25+ by race &amp; gender'!AZ60)*100</f>
        <v>71.842834326519039</v>
      </c>
      <c r="AC62" s="495">
        <f>('Attainment 25+ by race &amp; gender'!EC61/'Pop 25+ by race &amp; gender'!DG60)*100</f>
        <v>83.778489607237319</v>
      </c>
      <c r="AD62" s="496">
        <f>('Attainment 25+ by race &amp; gender'!CU61/'Pop 25+ by race &amp; gender'!BC60)*100</f>
        <v>56.875111311325988</v>
      </c>
      <c r="AE62" s="495">
        <f>('Attainment 25+ by race &amp; gender'!ED61/'Pop 25+ by race &amp; gender'!DI60)*100</f>
        <v>68.096205877585618</v>
      </c>
      <c r="AF62" s="496">
        <f>('Attainment 25+ by race &amp; gender'!NT61/'Pop 25+ by race &amp; gender'!AT60)*100</f>
        <v>23.098670168830285</v>
      </c>
      <c r="AG62" s="495">
        <f>('Attainment 25+ by race &amp; gender'!PN61/'Pop 25+ by race &amp; gender'!DF60)*100</f>
        <v>29.136633877568567</v>
      </c>
      <c r="AH62" s="496">
        <f>('Attainment 25+ by race &amp; gender'!NZ61/'Pop 25+ by race &amp; gender'!AZ60)*100</f>
        <v>11.952192353358914</v>
      </c>
      <c r="AI62" s="495">
        <f>('Attainment 25+ by race &amp; gender'!PO61/'Pop 25+ by race &amp; gender'!DG60)*100</f>
        <v>16.000430567450046</v>
      </c>
      <c r="AJ62" s="496">
        <f>('Attainment 25+ by race &amp; gender'!OC61/'Pop 25+ by race &amp; gender'!BC60)*100</f>
        <v>12.006956303102049</v>
      </c>
      <c r="AK62" s="634">
        <f>('Attainment 25+ by race &amp; gender'!PP61/'Pop 25+ by race &amp; gender'!DI60)*100</f>
        <v>14.19473087041632</v>
      </c>
      <c r="AL62" s="496">
        <f>('Attainment 25+ by race &amp; gender'!CS61/'Pop 25+ by race &amp; gender'!AT60)*100</f>
        <v>83.407985054395411</v>
      </c>
      <c r="AM62" s="634">
        <f>('Attainment 25+ by race &amp; gender'!EG61/'Pop 25+ by race &amp; gender'!DK60)*100</f>
        <v>91.74666153723517</v>
      </c>
      <c r="AN62" s="496">
        <v>71.842834326519039</v>
      </c>
      <c r="AO62" s="634">
        <f>('Attainment 25+ by race &amp; gender'!EH61/'Pop 25+ by race &amp; gender'!DL60)*100</f>
        <v>84.607009775785571</v>
      </c>
      <c r="AP62" s="634">
        <f>('Attainment 25+ by race &amp; gender'!CU61/'Pop 25+ by race &amp; gender'!BC60)*100</f>
        <v>56.875111311325988</v>
      </c>
      <c r="AQ62" s="634">
        <f>('Attainment 25+ by race &amp; gender'!EI61/'Pop 25+ by race &amp; gender'!DN60)*100</f>
        <v>69.868426295261671</v>
      </c>
      <c r="AR62" s="634">
        <f>('Attainment 25+ by race &amp; gender'!NT61/'Pop 25+ by race &amp; gender'!AT60)*100</f>
        <v>23.098670168830285</v>
      </c>
      <c r="AS62" s="634">
        <f>('Attainment 25+ by race &amp; gender'!PS61/'Pop 25+ by race &amp; gender'!DK60)*100</f>
        <v>31.129785014435189</v>
      </c>
      <c r="AT62" s="634">
        <f>('Attainment 25+ by race &amp; gender'!NZ61/'Pop 25+ by race &amp; gender'!AZ60)*100</f>
        <v>11.952192353358914</v>
      </c>
      <c r="AU62" s="634">
        <f>('Attainment 25+ by race &amp; gender'!PT61/'Pop 25+ by race &amp; gender'!DL60)*100</f>
        <v>17.053302174725086</v>
      </c>
      <c r="AV62" s="634">
        <f>('Attainment 25+ by race &amp; gender'!OC61/'Pop 25+ by race &amp; gender'!BC60)*100</f>
        <v>12.006956303102049</v>
      </c>
      <c r="AW62" s="634">
        <f>('Attainment 25+ by race &amp; gender'!PU61/'Pop 25+ by race &amp; gender'!DN60)*100</f>
        <v>15.146028218398182</v>
      </c>
      <c r="AX62" s="496">
        <f>('Attainment 25+ by race &amp; gender'!DR61/'Pop 25+ by race &amp; gender'!CV60)*100</f>
        <v>89.800000000000011</v>
      </c>
      <c r="AY62" s="634">
        <f>('Attainment 25+ by race &amp; gender'!EL61/'Pop 25+ by race &amp; gender'!DP60)*100</f>
        <v>92.214191300510507</v>
      </c>
      <c r="AZ62" s="496">
        <f>('Attainment 25+ by race &amp; gender'!DS61/'Pop 25+ by race &amp; gender'!CW60)*100</f>
        <v>82.600000000000009</v>
      </c>
      <c r="BA62" s="634">
        <f>('Attainment 25+ by race &amp; gender'!EM61/'Pop 25+ by race &amp; gender'!DQ60)*100</f>
        <v>85.574061245534978</v>
      </c>
      <c r="BB62" s="634">
        <f>('Attainment 25+ by race &amp; gender'!DT61/'Pop 25+ by race &amp; gender'!CY60)*100</f>
        <v>66.400000000000006</v>
      </c>
      <c r="BC62" s="634">
        <f>('Attainment 25+ by race &amp; gender'!EN61/'Pop 25+ by race &amp; gender'!DS60)*100</f>
        <v>70.313739174570941</v>
      </c>
      <c r="BD62" s="634">
        <f>('Attainment 25+ by race &amp; gender'!PD61/'Pop 25+ by race &amp; gender'!CV60)*100</f>
        <v>27.900000000000002</v>
      </c>
      <c r="BE62" s="634">
        <f>('Attainment 25+ by race &amp; gender'!PX61/'Pop 25+ by race &amp; gender'!DP60)*100</f>
        <v>32.171490430166941</v>
      </c>
      <c r="BF62" s="634">
        <f>('Attainment 25+ by race &amp; gender'!PE61/'Pop 25+ by race &amp; gender'!CW60)*100</f>
        <v>14.800000000000002</v>
      </c>
      <c r="BG62" s="634">
        <f>('Attainment 25+ by race &amp; gender'!PY61/'Pop 25+ by race &amp; gender'!DQ60)*100</f>
        <v>19.503595709969378</v>
      </c>
      <c r="BH62" s="634">
        <f>('Attainment 25+ by race &amp; gender'!PF61/'Pop 25+ by race &amp; gender'!CY60)*100</f>
        <v>13.299999999999997</v>
      </c>
      <c r="BI62" s="634">
        <f>('Attainment 25+ by race &amp; gender'!PZ61/'Pop 25+ by race &amp; gender'!DS60)*100</f>
        <v>15.486047224777675</v>
      </c>
    </row>
    <row r="63" spans="1:61" x14ac:dyDescent="0.2">
      <c r="A63" s="218" t="s">
        <v>44</v>
      </c>
      <c r="B63" s="499">
        <f>('Attainment 25+ by race &amp; gender'!CS62/'Pop 25+ by race &amp; gender'!AT61)*100</f>
        <v>80.109199168161197</v>
      </c>
      <c r="C63" s="625">
        <f>('Attainment 25+ by race &amp; gender'!DR62/'Pop 25+ by race &amp; gender'!CV61)*100</f>
        <v>86.7</v>
      </c>
      <c r="D63" s="500">
        <f>('Attainment 25+ by race &amp; gender'!CT62/'Pop 25+ by race &amp; gender'!AZ61)*100</f>
        <v>70.954101321947618</v>
      </c>
      <c r="E63" s="499">
        <f>IF('Pop 25+ by race &amp; gender'!CW61&gt;0,('Attainment 25+ by race &amp; gender'!DS62/'Pop 25+ by race &amp; gender'!CW61)*100,"—")</f>
        <v>76.199999999999989</v>
      </c>
      <c r="F63" s="500">
        <f>('Attainment 25+ by race &amp; gender'!CU62/'Pop 25+ by race &amp; gender'!BC61)*100</f>
        <v>50.385604113110539</v>
      </c>
      <c r="G63" s="499">
        <f>('Attainment 25+ by race &amp; gender'!DT62/'Pop 25+ by race &amp; gender'!CY61)*100</f>
        <v>60.5</v>
      </c>
      <c r="H63" s="500">
        <f>('Attainment 25+ by race &amp; gender'!NT62/'Pop 25+ by race &amp; gender'!AT61)*100</f>
        <v>26.838833669635122</v>
      </c>
      <c r="I63" s="499">
        <f>('Attainment 25+ by race &amp; gender'!PD62/'Pop 25+ by race &amp; gender'!CV61)*100</f>
        <v>32.699999999999996</v>
      </c>
      <c r="J63" s="500">
        <f>('Attainment 25+ by race &amp; gender'!NZ62/'Pop 25+ by race &amp; gender'!AZ61)*100</f>
        <v>16.692667706708271</v>
      </c>
      <c r="K63" s="499">
        <f>IF('Pop 25+ by race &amp; gender'!CW61&gt;0,('Attainment 25+ by race &amp; gender'!PE62/'Pop 25+ by race &amp; gender'!CW61)*100,"—")</f>
        <v>18</v>
      </c>
      <c r="L63" s="500">
        <f>('Attainment 25+ by race &amp; gender'!OC62/'Pop 25+ by race &amp; gender'!BC61)*100</f>
        <v>8.5837812573031087</v>
      </c>
      <c r="M63" s="616">
        <f>('Attainment 25+ by race &amp; gender'!PF62/'Pop 25+ by race &amp; gender'!CY61)*100</f>
        <v>11.200000000000001</v>
      </c>
      <c r="N63" s="493">
        <f>('Attainment 25+ by race &amp; gender'!CS62/'Pop 25+ by race &amp; gender'!AT61)*100</f>
        <v>80.109199168161197</v>
      </c>
      <c r="O63" s="626">
        <f>('Attainment 25+ by race &amp; gender'!DW62/'Pop 25+ by race &amp; gender'!DA61)*100</f>
        <v>87.232356321079948</v>
      </c>
      <c r="P63" s="494">
        <f>('Attainment 25+ by race &amp; gender'!CT62/'Pop 25+ by race &amp; gender'!AZ61)*100</f>
        <v>70.954101321947618</v>
      </c>
      <c r="Q63" s="493">
        <f>('Attainment 25+ by race &amp; gender'!DX62/'Pop 25+ by race &amp; gender'!DB61)*100</f>
        <v>75.78570265429083</v>
      </c>
      <c r="R63" s="494">
        <f>('Attainment 25+ by race &amp; gender'!CU62/'Pop 25+ by race &amp; gender'!BC61)*100</f>
        <v>50.385604113110539</v>
      </c>
      <c r="S63" s="493">
        <f>('Attainment 25+ by race &amp; gender'!DY62/'Pop 25+ by race &amp; gender'!DD61)*100</f>
        <v>60.635647236064436</v>
      </c>
      <c r="T63" s="494">
        <f>('Attainment 25+ by race &amp; gender'!NT62/'Pop 25+ by race &amp; gender'!AT61)*100</f>
        <v>26.838833669635122</v>
      </c>
      <c r="U63" s="493">
        <f>('Attainment 25+ by race &amp; gender'!PI62/'Pop 25+ by race &amp; gender'!DA61)*100</f>
        <v>33.043840067629148</v>
      </c>
      <c r="V63" s="494">
        <f>('Attainment 25+ by race &amp; gender'!NZ62/'Pop 25+ by race &amp; gender'!AZ61)*100</f>
        <v>16.692667706708271</v>
      </c>
      <c r="W63" s="493">
        <f>('Attainment 25+ by race &amp; gender'!PJ62/'Pop 25+ by race &amp; gender'!DB61)*100</f>
        <v>16.870216577104706</v>
      </c>
      <c r="X63" s="494">
        <f>('Attainment 25+ by race &amp; gender'!OC62/'Pop 25+ by race &amp; gender'!BC61)*100</f>
        <v>8.5837812573031087</v>
      </c>
      <c r="Y63" s="614">
        <f>('Attainment 25+ by race &amp; gender'!PK62/'Pop 25+ by race &amp; gender'!DD61)*100</f>
        <v>11.207845636806118</v>
      </c>
      <c r="Z63" s="495">
        <f>('Attainment 25+ by race &amp; gender'!CS62/'Pop 25+ by race &amp; gender'!AT61)*100</f>
        <v>80.109199168161197</v>
      </c>
      <c r="AA63" s="626">
        <f>('Attainment 25+ by race &amp; gender'!EB62/'Pop 25+ by race &amp; gender'!DF61)*100</f>
        <v>89.173588379527388</v>
      </c>
      <c r="AB63" s="496">
        <f>('Attainment 25+ by race &amp; gender'!CT62/'Pop 25+ by race &amp; gender'!AZ61)*100</f>
        <v>70.954101321947618</v>
      </c>
      <c r="AC63" s="495">
        <f>('Attainment 25+ by race &amp; gender'!EC62/'Pop 25+ by race &amp; gender'!DG61)*100</f>
        <v>76.316679237431401</v>
      </c>
      <c r="AD63" s="496">
        <f>('Attainment 25+ by race &amp; gender'!CU62/'Pop 25+ by race &amp; gender'!BC61)*100</f>
        <v>50.385604113110539</v>
      </c>
      <c r="AE63" s="495">
        <f>('Attainment 25+ by race &amp; gender'!ED62/'Pop 25+ by race &amp; gender'!DI61)*100</f>
        <v>63.340193484256659</v>
      </c>
      <c r="AF63" s="496">
        <f>('Attainment 25+ by race &amp; gender'!NT62/'Pop 25+ by race &amp; gender'!AT61)*100</f>
        <v>26.838833669635122</v>
      </c>
      <c r="AG63" s="495">
        <f>('Attainment 25+ by race &amp; gender'!PN62/'Pop 25+ by race &amp; gender'!DF61)*100</f>
        <v>34.699751671043309</v>
      </c>
      <c r="AH63" s="496">
        <f>('Attainment 25+ by race &amp; gender'!NZ62/'Pop 25+ by race &amp; gender'!AZ61)*100</f>
        <v>16.692667706708271</v>
      </c>
      <c r="AI63" s="495">
        <f>('Attainment 25+ by race &amp; gender'!PO62/'Pop 25+ by race &amp; gender'!DG61)*100</f>
        <v>18.218939374236001</v>
      </c>
      <c r="AJ63" s="496">
        <f>('Attainment 25+ by race &amp; gender'!OC62/'Pop 25+ by race &amp; gender'!BC61)*100</f>
        <v>8.5837812573031087</v>
      </c>
      <c r="AK63" s="634">
        <f>('Attainment 25+ by race &amp; gender'!PP62/'Pop 25+ by race &amp; gender'!DI61)*100</f>
        <v>12.157867473084409</v>
      </c>
      <c r="AL63" s="496">
        <f>('Attainment 25+ by race &amp; gender'!CS62/'Pop 25+ by race &amp; gender'!AT61)*100</f>
        <v>80.109199168161197</v>
      </c>
      <c r="AM63" s="634">
        <f>('Attainment 25+ by race &amp; gender'!EG62/'Pop 25+ by race &amp; gender'!DK61)*100</f>
        <v>90.465928448259319</v>
      </c>
      <c r="AN63" s="496">
        <v>70.954101321947618</v>
      </c>
      <c r="AO63" s="634">
        <f>('Attainment 25+ by race &amp; gender'!EH62/'Pop 25+ by race &amp; gender'!DL61)*100</f>
        <v>83.22167708514931</v>
      </c>
      <c r="AP63" s="634">
        <f>('Attainment 25+ by race &amp; gender'!CU62/'Pop 25+ by race &amp; gender'!BC61)*100</f>
        <v>50.385604113110539</v>
      </c>
      <c r="AQ63" s="634">
        <f>('Attainment 25+ by race &amp; gender'!EI62/'Pop 25+ by race &amp; gender'!DN61)*100</f>
        <v>70.481690348954615</v>
      </c>
      <c r="AR63" s="634">
        <f>('Attainment 25+ by race &amp; gender'!NT62/'Pop 25+ by race &amp; gender'!AT61)*100</f>
        <v>26.838833669635122</v>
      </c>
      <c r="AS63" s="634">
        <f>('Attainment 25+ by race &amp; gender'!PS62/'Pop 25+ by race &amp; gender'!DK61)*100</f>
        <v>35.512420167276041</v>
      </c>
      <c r="AT63" s="634">
        <f>('Attainment 25+ by race &amp; gender'!NZ62/'Pop 25+ by race &amp; gender'!AZ61)*100</f>
        <v>16.692667706708271</v>
      </c>
      <c r="AU63" s="634">
        <f>('Attainment 25+ by race &amp; gender'!PT62/'Pop 25+ by race &amp; gender'!DL61)*100</f>
        <v>19.179139790302095</v>
      </c>
      <c r="AV63" s="634">
        <f>('Attainment 25+ by race &amp; gender'!OC62/'Pop 25+ by race &amp; gender'!BC61)*100</f>
        <v>8.5837812573031087</v>
      </c>
      <c r="AW63" s="634">
        <f>('Attainment 25+ by race &amp; gender'!PU62/'Pop 25+ by race &amp; gender'!DN61)*100</f>
        <v>13.831359125273968</v>
      </c>
      <c r="AX63" s="496">
        <f>('Attainment 25+ by race &amp; gender'!DR62/'Pop 25+ by race &amp; gender'!CV61)*100</f>
        <v>86.7</v>
      </c>
      <c r="AY63" s="634">
        <f>('Attainment 25+ by race &amp; gender'!EL62/'Pop 25+ by race &amp; gender'!DP61)*100</f>
        <v>91.175350648896952</v>
      </c>
      <c r="AZ63" s="496">
        <f>('Attainment 25+ by race &amp; gender'!DS62/'Pop 25+ by race &amp; gender'!CW61)*100</f>
        <v>76.199999999999989</v>
      </c>
      <c r="BA63" s="634">
        <f>('Attainment 25+ by race &amp; gender'!EM62/'Pop 25+ by race &amp; gender'!DQ61)*100</f>
        <v>85.064872657376256</v>
      </c>
      <c r="BB63" s="634">
        <f>('Attainment 25+ by race &amp; gender'!DT62/'Pop 25+ by race &amp; gender'!CY61)*100</f>
        <v>60.5</v>
      </c>
      <c r="BC63" s="634">
        <f>('Attainment 25+ by race &amp; gender'!EN62/'Pop 25+ by race &amp; gender'!DS61)*100</f>
        <v>72.129368608532573</v>
      </c>
      <c r="BD63" s="634">
        <f>('Attainment 25+ by race &amp; gender'!PD62/'Pop 25+ by race &amp; gender'!CV61)*100</f>
        <v>32.699999999999996</v>
      </c>
      <c r="BE63" s="634">
        <f>('Attainment 25+ by race &amp; gender'!PX62/'Pop 25+ by race &amp; gender'!DP61)*100</f>
        <v>37.549038444743324</v>
      </c>
      <c r="BF63" s="634">
        <f>('Attainment 25+ by race &amp; gender'!PE62/'Pop 25+ by race &amp; gender'!CW61)*100</f>
        <v>18</v>
      </c>
      <c r="BG63" s="634">
        <f>('Attainment 25+ by race &amp; gender'!PY62/'Pop 25+ by race &amp; gender'!DQ61)*100</f>
        <v>20.872176838058625</v>
      </c>
      <c r="BH63" s="634">
        <f>('Attainment 25+ by race &amp; gender'!PF62/'Pop 25+ by race &amp; gender'!CY61)*100</f>
        <v>11.200000000000001</v>
      </c>
      <c r="BI63" s="634">
        <f>('Attainment 25+ by race &amp; gender'!PZ62/'Pop 25+ by race &amp; gender'!DS61)*100</f>
        <v>13.230558733678535</v>
      </c>
    </row>
    <row r="64" spans="1:61" s="646" customFormat="1" x14ac:dyDescent="0.25">
      <c r="A64" s="636" t="s">
        <v>47</v>
      </c>
      <c r="B64" s="637">
        <f>('Attainment 25+ by race &amp; gender'!CS63/'Pop 25+ by race &amp; gender'!AT62)*100</f>
        <v>86.584286138304918</v>
      </c>
      <c r="C64" s="658">
        <f>('Attainment 25+ by race &amp; gender'!DR63/'Pop 25+ by race &amp; gender'!CV62)*100</f>
        <v>91.600000000000009</v>
      </c>
      <c r="D64" s="639">
        <f>('Attainment 25+ by race &amp; gender'!CT63/'Pop 25+ by race &amp; gender'!AZ62)*100</f>
        <v>84.156862745098039</v>
      </c>
      <c r="E64" s="637" t="str">
        <f>IF('Pop 25+ by race &amp; gender'!CW62&gt;0,('Attainment 25+ by race &amp; gender'!DS63/'Pop 25+ by race &amp; gender'!CW62)*100,"—")</f>
        <v>—</v>
      </c>
      <c r="F64" s="639">
        <f>('Attainment 25+ by race &amp; gender'!CU63/'Pop 25+ by race &amp; gender'!BC62)*100</f>
        <v>85.614307931570764</v>
      </c>
      <c r="G64" s="637" t="str">
        <f>IF('Pop 25+ by race &amp; gender'!CY62&gt;0,('Attainment 25+ by race &amp; gender'!DT63/'Pop 25+ by race &amp; gender'!CY62)*100,"—")</f>
        <v>—</v>
      </c>
      <c r="H64" s="639">
        <f>('Attainment 25+ by race &amp; gender'!NT63/'Pop 25+ by race &amp; gender'!AT62)*100</f>
        <v>29.456070342248729</v>
      </c>
      <c r="I64" s="637">
        <f>('Attainment 25+ by race &amp; gender'!PD63/'Pop 25+ by race &amp; gender'!CV62)*100</f>
        <v>34</v>
      </c>
      <c r="J64" s="639">
        <f>('Attainment 25+ by race &amp; gender'!NZ63/'Pop 25+ by race &amp; gender'!AZ62)*100</f>
        <v>34.823529411764703</v>
      </c>
      <c r="K64" s="637" t="str">
        <f>IF('Pop 25+ by race &amp; gender'!CW62&gt;0,('Attainment 25+ by race &amp; gender'!PE63/'Pop 25+ by race &amp; gender'!CW62)*100,"—")</f>
        <v>—</v>
      </c>
      <c r="L64" s="639">
        <f>('Attainment 25+ by race &amp; gender'!OC63/'Pop 25+ by race &amp; gender'!BC62)*100</f>
        <v>36.819595645412129</v>
      </c>
      <c r="M64" s="647" t="str">
        <f>IF('Pop 25+ by race &amp; gender'!CY62&gt;0,('Attainment 25+ by race &amp; gender'!PF63/'Pop 25+ by race &amp; gender'!CY62)*100,"—")</f>
        <v>—</v>
      </c>
      <c r="N64" s="648">
        <f>('Attainment 25+ by race &amp; gender'!CS63/'Pop 25+ by race &amp; gender'!AT62)*100</f>
        <v>86.584286138304918</v>
      </c>
      <c r="O64" s="656">
        <f>('Attainment 25+ by race &amp; gender'!DW63/'Pop 25+ by race &amp; gender'!DA62)*100</f>
        <v>91.757097550724083</v>
      </c>
      <c r="P64" s="649">
        <f>('Attainment 25+ by race &amp; gender'!CT63/'Pop 25+ by race &amp; gender'!AZ62)*100</f>
        <v>84.156862745098039</v>
      </c>
      <c r="Q64" s="650">
        <f>('Attainment 25+ by race &amp; gender'!DX63/'Pop 25+ by race &amp; gender'!DB62)*100</f>
        <v>86.305622628492586</v>
      </c>
      <c r="R64" s="649">
        <f>('Attainment 25+ by race &amp; gender'!CU63/'Pop 25+ by race &amp; gender'!BC62)*100</f>
        <v>85.614307931570764</v>
      </c>
      <c r="S64" s="650">
        <f>('Attainment 25+ by race &amp; gender'!DY63/'Pop 25+ by race &amp; gender'!DD62)*100</f>
        <v>90.406852248394003</v>
      </c>
      <c r="T64" s="649">
        <f>('Attainment 25+ by race &amp; gender'!NT63/'Pop 25+ by race &amp; gender'!AT62)*100</f>
        <v>29.456070342248729</v>
      </c>
      <c r="U64" s="651">
        <f>('Attainment 25+ by race &amp; gender'!PI63/'Pop 25+ by race &amp; gender'!DA62)*100</f>
        <v>34.73978831531084</v>
      </c>
      <c r="V64" s="649">
        <f>('Attainment 25+ by race &amp; gender'!NZ63/'Pop 25+ by race &amp; gender'!AZ62)*100</f>
        <v>34.823529411764703</v>
      </c>
      <c r="W64" s="651">
        <f>('Attainment 25+ by race &amp; gender'!PJ63/'Pop 25+ by race &amp; gender'!DB62)*100</f>
        <v>38.151086581579854</v>
      </c>
      <c r="X64" s="649">
        <f>('Attainment 25+ by race &amp; gender'!OC63/'Pop 25+ by race &amp; gender'!BC62)*100</f>
        <v>36.819595645412129</v>
      </c>
      <c r="Y64" s="682">
        <f>('Attainment 25+ by race &amp; gender'!PK63/'Pop 25+ by race &amp; gender'!DD62)*100</f>
        <v>43.147751605995715</v>
      </c>
      <c r="Z64" s="748">
        <f>('Attainment 25+ by race &amp; gender'!CS63/'Pop 25+ by race &amp; gender'!AT62)*100</f>
        <v>86.584286138304918</v>
      </c>
      <c r="AA64" s="678">
        <f>('Attainment 25+ by race &amp; gender'!EB63/'Pop 25+ by race &amp; gender'!DF62)*100</f>
        <v>91.986494551615266</v>
      </c>
      <c r="AB64" s="746">
        <f>('Attainment 25+ by race &amp; gender'!CT63/'Pop 25+ by race &amp; gender'!AZ62)*100</f>
        <v>84.156862745098039</v>
      </c>
      <c r="AC64" s="747">
        <f>('Attainment 25+ by race &amp; gender'!EC63/'Pop 25+ by race &amp; gender'!DG62)*100</f>
        <v>82.752179327521787</v>
      </c>
      <c r="AD64" s="746">
        <f>('Attainment 25+ by race &amp; gender'!CU63/'Pop 25+ by race &amp; gender'!BC62)*100</f>
        <v>85.614307931570764</v>
      </c>
      <c r="AE64" s="749">
        <f>('Attainment 25+ by race &amp; gender'!ED63/'Pop 25+ by race &amp; gender'!DI62)*100</f>
        <v>88.206106870229007</v>
      </c>
      <c r="AF64" s="746">
        <f>('Attainment 25+ by race &amp; gender'!NT63/'Pop 25+ by race &amp; gender'!AT62)*100</f>
        <v>29.456070342248729</v>
      </c>
      <c r="AG64" s="747">
        <f>('Attainment 25+ by race &amp; gender'!PN63/'Pop 25+ by race &amp; gender'!DF62)*100</f>
        <v>35.562502406530363</v>
      </c>
      <c r="AH64" s="746">
        <f>('Attainment 25+ by race &amp; gender'!NZ63/'Pop 25+ by race &amp; gender'!AZ62)*100</f>
        <v>34.823529411764703</v>
      </c>
      <c r="AI64" s="747">
        <f>('Attainment 25+ by race &amp; gender'!PO63/'Pop 25+ by race &amp; gender'!DG62)*100</f>
        <v>36.581569115815697</v>
      </c>
      <c r="AJ64" s="746">
        <f>('Attainment 25+ by race &amp; gender'!OC63/'Pop 25+ by race &amp; gender'!BC62)*100</f>
        <v>36.819595645412129</v>
      </c>
      <c r="AK64" s="747">
        <f>('Attainment 25+ by race &amp; gender'!PP63/'Pop 25+ by race &amp; gender'!DI62)*100</f>
        <v>41.240458015267173</v>
      </c>
      <c r="AL64" s="746">
        <f>('Attainment 25+ by race &amp; gender'!CS63/'Pop 25+ by race &amp; gender'!AT62)*100</f>
        <v>86.584286138304918</v>
      </c>
      <c r="AM64" s="747">
        <f>('Attainment 25+ by race &amp; gender'!EG63/'Pop 25+ by race &amp; gender'!DK62)*100</f>
        <v>92.398755841009176</v>
      </c>
      <c r="AN64" s="746">
        <v>84.156862745098039</v>
      </c>
      <c r="AO64" s="747">
        <f>('Attainment 25+ by race &amp; gender'!EH63/'Pop 25+ by race &amp; gender'!DL62)*100</f>
        <v>90.414378432351469</v>
      </c>
      <c r="AP64" s="747">
        <f>('Attainment 25+ by race &amp; gender'!CU63/'Pop 25+ by race &amp; gender'!BC62)*100</f>
        <v>85.614307931570764</v>
      </c>
      <c r="AQ64" s="747">
        <f>('Attainment 25+ by race &amp; gender'!EI63/'Pop 25+ by race &amp; gender'!DN62)*100</f>
        <v>86.773727896066404</v>
      </c>
      <c r="AR64" s="747">
        <f>('Attainment 25+ by race &amp; gender'!NT63/'Pop 25+ by race &amp; gender'!AT62)*100</f>
        <v>29.456070342248729</v>
      </c>
      <c r="AS64" s="747">
        <f>('Attainment 25+ by race &amp; gender'!PS63/'Pop 25+ by race &amp; gender'!DK62)*100</f>
        <v>37.12982904832414</v>
      </c>
      <c r="AT64" s="747">
        <f>('Attainment 25+ by race &amp; gender'!NZ63/'Pop 25+ by race &amp; gender'!AZ62)*100</f>
        <v>34.823529411764703</v>
      </c>
      <c r="AU64" s="747">
        <f>('Attainment 25+ by race &amp; gender'!PT63/'Pop 25+ by race &amp; gender'!DL62)*100</f>
        <v>37.643534697953065</v>
      </c>
      <c r="AV64" s="747">
        <f>('Attainment 25+ by race &amp; gender'!OC63/'Pop 25+ by race &amp; gender'!BC62)*100</f>
        <v>36.819595645412129</v>
      </c>
      <c r="AW64" s="747">
        <f>('Attainment 25+ by race &amp; gender'!PU63/'Pop 25+ by race &amp; gender'!DN62)*100</f>
        <v>36.75568386863948</v>
      </c>
      <c r="AX64" s="746">
        <f>('Attainment 25+ by race &amp; gender'!DR63/'Pop 25+ by race &amp; gender'!CV62)*100</f>
        <v>91.600000000000009</v>
      </c>
      <c r="AY64" s="747">
        <f>('Attainment 25+ by race &amp; gender'!EL63/'Pop 25+ by race &amp; gender'!DP62)*100</f>
        <v>92.377963603433486</v>
      </c>
      <c r="AZ64" s="746" t="str">
        <f>IF('Pop 25+ by race &amp; gender'!CW62&gt;0,('Attainment 25+ by race &amp; gender'!DS63/'Pop 25+ by race &amp; gender'!CW62)*100,"—")</f>
        <v>—</v>
      </c>
      <c r="BA64" s="747" t="str">
        <f>IF('Pop 25+ by race &amp; gender'!DQ62&gt;0,('Attainment 25+ by race &amp; gender'!EM63/'Pop 25+ by race &amp; gender'!DQ62)*100,"—")</f>
        <v>—</v>
      </c>
      <c r="BB64" s="747" t="str">
        <f>IF('Pop 25+ by race &amp; gender'!CY62&gt;0, ('Attainment 25+ by race &amp; gender'!DT63/'Pop 25+ by race &amp; gender'!CY62)*100,"—")</f>
        <v>—</v>
      </c>
      <c r="BC64" s="747">
        <f>('Attainment 25+ by race &amp; gender'!EN63/'Pop 25+ by race &amp; gender'!DS62)*100</f>
        <v>87.446163662466105</v>
      </c>
      <c r="BD64" s="747">
        <f>('Attainment 25+ by race &amp; gender'!PD63/'Pop 25+ by race &amp; gender'!CV62)*100</f>
        <v>34</v>
      </c>
      <c r="BE64" s="747">
        <f>('Attainment 25+ by race &amp; gender'!PX63/'Pop 25+ by race &amp; gender'!DP62)*100</f>
        <v>36.455573645725956</v>
      </c>
      <c r="BF64" s="747" t="str">
        <f>IF('Pop 25+ by race &amp; gender'!CW62&gt;0,('Attainment 25+ by race &amp; gender'!PE63/'Pop 25+ by race &amp; gender'!CW62)*100,"—")</f>
        <v>—</v>
      </c>
      <c r="BG64" s="747" t="str">
        <f>IF('Pop 25+ by race &amp; gender'!DQ62&gt;0,('Attainment 25+ by race &amp; gender'!PY63/'Pop 25+ by race &amp; gender'!DQ62)*100,"—")</f>
        <v>—</v>
      </c>
      <c r="BH64" s="747" t="str">
        <f>IF('Pop 25+ by race &amp; gender'!CY62&gt;0,('Attainment 25+ by race &amp; gender'!PF63/'Pop 25+ by race &amp; gender'!CY62)*100,"—")</f>
        <v>—</v>
      </c>
      <c r="BI64" s="747">
        <f>('Attainment 25+ by race &amp; gender'!PZ63/'Pop 25+ by race &amp; gender'!DS62)*100</f>
        <v>35.508055511245814</v>
      </c>
    </row>
    <row r="65" spans="1:61" s="646" customFormat="1" x14ac:dyDescent="0.25">
      <c r="A65" s="635" t="s">
        <v>62</v>
      </c>
      <c r="B65" s="652">
        <f>('Attainment 25+ by race &amp; gender'!CS64/'Pop 25+ by race &amp; gender'!AT63)*100</f>
        <v>94.428578080618379</v>
      </c>
      <c r="C65" s="658">
        <f>('Attainment 25+ by race &amp; gender'!DR64/'Pop 25+ by race &amp; gender'!CV63)*100</f>
        <v>95</v>
      </c>
      <c r="D65" s="653">
        <f>('Attainment 25+ by race &amp; gender'!CT64/'Pop 25+ by race &amp; gender'!AZ63)*100</f>
        <v>70.367053006825145</v>
      </c>
      <c r="E65" s="652">
        <f>IF('Pop 25+ by race &amp; gender'!CW63&gt;0,('Attainment 25+ by race &amp; gender'!DS64/'Pop 25+ by race &amp; gender'!CW63)*100,"—")</f>
        <v>81.7</v>
      </c>
      <c r="F65" s="653">
        <f>('Attainment 25+ by race &amp; gender'!CU64/'Pop 25+ by race &amp; gender'!BC63)*100</f>
        <v>47.821973280853804</v>
      </c>
      <c r="G65" s="652">
        <f>('Attainment 25+ by race &amp; gender'!DT64/'Pop 25+ by race &amp; gender'!CY63)*100</f>
        <v>62.900000000000013</v>
      </c>
      <c r="H65" s="653">
        <f>('Attainment 25+ by race &amp; gender'!NT64/'Pop 25+ by race &amp; gender'!AT63)*100</f>
        <v>77.303770158473924</v>
      </c>
      <c r="I65" s="652">
        <f>('Attainment 25+ by race &amp; gender'!PD64/'Pop 25+ by race &amp; gender'!CV63)*100</f>
        <v>82.399999999999991</v>
      </c>
      <c r="J65" s="653">
        <f>('Attainment 25+ by race &amp; gender'!NZ64/'Pop 25+ by race &amp; gender'!AZ63)*100</f>
        <v>17.497268151120508</v>
      </c>
      <c r="K65" s="652">
        <f>IF('Pop 25+ by race &amp; gender'!CW63&gt;0,('Attainment 25+ by race &amp; gender'!PE64/'Pop 25+ by race &amp; gender'!CW63)*100,"—")</f>
        <v>22.1</v>
      </c>
      <c r="L65" s="653">
        <f>('Attainment 25+ by race &amp; gender'!OC64/'Pop 25+ by race &amp; gender'!BC63)*100</f>
        <v>24.75494834046096</v>
      </c>
      <c r="M65" s="654">
        <f>('Attainment 25+ by race &amp; gender'!PF64/'Pop 25+ by race &amp; gender'!CY63)*100</f>
        <v>36.9</v>
      </c>
      <c r="N65" s="648">
        <f>('Attainment 25+ by race &amp; gender'!CS64/'Pop 25+ by race &amp; gender'!AT63)*100</f>
        <v>94.428578080618379</v>
      </c>
      <c r="O65" s="656">
        <f>('Attainment 25+ by race &amp; gender'!DW64/'Pop 25+ by race &amp; gender'!DA63)*100</f>
        <v>95.479488852219959</v>
      </c>
      <c r="P65" s="649">
        <f>('Attainment 25+ by race &amp; gender'!CT64/'Pop 25+ by race &amp; gender'!AZ63)*100</f>
        <v>70.367053006825145</v>
      </c>
      <c r="Q65" s="650">
        <f>('Attainment 25+ by race &amp; gender'!DX64/'Pop 25+ by race &amp; gender'!DB63)*100</f>
        <v>81.958451815982968</v>
      </c>
      <c r="R65" s="649">
        <f>('Attainment 25+ by race &amp; gender'!CU64/'Pop 25+ by race &amp; gender'!BC63)*100</f>
        <v>47.821973280853804</v>
      </c>
      <c r="S65" s="650">
        <f>('Attainment 25+ by race &amp; gender'!DY64/'Pop 25+ by race &amp; gender'!DD63)*100</f>
        <v>64.914200314910204</v>
      </c>
      <c r="T65" s="649">
        <f>('Attainment 25+ by race &amp; gender'!NT64/'Pop 25+ by race &amp; gender'!AT63)*100</f>
        <v>77.303770158473924</v>
      </c>
      <c r="U65" s="651">
        <f>('Attainment 25+ by race &amp; gender'!PI64/'Pop 25+ by race &amp; gender'!DA63)*100</f>
        <v>83.616299276915569</v>
      </c>
      <c r="V65" s="649">
        <f>('Attainment 25+ by race &amp; gender'!NZ64/'Pop 25+ by race &amp; gender'!AZ63)*100</f>
        <v>17.497268151120508</v>
      </c>
      <c r="W65" s="651">
        <f>('Attainment 25+ by race &amp; gender'!PJ64/'Pop 25+ by race &amp; gender'!DB63)*100</f>
        <v>22.908952219105601</v>
      </c>
      <c r="X65" s="649">
        <f>('Attainment 25+ by race &amp; gender'!OC64/'Pop 25+ by race &amp; gender'!BC63)*100</f>
        <v>24.75494834046096</v>
      </c>
      <c r="Y65" s="651">
        <f>('Attainment 25+ by race &amp; gender'!PK64/'Pop 25+ by race &amp; gender'!DD63)*100</f>
        <v>35.739638653892342</v>
      </c>
      <c r="Z65" s="748">
        <f>('Attainment 25+ by race &amp; gender'!CS64/'Pop 25+ by race &amp; gender'!AT63)*100</f>
        <v>94.428578080618379</v>
      </c>
      <c r="AA65" s="678">
        <f>('Attainment 25+ by race &amp; gender'!EB64/'Pop 25+ by race &amp; gender'!DF63)*100</f>
        <v>99.567520117044623</v>
      </c>
      <c r="AB65" s="746">
        <f>('Attainment 25+ by race &amp; gender'!CT64/'Pop 25+ by race &amp; gender'!AZ63)*100</f>
        <v>70.367053006825145</v>
      </c>
      <c r="AC65" s="747">
        <f>('Attainment 25+ by race &amp; gender'!EC64/'Pop 25+ by race &amp; gender'!DG63)*100</f>
        <v>82.678538909069999</v>
      </c>
      <c r="AD65" s="746">
        <f>('Attainment 25+ by race &amp; gender'!CU64/'Pop 25+ by race &amp; gender'!BC63)*100</f>
        <v>47.821973280853804</v>
      </c>
      <c r="AE65" s="749">
        <f>('Attainment 25+ by race &amp; gender'!ED64/'Pop 25+ by race &amp; gender'!DI63)*100</f>
        <v>70.032223415682054</v>
      </c>
      <c r="AF65" s="746">
        <f>('Attainment 25+ by race &amp; gender'!NT64/'Pop 25+ by race &amp; gender'!AT63)*100</f>
        <v>77.303770158473924</v>
      </c>
      <c r="AG65" s="747">
        <f>('Attainment 25+ by race &amp; gender'!PN64/'Pop 25+ by race &amp; gender'!DF63)*100</f>
        <v>90.133723482077542</v>
      </c>
      <c r="AH65" s="746">
        <f>('Attainment 25+ by race &amp; gender'!NZ64/'Pop 25+ by race &amp; gender'!AZ63)*100</f>
        <v>17.497268151120508</v>
      </c>
      <c r="AI65" s="747">
        <f>('Attainment 25+ by race &amp; gender'!PO64/'Pop 25+ by race &amp; gender'!DG63)*100</f>
        <v>23.489212425598804</v>
      </c>
      <c r="AJ65" s="746">
        <f>('Attainment 25+ by race &amp; gender'!OC64/'Pop 25+ by race &amp; gender'!BC63)*100</f>
        <v>24.75494834046096</v>
      </c>
      <c r="AK65" s="747">
        <f>('Attainment 25+ by race &amp; gender'!PP64/'Pop 25+ by race &amp; gender'!DI63)*100</f>
        <v>40.129393250568278</v>
      </c>
      <c r="AL65" s="746">
        <f>('Attainment 25+ by race &amp; gender'!CS64/'Pop 25+ by race &amp; gender'!AT63)*100</f>
        <v>94.428578080618379</v>
      </c>
      <c r="AM65" s="747">
        <f>('Attainment 25+ by race &amp; gender'!EG64/'Pop 25+ by race &amp; gender'!DK63)*100</f>
        <v>99.573306764279053</v>
      </c>
      <c r="AN65" s="746">
        <v>70.367053006825145</v>
      </c>
      <c r="AO65" s="747">
        <f>('Attainment 25+ by race &amp; gender'!EH64/'Pop 25+ by race &amp; gender'!DL63)*100</f>
        <v>84.555610875098296</v>
      </c>
      <c r="AP65" s="747">
        <f>('Attainment 25+ by race &amp; gender'!CU64/'Pop 25+ by race &amp; gender'!BC63)*100</f>
        <v>47.821973280853804</v>
      </c>
      <c r="AQ65" s="747">
        <f>('Attainment 25+ by race &amp; gender'!EI64/'Pop 25+ by race &amp; gender'!DN63)*100</f>
        <v>71.900355247576869</v>
      </c>
      <c r="AR65" s="747">
        <f>('Attainment 25+ by race &amp; gender'!NT64/'Pop 25+ by race &amp; gender'!AT63)*100</f>
        <v>77.303770158473924</v>
      </c>
      <c r="AS65" s="747">
        <f>('Attainment 25+ by race &amp; gender'!PS64/'Pop 25+ by race &amp; gender'!DK63)*100</f>
        <v>91.623167060148575</v>
      </c>
      <c r="AT65" s="747">
        <f>('Attainment 25+ by race &amp; gender'!NZ64/'Pop 25+ by race &amp; gender'!AZ63)*100</f>
        <v>17.497268151120508</v>
      </c>
      <c r="AU65" s="747">
        <f>('Attainment 25+ by race &amp; gender'!PT64/'Pop 25+ by race &amp; gender'!DL63)*100</f>
        <v>26.185479705741393</v>
      </c>
      <c r="AV65" s="747">
        <f>('Attainment 25+ by race &amp; gender'!OC64/'Pop 25+ by race &amp; gender'!BC63)*100</f>
        <v>24.75494834046096</v>
      </c>
      <c r="AW65" s="747">
        <f>('Attainment 25+ by race &amp; gender'!PU64/'Pop 25+ by race &amp; gender'!DN63)*100</f>
        <v>44.261216613306438</v>
      </c>
      <c r="AX65" s="746">
        <f>('Attainment 25+ by race &amp; gender'!DR64/'Pop 25+ by race &amp; gender'!CV63)*100</f>
        <v>95</v>
      </c>
      <c r="AY65" s="747">
        <f>('Attainment 25+ by race &amp; gender'!EL64/'Pop 25+ by race &amp; gender'!DP63)*100</f>
        <v>99.43583404646445</v>
      </c>
      <c r="AZ65" s="746">
        <f>('Attainment 25+ by race &amp; gender'!DS64/'Pop 25+ by race &amp; gender'!CW63)*100</f>
        <v>81.7</v>
      </c>
      <c r="BA65" s="747">
        <f>('Attainment 25+ by race &amp; gender'!EM64/'Pop 25+ by race &amp; gender'!DQ63)*100</f>
        <v>86.389373122795078</v>
      </c>
      <c r="BB65" s="747">
        <f>('Attainment 25+ by race &amp; gender'!DT64/'Pop 25+ by race &amp; gender'!CY63)*100</f>
        <v>62.900000000000013</v>
      </c>
      <c r="BC65" s="747">
        <f>('Attainment 25+ by race &amp; gender'!EN64/'Pop 25+ by race &amp; gender'!DS63)*100</f>
        <v>67.815580286168526</v>
      </c>
      <c r="BD65" s="747">
        <f>('Attainment 25+ by race &amp; gender'!PD64/'Pop 25+ by race &amp; gender'!CV63)*100</f>
        <v>82.399999999999991</v>
      </c>
      <c r="BE65" s="747">
        <f>('Attainment 25+ by race &amp; gender'!PX64/'Pop 25+ by race &amp; gender'!DP63)*100</f>
        <v>92.031948274222685</v>
      </c>
      <c r="BF65" s="747">
        <f>('Attainment 25+ by race &amp; gender'!PE64/'Pop 25+ by race &amp; gender'!CW63)*100</f>
        <v>22.1</v>
      </c>
      <c r="BG65" s="747">
        <f>('Attainment 25+ by race &amp; gender'!PY64/'Pop 25+ by race &amp; gender'!DQ63)*100</f>
        <v>25.61415935716224</v>
      </c>
      <c r="BH65" s="747">
        <f>('Attainment 25+ by race &amp; gender'!PF64/'Pop 25+ by race &amp; gender'!CY63)*100</f>
        <v>36.9</v>
      </c>
      <c r="BI65" s="747">
        <f>('Attainment 25+ by race &amp; gender'!PZ64/'Pop 25+ by race &amp; gender'!DS63)*100</f>
        <v>41.532591414944356</v>
      </c>
    </row>
    <row r="66" spans="1:61" x14ac:dyDescent="0.2">
      <c r="C66" s="657"/>
      <c r="O66" s="655"/>
      <c r="AC66" s="750"/>
    </row>
    <row r="67" spans="1:61" x14ac:dyDescent="0.2">
      <c r="A67" s="209"/>
      <c r="B67" s="503"/>
      <c r="C67" s="627"/>
      <c r="D67" s="503"/>
      <c r="E67" s="503"/>
      <c r="F67" s="503"/>
      <c r="G67" s="503"/>
      <c r="H67" s="503"/>
      <c r="I67" s="503"/>
      <c r="J67" s="503"/>
      <c r="K67" s="503"/>
      <c r="L67" s="503"/>
      <c r="M67" s="503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X69"/>
  <sheetViews>
    <sheetView workbookViewId="0">
      <selection activeCell="R43" sqref="R43"/>
    </sheetView>
  </sheetViews>
  <sheetFormatPr defaultRowHeight="12.75" x14ac:dyDescent="0.2"/>
  <cols>
    <col min="1" max="1" width="16.33203125" style="1" customWidth="1"/>
    <col min="2" max="2" width="4.44140625" style="2" customWidth="1"/>
    <col min="3" max="8" width="4.44140625" style="1" customWidth="1"/>
    <col min="9" max="9" width="4.44140625" style="2" customWidth="1"/>
    <col min="10" max="10" width="4.6640625" style="143" customWidth="1"/>
    <col min="11" max="16" width="3.88671875" style="143" bestFit="1" customWidth="1"/>
    <col min="17" max="17" width="3.88671875" style="143" customWidth="1"/>
    <col min="18" max="25" width="4.33203125" style="151" customWidth="1"/>
    <col min="26" max="33" width="5.44140625" style="143" customWidth="1"/>
    <col min="34" max="41" width="5.44140625" style="151" customWidth="1"/>
    <col min="42" max="49" width="5.44140625" style="143" customWidth="1"/>
    <col min="50" max="16384" width="8.88671875" style="143"/>
  </cols>
  <sheetData>
    <row r="1" spans="1:50" x14ac:dyDescent="0.2">
      <c r="A1" s="3" t="s">
        <v>188</v>
      </c>
    </row>
    <row r="2" spans="1:50" ht="12.75" customHeight="1" x14ac:dyDescent="0.2">
      <c r="A2" s="143"/>
      <c r="B2" s="139" t="s">
        <v>66</v>
      </c>
      <c r="C2" s="140"/>
      <c r="D2" s="140"/>
      <c r="E2" s="140"/>
      <c r="F2" s="140"/>
      <c r="G2" s="140"/>
      <c r="H2" s="140"/>
      <c r="I2" s="140"/>
      <c r="J2" s="141"/>
      <c r="K2" s="142"/>
      <c r="L2" s="142"/>
      <c r="M2" s="142"/>
      <c r="N2" s="142"/>
      <c r="O2" s="142"/>
      <c r="P2" s="142"/>
      <c r="Q2" s="142"/>
      <c r="R2" s="141" t="s">
        <v>58</v>
      </c>
      <c r="S2" s="140"/>
      <c r="T2" s="140"/>
      <c r="U2" s="140"/>
      <c r="V2" s="140"/>
      <c r="W2" s="140"/>
      <c r="X2" s="140"/>
      <c r="Y2" s="140"/>
      <c r="Z2" s="139" t="s">
        <v>64</v>
      </c>
      <c r="AA2" s="142"/>
      <c r="AB2" s="142"/>
      <c r="AC2" s="142"/>
      <c r="AD2" s="142"/>
      <c r="AE2" s="142"/>
      <c r="AF2" s="142"/>
      <c r="AG2" s="142"/>
      <c r="AH2" s="141" t="s">
        <v>59</v>
      </c>
      <c r="AI2" s="140"/>
      <c r="AJ2" s="140"/>
      <c r="AK2" s="140"/>
      <c r="AL2" s="140"/>
      <c r="AM2" s="140"/>
      <c r="AN2" s="140"/>
      <c r="AO2" s="140"/>
      <c r="AP2" s="139" t="s">
        <v>64</v>
      </c>
      <c r="AQ2" s="142"/>
      <c r="AR2" s="142"/>
      <c r="AS2" s="142"/>
      <c r="AT2" s="142"/>
      <c r="AU2" s="142"/>
      <c r="AV2" s="142"/>
      <c r="AW2" s="142"/>
    </row>
    <row r="3" spans="1:50" ht="12.75" customHeight="1" x14ac:dyDescent="0.2">
      <c r="B3" s="144" t="s">
        <v>133</v>
      </c>
      <c r="C3" s="144"/>
      <c r="D3" s="144"/>
      <c r="E3" s="144"/>
      <c r="F3" s="144"/>
      <c r="G3" s="144"/>
      <c r="H3" s="144"/>
      <c r="I3" s="144"/>
      <c r="J3" s="145" t="s">
        <v>134</v>
      </c>
      <c r="K3" s="144"/>
      <c r="L3" s="144"/>
      <c r="M3" s="144"/>
      <c r="N3" s="144"/>
      <c r="O3" s="144"/>
      <c r="P3" s="144"/>
      <c r="Q3" s="144"/>
      <c r="R3" s="145" t="s">
        <v>133</v>
      </c>
      <c r="S3" s="144"/>
      <c r="T3" s="144"/>
      <c r="U3" s="144"/>
      <c r="V3" s="144"/>
      <c r="W3" s="144"/>
      <c r="X3" s="144"/>
      <c r="Y3" s="144"/>
      <c r="Z3" s="145" t="s">
        <v>134</v>
      </c>
      <c r="AA3" s="144"/>
      <c r="AB3" s="144"/>
      <c r="AC3" s="144"/>
      <c r="AD3" s="144"/>
      <c r="AE3" s="144"/>
      <c r="AF3" s="144"/>
      <c r="AG3" s="144"/>
      <c r="AH3" s="145" t="s">
        <v>133</v>
      </c>
      <c r="AI3" s="144"/>
      <c r="AJ3" s="144"/>
      <c r="AK3" s="144"/>
      <c r="AL3" s="144"/>
      <c r="AM3" s="144"/>
      <c r="AN3" s="144"/>
      <c r="AO3" s="144"/>
      <c r="AP3" s="145" t="s">
        <v>134</v>
      </c>
      <c r="AQ3" s="144"/>
      <c r="AR3" s="144"/>
      <c r="AS3" s="144"/>
      <c r="AT3" s="144"/>
      <c r="AU3" s="144"/>
      <c r="AV3" s="144"/>
      <c r="AW3" s="144"/>
    </row>
    <row r="4" spans="1:50" ht="12.75" customHeight="1" x14ac:dyDescent="0.2">
      <c r="A4" s="3"/>
      <c r="B4" s="146">
        <v>1940</v>
      </c>
      <c r="C4" s="146">
        <v>1950</v>
      </c>
      <c r="D4" s="146">
        <v>1960</v>
      </c>
      <c r="E4" s="146">
        <v>1970</v>
      </c>
      <c r="F4" s="146">
        <v>1980</v>
      </c>
      <c r="G4" s="146">
        <v>1990</v>
      </c>
      <c r="H4" s="146">
        <v>2000</v>
      </c>
      <c r="I4" s="146">
        <v>2010</v>
      </c>
      <c r="J4" s="147">
        <v>1940</v>
      </c>
      <c r="K4" s="146">
        <v>1950</v>
      </c>
      <c r="L4" s="146">
        <v>1960</v>
      </c>
      <c r="M4" s="146">
        <v>1970</v>
      </c>
      <c r="N4" s="146">
        <v>1980</v>
      </c>
      <c r="O4" s="146">
        <v>1990</v>
      </c>
      <c r="P4" s="146">
        <v>2000</v>
      </c>
      <c r="Q4" s="146">
        <v>2010</v>
      </c>
      <c r="R4" s="147">
        <v>1940</v>
      </c>
      <c r="S4" s="146">
        <v>1950</v>
      </c>
      <c r="T4" s="146">
        <v>1960</v>
      </c>
      <c r="U4" s="146">
        <v>1970</v>
      </c>
      <c r="V4" s="146">
        <v>1980</v>
      </c>
      <c r="W4" s="146">
        <v>1990</v>
      </c>
      <c r="X4" s="146">
        <v>2000</v>
      </c>
      <c r="Y4" s="146">
        <v>2010</v>
      </c>
      <c r="Z4" s="147">
        <v>1940</v>
      </c>
      <c r="AA4" s="146">
        <v>1950</v>
      </c>
      <c r="AB4" s="146">
        <v>1960</v>
      </c>
      <c r="AC4" s="146">
        <v>1970</v>
      </c>
      <c r="AD4" s="146">
        <v>1980</v>
      </c>
      <c r="AE4" s="146">
        <v>1990</v>
      </c>
      <c r="AF4" s="146">
        <v>2000</v>
      </c>
      <c r="AG4" s="146">
        <v>2010</v>
      </c>
      <c r="AH4" s="147">
        <v>1940</v>
      </c>
      <c r="AI4" s="146">
        <v>1950</v>
      </c>
      <c r="AJ4" s="146">
        <v>1960</v>
      </c>
      <c r="AK4" s="146">
        <v>1970</v>
      </c>
      <c r="AL4" s="146">
        <v>1980</v>
      </c>
      <c r="AM4" s="146">
        <v>1990</v>
      </c>
      <c r="AN4" s="146">
        <v>2000</v>
      </c>
      <c r="AO4" s="146">
        <v>2010</v>
      </c>
      <c r="AP4" s="147">
        <v>1940</v>
      </c>
      <c r="AQ4" s="146">
        <v>1950</v>
      </c>
      <c r="AR4" s="146">
        <v>1960</v>
      </c>
      <c r="AS4" s="146">
        <v>1970</v>
      </c>
      <c r="AT4" s="146">
        <v>1980</v>
      </c>
      <c r="AU4" s="146">
        <v>1990</v>
      </c>
      <c r="AV4" s="146">
        <v>2000</v>
      </c>
      <c r="AW4" s="146">
        <v>2010</v>
      </c>
    </row>
    <row r="5" spans="1:50" ht="12.75" customHeight="1" x14ac:dyDescent="0.2">
      <c r="A5" s="525" t="s">
        <v>180</v>
      </c>
      <c r="B5" s="429">
        <v>24.458496452634126</v>
      </c>
      <c r="C5" s="429">
        <v>34.299999999999997</v>
      </c>
      <c r="D5" s="429">
        <v>41.1</v>
      </c>
      <c r="E5" s="429">
        <v>52.344297112779337</v>
      </c>
      <c r="F5" s="429">
        <v>66.5</v>
      </c>
      <c r="G5" s="429">
        <v>75.2</v>
      </c>
      <c r="H5" s="429">
        <v>80.400000000000006</v>
      </c>
      <c r="I5" s="533"/>
      <c r="J5" s="157">
        <v>4.6211207750859016</v>
      </c>
      <c r="K5" s="155">
        <v>6.2120152391610235</v>
      </c>
      <c r="L5" s="155">
        <v>7.7</v>
      </c>
      <c r="M5" s="155">
        <v>10.661814688109327</v>
      </c>
      <c r="N5" s="155">
        <v>16.2</v>
      </c>
      <c r="O5" s="155">
        <v>20.3</v>
      </c>
      <c r="P5" s="155">
        <v>24.4</v>
      </c>
      <c r="Q5" s="533"/>
      <c r="R5" s="157">
        <v>26.1242637428225</v>
      </c>
      <c r="S5" s="156">
        <v>36.432975156778866</v>
      </c>
      <c r="T5" s="155">
        <v>43.2</v>
      </c>
      <c r="U5" s="155">
        <v>54.5</v>
      </c>
      <c r="V5" s="155">
        <v>68.8</v>
      </c>
      <c r="W5" s="155">
        <v>77.900000000000006</v>
      </c>
      <c r="X5" s="155">
        <v>83.58</v>
      </c>
      <c r="Y5" s="533"/>
      <c r="Z5" s="157">
        <v>4.9490945946975398</v>
      </c>
      <c r="AA5" s="155">
        <v>6.6</v>
      </c>
      <c r="AB5" s="155">
        <v>8.1</v>
      </c>
      <c r="AC5" s="155">
        <v>11.3</v>
      </c>
      <c r="AD5" s="155">
        <v>17.100000000000001</v>
      </c>
      <c r="AE5" s="155">
        <v>21.5</v>
      </c>
      <c r="AF5" s="155">
        <v>26.06</v>
      </c>
      <c r="AG5" s="533"/>
      <c r="AH5" s="157">
        <v>7.6697843442305524</v>
      </c>
      <c r="AI5" s="156">
        <v>13.7</v>
      </c>
      <c r="AJ5" s="155">
        <v>21.653946317862292</v>
      </c>
      <c r="AK5" s="155">
        <v>31.4</v>
      </c>
      <c r="AL5" s="155">
        <v>51.2</v>
      </c>
      <c r="AM5" s="155">
        <v>63.1</v>
      </c>
      <c r="AN5" s="155">
        <v>72.260000000000005</v>
      </c>
      <c r="AO5" s="533"/>
      <c r="AP5" s="157">
        <v>1.3155646599895141</v>
      </c>
      <c r="AQ5" s="155">
        <v>2.1711645320743229</v>
      </c>
      <c r="AR5" s="155">
        <v>3.5247252942352119</v>
      </c>
      <c r="AS5" s="155">
        <v>4.4000000000000004</v>
      </c>
      <c r="AT5" s="155">
        <v>8.4</v>
      </c>
      <c r="AU5" s="155">
        <v>11.4</v>
      </c>
      <c r="AV5" s="155">
        <v>14.26</v>
      </c>
      <c r="AW5" s="155"/>
    </row>
    <row r="6" spans="1:50" ht="12.75" customHeight="1" x14ac:dyDescent="0.2">
      <c r="A6" s="221" t="s">
        <v>63</v>
      </c>
      <c r="B6" s="425">
        <v>20.311517054038468</v>
      </c>
      <c r="C6" s="425">
        <v>26.697016769645327</v>
      </c>
      <c r="D6" s="425">
        <v>35.263465195926109</v>
      </c>
      <c r="E6" s="425">
        <v>45.07</v>
      </c>
      <c r="F6" s="425">
        <v>60.2</v>
      </c>
      <c r="G6" s="425">
        <v>71.3</v>
      </c>
      <c r="H6" s="425">
        <v>77.732064644869055</v>
      </c>
      <c r="I6" s="425"/>
      <c r="J6" s="150">
        <v>4.0066721209396983</v>
      </c>
      <c r="K6" s="148">
        <v>5.4450311750335425</v>
      </c>
      <c r="L6" s="148">
        <v>7.0600986018678658</v>
      </c>
      <c r="M6" s="148">
        <v>9.7953112771439343</v>
      </c>
      <c r="N6" s="148">
        <v>14.963090627775182</v>
      </c>
      <c r="O6" s="148">
        <v>18.7</v>
      </c>
      <c r="P6" s="148">
        <v>22.543925449203424</v>
      </c>
      <c r="Q6" s="425"/>
      <c r="R6" s="150">
        <v>24.61018696134132</v>
      </c>
      <c r="S6" s="148">
        <v>31.145761703109915</v>
      </c>
      <c r="T6" s="148">
        <v>39.756068763080094</v>
      </c>
      <c r="U6" s="148">
        <v>49.057984983421207</v>
      </c>
      <c r="V6" s="148">
        <v>63.5</v>
      </c>
      <c r="W6" s="148">
        <v>74.362041990025389</v>
      </c>
      <c r="X6" s="148">
        <v>80.605591864676626</v>
      </c>
      <c r="Y6" s="425"/>
      <c r="Z6" s="150">
        <v>4.8488573188726365</v>
      </c>
      <c r="AA6" s="148">
        <v>6.3088779735645781</v>
      </c>
      <c r="AB6" s="148">
        <v>7.9246468506359191</v>
      </c>
      <c r="AC6" s="148">
        <v>10.801675990419231</v>
      </c>
      <c r="AD6" s="148">
        <v>16.3</v>
      </c>
      <c r="AE6" s="148">
        <v>18.96925784479004</v>
      </c>
      <c r="AF6" s="148">
        <v>24.563505910399247</v>
      </c>
      <c r="AG6" s="425"/>
      <c r="AH6" s="150">
        <v>5.3892398662157008</v>
      </c>
      <c r="AI6" s="148">
        <v>8.8518746384706102</v>
      </c>
      <c r="AJ6" s="148">
        <v>15.012794033733975</v>
      </c>
      <c r="AK6" s="148">
        <v>24.424152308450058</v>
      </c>
      <c r="AL6" s="148">
        <v>44.9</v>
      </c>
      <c r="AM6" s="148">
        <v>59.1</v>
      </c>
      <c r="AN6" s="148">
        <v>70.311533799595722</v>
      </c>
      <c r="AO6" s="425"/>
      <c r="AP6" s="150">
        <v>1.0831379354436448</v>
      </c>
      <c r="AQ6" s="148">
        <v>1.9799035649097276</v>
      </c>
      <c r="AR6" s="148">
        <v>3.1630972243922599</v>
      </c>
      <c r="AS6" s="148">
        <v>4.4437868193580359</v>
      </c>
      <c r="AT6" s="148">
        <v>8</v>
      </c>
      <c r="AU6" s="148">
        <v>10.7</v>
      </c>
      <c r="AV6" s="148">
        <v>13.738347476097157</v>
      </c>
      <c r="AW6" s="148"/>
    </row>
    <row r="7" spans="1:50" ht="12.75" customHeight="1" x14ac:dyDescent="0.2">
      <c r="A7" s="221" t="s">
        <v>181</v>
      </c>
      <c r="B7" s="425"/>
      <c r="C7" s="425"/>
      <c r="D7" s="425"/>
      <c r="E7" s="425"/>
      <c r="F7" s="425"/>
      <c r="G7" s="425"/>
      <c r="H7" s="425"/>
      <c r="I7" s="425"/>
      <c r="J7" s="152"/>
      <c r="Q7" s="425"/>
      <c r="R7" s="152"/>
      <c r="Y7" s="425"/>
      <c r="Z7" s="152"/>
      <c r="AG7" s="425"/>
      <c r="AH7" s="152"/>
      <c r="AO7" s="425"/>
      <c r="AP7" s="152"/>
    </row>
    <row r="8" spans="1:50" ht="12.75" customHeight="1" x14ac:dyDescent="0.2">
      <c r="A8" s="221" t="s">
        <v>0</v>
      </c>
      <c r="B8" s="425">
        <v>15.924272250305311</v>
      </c>
      <c r="C8" s="425">
        <v>21.883798816451129</v>
      </c>
      <c r="D8" s="425">
        <v>30.3</v>
      </c>
      <c r="E8" s="425">
        <v>41.3</v>
      </c>
      <c r="F8" s="425">
        <v>56.5</v>
      </c>
      <c r="G8" s="425">
        <v>66.900000000000006</v>
      </c>
      <c r="H8" s="425">
        <v>75.27</v>
      </c>
      <c r="I8" s="425"/>
      <c r="J8" s="150">
        <v>2.9172135818156359</v>
      </c>
      <c r="K8" s="148">
        <v>3.8717262228193752</v>
      </c>
      <c r="L8" s="148">
        <v>5.7</v>
      </c>
      <c r="M8" s="148">
        <v>7.8</v>
      </c>
      <c r="N8" s="148">
        <v>12.2</v>
      </c>
      <c r="O8" s="148">
        <v>15.7</v>
      </c>
      <c r="P8" s="148">
        <v>19.03</v>
      </c>
      <c r="Q8" s="425"/>
      <c r="R8" s="150">
        <v>21.843760618036804</v>
      </c>
      <c r="S8" s="149">
        <v>27.942059756114595</v>
      </c>
      <c r="T8" s="148">
        <v>36.5</v>
      </c>
      <c r="U8" s="148">
        <v>47</v>
      </c>
      <c r="V8" s="148">
        <v>60.6</v>
      </c>
      <c r="W8" s="148">
        <v>70.3</v>
      </c>
      <c r="X8" s="148">
        <v>77.95</v>
      </c>
      <c r="Y8" s="425"/>
      <c r="Z8" s="150">
        <v>4.0739730681879145</v>
      </c>
      <c r="AA8" s="148">
        <v>4.8832953862915733</v>
      </c>
      <c r="AB8" s="148">
        <v>6.7</v>
      </c>
      <c r="AC8" s="148">
        <v>8.9</v>
      </c>
      <c r="AD8" s="148">
        <v>13.5</v>
      </c>
      <c r="AE8" s="148">
        <v>17.3</v>
      </c>
      <c r="AF8" s="148">
        <v>21.19</v>
      </c>
      <c r="AG8" s="425"/>
      <c r="AH8" s="150">
        <v>3.9142254330402868</v>
      </c>
      <c r="AI8" s="149">
        <v>7.246034424569693</v>
      </c>
      <c r="AJ8" s="148">
        <v>12.830743145199069</v>
      </c>
      <c r="AK8" s="148">
        <v>21.4</v>
      </c>
      <c r="AL8" s="148">
        <v>41.4</v>
      </c>
      <c r="AM8" s="148">
        <v>54.6</v>
      </c>
      <c r="AN8" s="148">
        <v>66.930000000000007</v>
      </c>
      <c r="AO8" s="425"/>
      <c r="AP8" s="150">
        <v>0.57004385476826924</v>
      </c>
      <c r="AQ8" s="148">
        <v>1.4276071549105636</v>
      </c>
      <c r="AR8" s="148">
        <v>2.9297575711873276</v>
      </c>
      <c r="AS8" s="148">
        <v>4</v>
      </c>
      <c r="AT8" s="148">
        <v>7.2</v>
      </c>
      <c r="AU8" s="148">
        <v>9.3000000000000007</v>
      </c>
      <c r="AV8" s="148">
        <v>11.5</v>
      </c>
      <c r="AW8" s="148"/>
      <c r="AX8" s="151"/>
    </row>
    <row r="9" spans="1:50" ht="12.75" customHeight="1" x14ac:dyDescent="0.2">
      <c r="A9" s="221" t="s">
        <v>1</v>
      </c>
      <c r="B9" s="425">
        <v>15.114812987186779</v>
      </c>
      <c r="C9" s="425">
        <v>21.535360751097052</v>
      </c>
      <c r="D9" s="425">
        <v>28.9</v>
      </c>
      <c r="E9" s="425">
        <v>39.9</v>
      </c>
      <c r="F9" s="425">
        <v>55.5</v>
      </c>
      <c r="G9" s="425">
        <v>66.3</v>
      </c>
      <c r="H9" s="425">
        <v>75.31</v>
      </c>
      <c r="I9" s="425"/>
      <c r="J9" s="150">
        <v>2.2565320665083135</v>
      </c>
      <c r="K9" s="148">
        <v>3.1814470864373918</v>
      </c>
      <c r="L9" s="148">
        <v>4.8</v>
      </c>
      <c r="M9" s="148">
        <v>6.7</v>
      </c>
      <c r="N9" s="148">
        <v>10.8</v>
      </c>
      <c r="O9" s="148">
        <v>13.3</v>
      </c>
      <c r="P9" s="148">
        <v>16.66</v>
      </c>
      <c r="Q9" s="425"/>
      <c r="R9" s="150">
        <v>18.833724074496704</v>
      </c>
      <c r="S9" s="149">
        <v>25.589054162047898</v>
      </c>
      <c r="T9" s="148">
        <v>33.200000000000003</v>
      </c>
      <c r="U9" s="148">
        <v>43.9</v>
      </c>
      <c r="V9" s="148">
        <v>58.4</v>
      </c>
      <c r="W9" s="148">
        <v>68.599999999999994</v>
      </c>
      <c r="X9" s="148">
        <v>77.45</v>
      </c>
      <c r="Y9" s="425"/>
      <c r="Z9" s="150">
        <v>2.8131980608173062</v>
      </c>
      <c r="AA9" s="148">
        <v>3.7076899280761002</v>
      </c>
      <c r="AB9" s="148">
        <v>5.4</v>
      </c>
      <c r="AC9" s="148">
        <v>7.3</v>
      </c>
      <c r="AD9" s="148">
        <v>11.5</v>
      </c>
      <c r="AE9" s="148">
        <v>14.1</v>
      </c>
      <c r="AF9" s="148">
        <v>17.77</v>
      </c>
      <c r="AG9" s="425"/>
      <c r="AH9" s="150">
        <v>3.6012966380761111</v>
      </c>
      <c r="AI9" s="149">
        <v>6.1250490003920026</v>
      </c>
      <c r="AJ9" s="148">
        <v>9.7311716010962481</v>
      </c>
      <c r="AK9" s="148">
        <v>17.2</v>
      </c>
      <c r="AL9" s="148">
        <v>36.299999999999997</v>
      </c>
      <c r="AM9" s="148">
        <v>51.5</v>
      </c>
      <c r="AN9" s="148">
        <v>65.77</v>
      </c>
      <c r="AO9" s="425"/>
      <c r="AP9" s="150">
        <v>0.53312893155823526</v>
      </c>
      <c r="AQ9" s="148">
        <v>1.1809094472755781</v>
      </c>
      <c r="AR9" s="148">
        <v>2.1204634855962681</v>
      </c>
      <c r="AS9" s="148">
        <v>3.2</v>
      </c>
      <c r="AT9" s="148">
        <v>6</v>
      </c>
      <c r="AU9" s="148">
        <v>8.4</v>
      </c>
      <c r="AV9" s="148">
        <v>10.220000000000001</v>
      </c>
      <c r="AW9" s="148"/>
      <c r="AX9" s="151"/>
    </row>
    <row r="10" spans="1:50" ht="12.75" customHeight="1" x14ac:dyDescent="0.2">
      <c r="A10" s="221" t="s">
        <v>2</v>
      </c>
      <c r="B10" s="425">
        <v>23.92077622770379</v>
      </c>
      <c r="C10" s="425">
        <v>34.796460176991154</v>
      </c>
      <c r="D10" s="425">
        <v>43.3</v>
      </c>
      <c r="E10" s="425">
        <v>54.6</v>
      </c>
      <c r="F10" s="425">
        <v>68.599999999999994</v>
      </c>
      <c r="G10" s="425">
        <v>77.5</v>
      </c>
      <c r="H10" s="425">
        <v>82.6</v>
      </c>
      <c r="I10" s="425"/>
      <c r="J10" s="150">
        <v>5.2833063271854002</v>
      </c>
      <c r="K10" s="148">
        <v>7.5316541865214433</v>
      </c>
      <c r="L10" s="148">
        <v>10.1</v>
      </c>
      <c r="M10" s="148">
        <v>13.1</v>
      </c>
      <c r="N10" s="148">
        <v>17.5</v>
      </c>
      <c r="O10" s="148">
        <v>21.4</v>
      </c>
      <c r="P10" s="148">
        <v>25.05</v>
      </c>
      <c r="Q10" s="425"/>
      <c r="R10" s="150">
        <v>26.455375403859264</v>
      </c>
      <c r="S10" s="149">
        <v>38.156497845500532</v>
      </c>
      <c r="T10" s="148">
        <v>47</v>
      </c>
      <c r="U10" s="148">
        <v>58.2</v>
      </c>
      <c r="V10" s="148">
        <v>71.7</v>
      </c>
      <c r="W10" s="148">
        <v>80.3</v>
      </c>
      <c r="X10" s="148">
        <v>85.03</v>
      </c>
      <c r="Y10" s="425"/>
      <c r="Z10" s="150">
        <v>5.8311349556866352</v>
      </c>
      <c r="AA10" s="148">
        <v>8.3088740398426264</v>
      </c>
      <c r="AB10" s="148">
        <v>11.1</v>
      </c>
      <c r="AC10" s="148">
        <v>14.1</v>
      </c>
      <c r="AD10" s="148">
        <v>18.600000000000001</v>
      </c>
      <c r="AE10" s="148">
        <v>23</v>
      </c>
      <c r="AF10" s="148">
        <v>26.75</v>
      </c>
      <c r="AG10" s="425"/>
      <c r="AH10" s="150">
        <v>6.7802555750438493</v>
      </c>
      <c r="AI10" s="149">
        <v>11.907783417935702</v>
      </c>
      <c r="AJ10" s="148">
        <v>18.10792719854652</v>
      </c>
      <c r="AK10" s="148">
        <v>28.7</v>
      </c>
      <c r="AL10" s="148">
        <v>50.1</v>
      </c>
      <c r="AM10" s="148">
        <v>63.2</v>
      </c>
      <c r="AN10" s="148">
        <v>74.19</v>
      </c>
      <c r="AO10" s="425"/>
      <c r="AP10" s="150">
        <v>1.5785517414181909</v>
      </c>
      <c r="AQ10" s="148">
        <v>2.1362098138747885</v>
      </c>
      <c r="AR10" s="148">
        <v>3.117330188378542</v>
      </c>
      <c r="AS10" s="148">
        <v>4.5999999999999996</v>
      </c>
      <c r="AT10" s="148">
        <v>8.6</v>
      </c>
      <c r="AU10" s="148">
        <v>10.6</v>
      </c>
      <c r="AV10" s="148">
        <v>14.45</v>
      </c>
      <c r="AW10" s="148"/>
      <c r="AX10" s="151"/>
    </row>
    <row r="11" spans="1:50" ht="12.75" customHeight="1" x14ac:dyDescent="0.2">
      <c r="A11" s="221" t="s">
        <v>3</v>
      </c>
      <c r="B11" s="425">
        <v>26.635048273838851</v>
      </c>
      <c r="C11" s="425">
        <v>35.849883361704812</v>
      </c>
      <c r="D11" s="425">
        <v>42.6</v>
      </c>
      <c r="E11" s="425">
        <v>52.6</v>
      </c>
      <c r="F11" s="425">
        <v>66.7</v>
      </c>
      <c r="G11" s="425">
        <v>74.400000000000006</v>
      </c>
      <c r="H11" s="425">
        <v>79.86</v>
      </c>
      <c r="I11" s="425"/>
      <c r="J11" s="150">
        <v>4.9937189473407075</v>
      </c>
      <c r="K11" s="148">
        <v>6.4734253830149431</v>
      </c>
      <c r="L11" s="148">
        <v>7.8</v>
      </c>
      <c r="M11" s="148">
        <v>10.3</v>
      </c>
      <c r="N11" s="148">
        <v>14.9</v>
      </c>
      <c r="O11" s="148">
        <v>18.3</v>
      </c>
      <c r="P11" s="148">
        <v>22.33</v>
      </c>
      <c r="Q11" s="425"/>
      <c r="R11" s="150">
        <v>34.088374984583709</v>
      </c>
      <c r="S11" s="149">
        <v>42.545832434658145</v>
      </c>
      <c r="T11" s="148">
        <v>47.4</v>
      </c>
      <c r="U11" s="148">
        <v>56.3</v>
      </c>
      <c r="V11" s="148">
        <v>69.5</v>
      </c>
      <c r="W11" s="148">
        <v>77</v>
      </c>
      <c r="X11" s="148">
        <v>82.53</v>
      </c>
      <c r="Y11" s="425"/>
      <c r="Z11" s="150">
        <v>6.4209792427518275</v>
      </c>
      <c r="AA11" s="148">
        <v>7.6339679614125213</v>
      </c>
      <c r="AB11" s="148">
        <v>8.6</v>
      </c>
      <c r="AC11" s="148">
        <v>11.1</v>
      </c>
      <c r="AD11" s="148">
        <v>15.8</v>
      </c>
      <c r="AE11" s="148">
        <v>19.3</v>
      </c>
      <c r="AF11" s="148">
        <v>23.82</v>
      </c>
      <c r="AG11" s="425"/>
      <c r="AH11" s="150">
        <v>4.6102297491279352</v>
      </c>
      <c r="AI11" s="149">
        <v>8.4047255485011654</v>
      </c>
      <c r="AJ11" s="148">
        <v>14.498819232644633</v>
      </c>
      <c r="AK11" s="148">
        <v>24.4</v>
      </c>
      <c r="AL11" s="148">
        <v>44.6</v>
      </c>
      <c r="AM11" s="148">
        <v>56.4</v>
      </c>
      <c r="AN11" s="148">
        <v>67.05</v>
      </c>
      <c r="AO11" s="425"/>
      <c r="AP11" s="150">
        <v>0.77611918096555621</v>
      </c>
      <c r="AQ11" s="148">
        <v>1.7166278228722978</v>
      </c>
      <c r="AR11" s="148">
        <v>2.7860373065119082</v>
      </c>
      <c r="AS11" s="148">
        <v>4.0999999999999996</v>
      </c>
      <c r="AT11" s="148">
        <v>7.3</v>
      </c>
      <c r="AU11" s="148">
        <v>9.8000000000000007</v>
      </c>
      <c r="AV11" s="148">
        <v>12.43</v>
      </c>
      <c r="AW11" s="148"/>
      <c r="AX11" s="151"/>
    </row>
    <row r="12" spans="1:50" ht="12.75" customHeight="1" x14ac:dyDescent="0.2">
      <c r="A12" s="221" t="s">
        <v>4</v>
      </c>
      <c r="B12" s="425">
        <v>17.437832483858436</v>
      </c>
      <c r="C12" s="425">
        <v>20.775903725350332</v>
      </c>
      <c r="D12" s="425">
        <v>32</v>
      </c>
      <c r="E12" s="425">
        <v>40.6</v>
      </c>
      <c r="F12" s="425">
        <v>56.4</v>
      </c>
      <c r="G12" s="425">
        <v>70.900000000000006</v>
      </c>
      <c r="H12" s="425">
        <v>78.569999999999993</v>
      </c>
      <c r="I12" s="425"/>
      <c r="J12" s="150">
        <v>3.3309879077594897</v>
      </c>
      <c r="K12" s="148">
        <v>4.5491152580593202</v>
      </c>
      <c r="L12" s="148">
        <v>6.2</v>
      </c>
      <c r="M12" s="148">
        <v>9.1999999999999993</v>
      </c>
      <c r="N12" s="148">
        <v>14.6</v>
      </c>
      <c r="O12" s="148">
        <v>19.3</v>
      </c>
      <c r="P12" s="148">
        <v>24.3</v>
      </c>
      <c r="Q12" s="425"/>
      <c r="R12" s="150">
        <v>23.963794412456341</v>
      </c>
      <c r="S12" s="149">
        <v>26.594068377644753</v>
      </c>
      <c r="T12" s="148">
        <v>38.799999999999997</v>
      </c>
      <c r="U12" s="148">
        <v>46.3</v>
      </c>
      <c r="V12" s="148">
        <v>60.7</v>
      </c>
      <c r="W12" s="148">
        <v>74.900000000000006</v>
      </c>
      <c r="X12" s="148">
        <v>81.819999999999993</v>
      </c>
      <c r="Y12" s="425"/>
      <c r="Z12" s="150">
        <v>4.598898978400495</v>
      </c>
      <c r="AA12" s="148">
        <v>5.7856773412346785</v>
      </c>
      <c r="AB12" s="148">
        <v>7.5</v>
      </c>
      <c r="AC12" s="148">
        <v>10.7</v>
      </c>
      <c r="AD12" s="148">
        <v>16.600000000000001</v>
      </c>
      <c r="AE12" s="148">
        <v>21.8</v>
      </c>
      <c r="AF12" s="148">
        <v>27.39</v>
      </c>
      <c r="AG12" s="425"/>
      <c r="AH12" s="150">
        <v>3.6742484817917522</v>
      </c>
      <c r="AI12" s="149">
        <v>6.0083653053539994</v>
      </c>
      <c r="AJ12" s="148">
        <v>11.545030284976665</v>
      </c>
      <c r="AK12" s="148">
        <v>20.6</v>
      </c>
      <c r="AL12" s="148">
        <v>41.7</v>
      </c>
      <c r="AM12" s="148">
        <v>58.6</v>
      </c>
      <c r="AN12" s="148">
        <v>72.489999999999995</v>
      </c>
      <c r="AO12" s="425"/>
      <c r="AP12" s="150">
        <v>0.65689928774403072</v>
      </c>
      <c r="AQ12" s="148">
        <v>1.4105003918056644</v>
      </c>
      <c r="AR12" s="148">
        <v>2.5089861979942412</v>
      </c>
      <c r="AS12" s="148">
        <v>4</v>
      </c>
      <c r="AT12" s="148">
        <v>7.5</v>
      </c>
      <c r="AU12" s="148">
        <v>11</v>
      </c>
      <c r="AV12" s="148">
        <v>15.49</v>
      </c>
      <c r="AW12" s="148"/>
      <c r="AX12" s="151"/>
    </row>
    <row r="13" spans="1:50" ht="12.75" customHeight="1" x14ac:dyDescent="0.2">
      <c r="A13" s="221" t="s">
        <v>5</v>
      </c>
      <c r="B13" s="425">
        <v>15.654214793409549</v>
      </c>
      <c r="C13" s="425">
        <v>22.335172241473405</v>
      </c>
      <c r="D13" s="425">
        <v>27.6</v>
      </c>
      <c r="E13" s="425">
        <v>38.5</v>
      </c>
      <c r="F13" s="425">
        <v>53.1</v>
      </c>
      <c r="G13" s="425">
        <v>64.599999999999994</v>
      </c>
      <c r="H13" s="425">
        <v>74.12</v>
      </c>
      <c r="I13" s="425"/>
      <c r="J13" s="150">
        <v>2.9828049571598272</v>
      </c>
      <c r="K13" s="148">
        <v>3.8761728792830232</v>
      </c>
      <c r="L13" s="148">
        <v>4.9000000000000004</v>
      </c>
      <c r="M13" s="148">
        <v>7.2</v>
      </c>
      <c r="N13" s="148">
        <v>11.1</v>
      </c>
      <c r="O13" s="148">
        <v>13.6</v>
      </c>
      <c r="P13" s="148">
        <v>17.14</v>
      </c>
      <c r="Q13" s="425"/>
      <c r="R13" s="150">
        <v>16.378470241034453</v>
      </c>
      <c r="S13" s="149">
        <v>23.08707546397914</v>
      </c>
      <c r="T13" s="148">
        <v>28.3</v>
      </c>
      <c r="U13" s="148">
        <v>39.1</v>
      </c>
      <c r="V13" s="148">
        <v>53.3</v>
      </c>
      <c r="W13" s="148">
        <v>64.7</v>
      </c>
      <c r="X13" s="148">
        <v>74.19</v>
      </c>
      <c r="Y13" s="425"/>
      <c r="Z13" s="150">
        <v>3.1058710054454877</v>
      </c>
      <c r="AA13" s="148">
        <v>4.0063891626141501</v>
      </c>
      <c r="AB13" s="148">
        <v>5.0999999999999996</v>
      </c>
      <c r="AC13" s="148">
        <v>7.5</v>
      </c>
      <c r="AD13" s="148">
        <v>11.3</v>
      </c>
      <c r="AE13" s="148">
        <v>13.9</v>
      </c>
      <c r="AF13" s="148">
        <v>17.36</v>
      </c>
      <c r="AG13" s="425"/>
      <c r="AH13" s="150">
        <v>7.9355076318697053</v>
      </c>
      <c r="AI13" s="149">
        <v>13.171471927162367</v>
      </c>
      <c r="AJ13" s="148">
        <v>18.201459904279858</v>
      </c>
      <c r="AK13" s="148">
        <v>29.2</v>
      </c>
      <c r="AL13" s="148">
        <v>49.7</v>
      </c>
      <c r="AM13" s="148">
        <v>61.7</v>
      </c>
      <c r="AN13" s="148">
        <v>73.180000000000007</v>
      </c>
      <c r="AO13" s="425"/>
      <c r="AP13" s="150">
        <v>1.6712362401276752</v>
      </c>
      <c r="AQ13" s="148">
        <v>2.2891827444179493</v>
      </c>
      <c r="AR13" s="148">
        <v>2.6211135213304413</v>
      </c>
      <c r="AS13" s="148">
        <v>3.3</v>
      </c>
      <c r="AT13" s="148">
        <v>6.5</v>
      </c>
      <c r="AU13" s="148">
        <v>7.7</v>
      </c>
      <c r="AV13" s="148">
        <v>10.66</v>
      </c>
      <c r="AW13" s="148"/>
      <c r="AX13" s="151"/>
    </row>
    <row r="14" spans="1:50" ht="12.75" customHeight="1" x14ac:dyDescent="0.2">
      <c r="A14" s="221" t="s">
        <v>6</v>
      </c>
      <c r="B14" s="425">
        <v>17.687815293157222</v>
      </c>
      <c r="C14" s="425">
        <v>22.512272281007963</v>
      </c>
      <c r="D14" s="425">
        <v>32.299999999999997</v>
      </c>
      <c r="E14" s="425">
        <v>42.2</v>
      </c>
      <c r="F14" s="425">
        <v>57.7</v>
      </c>
      <c r="G14" s="425">
        <v>68.3</v>
      </c>
      <c r="H14" s="425">
        <v>74.81</v>
      </c>
      <c r="I14" s="425"/>
      <c r="J14" s="150">
        <v>3.5430891926401942</v>
      </c>
      <c r="K14" s="148">
        <v>5.0099996363768593</v>
      </c>
      <c r="L14" s="148">
        <v>6.7</v>
      </c>
      <c r="M14" s="148">
        <v>9</v>
      </c>
      <c r="N14" s="148">
        <v>13.9</v>
      </c>
      <c r="O14" s="148">
        <v>16.100000000000001</v>
      </c>
      <c r="P14" s="148">
        <v>18.73</v>
      </c>
      <c r="Q14" s="425"/>
      <c r="R14" s="150">
        <v>25.269627902641567</v>
      </c>
      <c r="S14" s="149">
        <v>30.041188738269032</v>
      </c>
      <c r="T14" s="148">
        <v>41</v>
      </c>
      <c r="U14" s="148">
        <v>49.9</v>
      </c>
      <c r="V14" s="148">
        <v>63.7</v>
      </c>
      <c r="W14" s="148">
        <v>74.2</v>
      </c>
      <c r="X14" s="148">
        <v>79.989999999999995</v>
      </c>
      <c r="Y14" s="425"/>
      <c r="Z14" s="150">
        <v>5.080636203107983</v>
      </c>
      <c r="AA14" s="148">
        <v>6.6392075078206467</v>
      </c>
      <c r="AB14" s="148">
        <v>8.4</v>
      </c>
      <c r="AC14" s="148">
        <v>10.7</v>
      </c>
      <c r="AD14" s="148">
        <v>16</v>
      </c>
      <c r="AE14" s="148">
        <v>18.7</v>
      </c>
      <c r="AF14" s="148">
        <v>21.77</v>
      </c>
      <c r="AG14" s="425"/>
      <c r="AH14" s="150">
        <v>3.2438612067183148</v>
      </c>
      <c r="AI14" s="149">
        <v>5.1580338901574336</v>
      </c>
      <c r="AJ14" s="148">
        <v>10.428955637847478</v>
      </c>
      <c r="AK14" s="148">
        <v>20.2</v>
      </c>
      <c r="AL14" s="148">
        <v>40.5</v>
      </c>
      <c r="AM14" s="148">
        <v>53.1</v>
      </c>
      <c r="AN14" s="148">
        <v>63.14</v>
      </c>
      <c r="AO14" s="425"/>
      <c r="AP14" s="150">
        <v>0.61394013840409611</v>
      </c>
      <c r="AQ14" s="148">
        <v>1.2546568922004568</v>
      </c>
      <c r="AR14" s="148">
        <v>2.542159034294452</v>
      </c>
      <c r="AS14" s="148">
        <v>4.2</v>
      </c>
      <c r="AT14" s="148">
        <v>7.5</v>
      </c>
      <c r="AU14" s="148">
        <v>9.1</v>
      </c>
      <c r="AV14" s="148">
        <v>10.89</v>
      </c>
      <c r="AW14" s="148"/>
      <c r="AX14" s="151"/>
    </row>
    <row r="15" spans="1:50" ht="12.75" customHeight="1" x14ac:dyDescent="0.2">
      <c r="A15" s="221" t="s">
        <v>7</v>
      </c>
      <c r="B15" s="425">
        <v>21.072313627926416</v>
      </c>
      <c r="C15" s="425">
        <v>32.11538020765687</v>
      </c>
      <c r="D15" s="425">
        <v>40</v>
      </c>
      <c r="E15" s="425">
        <v>52.3</v>
      </c>
      <c r="F15" s="425">
        <v>67.400000000000006</v>
      </c>
      <c r="G15" s="425">
        <v>78.400000000000006</v>
      </c>
      <c r="H15" s="425">
        <v>83.83</v>
      </c>
      <c r="I15" s="425"/>
      <c r="J15" s="150">
        <v>4.8951884857967523</v>
      </c>
      <c r="K15" s="148">
        <v>7.2290261213700164</v>
      </c>
      <c r="L15" s="148">
        <v>9.3000000000000007</v>
      </c>
      <c r="M15" s="148">
        <v>13.9</v>
      </c>
      <c r="N15" s="148">
        <v>20.399999999999999</v>
      </c>
      <c r="O15" s="148">
        <v>26.5</v>
      </c>
      <c r="P15" s="148">
        <v>31.45</v>
      </c>
      <c r="Q15" s="425"/>
      <c r="R15" s="150">
        <v>23.730547578558905</v>
      </c>
      <c r="S15" s="149">
        <v>35.542596303318383</v>
      </c>
      <c r="T15" s="148">
        <v>43.7</v>
      </c>
      <c r="U15" s="148">
        <v>55.9</v>
      </c>
      <c r="V15" s="148">
        <v>69.900000000000006</v>
      </c>
      <c r="W15" s="148">
        <v>80.8</v>
      </c>
      <c r="X15" s="148">
        <v>86.31</v>
      </c>
      <c r="Y15" s="425"/>
      <c r="Z15" s="150">
        <v>5.5375602676290354</v>
      </c>
      <c r="AA15" s="148">
        <v>8.0884004708461763</v>
      </c>
      <c r="AB15" s="148">
        <v>10.3</v>
      </c>
      <c r="AC15" s="148">
        <v>15.3</v>
      </c>
      <c r="AD15" s="148">
        <v>22.1</v>
      </c>
      <c r="AE15" s="148">
        <v>28.9</v>
      </c>
      <c r="AF15" s="148">
        <v>34.729999999999997</v>
      </c>
      <c r="AG15" s="425"/>
      <c r="AH15" s="150">
        <v>6.4276361152053045</v>
      </c>
      <c r="AI15" s="149">
        <v>12.655612244897959</v>
      </c>
      <c r="AJ15" s="148">
        <v>19.568263011651528</v>
      </c>
      <c r="AK15" s="148">
        <v>32.1</v>
      </c>
      <c r="AL15" s="148">
        <v>56.6</v>
      </c>
      <c r="AM15" s="148">
        <v>70.599999999999994</v>
      </c>
      <c r="AN15" s="148">
        <v>78.95</v>
      </c>
      <c r="AO15" s="425"/>
      <c r="AP15" s="150">
        <v>1.3562495651018769</v>
      </c>
      <c r="AQ15" s="148">
        <v>2.3494897959183674</v>
      </c>
      <c r="AR15" s="148">
        <v>3.5627836022446902</v>
      </c>
      <c r="AS15" s="148">
        <v>5.9</v>
      </c>
      <c r="AT15" s="148">
        <v>11.3</v>
      </c>
      <c r="AU15" s="148">
        <v>16.100000000000001</v>
      </c>
      <c r="AV15" s="148">
        <v>20.29</v>
      </c>
      <c r="AW15" s="148"/>
      <c r="AX15" s="151"/>
    </row>
    <row r="16" spans="1:50" ht="12.75" customHeight="1" x14ac:dyDescent="0.2">
      <c r="A16" s="221" t="s">
        <v>8</v>
      </c>
      <c r="B16" s="425">
        <v>16.168753506202084</v>
      </c>
      <c r="C16" s="425">
        <v>21.987344181178038</v>
      </c>
      <c r="D16" s="425">
        <v>29.8</v>
      </c>
      <c r="E16" s="425">
        <v>41</v>
      </c>
      <c r="F16" s="425">
        <v>54.8</v>
      </c>
      <c r="G16" s="425">
        <v>64.3</v>
      </c>
      <c r="H16" s="425">
        <v>72.86</v>
      </c>
      <c r="I16" s="425"/>
      <c r="J16" s="150">
        <v>3.0600378669824844</v>
      </c>
      <c r="K16" s="148">
        <v>3.9266343134456179</v>
      </c>
      <c r="L16" s="148">
        <v>5.6</v>
      </c>
      <c r="M16" s="148">
        <v>8.1</v>
      </c>
      <c r="N16" s="148">
        <v>12.3</v>
      </c>
      <c r="O16" s="148">
        <v>14.7</v>
      </c>
      <c r="P16" s="148">
        <v>16.899999999999999</v>
      </c>
      <c r="Q16" s="425"/>
      <c r="R16" s="150">
        <v>28.130261839195448</v>
      </c>
      <c r="S16" s="149">
        <v>34.44728620684073</v>
      </c>
      <c r="T16" s="148">
        <v>42.2</v>
      </c>
      <c r="U16" s="148">
        <v>52.6</v>
      </c>
      <c r="V16" s="148">
        <v>63.9</v>
      </c>
      <c r="W16" s="148">
        <v>71.7</v>
      </c>
      <c r="X16" s="148">
        <v>78.900000000000006</v>
      </c>
      <c r="Y16" s="425"/>
      <c r="Z16" s="150">
        <v>5.449501917393591</v>
      </c>
      <c r="AA16" s="148">
        <v>6.2329022127976437</v>
      </c>
      <c r="AB16" s="148">
        <v>7.7</v>
      </c>
      <c r="AC16" s="148">
        <v>10</v>
      </c>
      <c r="AD16" s="148">
        <v>14.4</v>
      </c>
      <c r="AE16" s="148">
        <v>17.2</v>
      </c>
      <c r="AF16" s="148">
        <v>20.03</v>
      </c>
      <c r="AG16" s="425"/>
      <c r="AH16" s="150">
        <v>2.5948157743175613</v>
      </c>
      <c r="AI16" s="149">
        <v>4.2158243483480708</v>
      </c>
      <c r="AJ16" s="148">
        <v>7.575381771566275</v>
      </c>
      <c r="AK16" s="148">
        <v>14.9</v>
      </c>
      <c r="AL16" s="148">
        <v>32.700000000000003</v>
      </c>
      <c r="AM16" s="148">
        <v>47.3</v>
      </c>
      <c r="AN16" s="148">
        <v>60.45</v>
      </c>
      <c r="AO16" s="425"/>
      <c r="AP16" s="150">
        <v>0.34847045174328789</v>
      </c>
      <c r="AQ16" s="148">
        <v>0.63722208113037659</v>
      </c>
      <c r="AR16" s="148">
        <v>1.7623238655203295</v>
      </c>
      <c r="AS16" s="148">
        <v>3.7</v>
      </c>
      <c r="AT16" s="148">
        <v>7.1</v>
      </c>
      <c r="AU16" s="148">
        <v>8.8000000000000007</v>
      </c>
      <c r="AV16" s="148">
        <v>10.09</v>
      </c>
      <c r="AW16" s="148"/>
      <c r="AX16" s="151"/>
    </row>
    <row r="17" spans="1:50" ht="12.75" customHeight="1" x14ac:dyDescent="0.2">
      <c r="A17" s="221" t="s">
        <v>9</v>
      </c>
      <c r="B17" s="425">
        <v>19.02770801039166</v>
      </c>
      <c r="C17" s="425">
        <v>20.872860006159346</v>
      </c>
      <c r="D17" s="425">
        <v>32.299999999999997</v>
      </c>
      <c r="E17" s="425">
        <v>38.5</v>
      </c>
      <c r="F17" s="425">
        <v>54.8</v>
      </c>
      <c r="G17" s="425">
        <v>70</v>
      </c>
      <c r="H17" s="425">
        <v>78.14</v>
      </c>
      <c r="I17" s="425"/>
      <c r="J17" s="150">
        <v>4.1317632846519627</v>
      </c>
      <c r="K17" s="148">
        <v>5.0996349830618</v>
      </c>
      <c r="L17" s="148">
        <v>6.3</v>
      </c>
      <c r="M17" s="148">
        <v>8.5</v>
      </c>
      <c r="N17" s="148">
        <v>13.2</v>
      </c>
      <c r="O17" s="148">
        <v>17.399999999999999</v>
      </c>
      <c r="P17" s="148">
        <v>22.46</v>
      </c>
      <c r="Q17" s="425"/>
      <c r="R17" s="150">
        <v>23.49314452630372</v>
      </c>
      <c r="S17" s="149">
        <v>24.784096571615258</v>
      </c>
      <c r="T17" s="148">
        <v>37.1</v>
      </c>
      <c r="U17" s="148">
        <v>42.2</v>
      </c>
      <c r="V17" s="148">
        <v>57.8</v>
      </c>
      <c r="W17" s="148">
        <v>73.099999999999994</v>
      </c>
      <c r="X17" s="148">
        <v>81.150000000000006</v>
      </c>
      <c r="Y17" s="425"/>
      <c r="Z17" s="150">
        <v>4.9999051345316081</v>
      </c>
      <c r="AA17" s="148">
        <v>5.8463051391120988</v>
      </c>
      <c r="AB17" s="148">
        <v>7</v>
      </c>
      <c r="AC17" s="148">
        <v>9.4</v>
      </c>
      <c r="AD17" s="148">
        <v>14.7</v>
      </c>
      <c r="AE17" s="148">
        <v>19.3</v>
      </c>
      <c r="AF17" s="148">
        <v>25.02</v>
      </c>
      <c r="AG17" s="425"/>
      <c r="AH17" s="150">
        <v>5.8316187727321482</v>
      </c>
      <c r="AI17" s="149">
        <v>8.1445922871226522</v>
      </c>
      <c r="AJ17" s="148">
        <v>14.69553112579046</v>
      </c>
      <c r="AK17" s="148">
        <v>22.9</v>
      </c>
      <c r="AL17" s="148">
        <v>43</v>
      </c>
      <c r="AM17" s="148">
        <v>58.1</v>
      </c>
      <c r="AN17" s="148">
        <v>70.73</v>
      </c>
      <c r="AO17" s="425"/>
      <c r="AP17" s="150">
        <v>1.5662632980020088</v>
      </c>
      <c r="AQ17" s="148">
        <v>2.669759549813675</v>
      </c>
      <c r="AR17" s="148">
        <v>3.511359034950412</v>
      </c>
      <c r="AS17" s="148">
        <v>4.3</v>
      </c>
      <c r="AT17" s="148">
        <v>7.3</v>
      </c>
      <c r="AU17" s="148">
        <v>9.5</v>
      </c>
      <c r="AV17" s="148">
        <v>13.15</v>
      </c>
      <c r="AW17" s="148"/>
      <c r="AX17" s="151"/>
    </row>
    <row r="18" spans="1:50" ht="12.75" customHeight="1" x14ac:dyDescent="0.2">
      <c r="A18" s="221" t="s">
        <v>10</v>
      </c>
      <c r="B18" s="425">
        <v>24.486247893637238</v>
      </c>
      <c r="C18" s="425">
        <v>33.80546476987724</v>
      </c>
      <c r="D18" s="425">
        <v>40.5</v>
      </c>
      <c r="E18" s="425">
        <v>51.6</v>
      </c>
      <c r="F18" s="425">
        <v>66</v>
      </c>
      <c r="G18" s="425">
        <v>74.599999999999994</v>
      </c>
      <c r="H18" s="425">
        <v>80.61</v>
      </c>
      <c r="I18" s="425"/>
      <c r="J18" s="150">
        <v>4.7791262581812051</v>
      </c>
      <c r="K18" s="148">
        <v>6.3609656933431946</v>
      </c>
      <c r="L18" s="148">
        <v>7.9</v>
      </c>
      <c r="M18" s="148">
        <v>10</v>
      </c>
      <c r="N18" s="148">
        <v>15.1</v>
      </c>
      <c r="O18" s="148">
        <v>17.8</v>
      </c>
      <c r="P18" s="148">
        <v>20.28</v>
      </c>
      <c r="Q18" s="425"/>
      <c r="R18" s="150">
        <v>25.785406777790044</v>
      </c>
      <c r="S18" s="149">
        <v>35.306174737381504</v>
      </c>
      <c r="T18" s="148">
        <v>42</v>
      </c>
      <c r="U18" s="148">
        <v>53.1</v>
      </c>
      <c r="V18" s="148">
        <v>67.099999999999994</v>
      </c>
      <c r="W18" s="148">
        <v>75.7</v>
      </c>
      <c r="X18" s="148">
        <v>82.09</v>
      </c>
      <c r="Y18" s="425"/>
      <c r="Z18" s="150">
        <v>5.0201457114471797</v>
      </c>
      <c r="AA18" s="148">
        <v>6.6426635381690193</v>
      </c>
      <c r="AB18" s="148">
        <v>8.1999999999999993</v>
      </c>
      <c r="AC18" s="148">
        <v>10.5</v>
      </c>
      <c r="AD18" s="148">
        <v>15.7</v>
      </c>
      <c r="AE18" s="148">
        <v>18.7</v>
      </c>
      <c r="AF18" s="148">
        <v>21.55</v>
      </c>
      <c r="AG18" s="425"/>
      <c r="AH18" s="150" t="s">
        <v>135</v>
      </c>
      <c r="AI18" s="149" t="s">
        <v>135</v>
      </c>
      <c r="AJ18" s="148" t="s">
        <v>135</v>
      </c>
      <c r="AK18" s="148">
        <v>35.200000000000003</v>
      </c>
      <c r="AL18" s="148">
        <v>57.2</v>
      </c>
      <c r="AM18" s="148">
        <v>70.099999999999994</v>
      </c>
      <c r="AN18" s="148">
        <v>78.5</v>
      </c>
      <c r="AO18" s="425"/>
      <c r="AP18" s="150" t="s">
        <v>135</v>
      </c>
      <c r="AQ18" s="148" t="s">
        <v>135</v>
      </c>
      <c r="AR18" s="148" t="s">
        <v>135</v>
      </c>
      <c r="AS18" s="148">
        <v>5.0999999999999996</v>
      </c>
      <c r="AT18" s="148">
        <v>9.6999999999999993</v>
      </c>
      <c r="AU18" s="148">
        <v>12</v>
      </c>
      <c r="AV18" s="148">
        <v>13.69</v>
      </c>
      <c r="AW18" s="148"/>
      <c r="AX18" s="151"/>
    </row>
    <row r="19" spans="1:50" ht="12.75" customHeight="1" x14ac:dyDescent="0.2">
      <c r="A19" s="221" t="s">
        <v>11</v>
      </c>
      <c r="B19" s="425">
        <v>18.396193459013432</v>
      </c>
      <c r="C19" s="425">
        <v>18.965123883979498</v>
      </c>
      <c r="D19" s="425">
        <v>30.4</v>
      </c>
      <c r="E19" s="425">
        <v>37.799999999999997</v>
      </c>
      <c r="F19" s="425">
        <v>53.7</v>
      </c>
      <c r="G19" s="425">
        <v>68.3</v>
      </c>
      <c r="H19" s="425">
        <v>76.34</v>
      </c>
      <c r="I19" s="425"/>
      <c r="J19" s="150">
        <v>4.7460097572727822</v>
      </c>
      <c r="K19" s="148">
        <v>5.4932797947688368</v>
      </c>
      <c r="L19" s="148">
        <v>6.9</v>
      </c>
      <c r="M19" s="148">
        <v>9</v>
      </c>
      <c r="N19" s="148">
        <v>13.4</v>
      </c>
      <c r="O19" s="148">
        <v>16.600000000000001</v>
      </c>
      <c r="P19" s="148">
        <v>20.420000000000002</v>
      </c>
      <c r="Q19" s="425"/>
      <c r="R19" s="150">
        <v>27.346908017282022</v>
      </c>
      <c r="S19" s="149">
        <v>25.922365650462325</v>
      </c>
      <c r="T19" s="148">
        <v>38.9</v>
      </c>
      <c r="U19" s="148">
        <v>44.8</v>
      </c>
      <c r="V19" s="148">
        <v>58.9</v>
      </c>
      <c r="W19" s="148">
        <v>73.599999999999994</v>
      </c>
      <c r="X19" s="148">
        <v>80.86</v>
      </c>
      <c r="Y19" s="425"/>
      <c r="Z19" s="150">
        <v>7.0324153868746286</v>
      </c>
      <c r="AA19" s="148">
        <v>7.3644297964539653</v>
      </c>
      <c r="AB19" s="148">
        <v>8.5</v>
      </c>
      <c r="AC19" s="148">
        <v>10.7</v>
      </c>
      <c r="AD19" s="148">
        <v>15.9</v>
      </c>
      <c r="AE19" s="148">
        <v>19.8</v>
      </c>
      <c r="AF19" s="148">
        <v>24.23</v>
      </c>
      <c r="AG19" s="425"/>
      <c r="AH19" s="150">
        <v>3.578488762643226</v>
      </c>
      <c r="AI19" s="149">
        <v>5.1824982997052818</v>
      </c>
      <c r="AJ19" s="148">
        <v>9.8990116866036946</v>
      </c>
      <c r="AK19" s="148">
        <v>17.5</v>
      </c>
      <c r="AL19" s="148">
        <v>38.9</v>
      </c>
      <c r="AM19" s="148">
        <v>53.3</v>
      </c>
      <c r="AN19" s="148">
        <v>64.92</v>
      </c>
      <c r="AO19" s="425"/>
      <c r="AP19" s="150">
        <v>0.96091715768125952</v>
      </c>
      <c r="AQ19" s="148">
        <v>1.7864429834504647</v>
      </c>
      <c r="AR19" s="148">
        <v>3.035041836303666</v>
      </c>
      <c r="AS19" s="148">
        <v>3.9</v>
      </c>
      <c r="AT19" s="148">
        <v>6.4</v>
      </c>
      <c r="AU19" s="148">
        <v>7.6</v>
      </c>
      <c r="AV19" s="148">
        <v>9.8699999999999992</v>
      </c>
      <c r="AW19" s="148"/>
      <c r="AX19" s="151"/>
    </row>
    <row r="20" spans="1:50" ht="12.75" customHeight="1" x14ac:dyDescent="0.2">
      <c r="A20" s="221" t="s">
        <v>12</v>
      </c>
      <c r="B20" s="425">
        <v>18.138708687144074</v>
      </c>
      <c r="C20" s="425">
        <v>24.618743995108744</v>
      </c>
      <c r="D20" s="425">
        <v>30.4</v>
      </c>
      <c r="E20" s="425">
        <v>41.8</v>
      </c>
      <c r="F20" s="425">
        <v>56.2</v>
      </c>
      <c r="G20" s="425">
        <v>67.099999999999994</v>
      </c>
      <c r="H20" s="425">
        <v>75.92</v>
      </c>
      <c r="I20" s="425"/>
      <c r="J20" s="150">
        <v>3.1047442081874479</v>
      </c>
      <c r="K20" s="148">
        <v>4.1380615483157186</v>
      </c>
      <c r="L20" s="148">
        <v>5.5</v>
      </c>
      <c r="M20" s="148">
        <v>7.9</v>
      </c>
      <c r="N20" s="148">
        <v>12.6</v>
      </c>
      <c r="O20" s="148">
        <v>16</v>
      </c>
      <c r="P20" s="148">
        <v>19.559999999999999</v>
      </c>
      <c r="Q20" s="425"/>
      <c r="R20" s="150">
        <v>20.851440787282762</v>
      </c>
      <c r="S20" s="149">
        <v>27.532283398896318</v>
      </c>
      <c r="T20" s="148">
        <v>33.200000000000003</v>
      </c>
      <c r="U20" s="148">
        <v>44.5</v>
      </c>
      <c r="V20" s="148">
        <v>57.9</v>
      </c>
      <c r="W20" s="148">
        <v>68.2</v>
      </c>
      <c r="X20" s="148">
        <v>76.989999999999995</v>
      </c>
      <c r="Y20" s="425"/>
      <c r="Z20" s="150">
        <v>3.5443094459552924</v>
      </c>
      <c r="AA20" s="148">
        <v>4.5728444141727245</v>
      </c>
      <c r="AB20" s="148">
        <v>6</v>
      </c>
      <c r="AC20" s="148">
        <v>8.4</v>
      </c>
      <c r="AD20" s="148">
        <v>13.2</v>
      </c>
      <c r="AE20" s="148">
        <v>16.7</v>
      </c>
      <c r="AF20" s="148">
        <v>20.48</v>
      </c>
      <c r="AG20" s="425"/>
      <c r="AH20" s="150">
        <v>5.9242226364688326</v>
      </c>
      <c r="AI20" s="149">
        <v>9.5680896133271105</v>
      </c>
      <c r="AJ20" s="148">
        <v>14.163223537383129</v>
      </c>
      <c r="AK20" s="148">
        <v>24.1</v>
      </c>
      <c r="AL20" s="148">
        <v>44.7</v>
      </c>
      <c r="AM20" s="148">
        <v>59.4</v>
      </c>
      <c r="AN20" s="148">
        <v>70.83</v>
      </c>
      <c r="AO20" s="425"/>
      <c r="AP20" s="150">
        <v>1.1255353269261537</v>
      </c>
      <c r="AQ20" s="148">
        <v>1.8920762574947041</v>
      </c>
      <c r="AR20" s="148">
        <v>2.8216779186851029</v>
      </c>
      <c r="AS20" s="148">
        <v>4.4000000000000004</v>
      </c>
      <c r="AT20" s="148">
        <v>7.9</v>
      </c>
      <c r="AU20" s="148">
        <v>10.199999999999999</v>
      </c>
      <c r="AV20" s="148">
        <v>12.94</v>
      </c>
      <c r="AW20" s="148"/>
      <c r="AX20" s="151"/>
    </row>
    <row r="21" spans="1:50" ht="12.75" customHeight="1" x14ac:dyDescent="0.2">
      <c r="A21" s="223" t="s">
        <v>13</v>
      </c>
      <c r="B21" s="428">
        <v>24.676621738692216</v>
      </c>
      <c r="C21" s="428">
        <v>30.693767585784464</v>
      </c>
      <c r="D21" s="428">
        <v>39.5</v>
      </c>
      <c r="E21" s="428">
        <v>47.4</v>
      </c>
      <c r="F21" s="428">
        <v>62.6</v>
      </c>
      <c r="G21" s="428">
        <v>72.099999999999994</v>
      </c>
      <c r="H21" s="428">
        <v>75.650000000000006</v>
      </c>
      <c r="I21" s="428"/>
      <c r="J21" s="150">
        <v>4.4459689406718423</v>
      </c>
      <c r="K21" s="148">
        <v>6.177018231867577</v>
      </c>
      <c r="L21" s="148">
        <v>8</v>
      </c>
      <c r="M21" s="148">
        <v>10.9</v>
      </c>
      <c r="N21" s="148">
        <v>16.899999999999999</v>
      </c>
      <c r="O21" s="148">
        <v>20.3</v>
      </c>
      <c r="P21" s="148">
        <v>23.24</v>
      </c>
      <c r="Q21" s="428"/>
      <c r="R21" s="150">
        <v>27.309235016964518</v>
      </c>
      <c r="S21" s="149">
        <v>33.342713455832161</v>
      </c>
      <c r="T21" s="148">
        <v>42</v>
      </c>
      <c r="U21" s="148">
        <v>49.5</v>
      </c>
      <c r="V21" s="148">
        <v>65.7</v>
      </c>
      <c r="W21" s="148">
        <v>76.2</v>
      </c>
      <c r="X21" s="148">
        <v>79.53</v>
      </c>
      <c r="Y21" s="428"/>
      <c r="Z21" s="150">
        <v>4.8986249811123779</v>
      </c>
      <c r="AA21" s="148">
        <v>6.6897454829137821</v>
      </c>
      <c r="AB21" s="148">
        <v>8.6</v>
      </c>
      <c r="AC21" s="148">
        <v>11.6</v>
      </c>
      <c r="AD21" s="148">
        <v>18.5</v>
      </c>
      <c r="AE21" s="148">
        <v>22.6</v>
      </c>
      <c r="AF21" s="148">
        <v>25.79</v>
      </c>
      <c r="AG21" s="428"/>
      <c r="AH21" s="150">
        <v>8.4110781295418899</v>
      </c>
      <c r="AI21" s="149">
        <v>12.001101018442059</v>
      </c>
      <c r="AJ21" s="148">
        <v>20.84805954207302</v>
      </c>
      <c r="AK21" s="148">
        <v>30.1</v>
      </c>
      <c r="AL21" s="148">
        <v>53</v>
      </c>
      <c r="AM21" s="148">
        <v>66.099999999999994</v>
      </c>
      <c r="AN21" s="148">
        <v>75.81</v>
      </c>
      <c r="AO21" s="428"/>
      <c r="AP21" s="150">
        <v>1.6492434867294565</v>
      </c>
      <c r="AQ21" s="148">
        <v>2.5588848256065435</v>
      </c>
      <c r="AR21" s="148">
        <v>3.9557516404344559</v>
      </c>
      <c r="AS21" s="148">
        <v>4.7</v>
      </c>
      <c r="AT21" s="148">
        <v>9.1</v>
      </c>
      <c r="AU21" s="148">
        <v>12</v>
      </c>
      <c r="AV21" s="148">
        <v>15.35</v>
      </c>
      <c r="AW21" s="148"/>
      <c r="AX21" s="151"/>
    </row>
    <row r="22" spans="1:50" ht="12.75" customHeight="1" x14ac:dyDescent="0.2">
      <c r="A22" s="223" t="s">
        <v>14</v>
      </c>
      <c r="B22" s="428">
        <v>21.576324505870943</v>
      </c>
      <c r="C22" s="428">
        <v>29.430058645142427</v>
      </c>
      <c r="D22" s="428">
        <v>37.9</v>
      </c>
      <c r="E22" s="428">
        <v>47.8</v>
      </c>
      <c r="F22" s="428">
        <v>62.4</v>
      </c>
      <c r="G22" s="428">
        <v>75.2</v>
      </c>
      <c r="H22" s="428">
        <v>81.47</v>
      </c>
      <c r="I22" s="428"/>
      <c r="J22" s="150">
        <v>4.4626404053893873</v>
      </c>
      <c r="K22" s="148">
        <v>6.6905909802280448</v>
      </c>
      <c r="L22" s="148">
        <v>8.4</v>
      </c>
      <c r="M22" s="148">
        <v>12.3</v>
      </c>
      <c r="N22" s="148">
        <v>19.100000000000001</v>
      </c>
      <c r="O22" s="148">
        <v>24.5</v>
      </c>
      <c r="P22" s="148">
        <v>29.46</v>
      </c>
      <c r="Q22" s="428"/>
      <c r="R22" s="150">
        <v>26.036027205498197</v>
      </c>
      <c r="S22" s="149">
        <v>34.517258086677323</v>
      </c>
      <c r="T22" s="148">
        <v>43</v>
      </c>
      <c r="U22" s="148">
        <v>52.5</v>
      </c>
      <c r="V22" s="148">
        <v>66.099999999999994</v>
      </c>
      <c r="W22" s="148">
        <v>78.3</v>
      </c>
      <c r="X22" s="148">
        <v>84.28</v>
      </c>
      <c r="Y22" s="428"/>
      <c r="Z22" s="150">
        <v>5.389615889350857</v>
      </c>
      <c r="AA22" s="148">
        <v>7.8350194890188964</v>
      </c>
      <c r="AB22" s="148">
        <v>9.6</v>
      </c>
      <c r="AC22" s="148">
        <v>13.9</v>
      </c>
      <c r="AD22" s="148">
        <v>21.1</v>
      </c>
      <c r="AE22" s="148">
        <v>27</v>
      </c>
      <c r="AF22" s="148">
        <v>32.28</v>
      </c>
      <c r="AG22" s="428"/>
      <c r="AH22" s="150">
        <v>6.3353301981904631</v>
      </c>
      <c r="AI22" s="149">
        <v>9.9734483903086613</v>
      </c>
      <c r="AJ22" s="148">
        <v>16.264018201882308</v>
      </c>
      <c r="AK22" s="148">
        <v>30.8</v>
      </c>
      <c r="AL22" s="148">
        <v>43</v>
      </c>
      <c r="AM22" s="148">
        <v>60.3</v>
      </c>
      <c r="AN22" s="148">
        <v>71.58</v>
      </c>
      <c r="AO22" s="428"/>
      <c r="AP22" s="150">
        <v>1.294709934240053</v>
      </c>
      <c r="AQ22" s="148">
        <v>2.3135855736254007</v>
      </c>
      <c r="AR22" s="148">
        <v>3.2017434211356983</v>
      </c>
      <c r="AS22" s="148">
        <v>4.2</v>
      </c>
      <c r="AT22" s="148">
        <v>7.9</v>
      </c>
      <c r="AU22" s="148">
        <v>11.1</v>
      </c>
      <c r="AV22" s="148">
        <v>15.12</v>
      </c>
      <c r="AW22" s="148"/>
      <c r="AX22" s="151"/>
    </row>
    <row r="23" spans="1:50" ht="12.75" customHeight="1" x14ac:dyDescent="0.2">
      <c r="A23" s="222" t="s">
        <v>15</v>
      </c>
      <c r="B23" s="427">
        <v>17.766327557465218</v>
      </c>
      <c r="C23" s="427">
        <v>24.884840100663734</v>
      </c>
      <c r="D23" s="427">
        <v>30.6</v>
      </c>
      <c r="E23" s="427">
        <v>41.6</v>
      </c>
      <c r="F23" s="427">
        <v>56</v>
      </c>
      <c r="G23" s="427">
        <v>66</v>
      </c>
      <c r="H23" s="427">
        <v>75.209999999999994</v>
      </c>
      <c r="I23" s="427"/>
      <c r="J23" s="157">
        <v>3.3975972708450763</v>
      </c>
      <c r="K23" s="155">
        <v>4.3719063807659664</v>
      </c>
      <c r="L23" s="155">
        <v>5.2</v>
      </c>
      <c r="M23" s="155">
        <v>6.8</v>
      </c>
      <c r="N23" s="155">
        <v>10.4</v>
      </c>
      <c r="O23" s="155">
        <v>12.3</v>
      </c>
      <c r="P23" s="155">
        <v>14.83</v>
      </c>
      <c r="Q23" s="427"/>
      <c r="R23" s="157">
        <v>18.273613465800945</v>
      </c>
      <c r="S23" s="156">
        <v>25.386746950298463</v>
      </c>
      <c r="T23" s="155">
        <v>31</v>
      </c>
      <c r="U23" s="155">
        <v>42</v>
      </c>
      <c r="V23" s="155">
        <v>56</v>
      </c>
      <c r="W23" s="155">
        <v>66</v>
      </c>
      <c r="X23" s="155">
        <v>75.12</v>
      </c>
      <c r="Y23" s="427"/>
      <c r="Z23" s="157">
        <v>3.4619101088149069</v>
      </c>
      <c r="AA23" s="155">
        <v>4.4143843821945348</v>
      </c>
      <c r="AB23" s="155">
        <v>5.3</v>
      </c>
      <c r="AC23" s="155">
        <v>6.8</v>
      </c>
      <c r="AD23" s="155">
        <v>10.3</v>
      </c>
      <c r="AE23" s="155">
        <v>12.2</v>
      </c>
      <c r="AF23" s="155">
        <v>14.66</v>
      </c>
      <c r="AG23" s="427"/>
      <c r="AH23" s="157">
        <v>10.689486552567237</v>
      </c>
      <c r="AI23" s="156">
        <v>16.760812747660399</v>
      </c>
      <c r="AJ23" s="155">
        <v>22.295138964340815</v>
      </c>
      <c r="AK23" s="155">
        <v>30.9</v>
      </c>
      <c r="AL23" s="155">
        <v>52.1</v>
      </c>
      <c r="AM23" s="155">
        <v>64.7</v>
      </c>
      <c r="AN23" s="155">
        <v>76.62</v>
      </c>
      <c r="AO23" s="427"/>
      <c r="AP23" s="157">
        <v>2.5004074979625099</v>
      </c>
      <c r="AQ23" s="155">
        <v>3.6843436472472813</v>
      </c>
      <c r="AR23" s="155">
        <v>4.4742389013233668</v>
      </c>
      <c r="AS23" s="155">
        <v>5</v>
      </c>
      <c r="AT23" s="155">
        <v>9.1999999999999993</v>
      </c>
      <c r="AU23" s="155">
        <v>10.9</v>
      </c>
      <c r="AV23" s="155">
        <v>11.52</v>
      </c>
      <c r="AW23" s="155"/>
      <c r="AX23" s="151"/>
    </row>
    <row r="24" spans="1:50" ht="12.75" customHeight="1" x14ac:dyDescent="0.2">
      <c r="A24" s="218" t="s">
        <v>182</v>
      </c>
      <c r="B24" s="426">
        <v>34.826628499995472</v>
      </c>
      <c r="C24" s="426">
        <v>45.636969306969824</v>
      </c>
      <c r="D24" s="426">
        <v>50.82165355171837</v>
      </c>
      <c r="E24" s="426">
        <v>62.268441082759807</v>
      </c>
      <c r="F24" s="426">
        <v>74.5</v>
      </c>
      <c r="G24" s="426">
        <v>73.7</v>
      </c>
      <c r="H24" s="426">
        <v>79.869784058634878</v>
      </c>
      <c r="I24" s="426"/>
      <c r="J24" s="150">
        <v>6.176949625429148</v>
      </c>
      <c r="K24" s="148">
        <v>7.8967504815145917</v>
      </c>
      <c r="L24" s="148">
        <v>9.5636815373383914</v>
      </c>
      <c r="M24" s="148">
        <v>13.158486572760467</v>
      </c>
      <c r="N24" s="148">
        <v>19.256241169188073</v>
      </c>
      <c r="O24" s="148">
        <v>22.7</v>
      </c>
      <c r="P24" s="148">
        <v>26.232987063315257</v>
      </c>
      <c r="Q24" s="426"/>
      <c r="R24" s="150">
        <v>35.408989977645</v>
      </c>
      <c r="S24" s="148">
        <v>46.496502204246696</v>
      </c>
      <c r="T24" s="148">
        <v>51.860988551251907</v>
      </c>
      <c r="U24" s="148">
        <v>63.253833536911529</v>
      </c>
      <c r="V24" s="148">
        <v>77.2</v>
      </c>
      <c r="W24" s="148">
        <v>82.380047811337391</v>
      </c>
      <c r="X24" s="148">
        <v>85.586409945913047</v>
      </c>
      <c r="Y24" s="426"/>
      <c r="Z24" s="150">
        <v>6.3144813737082455</v>
      </c>
      <c r="AA24" s="148">
        <v>8.1176138185856797</v>
      </c>
      <c r="AB24" s="148">
        <v>9.8795184101519862</v>
      </c>
      <c r="AC24" s="148">
        <v>13.524055750045349</v>
      </c>
      <c r="AD24" s="148">
        <v>20.2</v>
      </c>
      <c r="AE24" s="148">
        <v>20.397940127237177</v>
      </c>
      <c r="AF24" s="148">
        <v>28.62246386688259</v>
      </c>
      <c r="AG24" s="426"/>
      <c r="AH24" s="150">
        <v>18.428309309066066</v>
      </c>
      <c r="AI24" s="148">
        <v>27.777670316066384</v>
      </c>
      <c r="AJ24" s="148">
        <v>37.201307178733813</v>
      </c>
      <c r="AK24" s="148">
        <v>48.864884163859436</v>
      </c>
      <c r="AL24" s="148">
        <v>68.7</v>
      </c>
      <c r="AM24" s="148">
        <v>76.2</v>
      </c>
      <c r="AN24" s="148">
        <v>81.076930465599133</v>
      </c>
      <c r="AO24" s="426"/>
      <c r="AP24" s="150">
        <v>2.3042870374609525</v>
      </c>
      <c r="AQ24" s="148">
        <v>3.3076714766528688</v>
      </c>
      <c r="AR24" s="148">
        <v>5.4246814969162598</v>
      </c>
      <c r="AS24" s="148">
        <v>5.8984669482676919</v>
      </c>
      <c r="AT24" s="148">
        <v>11.4</v>
      </c>
      <c r="AU24" s="148">
        <v>14.8</v>
      </c>
      <c r="AV24" s="148">
        <v>17.397337997478054</v>
      </c>
      <c r="AW24" s="148"/>
      <c r="AX24" s="151"/>
    </row>
    <row r="25" spans="1:50" ht="12.75" customHeight="1" x14ac:dyDescent="0.2">
      <c r="A25" s="218" t="s">
        <v>181</v>
      </c>
      <c r="B25" s="426"/>
      <c r="C25" s="426"/>
      <c r="D25" s="426"/>
      <c r="E25" s="426"/>
      <c r="F25" s="426"/>
      <c r="G25" s="426"/>
      <c r="H25" s="426"/>
      <c r="I25" s="426"/>
      <c r="J25" s="152"/>
      <c r="K25" s="151"/>
      <c r="L25" s="151"/>
      <c r="M25" s="151"/>
      <c r="N25" s="151"/>
      <c r="O25" s="151"/>
      <c r="P25" s="151"/>
      <c r="Q25" s="426"/>
      <c r="R25" s="152"/>
      <c r="Y25" s="426"/>
      <c r="Z25" s="152"/>
      <c r="AA25" s="151"/>
      <c r="AB25" s="151"/>
      <c r="AC25" s="151"/>
      <c r="AD25" s="151"/>
      <c r="AE25" s="151"/>
      <c r="AF25" s="151"/>
      <c r="AG25" s="426"/>
      <c r="AH25" s="152"/>
      <c r="AO25" s="426"/>
      <c r="AP25" s="152"/>
      <c r="AQ25" s="151"/>
      <c r="AR25" s="151"/>
      <c r="AS25" s="151"/>
      <c r="AT25" s="151"/>
      <c r="AU25" s="151"/>
      <c r="AV25" s="151"/>
      <c r="AW25" s="151"/>
      <c r="AX25" s="151"/>
    </row>
    <row r="26" spans="1:50" ht="12.75" customHeight="1" x14ac:dyDescent="0.2">
      <c r="A26" s="218" t="s">
        <v>17</v>
      </c>
      <c r="B26" s="426" t="s">
        <v>136</v>
      </c>
      <c r="C26" s="426" t="s">
        <v>136</v>
      </c>
      <c r="D26" s="426">
        <v>54.7</v>
      </c>
      <c r="E26" s="426">
        <v>66.7</v>
      </c>
      <c r="F26" s="426">
        <v>82.5</v>
      </c>
      <c r="G26" s="426">
        <v>86.6</v>
      </c>
      <c r="H26" s="426">
        <v>88.33</v>
      </c>
      <c r="I26" s="426"/>
      <c r="J26" s="154" t="s">
        <v>136</v>
      </c>
      <c r="K26" s="153" t="s">
        <v>136</v>
      </c>
      <c r="L26" s="148">
        <v>9.5</v>
      </c>
      <c r="M26" s="148">
        <v>14.1</v>
      </c>
      <c r="N26" s="148">
        <v>21.1</v>
      </c>
      <c r="O26" s="148">
        <v>23</v>
      </c>
      <c r="P26" s="148">
        <v>24.71</v>
      </c>
      <c r="Q26" s="426"/>
      <c r="R26" s="154" t="s">
        <v>136</v>
      </c>
      <c r="S26" s="153" t="s">
        <v>136</v>
      </c>
      <c r="T26" s="148">
        <v>63.2</v>
      </c>
      <c r="U26" s="148">
        <v>75.3</v>
      </c>
      <c r="V26" s="148">
        <v>88.5</v>
      </c>
      <c r="W26" s="148">
        <v>91.1</v>
      </c>
      <c r="X26" s="148">
        <v>92.5</v>
      </c>
      <c r="Y26" s="426"/>
      <c r="Z26" s="154" t="s">
        <v>136</v>
      </c>
      <c r="AA26" s="153" t="s">
        <v>136</v>
      </c>
      <c r="AB26" s="148">
        <v>11.4</v>
      </c>
      <c r="AC26" s="148">
        <v>16.5</v>
      </c>
      <c r="AD26" s="148">
        <v>24.4</v>
      </c>
      <c r="AE26" s="148">
        <v>26.8</v>
      </c>
      <c r="AF26" s="148">
        <v>29.27</v>
      </c>
      <c r="AG26" s="426"/>
      <c r="AH26" s="154" t="s">
        <v>136</v>
      </c>
      <c r="AI26" s="153" t="s">
        <v>136</v>
      </c>
      <c r="AJ26" s="148" t="s">
        <v>135</v>
      </c>
      <c r="AK26" s="148">
        <v>63.5</v>
      </c>
      <c r="AL26" s="148">
        <v>83.3</v>
      </c>
      <c r="AM26" s="148">
        <v>88.2</v>
      </c>
      <c r="AN26" s="148">
        <v>88.7</v>
      </c>
      <c r="AO26" s="426"/>
      <c r="AP26" s="154" t="s">
        <v>136</v>
      </c>
      <c r="AQ26" s="153" t="s">
        <v>136</v>
      </c>
      <c r="AR26" s="148" t="s">
        <v>135</v>
      </c>
      <c r="AS26" s="148">
        <v>7.8</v>
      </c>
      <c r="AT26" s="148">
        <v>10.1</v>
      </c>
      <c r="AU26" s="148">
        <v>14.1</v>
      </c>
      <c r="AV26" s="148">
        <v>14.89</v>
      </c>
      <c r="AW26" s="148"/>
      <c r="AX26" s="151"/>
    </row>
    <row r="27" spans="1:50" ht="12.75" customHeight="1" x14ac:dyDescent="0.2">
      <c r="A27" s="218" t="s">
        <v>18</v>
      </c>
      <c r="B27" s="426">
        <v>29.397436153830768</v>
      </c>
      <c r="C27" s="426">
        <v>38.488272216716219</v>
      </c>
      <c r="D27" s="426">
        <v>45.7</v>
      </c>
      <c r="E27" s="426">
        <v>58.1</v>
      </c>
      <c r="F27" s="426">
        <v>72.400000000000006</v>
      </c>
      <c r="G27" s="426">
        <v>78.7</v>
      </c>
      <c r="H27" s="426">
        <v>80.97</v>
      </c>
      <c r="I27" s="426"/>
      <c r="J27" s="150">
        <v>6.3276203427794329</v>
      </c>
      <c r="K27" s="148">
        <v>7.6683184671291702</v>
      </c>
      <c r="L27" s="148">
        <v>9.1</v>
      </c>
      <c r="M27" s="148">
        <v>12.6</v>
      </c>
      <c r="N27" s="148">
        <v>17.399999999999999</v>
      </c>
      <c r="O27" s="148">
        <v>20.3</v>
      </c>
      <c r="P27" s="148">
        <v>23.53</v>
      </c>
      <c r="Q27" s="426"/>
      <c r="R27" s="150">
        <v>32.59871483597729</v>
      </c>
      <c r="S27" s="149">
        <v>41.545319900869593</v>
      </c>
      <c r="T27" s="148">
        <v>48.3</v>
      </c>
      <c r="U27" s="148">
        <v>60.3</v>
      </c>
      <c r="V27" s="148">
        <v>76.099999999999994</v>
      </c>
      <c r="W27" s="148">
        <v>82.4</v>
      </c>
      <c r="X27" s="148">
        <v>85.37</v>
      </c>
      <c r="Y27" s="426"/>
      <c r="Z27" s="150">
        <v>7.1099326384198331</v>
      </c>
      <c r="AA27" s="148">
        <v>8.3600956109864644</v>
      </c>
      <c r="AB27" s="148">
        <v>9.6999999999999993</v>
      </c>
      <c r="AC27" s="148">
        <v>13.2</v>
      </c>
      <c r="AD27" s="148">
        <v>18.899999999999999</v>
      </c>
      <c r="AE27" s="148">
        <v>22.2</v>
      </c>
      <c r="AF27" s="148">
        <v>26.01</v>
      </c>
      <c r="AG27" s="426"/>
      <c r="AH27" s="150" t="s">
        <v>135</v>
      </c>
      <c r="AI27" s="149" t="s">
        <v>135</v>
      </c>
      <c r="AJ27" s="148" t="s">
        <v>135</v>
      </c>
      <c r="AK27" s="148">
        <v>32.6</v>
      </c>
      <c r="AL27" s="148">
        <v>60.6</v>
      </c>
      <c r="AM27" s="148">
        <v>75.099999999999994</v>
      </c>
      <c r="AN27" s="148">
        <v>81.72</v>
      </c>
      <c r="AO27" s="426"/>
      <c r="AP27" s="150" t="s">
        <v>135</v>
      </c>
      <c r="AQ27" s="148" t="s">
        <v>135</v>
      </c>
      <c r="AR27" s="148" t="s">
        <v>135</v>
      </c>
      <c r="AS27" s="148">
        <v>4.8</v>
      </c>
      <c r="AT27" s="148">
        <v>10.8</v>
      </c>
      <c r="AU27" s="148">
        <v>14.3</v>
      </c>
      <c r="AV27" s="148">
        <v>18.59</v>
      </c>
      <c r="AW27" s="148"/>
      <c r="AX27" s="151"/>
    </row>
    <row r="28" spans="1:50" ht="12.75" customHeight="1" x14ac:dyDescent="0.2">
      <c r="A28" s="218" t="s">
        <v>19</v>
      </c>
      <c r="B28" s="426">
        <v>37.287191637210057</v>
      </c>
      <c r="C28" s="426">
        <v>47.598305111394119</v>
      </c>
      <c r="D28" s="426">
        <v>51.5</v>
      </c>
      <c r="E28" s="426">
        <v>62.6</v>
      </c>
      <c r="F28" s="426">
        <v>73.5</v>
      </c>
      <c r="G28" s="426">
        <v>76.2</v>
      </c>
      <c r="H28" s="426">
        <v>76.790000000000006</v>
      </c>
      <c r="I28" s="426"/>
      <c r="J28" s="150">
        <v>6.7602556683928725</v>
      </c>
      <c r="K28" s="148">
        <v>8.3681587346508817</v>
      </c>
      <c r="L28" s="148">
        <v>9.8000000000000007</v>
      </c>
      <c r="M28" s="148">
        <v>13.4</v>
      </c>
      <c r="N28" s="148">
        <v>19.600000000000001</v>
      </c>
      <c r="O28" s="148">
        <v>23.4</v>
      </c>
      <c r="P28" s="148">
        <v>26.62</v>
      </c>
      <c r="Q28" s="426"/>
      <c r="R28" s="150">
        <v>37.970094546606319</v>
      </c>
      <c r="S28" s="149">
        <v>48.710812459778182</v>
      </c>
      <c r="T28" s="148">
        <v>52.4</v>
      </c>
      <c r="U28" s="148">
        <v>63.6</v>
      </c>
      <c r="V28" s="148">
        <v>76.599999999999994</v>
      </c>
      <c r="W28" s="148">
        <v>81.099999999999994</v>
      </c>
      <c r="X28" s="148">
        <v>83.31</v>
      </c>
      <c r="Y28" s="426"/>
      <c r="Z28" s="150">
        <v>6.9333303440441325</v>
      </c>
      <c r="AA28" s="148">
        <v>8.6710294277428144</v>
      </c>
      <c r="AB28" s="148">
        <v>10.199999999999999</v>
      </c>
      <c r="AC28" s="148">
        <v>13.8</v>
      </c>
      <c r="AD28" s="148">
        <v>20.8</v>
      </c>
      <c r="AE28" s="148">
        <v>25.4</v>
      </c>
      <c r="AF28" s="148">
        <v>29.79</v>
      </c>
      <c r="AG28" s="426"/>
      <c r="AH28" s="150" t="s">
        <v>135</v>
      </c>
      <c r="AI28" s="149" t="s">
        <v>135</v>
      </c>
      <c r="AJ28" s="148" t="s">
        <v>135</v>
      </c>
      <c r="AK28" s="148">
        <v>49.4</v>
      </c>
      <c r="AL28" s="148">
        <v>68.5</v>
      </c>
      <c r="AM28" s="148">
        <v>75.599999999999994</v>
      </c>
      <c r="AN28" s="148">
        <v>80.540000000000006</v>
      </c>
      <c r="AO28" s="426"/>
      <c r="AP28" s="150" t="s">
        <v>135</v>
      </c>
      <c r="AQ28" s="148" t="s">
        <v>135</v>
      </c>
      <c r="AR28" s="148" t="s">
        <v>135</v>
      </c>
      <c r="AS28" s="148">
        <v>5.9</v>
      </c>
      <c r="AT28" s="148">
        <v>11.3</v>
      </c>
      <c r="AU28" s="148">
        <v>14.8</v>
      </c>
      <c r="AV28" s="148">
        <v>17.18</v>
      </c>
      <c r="AW28" s="148"/>
      <c r="AX28" s="151"/>
    </row>
    <row r="29" spans="1:50" ht="12.75" customHeight="1" x14ac:dyDescent="0.2">
      <c r="A29" s="218" t="s">
        <v>20</v>
      </c>
      <c r="B29" s="426">
        <v>32.054357656242559</v>
      </c>
      <c r="C29" s="426">
        <v>43.731984554304674</v>
      </c>
      <c r="D29" s="426">
        <v>52</v>
      </c>
      <c r="E29" s="426">
        <v>63.9</v>
      </c>
      <c r="F29" s="426">
        <v>78.599999999999994</v>
      </c>
      <c r="G29" s="426">
        <v>84.4</v>
      </c>
      <c r="H29" s="426">
        <v>86.93</v>
      </c>
      <c r="I29" s="426"/>
      <c r="J29" s="150">
        <v>5.9898138892855446</v>
      </c>
      <c r="K29" s="148">
        <v>8.3557676619350616</v>
      </c>
      <c r="L29" s="148">
        <v>10.7</v>
      </c>
      <c r="M29" s="148">
        <v>14.9</v>
      </c>
      <c r="N29" s="148">
        <v>23</v>
      </c>
      <c r="O29" s="148">
        <v>27</v>
      </c>
      <c r="P29" s="148">
        <v>32.69</v>
      </c>
      <c r="Q29" s="426"/>
      <c r="R29" s="150">
        <v>32.190682480051954</v>
      </c>
      <c r="S29" s="149">
        <v>43.83181194852687</v>
      </c>
      <c r="T29" s="148">
        <v>52.2</v>
      </c>
      <c r="U29" s="148">
        <v>64.2</v>
      </c>
      <c r="V29" s="148">
        <v>80.2</v>
      </c>
      <c r="W29" s="148">
        <v>86.1</v>
      </c>
      <c r="X29" s="148">
        <v>89.54</v>
      </c>
      <c r="Y29" s="426"/>
      <c r="Z29" s="150">
        <v>6.0379991845115208</v>
      </c>
      <c r="AA29" s="148">
        <v>8.4301802113778344</v>
      </c>
      <c r="AB29" s="148">
        <v>10.8</v>
      </c>
      <c r="AC29" s="148">
        <v>15.1</v>
      </c>
      <c r="AD29" s="148">
        <v>24</v>
      </c>
      <c r="AE29" s="148">
        <v>28.3</v>
      </c>
      <c r="AF29" s="148">
        <v>35</v>
      </c>
      <c r="AG29" s="426"/>
      <c r="AH29" s="150" t="s">
        <v>135</v>
      </c>
      <c r="AI29" s="149" t="s">
        <v>135</v>
      </c>
      <c r="AJ29" s="148" t="s">
        <v>135</v>
      </c>
      <c r="AK29" s="148">
        <v>55.2</v>
      </c>
      <c r="AL29" s="148">
        <v>74.400000000000006</v>
      </c>
      <c r="AM29" s="148">
        <v>80.8</v>
      </c>
      <c r="AN29" s="148">
        <v>84.38</v>
      </c>
      <c r="AO29" s="426"/>
      <c r="AP29" s="150" t="s">
        <v>135</v>
      </c>
      <c r="AQ29" s="148" t="s">
        <v>135</v>
      </c>
      <c r="AR29" s="148" t="s">
        <v>135</v>
      </c>
      <c r="AS29" s="148">
        <v>7.3</v>
      </c>
      <c r="AT29" s="148">
        <v>13.8</v>
      </c>
      <c r="AU29" s="148">
        <v>17.100000000000001</v>
      </c>
      <c r="AV29" s="148">
        <v>20.47</v>
      </c>
      <c r="AW29" s="148"/>
      <c r="AX29" s="151"/>
    </row>
    <row r="30" spans="1:50" ht="12.75" customHeight="1" x14ac:dyDescent="0.2">
      <c r="A30" s="218" t="s">
        <v>22</v>
      </c>
      <c r="B30" s="426" t="s">
        <v>136</v>
      </c>
      <c r="C30" s="426" t="s">
        <v>136</v>
      </c>
      <c r="D30" s="426">
        <v>46.1</v>
      </c>
      <c r="E30" s="426">
        <v>61.9</v>
      </c>
      <c r="F30" s="426">
        <v>73.8</v>
      </c>
      <c r="G30" s="426">
        <v>80.099999999999994</v>
      </c>
      <c r="H30" s="426">
        <v>84.57</v>
      </c>
      <c r="I30" s="426"/>
      <c r="J30" s="154" t="s">
        <v>136</v>
      </c>
      <c r="K30" s="153" t="s">
        <v>136</v>
      </c>
      <c r="L30" s="148">
        <v>9</v>
      </c>
      <c r="M30" s="148">
        <v>14</v>
      </c>
      <c r="N30" s="148">
        <v>20.3</v>
      </c>
      <c r="O30" s="148">
        <v>22.9</v>
      </c>
      <c r="P30" s="148">
        <v>26.17</v>
      </c>
      <c r="Q30" s="426"/>
      <c r="R30" s="154" t="s">
        <v>136</v>
      </c>
      <c r="S30" s="153" t="s">
        <v>136</v>
      </c>
      <c r="T30" s="148">
        <v>62.5</v>
      </c>
      <c r="U30" s="148">
        <v>74.400000000000006</v>
      </c>
      <c r="V30" s="148">
        <v>85.7</v>
      </c>
      <c r="W30" s="148">
        <v>89.3</v>
      </c>
      <c r="X30" s="148">
        <v>92.66</v>
      </c>
      <c r="Y30" s="426"/>
      <c r="Z30" s="154" t="s">
        <v>136</v>
      </c>
      <c r="AA30" s="153" t="s">
        <v>136</v>
      </c>
      <c r="AB30" s="148">
        <v>16.3</v>
      </c>
      <c r="AC30" s="148">
        <v>21.5</v>
      </c>
      <c r="AD30" s="148">
        <v>28.2</v>
      </c>
      <c r="AE30" s="148">
        <v>30.2</v>
      </c>
      <c r="AF30" s="148">
        <v>36.5</v>
      </c>
      <c r="AG30" s="426"/>
      <c r="AH30" s="154" t="s">
        <v>136</v>
      </c>
      <c r="AI30" s="153" t="s">
        <v>136</v>
      </c>
      <c r="AJ30" s="148" t="s">
        <v>135</v>
      </c>
      <c r="AK30" s="148">
        <v>76.400000000000006</v>
      </c>
      <c r="AL30" s="148">
        <v>91.5</v>
      </c>
      <c r="AM30" s="148">
        <v>94.2</v>
      </c>
      <c r="AN30" s="148">
        <v>92.92</v>
      </c>
      <c r="AO30" s="426"/>
      <c r="AP30" s="154" t="s">
        <v>136</v>
      </c>
      <c r="AQ30" s="153" t="s">
        <v>136</v>
      </c>
      <c r="AR30" s="148" t="s">
        <v>135</v>
      </c>
      <c r="AS30" s="148">
        <v>11.4</v>
      </c>
      <c r="AT30" s="148">
        <v>14</v>
      </c>
      <c r="AU30" s="148">
        <v>15.2</v>
      </c>
      <c r="AV30" s="148">
        <v>21</v>
      </c>
      <c r="AW30" s="148"/>
      <c r="AX30" s="151"/>
    </row>
    <row r="31" spans="1:50" ht="12.75" customHeight="1" x14ac:dyDescent="0.2">
      <c r="A31" s="218" t="s">
        <v>23</v>
      </c>
      <c r="B31" s="426">
        <v>30.530258302583025</v>
      </c>
      <c r="C31" s="426">
        <v>40.745676765050057</v>
      </c>
      <c r="D31" s="426">
        <v>48.6</v>
      </c>
      <c r="E31" s="426">
        <v>59.5</v>
      </c>
      <c r="F31" s="426">
        <v>73.7</v>
      </c>
      <c r="G31" s="426">
        <v>79.7</v>
      </c>
      <c r="H31" s="426">
        <v>84.72</v>
      </c>
      <c r="I31" s="426"/>
      <c r="J31" s="150">
        <v>4.4963099630996313</v>
      </c>
      <c r="K31" s="148">
        <v>5.5746976986087633</v>
      </c>
      <c r="L31" s="148">
        <v>7.2</v>
      </c>
      <c r="M31" s="148">
        <v>10</v>
      </c>
      <c r="N31" s="148">
        <v>15.8</v>
      </c>
      <c r="O31" s="148">
        <v>17.7</v>
      </c>
      <c r="P31" s="148">
        <v>21.67</v>
      </c>
      <c r="Q31" s="426"/>
      <c r="R31" s="150">
        <v>30.725877994051036</v>
      </c>
      <c r="S31" s="149">
        <v>40.923653211099605</v>
      </c>
      <c r="T31" s="148">
        <v>48.7</v>
      </c>
      <c r="U31" s="148">
        <v>59.6</v>
      </c>
      <c r="V31" s="148">
        <v>74.599999999999994</v>
      </c>
      <c r="W31" s="148">
        <v>80.900000000000006</v>
      </c>
      <c r="X31" s="148">
        <v>86.58</v>
      </c>
      <c r="Y31" s="426"/>
      <c r="Z31" s="150">
        <v>4.5314258876853462</v>
      </c>
      <c r="AA31" s="148">
        <v>5.6105935893012635</v>
      </c>
      <c r="AB31" s="148">
        <v>7.2</v>
      </c>
      <c r="AC31" s="148">
        <v>10</v>
      </c>
      <c r="AD31" s="148">
        <v>16.100000000000001</v>
      </c>
      <c r="AE31" s="148">
        <v>18</v>
      </c>
      <c r="AF31" s="148">
        <v>22.31</v>
      </c>
      <c r="AG31" s="426"/>
      <c r="AH31" s="150" t="s">
        <v>135</v>
      </c>
      <c r="AI31" s="149" t="s">
        <v>135</v>
      </c>
      <c r="AJ31" s="148" t="s">
        <v>135</v>
      </c>
      <c r="AK31" s="148">
        <v>52.7</v>
      </c>
      <c r="AL31" s="148">
        <v>74.400000000000006</v>
      </c>
      <c r="AM31" s="148">
        <v>82.8</v>
      </c>
      <c r="AN31" s="148">
        <v>82.55</v>
      </c>
      <c r="AO31" s="426"/>
      <c r="AP31" s="150" t="s">
        <v>135</v>
      </c>
      <c r="AQ31" s="148" t="s">
        <v>135</v>
      </c>
      <c r="AR31" s="148" t="s">
        <v>135</v>
      </c>
      <c r="AS31" s="148">
        <v>3.5</v>
      </c>
      <c r="AT31" s="148">
        <v>15.2</v>
      </c>
      <c r="AU31" s="148">
        <v>15.8</v>
      </c>
      <c r="AV31" s="148">
        <v>22.45</v>
      </c>
      <c r="AW31" s="148"/>
      <c r="AX31" s="151"/>
    </row>
    <row r="32" spans="1:50" ht="12.75" customHeight="1" x14ac:dyDescent="0.2">
      <c r="A32" s="218" t="s">
        <v>33</v>
      </c>
      <c r="B32" s="426">
        <v>29.350010882228684</v>
      </c>
      <c r="C32" s="426">
        <v>39.978000488878024</v>
      </c>
      <c r="D32" s="426">
        <v>47.8</v>
      </c>
      <c r="E32" s="426">
        <v>59.2</v>
      </c>
      <c r="F32" s="426">
        <v>74.400000000000006</v>
      </c>
      <c r="G32" s="426">
        <v>81</v>
      </c>
      <c r="H32" s="426">
        <v>87.15</v>
      </c>
      <c r="I32" s="426"/>
      <c r="J32" s="150">
        <v>4.8262684197723695</v>
      </c>
      <c r="K32" s="148">
        <v>6.2545832314837444</v>
      </c>
      <c r="L32" s="148">
        <v>7.5</v>
      </c>
      <c r="M32" s="148">
        <v>11</v>
      </c>
      <c r="N32" s="148">
        <v>17.5</v>
      </c>
      <c r="O32" s="148">
        <v>19.8</v>
      </c>
      <c r="P32" s="148">
        <v>24.37</v>
      </c>
      <c r="Q32" s="426"/>
      <c r="R32" s="150">
        <v>29.880665123684775</v>
      </c>
      <c r="S32" s="149">
        <v>40.602667750863972</v>
      </c>
      <c r="T32" s="148">
        <v>48.5</v>
      </c>
      <c r="U32" s="148">
        <v>60.1</v>
      </c>
      <c r="V32" s="148">
        <v>75.2</v>
      </c>
      <c r="W32" s="148">
        <v>81.7</v>
      </c>
      <c r="X32" s="148">
        <v>87.85</v>
      </c>
      <c r="Y32" s="426"/>
      <c r="Z32" s="150">
        <v>4.931632770309089</v>
      </c>
      <c r="AA32" s="148">
        <v>6.3628829223287307</v>
      </c>
      <c r="AB32" s="148">
        <v>7.7</v>
      </c>
      <c r="AC32" s="148">
        <v>11.3</v>
      </c>
      <c r="AD32" s="148">
        <v>17.899999999999999</v>
      </c>
      <c r="AE32" s="148">
        <v>20.3</v>
      </c>
      <c r="AF32" s="148">
        <v>25.1</v>
      </c>
      <c r="AG32" s="426"/>
      <c r="AH32" s="150" t="s">
        <v>135</v>
      </c>
      <c r="AI32" s="149" t="s">
        <v>135</v>
      </c>
      <c r="AJ32" s="148" t="s">
        <v>135</v>
      </c>
      <c r="AK32" s="148">
        <v>61</v>
      </c>
      <c r="AL32" s="148">
        <v>80.3</v>
      </c>
      <c r="AM32" s="148">
        <v>80.900000000000006</v>
      </c>
      <c r="AN32" s="148">
        <v>91.15</v>
      </c>
      <c r="AO32" s="426"/>
      <c r="AP32" s="150" t="s">
        <v>135</v>
      </c>
      <c r="AQ32" s="148" t="s">
        <v>135</v>
      </c>
      <c r="AR32" s="148" t="s">
        <v>135</v>
      </c>
      <c r="AS32" s="148">
        <v>10.199999999999999</v>
      </c>
      <c r="AT32" s="148">
        <v>17.399999999999999</v>
      </c>
      <c r="AU32" s="148">
        <v>18.399999999999999</v>
      </c>
      <c r="AV32" s="148">
        <v>33.19</v>
      </c>
      <c r="AW32" s="148"/>
      <c r="AX32" s="151"/>
    </row>
    <row r="33" spans="1:50" ht="12.75" customHeight="1" x14ac:dyDescent="0.2">
      <c r="A33" s="218" t="s">
        <v>35</v>
      </c>
      <c r="B33" s="426">
        <v>35.634611877697402</v>
      </c>
      <c r="C33" s="426">
        <v>46.50005351600128</v>
      </c>
      <c r="D33" s="426">
        <v>53.3</v>
      </c>
      <c r="E33" s="426">
        <v>65.2</v>
      </c>
      <c r="F33" s="426">
        <v>75.5</v>
      </c>
      <c r="G33" s="426">
        <v>78.8</v>
      </c>
      <c r="H33" s="426">
        <v>80.66</v>
      </c>
      <c r="I33" s="426"/>
      <c r="J33" s="150">
        <v>6.6926022734180286</v>
      </c>
      <c r="K33" s="148">
        <v>7.5885689821256559</v>
      </c>
      <c r="L33" s="148">
        <v>8.3000000000000007</v>
      </c>
      <c r="M33" s="148">
        <v>10.8</v>
      </c>
      <c r="N33" s="148">
        <v>14.4</v>
      </c>
      <c r="O33" s="148">
        <v>15.3</v>
      </c>
      <c r="P33" s="148">
        <v>18.16</v>
      </c>
      <c r="Q33" s="426"/>
      <c r="R33" s="150">
        <v>36.921432900570991</v>
      </c>
      <c r="S33" s="149">
        <v>48.298820741409472</v>
      </c>
      <c r="T33" s="148">
        <v>55.2</v>
      </c>
      <c r="U33" s="148">
        <v>66.900000000000006</v>
      </c>
      <c r="V33" s="148">
        <v>76.900000000000006</v>
      </c>
      <c r="W33" s="148">
        <v>80.900000000000006</v>
      </c>
      <c r="X33" s="148">
        <v>83.87</v>
      </c>
      <c r="Y33" s="426"/>
      <c r="Z33" s="150">
        <v>6.9683243484640656</v>
      </c>
      <c r="AA33" s="148">
        <v>7.944478925689781</v>
      </c>
      <c r="AB33" s="148">
        <v>8.6999999999999993</v>
      </c>
      <c r="AC33" s="148">
        <v>11.2</v>
      </c>
      <c r="AD33" s="148">
        <v>14.9</v>
      </c>
      <c r="AE33" s="148">
        <v>15.9</v>
      </c>
      <c r="AF33" s="148">
        <v>19.329999999999998</v>
      </c>
      <c r="AG33" s="426"/>
      <c r="AH33" s="150" t="s">
        <v>135</v>
      </c>
      <c r="AI33" s="149" t="s">
        <v>135</v>
      </c>
      <c r="AJ33" s="148" t="s">
        <v>135</v>
      </c>
      <c r="AK33" s="148">
        <v>36.200000000000003</v>
      </c>
      <c r="AL33" s="148">
        <v>61.4</v>
      </c>
      <c r="AM33" s="148">
        <v>70.8</v>
      </c>
      <c r="AN33" s="148">
        <v>78.930000000000007</v>
      </c>
      <c r="AO33" s="426"/>
      <c r="AP33" s="150" t="s">
        <v>135</v>
      </c>
      <c r="AQ33" s="148" t="s">
        <v>135</v>
      </c>
      <c r="AR33" s="148" t="s">
        <v>135</v>
      </c>
      <c r="AS33" s="148">
        <v>3.6</v>
      </c>
      <c r="AT33" s="148">
        <v>8</v>
      </c>
      <c r="AU33" s="148">
        <v>9</v>
      </c>
      <c r="AV33" s="148">
        <v>12.02</v>
      </c>
      <c r="AW33" s="148"/>
      <c r="AX33" s="151"/>
    </row>
    <row r="34" spans="1:50" ht="12.75" customHeight="1" x14ac:dyDescent="0.2">
      <c r="A34" s="218" t="s">
        <v>38</v>
      </c>
      <c r="B34" s="426">
        <v>23.764560609178844</v>
      </c>
      <c r="C34" s="426">
        <v>35.581220266222431</v>
      </c>
      <c r="D34" s="426">
        <v>45.5</v>
      </c>
      <c r="E34" s="426">
        <v>55.2</v>
      </c>
      <c r="F34" s="426">
        <v>68.900000000000006</v>
      </c>
      <c r="G34" s="426">
        <v>75.099999999999994</v>
      </c>
      <c r="H34" s="426">
        <v>78.849999999999994</v>
      </c>
      <c r="I34" s="426"/>
      <c r="J34" s="150">
        <v>4.5239761267750564</v>
      </c>
      <c r="K34" s="148">
        <v>7.1457175351198954</v>
      </c>
      <c r="L34" s="148">
        <v>9.8000000000000007</v>
      </c>
      <c r="M34" s="148">
        <v>12.7</v>
      </c>
      <c r="N34" s="148">
        <v>17.600000000000001</v>
      </c>
      <c r="O34" s="148">
        <v>20.399999999999999</v>
      </c>
      <c r="P34" s="148">
        <v>23.45</v>
      </c>
      <c r="Q34" s="426"/>
      <c r="R34" s="150">
        <v>24.989640183743465</v>
      </c>
      <c r="S34" s="149">
        <v>36.877471026419833</v>
      </c>
      <c r="T34" s="148">
        <v>47.3</v>
      </c>
      <c r="U34" s="148">
        <v>57.2</v>
      </c>
      <c r="V34" s="148">
        <v>73.400000000000006</v>
      </c>
      <c r="W34" s="148">
        <v>78.599999999999994</v>
      </c>
      <c r="X34" s="148">
        <v>83.31</v>
      </c>
      <c r="Y34" s="426"/>
      <c r="Z34" s="150">
        <v>4.8029871538278419</v>
      </c>
      <c r="AA34" s="148">
        <v>7.5068297897612544</v>
      </c>
      <c r="AB34" s="148">
        <v>10.3</v>
      </c>
      <c r="AC34" s="148">
        <v>13.4</v>
      </c>
      <c r="AD34" s="148">
        <v>20.100000000000001</v>
      </c>
      <c r="AE34" s="148">
        <v>23.4</v>
      </c>
      <c r="AF34" s="148">
        <v>28</v>
      </c>
      <c r="AG34" s="426"/>
      <c r="AH34" s="150" t="s">
        <v>135</v>
      </c>
      <c r="AI34" s="149" t="s">
        <v>135</v>
      </c>
      <c r="AJ34" s="148" t="s">
        <v>135</v>
      </c>
      <c r="AK34" s="148">
        <v>41.3</v>
      </c>
      <c r="AL34" s="148">
        <v>62.8</v>
      </c>
      <c r="AM34" s="148">
        <v>74.7</v>
      </c>
      <c r="AN34" s="148">
        <v>79.37</v>
      </c>
      <c r="AO34" s="426"/>
      <c r="AP34" s="150" t="s">
        <v>135</v>
      </c>
      <c r="AQ34" s="148" t="s">
        <v>135</v>
      </c>
      <c r="AR34" s="148" t="s">
        <v>135</v>
      </c>
      <c r="AS34" s="148">
        <v>6.9</v>
      </c>
      <c r="AT34" s="148">
        <v>10.3</v>
      </c>
      <c r="AU34" s="148">
        <v>14.2</v>
      </c>
      <c r="AV34" s="148">
        <v>18.8</v>
      </c>
      <c r="AW34" s="148"/>
      <c r="AX34" s="151"/>
    </row>
    <row r="35" spans="1:50" ht="12.75" customHeight="1" x14ac:dyDescent="0.2">
      <c r="A35" s="218" t="s">
        <v>42</v>
      </c>
      <c r="B35" s="426">
        <v>33.067500471936981</v>
      </c>
      <c r="C35" s="426">
        <v>43.056927828183312</v>
      </c>
      <c r="D35" s="426">
        <v>48.4</v>
      </c>
      <c r="E35" s="426">
        <v>60</v>
      </c>
      <c r="F35" s="426">
        <v>75.599999999999994</v>
      </c>
      <c r="G35" s="426">
        <v>81.5</v>
      </c>
      <c r="H35" s="426">
        <v>85.13</v>
      </c>
      <c r="I35" s="426"/>
      <c r="J35" s="150">
        <v>5.506980172654024</v>
      </c>
      <c r="K35" s="148">
        <v>6.8304360345304573</v>
      </c>
      <c r="L35" s="148">
        <v>8.5</v>
      </c>
      <c r="M35" s="148">
        <v>11.8</v>
      </c>
      <c r="N35" s="148">
        <v>17.899999999999999</v>
      </c>
      <c r="O35" s="148">
        <v>20.6</v>
      </c>
      <c r="P35" s="148">
        <v>25.08</v>
      </c>
      <c r="Q35" s="426"/>
      <c r="R35" s="150">
        <v>33.217090961423388</v>
      </c>
      <c r="S35" s="149">
        <v>43.199908574040741</v>
      </c>
      <c r="T35" s="148">
        <v>48.6</v>
      </c>
      <c r="U35" s="148">
        <v>60.3</v>
      </c>
      <c r="V35" s="148">
        <v>76.099999999999994</v>
      </c>
      <c r="W35" s="148">
        <v>82.3</v>
      </c>
      <c r="X35" s="148">
        <v>87.11</v>
      </c>
      <c r="Y35" s="426"/>
      <c r="Z35" s="150">
        <v>5.5384289101141464</v>
      </c>
      <c r="AA35" s="148">
        <v>6.8598040055998402</v>
      </c>
      <c r="AB35" s="148">
        <v>8.5</v>
      </c>
      <c r="AC35" s="148">
        <v>11.8</v>
      </c>
      <c r="AD35" s="148">
        <v>17.899999999999999</v>
      </c>
      <c r="AE35" s="148">
        <v>20.8</v>
      </c>
      <c r="AF35" s="148">
        <v>25.71</v>
      </c>
      <c r="AG35" s="426"/>
      <c r="AH35" s="150" t="s">
        <v>135</v>
      </c>
      <c r="AI35" s="149" t="s">
        <v>135</v>
      </c>
      <c r="AJ35" s="148" t="s">
        <v>135</v>
      </c>
      <c r="AK35" s="148">
        <v>42.8</v>
      </c>
      <c r="AL35" s="148">
        <v>68</v>
      </c>
      <c r="AM35" s="148">
        <v>75</v>
      </c>
      <c r="AN35" s="148">
        <v>79.77</v>
      </c>
      <c r="AO35" s="426"/>
      <c r="AP35" s="150" t="s">
        <v>135</v>
      </c>
      <c r="AQ35" s="148" t="s">
        <v>135</v>
      </c>
      <c r="AR35" s="148" t="s">
        <v>135</v>
      </c>
      <c r="AS35" s="148">
        <v>7</v>
      </c>
      <c r="AT35" s="148">
        <v>12.2</v>
      </c>
      <c r="AU35" s="148">
        <v>15.2</v>
      </c>
      <c r="AV35" s="148">
        <v>17.8</v>
      </c>
      <c r="AW35" s="148"/>
      <c r="AX35" s="151"/>
    </row>
    <row r="36" spans="1:50" ht="12.75" customHeight="1" x14ac:dyDescent="0.2">
      <c r="A36" s="223" t="s">
        <v>46</v>
      </c>
      <c r="B36" s="428">
        <v>36.996679393772638</v>
      </c>
      <c r="C36" s="428">
        <v>49.903572276287683</v>
      </c>
      <c r="D36" s="428">
        <v>55.8</v>
      </c>
      <c r="E36" s="428">
        <v>67.3</v>
      </c>
      <c r="F36" s="428">
        <v>80</v>
      </c>
      <c r="G36" s="428">
        <v>85.1</v>
      </c>
      <c r="H36" s="428">
        <v>87.73</v>
      </c>
      <c r="I36" s="428"/>
      <c r="J36" s="150">
        <v>6.1527328099263885</v>
      </c>
      <c r="K36" s="148">
        <v>7.770591027771184</v>
      </c>
      <c r="L36" s="148">
        <v>10.199999999999999</v>
      </c>
      <c r="M36" s="148">
        <v>14</v>
      </c>
      <c r="N36" s="148">
        <v>19.899999999999999</v>
      </c>
      <c r="O36" s="148">
        <v>22.3</v>
      </c>
      <c r="P36" s="148">
        <v>26.13</v>
      </c>
      <c r="Q36" s="428"/>
      <c r="R36" s="150">
        <v>37.258132802398364</v>
      </c>
      <c r="S36" s="149">
        <v>50.162222524031577</v>
      </c>
      <c r="T36" s="148">
        <v>56.1</v>
      </c>
      <c r="U36" s="148">
        <v>67.599999999999994</v>
      </c>
      <c r="V36" s="148">
        <v>80.900000000000006</v>
      </c>
      <c r="W36" s="148">
        <v>86.2</v>
      </c>
      <c r="X36" s="148">
        <v>89.86</v>
      </c>
      <c r="Y36" s="428"/>
      <c r="Z36" s="150">
        <v>6.2072095781889471</v>
      </c>
      <c r="AA36" s="148">
        <v>7.8591153968038396</v>
      </c>
      <c r="AB36" s="148">
        <v>10.199999999999999</v>
      </c>
      <c r="AC36" s="148">
        <v>14</v>
      </c>
      <c r="AD36" s="148">
        <v>20.2</v>
      </c>
      <c r="AE36" s="148">
        <v>22.7</v>
      </c>
      <c r="AF36" s="148">
        <v>27.1</v>
      </c>
      <c r="AG36" s="428"/>
      <c r="AH36" s="150" t="s">
        <v>135</v>
      </c>
      <c r="AI36" s="149" t="s">
        <v>135</v>
      </c>
      <c r="AJ36" s="148" t="s">
        <v>135</v>
      </c>
      <c r="AK36" s="148">
        <v>45.4</v>
      </c>
      <c r="AL36" s="148">
        <v>69.7</v>
      </c>
      <c r="AM36" s="148">
        <v>77</v>
      </c>
      <c r="AN36" s="148">
        <v>83.18</v>
      </c>
      <c r="AO36" s="428"/>
      <c r="AP36" s="150" t="s">
        <v>135</v>
      </c>
      <c r="AQ36" s="148" t="s">
        <v>135</v>
      </c>
      <c r="AR36" s="148" t="s">
        <v>135</v>
      </c>
      <c r="AS36" s="148">
        <v>8.6</v>
      </c>
      <c r="AT36" s="148">
        <v>13.9</v>
      </c>
      <c r="AU36" s="148">
        <v>15.9</v>
      </c>
      <c r="AV36" s="148">
        <v>19.77</v>
      </c>
      <c r="AW36" s="148"/>
      <c r="AX36" s="151"/>
    </row>
    <row r="37" spans="1:50" ht="12.75" customHeight="1" x14ac:dyDescent="0.2">
      <c r="A37" s="223" t="s">
        <v>48</v>
      </c>
      <c r="B37" s="428">
        <v>33.614877240969896</v>
      </c>
      <c r="C37" s="428">
        <v>44.971475976596047</v>
      </c>
      <c r="D37" s="428">
        <v>51.5</v>
      </c>
      <c r="E37" s="428">
        <v>63.5</v>
      </c>
      <c r="F37" s="428">
        <v>77.599999999999994</v>
      </c>
      <c r="G37" s="428">
        <v>83.8</v>
      </c>
      <c r="H37" s="428">
        <v>87.08</v>
      </c>
      <c r="I37" s="428"/>
      <c r="J37" s="150">
        <v>5.5846012515428241</v>
      </c>
      <c r="K37" s="148">
        <v>7.4140533349900783</v>
      </c>
      <c r="L37" s="148">
        <v>9.3000000000000007</v>
      </c>
      <c r="M37" s="148">
        <v>12.7</v>
      </c>
      <c r="N37" s="148">
        <v>19</v>
      </c>
      <c r="O37" s="148">
        <v>22.9</v>
      </c>
      <c r="P37" s="148">
        <v>27.73</v>
      </c>
      <c r="Q37" s="428"/>
      <c r="R37" s="150">
        <v>33.820676109132364</v>
      </c>
      <c r="S37" s="149">
        <v>45.362954535247532</v>
      </c>
      <c r="T37" s="148">
        <v>51.9</v>
      </c>
      <c r="U37" s="148">
        <v>63.9</v>
      </c>
      <c r="V37" s="148">
        <v>78.3</v>
      </c>
      <c r="W37" s="148">
        <v>85</v>
      </c>
      <c r="X37" s="148">
        <v>89.26</v>
      </c>
      <c r="Y37" s="428"/>
      <c r="Z37" s="150">
        <v>5.6396350002345139</v>
      </c>
      <c r="AA37" s="148">
        <v>7.5068489049237268</v>
      </c>
      <c r="AB37" s="148">
        <v>9.4</v>
      </c>
      <c r="AC37" s="148">
        <v>12.8</v>
      </c>
      <c r="AD37" s="148">
        <v>19.100000000000001</v>
      </c>
      <c r="AE37" s="148">
        <v>23.3</v>
      </c>
      <c r="AF37" s="148">
        <v>28.55</v>
      </c>
      <c r="AG37" s="428"/>
      <c r="AH37" s="150" t="s">
        <v>135</v>
      </c>
      <c r="AI37" s="149" t="s">
        <v>135</v>
      </c>
      <c r="AJ37" s="148" t="s">
        <v>135</v>
      </c>
      <c r="AK37" s="148">
        <v>48.6</v>
      </c>
      <c r="AL37" s="148">
        <v>72.599999999999994</v>
      </c>
      <c r="AM37" s="148">
        <v>81.2</v>
      </c>
      <c r="AN37" s="148">
        <v>83.95</v>
      </c>
      <c r="AO37" s="428"/>
      <c r="AP37" s="150" t="s">
        <v>135</v>
      </c>
      <c r="AQ37" s="148" t="s">
        <v>135</v>
      </c>
      <c r="AR37" s="148" t="s">
        <v>135</v>
      </c>
      <c r="AS37" s="148">
        <v>5.6</v>
      </c>
      <c r="AT37" s="148">
        <v>12.7</v>
      </c>
      <c r="AU37" s="148">
        <v>15.4</v>
      </c>
      <c r="AV37" s="148">
        <v>19.37</v>
      </c>
      <c r="AW37" s="148"/>
      <c r="AX37" s="151"/>
    </row>
    <row r="38" spans="1:50" ht="12.75" customHeight="1" x14ac:dyDescent="0.2">
      <c r="A38" s="222" t="s">
        <v>50</v>
      </c>
      <c r="B38" s="427">
        <v>32.913939501149834</v>
      </c>
      <c r="C38" s="427">
        <v>44.356390437987152</v>
      </c>
      <c r="D38" s="427">
        <v>52</v>
      </c>
      <c r="E38" s="427">
        <v>62.9</v>
      </c>
      <c r="F38" s="427">
        <v>77.900000000000006</v>
      </c>
      <c r="G38" s="427">
        <v>83</v>
      </c>
      <c r="H38" s="427">
        <v>87.86</v>
      </c>
      <c r="I38" s="427"/>
      <c r="J38" s="157">
        <v>5.1322306739784187</v>
      </c>
      <c r="K38" s="155">
        <v>7.3280500929458956</v>
      </c>
      <c r="L38" s="155">
        <v>8.6999999999999993</v>
      </c>
      <c r="M38" s="155">
        <v>11.8</v>
      </c>
      <c r="N38" s="155">
        <v>17.2</v>
      </c>
      <c r="O38" s="155">
        <v>18.8</v>
      </c>
      <c r="P38" s="155">
        <v>21.91</v>
      </c>
      <c r="Q38" s="427"/>
      <c r="R38" s="157">
        <v>33.203983670539678</v>
      </c>
      <c r="S38" s="156">
        <v>44.748707068028118</v>
      </c>
      <c r="T38" s="155">
        <v>52.4</v>
      </c>
      <c r="U38" s="155">
        <v>63.2</v>
      </c>
      <c r="V38" s="155">
        <v>78.8</v>
      </c>
      <c r="W38" s="155">
        <v>83.9</v>
      </c>
      <c r="X38" s="155">
        <v>88.77</v>
      </c>
      <c r="Y38" s="427"/>
      <c r="Z38" s="157">
        <v>5.1889402299881864</v>
      </c>
      <c r="AA38" s="155">
        <v>7.4061795517835831</v>
      </c>
      <c r="AB38" s="155">
        <v>8.8000000000000007</v>
      </c>
      <c r="AC38" s="155">
        <v>11.9</v>
      </c>
      <c r="AD38" s="155">
        <v>17.600000000000001</v>
      </c>
      <c r="AE38" s="155">
        <v>19.3</v>
      </c>
      <c r="AF38" s="155">
        <v>22.59</v>
      </c>
      <c r="AG38" s="427"/>
      <c r="AH38" s="157" t="s">
        <v>135</v>
      </c>
      <c r="AI38" s="156" t="s">
        <v>135</v>
      </c>
      <c r="AJ38" s="155" t="s">
        <v>135</v>
      </c>
      <c r="AK38" s="155">
        <v>43.5</v>
      </c>
      <c r="AL38" s="155">
        <v>75.400000000000006</v>
      </c>
      <c r="AM38" s="155">
        <v>81.2</v>
      </c>
      <c r="AN38" s="155">
        <v>86.66</v>
      </c>
      <c r="AO38" s="427"/>
      <c r="AP38" s="157" t="s">
        <v>135</v>
      </c>
      <c r="AQ38" s="155" t="s">
        <v>135</v>
      </c>
      <c r="AR38" s="155" t="s">
        <v>135</v>
      </c>
      <c r="AS38" s="155">
        <v>4.0999999999999996</v>
      </c>
      <c r="AT38" s="155">
        <v>9.8000000000000007</v>
      </c>
      <c r="AU38" s="155">
        <v>9.5</v>
      </c>
      <c r="AV38" s="155">
        <v>18.64</v>
      </c>
      <c r="AW38" s="155"/>
      <c r="AX38" s="151"/>
    </row>
    <row r="39" spans="1:50" ht="12.75" customHeight="1" x14ac:dyDescent="0.2">
      <c r="A39" s="218" t="s">
        <v>183</v>
      </c>
      <c r="B39" s="426">
        <v>24.955776040395676</v>
      </c>
      <c r="C39" s="426">
        <v>35.43010823967613</v>
      </c>
      <c r="D39" s="426">
        <v>41.714596542971719</v>
      </c>
      <c r="E39" s="426">
        <v>53.701022088441377</v>
      </c>
      <c r="F39" s="426">
        <v>68</v>
      </c>
      <c r="G39" s="426">
        <v>77.099999999999994</v>
      </c>
      <c r="H39" s="426">
        <v>83.467056256605105</v>
      </c>
      <c r="I39" s="426"/>
      <c r="J39" s="150">
        <v>4.2297763335059733</v>
      </c>
      <c r="K39" s="148">
        <v>5.6283617742915366</v>
      </c>
      <c r="L39" s="148">
        <v>6.8768128769494741</v>
      </c>
      <c r="M39" s="148">
        <v>9.6174841163492779</v>
      </c>
      <c r="N39" s="148">
        <v>14.729637717921809</v>
      </c>
      <c r="O39" s="148">
        <v>18.399999999999999</v>
      </c>
      <c r="P39" s="148">
        <v>22.910526509529198</v>
      </c>
      <c r="Q39" s="426"/>
      <c r="R39" s="150">
        <v>25.44162010665017</v>
      </c>
      <c r="S39" s="148">
        <v>36.237570308330255</v>
      </c>
      <c r="T39" s="148">
        <v>42.773748263919245</v>
      </c>
      <c r="U39" s="148">
        <v>54.990299464403755</v>
      </c>
      <c r="V39" s="148">
        <v>69.3</v>
      </c>
      <c r="W39" s="148">
        <v>78.607847900994614</v>
      </c>
      <c r="X39" s="148">
        <v>85.272768798360545</v>
      </c>
      <c r="Y39" s="426"/>
      <c r="Z39" s="150">
        <v>4.3237231176323077</v>
      </c>
      <c r="AA39" s="148">
        <v>5.791517838814304</v>
      </c>
      <c r="AB39" s="148">
        <v>7.1148002814190159</v>
      </c>
      <c r="AC39" s="148">
        <v>9.9709693666508574</v>
      </c>
      <c r="AD39" s="148">
        <v>15.2</v>
      </c>
      <c r="AE39" s="148">
        <v>23.91184828310044</v>
      </c>
      <c r="AF39" s="148">
        <v>23.686332730400512</v>
      </c>
      <c r="AG39" s="426"/>
      <c r="AH39" s="150">
        <v>12.598030430551239</v>
      </c>
      <c r="AI39" s="148">
        <v>20.159712408963152</v>
      </c>
      <c r="AJ39" s="148">
        <v>26.067791207039644</v>
      </c>
      <c r="AK39" s="148">
        <v>36.490209959882606</v>
      </c>
      <c r="AL39" s="148">
        <v>54.9</v>
      </c>
      <c r="AM39" s="148">
        <v>65.3</v>
      </c>
      <c r="AN39" s="148">
        <v>73.885239661997943</v>
      </c>
      <c r="AO39" s="426"/>
      <c r="AP39" s="150">
        <v>1.8401477290514896</v>
      </c>
      <c r="AQ39" s="148">
        <v>2.5428203177166639</v>
      </c>
      <c r="AR39" s="148">
        <v>3.3610346211134381</v>
      </c>
      <c r="AS39" s="148">
        <v>4.028120636123508</v>
      </c>
      <c r="AT39" s="148">
        <v>7.9</v>
      </c>
      <c r="AU39" s="148">
        <v>10.4</v>
      </c>
      <c r="AV39" s="148">
        <v>13.267898437163893</v>
      </c>
      <c r="AW39" s="148"/>
      <c r="AX39" s="151"/>
    </row>
    <row r="40" spans="1:50" ht="12.75" customHeight="1" x14ac:dyDescent="0.2">
      <c r="A40" s="218" t="s">
        <v>181</v>
      </c>
      <c r="B40" s="426"/>
      <c r="C40" s="426"/>
      <c r="D40" s="426"/>
      <c r="E40" s="426"/>
      <c r="F40" s="426"/>
      <c r="G40" s="426"/>
      <c r="H40" s="426"/>
      <c r="I40" s="426"/>
      <c r="J40" s="152"/>
      <c r="K40" s="151"/>
      <c r="L40" s="151"/>
      <c r="M40" s="151"/>
      <c r="N40" s="151"/>
      <c r="O40" s="151"/>
      <c r="P40" s="151"/>
      <c r="Q40" s="426"/>
      <c r="R40" s="152"/>
      <c r="Y40" s="426"/>
      <c r="Z40" s="152"/>
      <c r="AA40" s="151"/>
      <c r="AB40" s="151"/>
      <c r="AC40" s="151"/>
      <c r="AD40" s="151"/>
      <c r="AE40" s="151"/>
      <c r="AF40" s="151"/>
      <c r="AG40" s="426"/>
      <c r="AH40" s="152"/>
      <c r="AO40" s="426"/>
      <c r="AP40" s="152"/>
      <c r="AQ40" s="151"/>
      <c r="AR40" s="151"/>
      <c r="AS40" s="151"/>
      <c r="AT40" s="151"/>
      <c r="AU40" s="151"/>
      <c r="AV40" s="151"/>
      <c r="AW40" s="151"/>
      <c r="AX40" s="151"/>
    </row>
    <row r="41" spans="1:50" ht="12.75" customHeight="1" x14ac:dyDescent="0.2">
      <c r="A41" s="218" t="s">
        <v>24</v>
      </c>
      <c r="B41" s="426">
        <v>24.309785831533461</v>
      </c>
      <c r="C41" s="426">
        <v>35.075429338009876</v>
      </c>
      <c r="D41" s="426">
        <v>40.4</v>
      </c>
      <c r="E41" s="426">
        <v>52.6</v>
      </c>
      <c r="F41" s="426">
        <v>66.5</v>
      </c>
      <c r="G41" s="426">
        <v>76.2</v>
      </c>
      <c r="H41" s="426">
        <v>81.430000000000007</v>
      </c>
      <c r="I41" s="426"/>
      <c r="J41" s="150">
        <v>4.5248969980128058</v>
      </c>
      <c r="K41" s="148">
        <v>6.0721308847621387</v>
      </c>
      <c r="L41" s="148">
        <v>7.3</v>
      </c>
      <c r="M41" s="148">
        <v>10.3</v>
      </c>
      <c r="N41" s="148">
        <v>16.2</v>
      </c>
      <c r="O41" s="148">
        <v>21</v>
      </c>
      <c r="P41" s="148">
        <v>26.06</v>
      </c>
      <c r="Q41" s="426"/>
      <c r="R41" s="150">
        <v>24.847717646354578</v>
      </c>
      <c r="S41" s="149">
        <v>36.042232420210112</v>
      </c>
      <c r="T41" s="148">
        <v>41.7</v>
      </c>
      <c r="U41" s="148">
        <v>54.3</v>
      </c>
      <c r="V41" s="148">
        <v>68.7</v>
      </c>
      <c r="W41" s="148">
        <v>79.099999999999994</v>
      </c>
      <c r="X41" s="148">
        <v>84.96</v>
      </c>
      <c r="Y41" s="426"/>
      <c r="Z41" s="150">
        <v>4.654850873552058</v>
      </c>
      <c r="AA41" s="148">
        <v>6.3218042143990418</v>
      </c>
      <c r="AB41" s="148">
        <v>7.7</v>
      </c>
      <c r="AC41" s="148">
        <v>10.9</v>
      </c>
      <c r="AD41" s="148">
        <v>17</v>
      </c>
      <c r="AE41" s="148">
        <v>22.4</v>
      </c>
      <c r="AF41" s="148">
        <v>27.82</v>
      </c>
      <c r="AG41" s="426"/>
      <c r="AH41" s="150">
        <v>14.136655165668479</v>
      </c>
      <c r="AI41" s="149">
        <v>22.629196230011651</v>
      </c>
      <c r="AJ41" s="148">
        <v>27.417455119659333</v>
      </c>
      <c r="AK41" s="148">
        <v>38.200000000000003</v>
      </c>
      <c r="AL41" s="148">
        <v>54.6</v>
      </c>
      <c r="AM41" s="148">
        <v>65.2</v>
      </c>
      <c r="AN41" s="148">
        <v>73.02</v>
      </c>
      <c r="AO41" s="426"/>
      <c r="AP41" s="150">
        <v>2.0672662723863668</v>
      </c>
      <c r="AQ41" s="148">
        <v>2.8579370962617814</v>
      </c>
      <c r="AR41" s="148">
        <v>3.5408735140812131</v>
      </c>
      <c r="AS41" s="148">
        <v>4.0999999999999996</v>
      </c>
      <c r="AT41" s="148">
        <v>8.3000000000000007</v>
      </c>
      <c r="AU41" s="148">
        <v>11.4</v>
      </c>
      <c r="AV41" s="148">
        <v>14.69</v>
      </c>
      <c r="AW41" s="148"/>
      <c r="AX41" s="151"/>
    </row>
    <row r="42" spans="1:50" ht="12.75" customHeight="1" x14ac:dyDescent="0.2">
      <c r="A42" s="218" t="s">
        <v>25</v>
      </c>
      <c r="B42" s="426">
        <v>24.774765910445261</v>
      </c>
      <c r="C42" s="426">
        <v>35.949433940308062</v>
      </c>
      <c r="D42" s="426">
        <v>41.8</v>
      </c>
      <c r="E42" s="426">
        <v>52.9</v>
      </c>
      <c r="F42" s="426">
        <v>66.400000000000006</v>
      </c>
      <c r="G42" s="426">
        <v>75.599999999999994</v>
      </c>
      <c r="H42" s="426">
        <v>82.13</v>
      </c>
      <c r="I42" s="426"/>
      <c r="J42" s="150">
        <v>3.8547259675037227</v>
      </c>
      <c r="K42" s="148">
        <v>5.3363350124535369</v>
      </c>
      <c r="L42" s="148">
        <v>6.3</v>
      </c>
      <c r="M42" s="148">
        <v>8.3000000000000007</v>
      </c>
      <c r="N42" s="148">
        <v>12.5</v>
      </c>
      <c r="O42" s="148">
        <v>15.6</v>
      </c>
      <c r="P42" s="148">
        <v>19.41</v>
      </c>
      <c r="Q42" s="426"/>
      <c r="R42" s="150">
        <v>25.256898535942756</v>
      </c>
      <c r="S42" s="149">
        <v>36.732618170254952</v>
      </c>
      <c r="T42" s="148">
        <v>42.7</v>
      </c>
      <c r="U42" s="148">
        <v>54</v>
      </c>
      <c r="V42" s="148">
        <v>67.3</v>
      </c>
      <c r="W42" s="148">
        <v>76.5</v>
      </c>
      <c r="X42" s="148">
        <v>83.17</v>
      </c>
      <c r="Y42" s="426"/>
      <c r="Z42" s="150">
        <v>3.9289532739444724</v>
      </c>
      <c r="AA42" s="148">
        <v>5.4649651147565512</v>
      </c>
      <c r="AB42" s="148">
        <v>6.5</v>
      </c>
      <c r="AC42" s="148">
        <v>8.6</v>
      </c>
      <c r="AD42" s="148">
        <v>12.8</v>
      </c>
      <c r="AE42" s="148">
        <v>15.8</v>
      </c>
      <c r="AF42" s="148">
        <v>19.809999999999999</v>
      </c>
      <c r="AG42" s="426"/>
      <c r="AH42" s="150">
        <v>11.972917738325293</v>
      </c>
      <c r="AI42" s="149">
        <v>18.479111250195587</v>
      </c>
      <c r="AJ42" s="148">
        <v>25.052957590100949</v>
      </c>
      <c r="AK42" s="148">
        <v>35.6</v>
      </c>
      <c r="AL42" s="148">
        <v>54.3</v>
      </c>
      <c r="AM42" s="148">
        <v>65.400000000000006</v>
      </c>
      <c r="AN42" s="148">
        <v>74.94</v>
      </c>
      <c r="AO42" s="426"/>
      <c r="AP42" s="150">
        <v>1.8838020826092396</v>
      </c>
      <c r="AQ42" s="148">
        <v>2.4670109007458403</v>
      </c>
      <c r="AR42" s="148">
        <v>3.0635052811500199</v>
      </c>
      <c r="AS42" s="148">
        <v>3.9</v>
      </c>
      <c r="AT42" s="148">
        <v>7</v>
      </c>
      <c r="AU42" s="148">
        <v>9.3000000000000007</v>
      </c>
      <c r="AV42" s="148">
        <v>12.09</v>
      </c>
      <c r="AW42" s="148"/>
      <c r="AX42" s="151"/>
    </row>
    <row r="43" spans="1:50" ht="12.75" customHeight="1" x14ac:dyDescent="0.2">
      <c r="A43" s="218" t="s">
        <v>26</v>
      </c>
      <c r="B43" s="426">
        <v>28.93743467779662</v>
      </c>
      <c r="C43" s="426">
        <v>38.94870424792947</v>
      </c>
      <c r="D43" s="426">
        <v>46.3</v>
      </c>
      <c r="E43" s="426">
        <v>59</v>
      </c>
      <c r="F43" s="426">
        <v>71.5</v>
      </c>
      <c r="G43" s="426">
        <v>80.099999999999994</v>
      </c>
      <c r="H43" s="426">
        <v>86.1</v>
      </c>
      <c r="I43" s="426"/>
      <c r="J43" s="150">
        <v>4.2043213070434646</v>
      </c>
      <c r="K43" s="148">
        <v>5.3342906759283997</v>
      </c>
      <c r="L43" s="148">
        <v>6.4</v>
      </c>
      <c r="M43" s="148">
        <v>9.1</v>
      </c>
      <c r="N43" s="148">
        <v>13.9</v>
      </c>
      <c r="O43" s="148">
        <v>16.899999999999999</v>
      </c>
      <c r="P43" s="148">
        <v>21.21</v>
      </c>
      <c r="Q43" s="426"/>
      <c r="R43" s="150">
        <v>29.030013465579525</v>
      </c>
      <c r="S43" s="149">
        <v>38.62021706488769</v>
      </c>
      <c r="T43" s="148">
        <v>46.5</v>
      </c>
      <c r="U43" s="148">
        <v>59.1</v>
      </c>
      <c r="V43" s="148">
        <v>71.7</v>
      </c>
      <c r="W43" s="148">
        <v>80.3</v>
      </c>
      <c r="X43" s="148">
        <v>86.88</v>
      </c>
      <c r="Y43" s="426"/>
      <c r="Z43" s="150">
        <v>4.2219205204748267</v>
      </c>
      <c r="AA43" s="148">
        <v>5.1898058105670488</v>
      </c>
      <c r="AB43" s="148">
        <v>6.4</v>
      </c>
      <c r="AC43" s="148">
        <v>9.1</v>
      </c>
      <c r="AD43" s="148">
        <v>13.9</v>
      </c>
      <c r="AE43" s="148">
        <v>16.7</v>
      </c>
      <c r="AF43" s="148">
        <v>21.26</v>
      </c>
      <c r="AG43" s="426"/>
      <c r="AH43" s="150">
        <v>15.600639616230261</v>
      </c>
      <c r="AI43" s="149">
        <v>22.055030094582975</v>
      </c>
      <c r="AJ43" s="148">
        <v>30.40318156884257</v>
      </c>
      <c r="AK43" s="148">
        <v>39.700000000000003</v>
      </c>
      <c r="AL43" s="148">
        <v>60.6</v>
      </c>
      <c r="AM43" s="148">
        <v>70.099999999999994</v>
      </c>
      <c r="AN43" s="148">
        <v>77.260000000000005</v>
      </c>
      <c r="AO43" s="426"/>
      <c r="AP43" s="150">
        <v>1.6689986008394961</v>
      </c>
      <c r="AQ43" s="148">
        <v>2.7944969905417025</v>
      </c>
      <c r="AR43" s="148">
        <v>5.4237520570488211</v>
      </c>
      <c r="AS43" s="148">
        <v>4.3</v>
      </c>
      <c r="AT43" s="148">
        <v>12.1</v>
      </c>
      <c r="AU43" s="148">
        <v>12.8</v>
      </c>
      <c r="AV43" s="148">
        <v>14.7</v>
      </c>
      <c r="AW43" s="148"/>
      <c r="AX43" s="151"/>
    </row>
    <row r="44" spans="1:50" ht="12.75" customHeight="1" x14ac:dyDescent="0.2">
      <c r="A44" s="218" t="s">
        <v>27</v>
      </c>
      <c r="B44" s="426">
        <v>28.519407886495518</v>
      </c>
      <c r="C44" s="426">
        <v>40.272883679421476</v>
      </c>
      <c r="D44" s="426">
        <v>48.2</v>
      </c>
      <c r="E44" s="426">
        <v>59.9</v>
      </c>
      <c r="F44" s="426">
        <v>73.3</v>
      </c>
      <c r="G44" s="426">
        <v>81.3</v>
      </c>
      <c r="H44" s="426">
        <v>86.02</v>
      </c>
      <c r="I44" s="426"/>
      <c r="J44" s="150">
        <v>4.6182502163284109</v>
      </c>
      <c r="K44" s="148">
        <v>6.1270022356956879</v>
      </c>
      <c r="L44" s="148">
        <v>8.1999999999999993</v>
      </c>
      <c r="M44" s="148">
        <v>11.4</v>
      </c>
      <c r="N44" s="148">
        <v>17</v>
      </c>
      <c r="O44" s="148">
        <v>21.1</v>
      </c>
      <c r="P44" s="148">
        <v>25.8</v>
      </c>
      <c r="Q44" s="426"/>
      <c r="R44" s="150">
        <v>29.015797840531061</v>
      </c>
      <c r="S44" s="149">
        <v>40.946550280999645</v>
      </c>
      <c r="T44" s="148">
        <v>48.9</v>
      </c>
      <c r="U44" s="148">
        <v>60.7</v>
      </c>
      <c r="V44" s="148">
        <v>74.2</v>
      </c>
      <c r="W44" s="148">
        <v>82.4</v>
      </c>
      <c r="X44" s="148">
        <v>87.85</v>
      </c>
      <c r="Y44" s="426"/>
      <c r="Z44" s="150">
        <v>4.7083995708709097</v>
      </c>
      <c r="AA44" s="148">
        <v>6.2723902905655864</v>
      </c>
      <c r="AB44" s="148">
        <v>8.3000000000000007</v>
      </c>
      <c r="AC44" s="148">
        <v>11.6</v>
      </c>
      <c r="AD44" s="148">
        <v>17.399999999999999</v>
      </c>
      <c r="AE44" s="148">
        <v>21.7</v>
      </c>
      <c r="AF44" s="148">
        <v>26.89</v>
      </c>
      <c r="AG44" s="426"/>
      <c r="AH44" s="150">
        <v>15.965343399285587</v>
      </c>
      <c r="AI44" s="149">
        <v>23.317683881064163</v>
      </c>
      <c r="AJ44" s="148">
        <v>31.407913396049292</v>
      </c>
      <c r="AK44" s="148">
        <v>39.9</v>
      </c>
      <c r="AL44" s="148">
        <v>60.9</v>
      </c>
      <c r="AM44" s="148">
        <v>71</v>
      </c>
      <c r="AN44" s="148">
        <v>79.72</v>
      </c>
      <c r="AO44" s="426"/>
      <c r="AP44" s="150">
        <v>2.3383071973247538</v>
      </c>
      <c r="AQ44" s="148">
        <v>2.4677982424461296</v>
      </c>
      <c r="AR44" s="148">
        <v>4.116483911558511</v>
      </c>
      <c r="AS44" s="148">
        <v>4.7</v>
      </c>
      <c r="AT44" s="148">
        <v>9.3000000000000007</v>
      </c>
      <c r="AU44" s="148">
        <v>11.6</v>
      </c>
      <c r="AV44" s="148">
        <v>14.85</v>
      </c>
      <c r="AW44" s="148"/>
      <c r="AX44" s="151"/>
    </row>
    <row r="45" spans="1:50" ht="12.75" customHeight="1" x14ac:dyDescent="0.2">
      <c r="A45" s="218" t="s">
        <v>30</v>
      </c>
      <c r="B45" s="426">
        <v>24.727464982350849</v>
      </c>
      <c r="C45" s="426">
        <v>34.911952704580479</v>
      </c>
      <c r="D45" s="426">
        <v>40.9</v>
      </c>
      <c r="E45" s="426">
        <v>52.8</v>
      </c>
      <c r="F45" s="426">
        <v>68</v>
      </c>
      <c r="G45" s="426">
        <v>76.8</v>
      </c>
      <c r="H45" s="426">
        <v>83.41</v>
      </c>
      <c r="I45" s="426"/>
      <c r="J45" s="150">
        <v>4.0736901614472103</v>
      </c>
      <c r="K45" s="148">
        <v>5.4247408268276871</v>
      </c>
      <c r="L45" s="148">
        <v>6.8</v>
      </c>
      <c r="M45" s="148">
        <v>9.4</v>
      </c>
      <c r="N45" s="148">
        <v>14.3</v>
      </c>
      <c r="O45" s="148">
        <v>17.399999999999999</v>
      </c>
      <c r="P45" s="148">
        <v>21.76</v>
      </c>
      <c r="Q45" s="426"/>
      <c r="R45" s="150">
        <v>25.2740014605921</v>
      </c>
      <c r="S45" s="149">
        <v>36.066103132233422</v>
      </c>
      <c r="T45" s="148">
        <v>42.4</v>
      </c>
      <c r="U45" s="148">
        <v>54.6</v>
      </c>
      <c r="V45" s="148">
        <v>69.8</v>
      </c>
      <c r="W45" s="148">
        <v>78.599999999999994</v>
      </c>
      <c r="X45" s="148">
        <v>85.3</v>
      </c>
      <c r="Y45" s="426"/>
      <c r="Z45" s="150">
        <v>4.1862465591820683</v>
      </c>
      <c r="AA45" s="148">
        <v>5.6616499829491103</v>
      </c>
      <c r="AB45" s="148">
        <v>7.2</v>
      </c>
      <c r="AC45" s="148">
        <v>10</v>
      </c>
      <c r="AD45" s="148">
        <v>14.9</v>
      </c>
      <c r="AE45" s="148">
        <v>18.100000000000001</v>
      </c>
      <c r="AF45" s="148">
        <v>22.63</v>
      </c>
      <c r="AG45" s="426"/>
      <c r="AH45" s="150">
        <v>12.480709268999401</v>
      </c>
      <c r="AI45" s="149">
        <v>19.53313495254946</v>
      </c>
      <c r="AJ45" s="148">
        <v>25.225411876131769</v>
      </c>
      <c r="AK45" s="148">
        <v>35.9</v>
      </c>
      <c r="AL45" s="148">
        <v>55.2</v>
      </c>
      <c r="AM45" s="148">
        <v>64.900000000000006</v>
      </c>
      <c r="AN45" s="148">
        <v>74.13</v>
      </c>
      <c r="AO45" s="426"/>
      <c r="AP45" s="150">
        <v>1.5511322478032188</v>
      </c>
      <c r="AQ45" s="148">
        <v>2.2679749075116615</v>
      </c>
      <c r="AR45" s="148">
        <v>2.8725719959209259</v>
      </c>
      <c r="AS45" s="148">
        <v>3.8</v>
      </c>
      <c r="AT45" s="148">
        <v>7.6</v>
      </c>
      <c r="AU45" s="148">
        <v>10.1</v>
      </c>
      <c r="AV45" s="148">
        <v>12.76</v>
      </c>
      <c r="AW45" s="148"/>
      <c r="AX45" s="151"/>
    </row>
    <row r="46" spans="1:50" ht="12.75" customHeight="1" x14ac:dyDescent="0.2">
      <c r="A46" s="218" t="s">
        <v>31</v>
      </c>
      <c r="B46" s="426">
        <v>25.05778552737495</v>
      </c>
      <c r="C46" s="426">
        <v>35.611299058808143</v>
      </c>
      <c r="D46" s="426">
        <v>43.9</v>
      </c>
      <c r="E46" s="426">
        <v>57.6</v>
      </c>
      <c r="F46" s="426">
        <v>73.099999999999994</v>
      </c>
      <c r="G46" s="426">
        <v>82.4</v>
      </c>
      <c r="H46" s="426">
        <v>87.95</v>
      </c>
      <c r="I46" s="426"/>
      <c r="J46" s="150">
        <v>4.2325375416674031</v>
      </c>
      <c r="K46" s="148">
        <v>5.7764684198322147</v>
      </c>
      <c r="L46" s="148">
        <v>7.5</v>
      </c>
      <c r="M46" s="148">
        <v>11.1</v>
      </c>
      <c r="N46" s="148">
        <v>17.399999999999999</v>
      </c>
      <c r="O46" s="148">
        <v>21.8</v>
      </c>
      <c r="P46" s="148">
        <v>27.43</v>
      </c>
      <c r="Q46" s="426"/>
      <c r="R46" s="150">
        <v>25.129934309840174</v>
      </c>
      <c r="S46" s="149">
        <v>35.547587576332113</v>
      </c>
      <c r="T46" s="148">
        <v>44</v>
      </c>
      <c r="U46" s="148">
        <v>57.7</v>
      </c>
      <c r="V46" s="148">
        <v>73.2</v>
      </c>
      <c r="W46" s="148">
        <v>82.8</v>
      </c>
      <c r="X46" s="148">
        <v>89.2</v>
      </c>
      <c r="Y46" s="426"/>
      <c r="Z46" s="150">
        <v>4.2479636686063325</v>
      </c>
      <c r="AA46" s="148">
        <v>5.7818023050652823</v>
      </c>
      <c r="AB46" s="148">
        <v>7.5</v>
      </c>
      <c r="AC46" s="148">
        <v>11.1</v>
      </c>
      <c r="AD46" s="148">
        <v>17.3</v>
      </c>
      <c r="AE46" s="148">
        <v>21.9</v>
      </c>
      <c r="AF46" s="148">
        <v>27.91</v>
      </c>
      <c r="AG46" s="426"/>
      <c r="AH46" s="150" t="s">
        <v>135</v>
      </c>
      <c r="AI46" s="149" t="s">
        <v>135</v>
      </c>
      <c r="AJ46" s="148" t="s">
        <v>135</v>
      </c>
      <c r="AK46" s="148">
        <v>51.1</v>
      </c>
      <c r="AL46" s="148">
        <v>70.599999999999994</v>
      </c>
      <c r="AM46" s="148">
        <v>76.2</v>
      </c>
      <c r="AN46" s="148">
        <v>79</v>
      </c>
      <c r="AO46" s="426"/>
      <c r="AP46" s="150" t="s">
        <v>135</v>
      </c>
      <c r="AQ46" s="148" t="s">
        <v>135</v>
      </c>
      <c r="AR46" s="148" t="s">
        <v>135</v>
      </c>
      <c r="AS46" s="148">
        <v>9</v>
      </c>
      <c r="AT46" s="148">
        <v>16.899999999999999</v>
      </c>
      <c r="AU46" s="148">
        <v>17.5</v>
      </c>
      <c r="AV46" s="148">
        <v>18.7</v>
      </c>
      <c r="AW46" s="148"/>
      <c r="AX46" s="151"/>
    </row>
    <row r="47" spans="1:50" ht="12.75" customHeight="1" x14ac:dyDescent="0.2">
      <c r="A47" s="218" t="s">
        <v>32</v>
      </c>
      <c r="B47" s="426">
        <v>22.243190786882195</v>
      </c>
      <c r="C47" s="426">
        <v>30.817505802112443</v>
      </c>
      <c r="D47" s="426">
        <v>36.6</v>
      </c>
      <c r="E47" s="426">
        <v>48.8</v>
      </c>
      <c r="F47" s="426">
        <v>63.5</v>
      </c>
      <c r="G47" s="426">
        <v>73.900000000000006</v>
      </c>
      <c r="H47" s="426">
        <v>81.319999999999993</v>
      </c>
      <c r="I47" s="426"/>
      <c r="J47" s="150">
        <v>3.9471234073639052</v>
      </c>
      <c r="K47" s="148">
        <v>5.1400903364148753</v>
      </c>
      <c r="L47" s="148">
        <v>6.2</v>
      </c>
      <c r="M47" s="148">
        <v>9</v>
      </c>
      <c r="N47" s="148">
        <v>13.9</v>
      </c>
      <c r="O47" s="148">
        <v>17.8</v>
      </c>
      <c r="P47" s="148">
        <v>21.58</v>
      </c>
      <c r="Q47" s="426"/>
      <c r="R47" s="150">
        <v>23.03184033044602</v>
      </c>
      <c r="S47" s="149">
        <v>31.872348027013299</v>
      </c>
      <c r="T47" s="148">
        <v>37.700000000000003</v>
      </c>
      <c r="U47" s="148">
        <v>50.2</v>
      </c>
      <c r="V47" s="148">
        <v>64.599999999999994</v>
      </c>
      <c r="W47" s="148">
        <v>74.900000000000006</v>
      </c>
      <c r="X47" s="148">
        <v>82.38</v>
      </c>
      <c r="Y47" s="426"/>
      <c r="Z47" s="150">
        <v>4.0897776891406519</v>
      </c>
      <c r="AA47" s="148">
        <v>5.3335251144306772</v>
      </c>
      <c r="AB47" s="148">
        <v>6.5</v>
      </c>
      <c r="AC47" s="148">
        <v>9.4</v>
      </c>
      <c r="AD47" s="148">
        <v>14.4</v>
      </c>
      <c r="AE47" s="148">
        <v>18.3</v>
      </c>
      <c r="AF47" s="148">
        <v>22.31</v>
      </c>
      <c r="AG47" s="426"/>
      <c r="AH47" s="150">
        <v>11.137290378331668</v>
      </c>
      <c r="AI47" s="149">
        <v>17.220012560184216</v>
      </c>
      <c r="AJ47" s="148">
        <v>24.113879843779205</v>
      </c>
      <c r="AK47" s="148">
        <v>33.299999999999997</v>
      </c>
      <c r="AL47" s="148">
        <v>52.7</v>
      </c>
      <c r="AM47" s="148">
        <v>65.099999999999994</v>
      </c>
      <c r="AN47" s="148">
        <v>73.89</v>
      </c>
      <c r="AO47" s="426"/>
      <c r="AP47" s="150">
        <v>1.9382409332721233</v>
      </c>
      <c r="AQ47" s="148">
        <v>2.6466102455216962</v>
      </c>
      <c r="AR47" s="148">
        <v>3.4018356927133038</v>
      </c>
      <c r="AS47" s="148">
        <v>4.2</v>
      </c>
      <c r="AT47" s="148">
        <v>7.9</v>
      </c>
      <c r="AU47" s="148">
        <v>11.2</v>
      </c>
      <c r="AV47" s="148">
        <v>13.19</v>
      </c>
      <c r="AW47" s="148"/>
      <c r="AX47" s="151"/>
    </row>
    <row r="48" spans="1:50" ht="12.75" customHeight="1" x14ac:dyDescent="0.2">
      <c r="A48" s="218" t="s">
        <v>34</v>
      </c>
      <c r="B48" s="426">
        <v>28.876200836214714</v>
      </c>
      <c r="C48" s="426">
        <v>39.43525545104746</v>
      </c>
      <c r="D48" s="426">
        <v>47.7</v>
      </c>
      <c r="E48" s="426">
        <v>59.3</v>
      </c>
      <c r="F48" s="426">
        <v>73.400000000000006</v>
      </c>
      <c r="G48" s="426">
        <v>81.8</v>
      </c>
      <c r="H48" s="426">
        <v>86.58</v>
      </c>
      <c r="I48" s="426"/>
      <c r="J48" s="150">
        <v>4.2907915906968768</v>
      </c>
      <c r="K48" s="148">
        <v>5.244629115006413</v>
      </c>
      <c r="L48" s="148">
        <v>6.8</v>
      </c>
      <c r="M48" s="148">
        <v>9.6</v>
      </c>
      <c r="N48" s="148">
        <v>15.5</v>
      </c>
      <c r="O48" s="148">
        <v>18.899999999999999</v>
      </c>
      <c r="P48" s="148">
        <v>23.7</v>
      </c>
      <c r="Q48" s="426"/>
      <c r="R48" s="150">
        <v>29.060725444912379</v>
      </c>
      <c r="S48" s="149">
        <v>39.80524050564383</v>
      </c>
      <c r="T48" s="148">
        <v>48.1</v>
      </c>
      <c r="U48" s="148">
        <v>59.7</v>
      </c>
      <c r="V48" s="148">
        <v>73.900000000000006</v>
      </c>
      <c r="W48" s="148">
        <v>82.4</v>
      </c>
      <c r="X48" s="148">
        <v>88.19</v>
      </c>
      <c r="Y48" s="426"/>
      <c r="Z48" s="150">
        <v>4.3260426572476565</v>
      </c>
      <c r="AA48" s="148">
        <v>5.2953198170154021</v>
      </c>
      <c r="AB48" s="148">
        <v>6.8</v>
      </c>
      <c r="AC48" s="148">
        <v>9.8000000000000007</v>
      </c>
      <c r="AD48" s="148">
        <v>15.7</v>
      </c>
      <c r="AE48" s="148">
        <v>19.2</v>
      </c>
      <c r="AF48" s="148">
        <v>24.39</v>
      </c>
      <c r="AG48" s="426"/>
      <c r="AH48" s="150">
        <v>15.76406989091611</v>
      </c>
      <c r="AI48" s="149">
        <v>24.425969912905778</v>
      </c>
      <c r="AJ48" s="148">
        <v>30.864407741642548</v>
      </c>
      <c r="AK48" s="148">
        <v>42.7</v>
      </c>
      <c r="AL48" s="148">
        <v>61</v>
      </c>
      <c r="AM48" s="148">
        <v>73.2</v>
      </c>
      <c r="AN48" s="148">
        <v>78.599999999999994</v>
      </c>
      <c r="AO48" s="426"/>
      <c r="AP48" s="150">
        <v>1.7858866685973549</v>
      </c>
      <c r="AQ48" s="148">
        <v>2.4544734758511479</v>
      </c>
      <c r="AR48" s="148">
        <v>3.9502809467052611</v>
      </c>
      <c r="AS48" s="148">
        <v>4.5</v>
      </c>
      <c r="AT48" s="148">
        <v>9.3000000000000007</v>
      </c>
      <c r="AU48" s="148">
        <v>12.4</v>
      </c>
      <c r="AV48" s="148">
        <v>14.11</v>
      </c>
      <c r="AW48" s="148"/>
      <c r="AX48" s="151"/>
    </row>
    <row r="49" spans="1:50" ht="12.75" customHeight="1" x14ac:dyDescent="0.2">
      <c r="A49" s="218" t="s">
        <v>40</v>
      </c>
      <c r="B49" s="426">
        <v>22.532262292048909</v>
      </c>
      <c r="C49" s="426">
        <v>30.692542452461069</v>
      </c>
      <c r="D49" s="426">
        <v>38.9</v>
      </c>
      <c r="E49" s="426">
        <v>50.3</v>
      </c>
      <c r="F49" s="426">
        <v>66.400000000000006</v>
      </c>
      <c r="G49" s="426">
        <v>76.7</v>
      </c>
      <c r="H49" s="426">
        <v>83.86</v>
      </c>
      <c r="I49" s="426"/>
      <c r="J49" s="150">
        <v>3.5887078123313647</v>
      </c>
      <c r="K49" s="148">
        <v>4.5606072462634009</v>
      </c>
      <c r="L49" s="148">
        <v>5.6</v>
      </c>
      <c r="M49" s="148">
        <v>8.4</v>
      </c>
      <c r="N49" s="148">
        <v>14.8</v>
      </c>
      <c r="O49" s="148">
        <v>18.100000000000001</v>
      </c>
      <c r="P49" s="148">
        <v>21.99</v>
      </c>
      <c r="Q49" s="426"/>
      <c r="R49" s="150">
        <v>22.737701694089882</v>
      </c>
      <c r="S49" s="149">
        <v>31.147463177712037</v>
      </c>
      <c r="T49" s="148">
        <v>39.1</v>
      </c>
      <c r="U49" s="148">
        <v>50.6</v>
      </c>
      <c r="V49" s="148">
        <v>66.7</v>
      </c>
      <c r="W49" s="148">
        <v>76.900000000000006</v>
      </c>
      <c r="X49" s="148">
        <v>84.2</v>
      </c>
      <c r="Y49" s="426"/>
      <c r="Z49" s="150">
        <v>3.628854780255284</v>
      </c>
      <c r="AA49" s="148">
        <v>4.6322517363033739</v>
      </c>
      <c r="AB49" s="148">
        <v>5.6</v>
      </c>
      <c r="AC49" s="148">
        <v>8.5</v>
      </c>
      <c r="AD49" s="148">
        <v>14.9</v>
      </c>
      <c r="AE49" s="148">
        <v>18.3</v>
      </c>
      <c r="AF49" s="148">
        <v>22.36</v>
      </c>
      <c r="AG49" s="426"/>
      <c r="AH49" s="150" t="s">
        <v>135</v>
      </c>
      <c r="AI49" s="149" t="s">
        <v>135</v>
      </c>
      <c r="AJ49" s="148" t="s">
        <v>135</v>
      </c>
      <c r="AK49" s="148">
        <v>74.8</v>
      </c>
      <c r="AL49" s="148">
        <v>92.9</v>
      </c>
      <c r="AM49" s="148">
        <v>95.9</v>
      </c>
      <c r="AN49" s="148">
        <v>92.57</v>
      </c>
      <c r="AO49" s="426"/>
      <c r="AP49" s="150" t="s">
        <v>135</v>
      </c>
      <c r="AQ49" s="148" t="s">
        <v>135</v>
      </c>
      <c r="AR49" s="148" t="s">
        <v>135</v>
      </c>
      <c r="AS49" s="148">
        <v>9.9</v>
      </c>
      <c r="AT49" s="148">
        <v>23.3</v>
      </c>
      <c r="AU49" s="148">
        <v>17.100000000000001</v>
      </c>
      <c r="AV49" s="148">
        <v>20.52</v>
      </c>
      <c r="AW49" s="148"/>
      <c r="AX49" s="151"/>
    </row>
    <row r="50" spans="1:50" ht="12.75" customHeight="1" x14ac:dyDescent="0.2">
      <c r="A50" s="223" t="s">
        <v>41</v>
      </c>
      <c r="B50" s="428">
        <v>25.699720784287443</v>
      </c>
      <c r="C50" s="428">
        <v>36.459379812003419</v>
      </c>
      <c r="D50" s="428">
        <v>41.9</v>
      </c>
      <c r="E50" s="428">
        <v>53.2</v>
      </c>
      <c r="F50" s="428">
        <v>67</v>
      </c>
      <c r="G50" s="428">
        <v>75.7</v>
      </c>
      <c r="H50" s="428">
        <v>82.97</v>
      </c>
      <c r="I50" s="428"/>
      <c r="J50" s="150">
        <v>4.4559210952607735</v>
      </c>
      <c r="K50" s="148">
        <v>5.8402816819337904</v>
      </c>
      <c r="L50" s="148">
        <v>7</v>
      </c>
      <c r="M50" s="148">
        <v>9.3000000000000007</v>
      </c>
      <c r="N50" s="148">
        <v>13.7</v>
      </c>
      <c r="O50" s="148">
        <v>17</v>
      </c>
      <c r="P50" s="148">
        <v>21.1</v>
      </c>
      <c r="Q50" s="428"/>
      <c r="R50" s="150">
        <v>26.423260453692144</v>
      </c>
      <c r="S50" s="149">
        <v>37.58286101881977</v>
      </c>
      <c r="T50" s="148">
        <v>43.3</v>
      </c>
      <c r="U50" s="148">
        <v>54.8</v>
      </c>
      <c r="V50" s="148">
        <v>68.2</v>
      </c>
      <c r="W50" s="148">
        <v>76.900000000000006</v>
      </c>
      <c r="X50" s="148">
        <v>84.2</v>
      </c>
      <c r="Y50" s="428"/>
      <c r="Z50" s="150">
        <v>4.5966238850771539</v>
      </c>
      <c r="AA50" s="148">
        <v>6.0686570939149034</v>
      </c>
      <c r="AB50" s="148">
        <v>7.3</v>
      </c>
      <c r="AC50" s="148">
        <v>9.6999999999999993</v>
      </c>
      <c r="AD50" s="148">
        <v>14.1</v>
      </c>
      <c r="AE50" s="148">
        <v>17.600000000000001</v>
      </c>
      <c r="AF50" s="148">
        <v>21.78</v>
      </c>
      <c r="AG50" s="428"/>
      <c r="AH50" s="150">
        <v>11.468973734863685</v>
      </c>
      <c r="AI50" s="149">
        <v>19.281407653500676</v>
      </c>
      <c r="AJ50" s="148">
        <v>25.184665033899094</v>
      </c>
      <c r="AK50" s="148">
        <v>35.6</v>
      </c>
      <c r="AL50" s="148">
        <v>54.7</v>
      </c>
      <c r="AM50" s="148">
        <v>64.599999999999994</v>
      </c>
      <c r="AN50" s="148">
        <v>73.89</v>
      </c>
      <c r="AO50" s="428"/>
      <c r="AP50" s="150">
        <v>1.688545793402654</v>
      </c>
      <c r="AQ50" s="148">
        <v>2.3484329132169663</v>
      </c>
      <c r="AR50" s="148">
        <v>3.1875668256209124</v>
      </c>
      <c r="AS50" s="148">
        <v>3.9</v>
      </c>
      <c r="AT50" s="148">
        <v>7</v>
      </c>
      <c r="AU50" s="148">
        <v>9.1</v>
      </c>
      <c r="AV50" s="148">
        <v>11.92</v>
      </c>
      <c r="AW50" s="148"/>
      <c r="AX50" s="151"/>
    </row>
    <row r="51" spans="1:50" ht="12.75" customHeight="1" x14ac:dyDescent="0.2">
      <c r="A51" s="223" t="s">
        <v>45</v>
      </c>
      <c r="B51" s="428">
        <v>25.068913202980443</v>
      </c>
      <c r="C51" s="428">
        <v>34.500157228209602</v>
      </c>
      <c r="D51" s="428">
        <v>42.2</v>
      </c>
      <c r="E51" s="428">
        <v>53.3</v>
      </c>
      <c r="F51" s="428">
        <v>67.900000000000006</v>
      </c>
      <c r="G51" s="428">
        <v>77.099999999999994</v>
      </c>
      <c r="H51" s="428">
        <v>84.57</v>
      </c>
      <c r="I51" s="428"/>
      <c r="J51" s="150">
        <v>3.8059380818890549</v>
      </c>
      <c r="K51" s="148">
        <v>5.0184385809439407</v>
      </c>
      <c r="L51" s="148">
        <v>5.7</v>
      </c>
      <c r="M51" s="148">
        <v>8.6</v>
      </c>
      <c r="N51" s="148">
        <v>14</v>
      </c>
      <c r="O51" s="148">
        <v>17.2</v>
      </c>
      <c r="P51" s="148">
        <v>21.51</v>
      </c>
      <c r="Q51" s="428"/>
      <c r="R51" s="150">
        <v>25.553937877137994</v>
      </c>
      <c r="S51" s="149">
        <v>35.143381004767143</v>
      </c>
      <c r="T51" s="148">
        <v>42.9</v>
      </c>
      <c r="U51" s="148">
        <v>54.2</v>
      </c>
      <c r="V51" s="148">
        <v>68.8</v>
      </c>
      <c r="W51" s="148">
        <v>77.8</v>
      </c>
      <c r="X51" s="148">
        <v>85.66</v>
      </c>
      <c r="Y51" s="428"/>
      <c r="Z51" s="150">
        <v>3.9011785656272751</v>
      </c>
      <c r="AA51" s="148">
        <v>5.1191785845251196</v>
      </c>
      <c r="AB51" s="148">
        <v>5.8</v>
      </c>
      <c r="AC51" s="148">
        <v>8.8000000000000007</v>
      </c>
      <c r="AD51" s="148">
        <v>14.4</v>
      </c>
      <c r="AE51" s="148">
        <v>17.600000000000001</v>
      </c>
      <c r="AF51" s="148">
        <v>22.31</v>
      </c>
      <c r="AG51" s="428"/>
      <c r="AH51" s="150" t="s">
        <v>135</v>
      </c>
      <c r="AI51" s="149" t="s">
        <v>135</v>
      </c>
      <c r="AJ51" s="148" t="s">
        <v>135</v>
      </c>
      <c r="AK51" s="148">
        <v>63.1</v>
      </c>
      <c r="AL51" s="148">
        <v>85.7</v>
      </c>
      <c r="AM51" s="148">
        <v>82.2</v>
      </c>
      <c r="AN51" s="148">
        <v>84.08</v>
      </c>
      <c r="AO51" s="428"/>
      <c r="AP51" s="150" t="s">
        <v>135</v>
      </c>
      <c r="AQ51" s="148" t="s">
        <v>135</v>
      </c>
      <c r="AR51" s="148" t="s">
        <v>135</v>
      </c>
      <c r="AS51" s="148">
        <v>10.5</v>
      </c>
      <c r="AT51" s="148">
        <v>17.7</v>
      </c>
      <c r="AU51" s="148">
        <v>24.1</v>
      </c>
      <c r="AV51" s="148">
        <v>19.34</v>
      </c>
      <c r="AW51" s="148"/>
      <c r="AX51" s="151"/>
    </row>
    <row r="52" spans="1:50" ht="12.75" customHeight="1" x14ac:dyDescent="0.2">
      <c r="A52" s="222" t="s">
        <v>49</v>
      </c>
      <c r="B52" s="427">
        <v>22.354407730530301</v>
      </c>
      <c r="C52" s="427">
        <v>33.647749212478409</v>
      </c>
      <c r="D52" s="427">
        <v>41.5</v>
      </c>
      <c r="E52" s="427">
        <v>54.5</v>
      </c>
      <c r="F52" s="427">
        <v>69.599999999999994</v>
      </c>
      <c r="G52" s="427">
        <v>78.599999999999994</v>
      </c>
      <c r="H52" s="427">
        <v>85.09</v>
      </c>
      <c r="I52" s="427"/>
      <c r="J52" s="157">
        <v>3.9198725677739028</v>
      </c>
      <c r="K52" s="155">
        <v>5.4735291128950303</v>
      </c>
      <c r="L52" s="155">
        <v>6.7</v>
      </c>
      <c r="M52" s="155">
        <v>9.8000000000000007</v>
      </c>
      <c r="N52" s="155">
        <v>14.8</v>
      </c>
      <c r="O52" s="155">
        <v>17.7</v>
      </c>
      <c r="P52" s="155">
        <v>22.42</v>
      </c>
      <c r="Q52" s="427"/>
      <c r="R52" s="157">
        <v>22.443071205155526</v>
      </c>
      <c r="S52" s="156">
        <v>33.833427925001217</v>
      </c>
      <c r="T52" s="155">
        <v>41.8</v>
      </c>
      <c r="U52" s="155">
        <v>55</v>
      </c>
      <c r="V52" s="155">
        <v>70.2</v>
      </c>
      <c r="W52" s="155">
        <v>79.599999999999994</v>
      </c>
      <c r="X52" s="155">
        <v>86.61</v>
      </c>
      <c r="Y52" s="427"/>
      <c r="Z52" s="157">
        <v>3.9395013402136789</v>
      </c>
      <c r="AA52" s="155">
        <v>5.5021533514983574</v>
      </c>
      <c r="AB52" s="155">
        <v>6.7</v>
      </c>
      <c r="AC52" s="155">
        <v>9.9</v>
      </c>
      <c r="AD52" s="155">
        <v>15</v>
      </c>
      <c r="AE52" s="155">
        <v>18.100000000000001</v>
      </c>
      <c r="AF52" s="155">
        <v>23.03</v>
      </c>
      <c r="AG52" s="427"/>
      <c r="AH52" s="157">
        <v>9.8522167487684733</v>
      </c>
      <c r="AI52" s="156">
        <v>17.462192816635159</v>
      </c>
      <c r="AJ52" s="155">
        <v>26.065199793950988</v>
      </c>
      <c r="AK52" s="155">
        <v>34</v>
      </c>
      <c r="AL52" s="155">
        <v>54.4</v>
      </c>
      <c r="AM52" s="155">
        <v>61.3</v>
      </c>
      <c r="AN52" s="155">
        <v>68.47</v>
      </c>
      <c r="AO52" s="427"/>
      <c r="AP52" s="157">
        <v>1.1520737327188941</v>
      </c>
      <c r="AQ52" s="155">
        <v>2.5756143667296785</v>
      </c>
      <c r="AR52" s="155">
        <v>4.0792798096499618</v>
      </c>
      <c r="AS52" s="155">
        <v>3.9</v>
      </c>
      <c r="AT52" s="155">
        <v>8.3000000000000007</v>
      </c>
      <c r="AU52" s="155">
        <v>8.3000000000000007</v>
      </c>
      <c r="AV52" s="155">
        <v>10.53</v>
      </c>
      <c r="AW52" s="155"/>
      <c r="AX52" s="151"/>
    </row>
    <row r="53" spans="1:50" ht="12.75" customHeight="1" x14ac:dyDescent="0.2">
      <c r="A53" s="436" t="s">
        <v>184</v>
      </c>
      <c r="B53" s="437">
        <v>23.954445494781989</v>
      </c>
      <c r="C53" s="437">
        <v>35.67682478202407</v>
      </c>
      <c r="D53" s="437">
        <v>41.01</v>
      </c>
      <c r="E53" s="437">
        <v>52.947589069454651</v>
      </c>
      <c r="F53" s="437">
        <v>67.099999999999994</v>
      </c>
      <c r="G53" s="437">
        <v>76.2</v>
      </c>
      <c r="H53" s="437">
        <v>81.59360114984328</v>
      </c>
      <c r="I53" s="437"/>
      <c r="J53" s="438">
        <v>5.0493164092397675</v>
      </c>
      <c r="K53" s="439">
        <v>6.8379958899591529</v>
      </c>
      <c r="L53" s="439">
        <v>8.0940097147455816</v>
      </c>
      <c r="M53" s="439">
        <v>11.171170468292861</v>
      </c>
      <c r="N53" s="439">
        <v>17.242802647626444</v>
      </c>
      <c r="O53" s="439">
        <v>22.8</v>
      </c>
      <c r="P53" s="439">
        <v>27.455754319915769</v>
      </c>
      <c r="Q53" s="437"/>
      <c r="R53" s="438">
        <v>24.442380238104519</v>
      </c>
      <c r="S53" s="439">
        <v>36.451645744298233</v>
      </c>
      <c r="T53" s="439">
        <v>41.926873806680781</v>
      </c>
      <c r="U53" s="439">
        <v>54.205761390753459</v>
      </c>
      <c r="V53" s="439">
        <v>68.7</v>
      </c>
      <c r="W53" s="439">
        <v>78.386957362799563</v>
      </c>
      <c r="X53" s="439">
        <v>84.560566871897763</v>
      </c>
      <c r="Y53" s="437"/>
      <c r="Z53" s="438">
        <v>5.181025138827045</v>
      </c>
      <c r="AA53" s="439">
        <v>7.0564479380015612</v>
      </c>
      <c r="AB53" s="439">
        <v>8.4006113903670716</v>
      </c>
      <c r="AC53" s="439">
        <v>11.668528315507608</v>
      </c>
      <c r="AD53" s="439">
        <v>18</v>
      </c>
      <c r="AE53" s="439">
        <v>21.545783415758677</v>
      </c>
      <c r="AF53" s="439">
        <v>29.017157610302718</v>
      </c>
      <c r="AG53" s="437"/>
      <c r="AH53" s="438">
        <v>11.689715364786579</v>
      </c>
      <c r="AI53" s="439">
        <v>20.599430761378283</v>
      </c>
      <c r="AJ53" s="439">
        <v>27.569974697912269</v>
      </c>
      <c r="AK53" s="439">
        <v>37.814461058031831</v>
      </c>
      <c r="AL53" s="439">
        <v>56.4</v>
      </c>
      <c r="AM53" s="439">
        <v>65.3</v>
      </c>
      <c r="AN53" s="439">
        <v>72.119101229729367</v>
      </c>
      <c r="AO53" s="437"/>
      <c r="AP53" s="438">
        <v>1.7386851286041032</v>
      </c>
      <c r="AQ53" s="439">
        <v>2.5870943742268131</v>
      </c>
      <c r="AR53" s="439">
        <v>3.603133406753424</v>
      </c>
      <c r="AS53" s="439">
        <v>4.0814366929611339</v>
      </c>
      <c r="AT53" s="439">
        <v>8.4</v>
      </c>
      <c r="AU53" s="439">
        <v>12.5</v>
      </c>
      <c r="AV53" s="439">
        <v>15.268201059339621</v>
      </c>
      <c r="AW53" s="439"/>
      <c r="AX53" s="151"/>
    </row>
    <row r="54" spans="1:50" ht="12.75" customHeight="1" x14ac:dyDescent="0.2">
      <c r="A54" s="218" t="s">
        <v>181</v>
      </c>
      <c r="B54" s="426"/>
      <c r="C54" s="426"/>
      <c r="D54" s="426"/>
      <c r="E54" s="426"/>
      <c r="F54" s="426"/>
      <c r="G54" s="426"/>
      <c r="H54" s="426"/>
      <c r="I54" s="426"/>
      <c r="J54" s="150"/>
      <c r="K54" s="148"/>
      <c r="L54" s="158"/>
      <c r="M54" s="158"/>
      <c r="N54" s="158"/>
      <c r="O54" s="158"/>
      <c r="P54" s="158"/>
      <c r="Q54" s="426"/>
      <c r="R54" s="150"/>
      <c r="S54" s="148"/>
      <c r="T54" s="158"/>
      <c r="U54" s="158"/>
      <c r="V54" s="158"/>
      <c r="W54" s="158"/>
      <c r="X54" s="148"/>
      <c r="Y54" s="426"/>
      <c r="Z54" s="150"/>
      <c r="AA54" s="148"/>
      <c r="AB54" s="158"/>
      <c r="AC54" s="158"/>
      <c r="AD54" s="158"/>
      <c r="AE54" s="158"/>
      <c r="AF54" s="158"/>
      <c r="AG54" s="426"/>
      <c r="AH54" s="150"/>
      <c r="AI54" s="148"/>
      <c r="AJ54" s="158"/>
      <c r="AK54" s="158"/>
      <c r="AL54" s="158"/>
      <c r="AM54" s="158"/>
      <c r="AN54" s="148"/>
      <c r="AO54" s="426"/>
      <c r="AP54" s="150"/>
      <c r="AQ54" s="148"/>
      <c r="AR54" s="158"/>
      <c r="AS54" s="158"/>
      <c r="AT54" s="158"/>
      <c r="AU54" s="158"/>
      <c r="AV54" s="158"/>
      <c r="AW54" s="158"/>
      <c r="AX54" s="151"/>
    </row>
    <row r="55" spans="1:50" ht="12.75" customHeight="1" x14ac:dyDescent="0.2">
      <c r="A55" s="218" t="s">
        <v>21</v>
      </c>
      <c r="B55" s="426">
        <v>25.062990296813854</v>
      </c>
      <c r="C55" s="426">
        <v>37.267722950812896</v>
      </c>
      <c r="D55" s="426">
        <v>43.8</v>
      </c>
      <c r="E55" s="426">
        <v>56</v>
      </c>
      <c r="F55" s="426">
        <v>70.3</v>
      </c>
      <c r="G55" s="426">
        <v>79.2</v>
      </c>
      <c r="H55" s="426">
        <v>83.98</v>
      </c>
      <c r="I55" s="426"/>
      <c r="J55" s="150">
        <v>4.9383598498160426</v>
      </c>
      <c r="K55" s="148">
        <v>7.2116001009135982</v>
      </c>
      <c r="L55" s="148">
        <v>9.5</v>
      </c>
      <c r="M55" s="148">
        <v>13.7</v>
      </c>
      <c r="N55" s="148">
        <v>20.7</v>
      </c>
      <c r="O55" s="148">
        <v>27.2</v>
      </c>
      <c r="P55" s="148">
        <v>31.41</v>
      </c>
      <c r="Q55" s="426"/>
      <c r="R55" s="150">
        <v>25.306872384165089</v>
      </c>
      <c r="S55" s="149">
        <v>37.701220572087522</v>
      </c>
      <c r="T55" s="148">
        <v>44.4</v>
      </c>
      <c r="U55" s="148">
        <v>56.9</v>
      </c>
      <c r="V55" s="148">
        <v>71.5</v>
      </c>
      <c r="W55" s="148">
        <v>80.900000000000006</v>
      </c>
      <c r="X55" s="148">
        <v>86.31</v>
      </c>
      <c r="Y55" s="426"/>
      <c r="Z55" s="150">
        <v>4.9996511377459854</v>
      </c>
      <c r="AA55" s="148">
        <v>7.33063979344817</v>
      </c>
      <c r="AB55" s="148">
        <v>9.6999999999999993</v>
      </c>
      <c r="AC55" s="148">
        <v>14.1</v>
      </c>
      <c r="AD55" s="148">
        <v>21.4</v>
      </c>
      <c r="AE55" s="148">
        <v>28.5</v>
      </c>
      <c r="AF55" s="148">
        <v>33.5</v>
      </c>
      <c r="AG55" s="426"/>
      <c r="AH55" s="150">
        <v>11.933148238880722</v>
      </c>
      <c r="AI55" s="149">
        <v>19.989861439675565</v>
      </c>
      <c r="AJ55" s="148">
        <v>27.075374669409346</v>
      </c>
      <c r="AK55" s="148">
        <v>38.1</v>
      </c>
      <c r="AL55" s="148">
        <v>56.8</v>
      </c>
      <c r="AM55" s="148">
        <v>67</v>
      </c>
      <c r="AN55" s="148">
        <v>73.94</v>
      </c>
      <c r="AO55" s="426"/>
      <c r="AP55" s="150">
        <v>1.6386303010506833</v>
      </c>
      <c r="AQ55" s="148">
        <v>2.4670496789455898</v>
      </c>
      <c r="AR55" s="148">
        <v>3.3444754628269173</v>
      </c>
      <c r="AS55" s="148">
        <v>4.3</v>
      </c>
      <c r="AT55" s="148">
        <v>8.6</v>
      </c>
      <c r="AU55" s="148">
        <v>12.3</v>
      </c>
      <c r="AV55" s="148">
        <v>13.74</v>
      </c>
      <c r="AW55" s="148"/>
      <c r="AX55" s="151"/>
    </row>
    <row r="56" spans="1:50" ht="12.75" customHeight="1" x14ac:dyDescent="0.2">
      <c r="A56" s="218" t="s">
        <v>28</v>
      </c>
      <c r="B56" s="426">
        <v>28.804271255869509</v>
      </c>
      <c r="C56" s="426">
        <v>37.631527093596056</v>
      </c>
      <c r="D56" s="426">
        <v>43.2</v>
      </c>
      <c r="E56" s="426">
        <v>54.7</v>
      </c>
      <c r="F56" s="426">
        <v>68.7</v>
      </c>
      <c r="G56" s="426">
        <v>78.8</v>
      </c>
      <c r="H56" s="426">
        <v>85.37</v>
      </c>
      <c r="I56" s="426"/>
      <c r="J56" s="150">
        <v>3.3544246568717129</v>
      </c>
      <c r="K56" s="148">
        <v>4.9201970443349747</v>
      </c>
      <c r="L56" s="148">
        <v>5.5</v>
      </c>
      <c r="M56" s="148">
        <v>8.4</v>
      </c>
      <c r="N56" s="148">
        <v>14.4</v>
      </c>
      <c r="O56" s="148">
        <v>18.8</v>
      </c>
      <c r="P56" s="148">
        <v>22.87</v>
      </c>
      <c r="Q56" s="426"/>
      <c r="R56" s="150">
        <v>28.854832723162318</v>
      </c>
      <c r="S56" s="149">
        <v>37.698295106580531</v>
      </c>
      <c r="T56" s="148">
        <v>43.2</v>
      </c>
      <c r="U56" s="148">
        <v>54.7</v>
      </c>
      <c r="V56" s="148">
        <v>68.7</v>
      </c>
      <c r="W56" s="148">
        <v>78.900000000000006</v>
      </c>
      <c r="X56" s="148">
        <v>85.53</v>
      </c>
      <c r="Y56" s="426"/>
      <c r="Z56" s="150">
        <v>3.3605098442798575</v>
      </c>
      <c r="AA56" s="148">
        <v>4.9299670084355682</v>
      </c>
      <c r="AB56" s="148">
        <v>5.5</v>
      </c>
      <c r="AC56" s="148">
        <v>8.4</v>
      </c>
      <c r="AD56" s="148">
        <v>14.4</v>
      </c>
      <c r="AE56" s="148">
        <v>18.8</v>
      </c>
      <c r="AF56" s="148">
        <v>22.92</v>
      </c>
      <c r="AG56" s="426"/>
      <c r="AH56" s="150" t="s">
        <v>135</v>
      </c>
      <c r="AI56" s="149" t="s">
        <v>135</v>
      </c>
      <c r="AJ56" s="148" t="s">
        <v>135</v>
      </c>
      <c r="AK56" s="148">
        <v>64.400000000000006</v>
      </c>
      <c r="AL56" s="148">
        <v>74.2</v>
      </c>
      <c r="AM56" s="148">
        <v>87.6</v>
      </c>
      <c r="AN56" s="148">
        <v>84.66</v>
      </c>
      <c r="AO56" s="426"/>
      <c r="AP56" s="150" t="s">
        <v>135</v>
      </c>
      <c r="AQ56" s="148" t="s">
        <v>135</v>
      </c>
      <c r="AR56" s="148" t="s">
        <v>135</v>
      </c>
      <c r="AS56" s="148">
        <v>5.9</v>
      </c>
      <c r="AT56" s="148">
        <v>12.5</v>
      </c>
      <c r="AU56" s="148">
        <v>22.3</v>
      </c>
      <c r="AV56" s="148">
        <v>22.48</v>
      </c>
      <c r="AW56" s="148"/>
      <c r="AX56" s="151"/>
    </row>
    <row r="57" spans="1:50" ht="12.75" customHeight="1" x14ac:dyDescent="0.2">
      <c r="A57" s="218" t="s">
        <v>29</v>
      </c>
      <c r="B57" s="426">
        <v>30.989697253690728</v>
      </c>
      <c r="C57" s="426">
        <v>42.696657042572461</v>
      </c>
      <c r="D57" s="426">
        <v>47</v>
      </c>
      <c r="E57" s="426">
        <v>58.5</v>
      </c>
      <c r="F57" s="426">
        <v>72.2</v>
      </c>
      <c r="G57" s="426">
        <v>80</v>
      </c>
      <c r="H57" s="426">
        <v>84.76</v>
      </c>
      <c r="I57" s="426"/>
      <c r="J57" s="150">
        <v>5.5537609383002806</v>
      </c>
      <c r="K57" s="148">
        <v>7.39356884057971</v>
      </c>
      <c r="L57" s="148">
        <v>8.8000000000000007</v>
      </c>
      <c r="M57" s="148">
        <v>12.6</v>
      </c>
      <c r="N57" s="148">
        <v>20</v>
      </c>
      <c r="O57" s="148">
        <v>27.2</v>
      </c>
      <c r="P57" s="148">
        <v>33.19</v>
      </c>
      <c r="Q57" s="426"/>
      <c r="R57" s="150">
        <v>31.164075227519117</v>
      </c>
      <c r="S57" s="149">
        <v>42.900860202301182</v>
      </c>
      <c r="T57" s="148">
        <v>47.3</v>
      </c>
      <c r="U57" s="148">
        <v>58.8</v>
      </c>
      <c r="V57" s="148">
        <v>72.8</v>
      </c>
      <c r="W57" s="148">
        <v>81.2</v>
      </c>
      <c r="X57" s="148">
        <v>86.79</v>
      </c>
      <c r="Y57" s="426"/>
      <c r="Z57" s="150">
        <v>5.5937147659383664</v>
      </c>
      <c r="AA57" s="148">
        <v>7.4471201102611513</v>
      </c>
      <c r="AB57" s="148">
        <v>8.9</v>
      </c>
      <c r="AC57" s="148">
        <v>12.7</v>
      </c>
      <c r="AD57" s="148">
        <v>20.2</v>
      </c>
      <c r="AE57" s="148">
        <v>27.7</v>
      </c>
      <c r="AF57" s="148">
        <v>34.25</v>
      </c>
      <c r="AG57" s="426"/>
      <c r="AH57" s="150">
        <v>17.865305274405628</v>
      </c>
      <c r="AI57" s="149">
        <v>29.710890183978972</v>
      </c>
      <c r="AJ57" s="148">
        <v>36.911955114372027</v>
      </c>
      <c r="AK57" s="148">
        <v>46.9</v>
      </c>
      <c r="AL57" s="148">
        <v>64.5</v>
      </c>
      <c r="AM57" s="148">
        <v>70</v>
      </c>
      <c r="AN57" s="148">
        <v>76.33</v>
      </c>
      <c r="AO57" s="426"/>
      <c r="AP57" s="150">
        <v>2.5466741859843873</v>
      </c>
      <c r="AQ57" s="148">
        <v>3.9881156439264083</v>
      </c>
      <c r="AR57" s="148">
        <v>6.2473025463962024</v>
      </c>
      <c r="AS57" s="148">
        <v>5.6</v>
      </c>
      <c r="AT57" s="148">
        <v>11.9</v>
      </c>
      <c r="AU57" s="148">
        <v>17</v>
      </c>
      <c r="AV57" s="148">
        <v>19.73</v>
      </c>
      <c r="AW57" s="148"/>
      <c r="AX57" s="151"/>
    </row>
    <row r="58" spans="1:50" ht="12.75" customHeight="1" x14ac:dyDescent="0.2">
      <c r="A58" s="218" t="s">
        <v>36</v>
      </c>
      <c r="B58" s="426">
        <v>26.849168379419336</v>
      </c>
      <c r="C58" s="426">
        <v>37.2251631970381</v>
      </c>
      <c r="D58" s="426">
        <v>42.9</v>
      </c>
      <c r="E58" s="426">
        <v>57.6</v>
      </c>
      <c r="F58" s="426">
        <v>72.3</v>
      </c>
      <c r="G58" s="426">
        <v>82.2</v>
      </c>
      <c r="H58" s="426">
        <v>87.41</v>
      </c>
      <c r="I58" s="426"/>
      <c r="J58" s="150">
        <v>4.3396259002746165</v>
      </c>
      <c r="K58" s="148">
        <v>6.1121756357377155</v>
      </c>
      <c r="L58" s="148">
        <v>7.1</v>
      </c>
      <c r="M58" s="148">
        <v>10.9</v>
      </c>
      <c r="N58" s="148">
        <v>18.2</v>
      </c>
      <c r="O58" s="148">
        <v>24.4</v>
      </c>
      <c r="P58" s="148">
        <v>28.65</v>
      </c>
      <c r="Q58" s="426"/>
      <c r="R58" s="150">
        <v>26.858012310671555</v>
      </c>
      <c r="S58" s="149">
        <v>37.198726693951798</v>
      </c>
      <c r="T58" s="148">
        <v>42.9</v>
      </c>
      <c r="U58" s="148">
        <v>57.6</v>
      </c>
      <c r="V58" s="148">
        <v>72.2</v>
      </c>
      <c r="W58" s="148">
        <v>82.2</v>
      </c>
      <c r="X58" s="148">
        <v>87.62</v>
      </c>
      <c r="Y58" s="426"/>
      <c r="Z58" s="150">
        <v>4.3415865550867974</v>
      </c>
      <c r="AA58" s="148">
        <v>6.131033586695251</v>
      </c>
      <c r="AB58" s="148">
        <v>7.1</v>
      </c>
      <c r="AC58" s="148">
        <v>10.8</v>
      </c>
      <c r="AD58" s="148">
        <v>18.100000000000001</v>
      </c>
      <c r="AE58" s="148">
        <v>24.2</v>
      </c>
      <c r="AF58" s="148">
        <v>28.49</v>
      </c>
      <c r="AG58" s="426"/>
      <c r="AH58" s="150" t="s">
        <v>135</v>
      </c>
      <c r="AI58" s="149" t="s">
        <v>135</v>
      </c>
      <c r="AJ58" s="148" t="s">
        <v>135</v>
      </c>
      <c r="AK58" s="148">
        <v>65.3</v>
      </c>
      <c r="AL58" s="148">
        <v>79.599999999999994</v>
      </c>
      <c r="AM58" s="148">
        <v>86.1</v>
      </c>
      <c r="AN58" s="148">
        <v>84.38</v>
      </c>
      <c r="AO58" s="426"/>
      <c r="AP58" s="150" t="s">
        <v>135</v>
      </c>
      <c r="AQ58" s="148" t="s">
        <v>135</v>
      </c>
      <c r="AR58" s="148" t="s">
        <v>135</v>
      </c>
      <c r="AS58" s="148">
        <v>16.5</v>
      </c>
      <c r="AT58" s="148">
        <v>22.7</v>
      </c>
      <c r="AU58" s="148">
        <v>25.7</v>
      </c>
      <c r="AV58" s="148">
        <v>27.77</v>
      </c>
      <c r="AW58" s="148"/>
      <c r="AX58" s="151"/>
    </row>
    <row r="59" spans="1:50" s="151" customFormat="1" ht="12.75" customHeight="1" x14ac:dyDescent="0.2">
      <c r="A59" s="218" t="s">
        <v>37</v>
      </c>
      <c r="B59" s="426">
        <v>22.955613252457219</v>
      </c>
      <c r="C59" s="426">
        <v>34.774755216645772</v>
      </c>
      <c r="D59" s="426">
        <v>40.700000000000003</v>
      </c>
      <c r="E59" s="426">
        <v>52.5</v>
      </c>
      <c r="F59" s="426">
        <v>67.400000000000006</v>
      </c>
      <c r="G59" s="426">
        <v>76.7</v>
      </c>
      <c r="H59" s="426">
        <v>82.07</v>
      </c>
      <c r="I59" s="426"/>
      <c r="J59" s="150">
        <v>5.1433204759738773</v>
      </c>
      <c r="K59" s="148">
        <v>6.9356838415001292</v>
      </c>
      <c r="L59" s="148">
        <v>8.4</v>
      </c>
      <c r="M59" s="148">
        <v>11.8</v>
      </c>
      <c r="N59" s="148">
        <v>18.3</v>
      </c>
      <c r="O59" s="148">
        <v>24.9</v>
      </c>
      <c r="P59" s="148">
        <v>29.78</v>
      </c>
      <c r="Q59" s="426"/>
      <c r="R59" s="150">
        <v>23.687216892161256</v>
      </c>
      <c r="S59" s="149">
        <v>35.926161519873283</v>
      </c>
      <c r="T59" s="148">
        <v>42</v>
      </c>
      <c r="U59" s="148">
        <v>54.1</v>
      </c>
      <c r="V59" s="148">
        <v>69</v>
      </c>
      <c r="W59" s="148">
        <v>78.599999999999994</v>
      </c>
      <c r="X59" s="148">
        <v>84.65</v>
      </c>
      <c r="Y59" s="426"/>
      <c r="Z59" s="150">
        <v>5.3345188197383484</v>
      </c>
      <c r="AA59" s="148">
        <v>7.2339221646985887</v>
      </c>
      <c r="AB59" s="148">
        <v>8.8000000000000007</v>
      </c>
      <c r="AC59" s="148">
        <v>12.5</v>
      </c>
      <c r="AD59" s="148">
        <v>19.100000000000001</v>
      </c>
      <c r="AE59" s="148">
        <v>25.8</v>
      </c>
      <c r="AF59" s="148">
        <v>31.01</v>
      </c>
      <c r="AG59" s="426"/>
      <c r="AH59" s="150">
        <v>9.162079216647836</v>
      </c>
      <c r="AI59" s="149">
        <v>16.340661242859618</v>
      </c>
      <c r="AJ59" s="148">
        <v>24.494704154919507</v>
      </c>
      <c r="AK59" s="148">
        <v>36.200000000000003</v>
      </c>
      <c r="AL59" s="148">
        <v>56.4</v>
      </c>
      <c r="AM59" s="148">
        <v>67</v>
      </c>
      <c r="AN59" s="148">
        <v>74.510000000000005</v>
      </c>
      <c r="AO59" s="426"/>
      <c r="AP59" s="150">
        <v>1.538498521599077</v>
      </c>
      <c r="AQ59" s="148">
        <v>2.1608678091281521</v>
      </c>
      <c r="AR59" s="148">
        <v>3.1459776141017226</v>
      </c>
      <c r="AS59" s="148">
        <v>4.0999999999999996</v>
      </c>
      <c r="AT59" s="148">
        <v>8.6</v>
      </c>
      <c r="AU59" s="148">
        <v>13.6</v>
      </c>
      <c r="AV59" s="148">
        <v>16.149999999999999</v>
      </c>
      <c r="AW59" s="148"/>
    </row>
    <row r="60" spans="1:50" s="151" customFormat="1" ht="12.75" customHeight="1" x14ac:dyDescent="0.2">
      <c r="A60" s="218" t="s">
        <v>39</v>
      </c>
      <c r="B60" s="426">
        <v>23.420746300127192</v>
      </c>
      <c r="C60" s="426">
        <v>36.066239389422954</v>
      </c>
      <c r="D60" s="426">
        <v>40.9</v>
      </c>
      <c r="E60" s="426">
        <v>52.7</v>
      </c>
      <c r="F60" s="426">
        <v>66.3</v>
      </c>
      <c r="G60" s="426">
        <v>74.8</v>
      </c>
      <c r="H60" s="426">
        <v>79.06</v>
      </c>
      <c r="I60" s="426"/>
      <c r="J60" s="150">
        <v>5.6090810245667084</v>
      </c>
      <c r="K60" s="148">
        <v>7.6651924460093852</v>
      </c>
      <c r="L60" s="148">
        <v>8.9</v>
      </c>
      <c r="M60" s="148">
        <v>11.9</v>
      </c>
      <c r="N60" s="148">
        <v>17.899999999999999</v>
      </c>
      <c r="O60" s="148">
        <v>23.1</v>
      </c>
      <c r="P60" s="148">
        <v>27.37</v>
      </c>
      <c r="Q60" s="426"/>
      <c r="R60" s="150">
        <v>23.846813927092178</v>
      </c>
      <c r="S60" s="149">
        <v>36.867582696482629</v>
      </c>
      <c r="T60" s="148">
        <v>41.8</v>
      </c>
      <c r="U60" s="148">
        <v>54.2</v>
      </c>
      <c r="V60" s="148">
        <v>68.7</v>
      </c>
      <c r="W60" s="148">
        <v>78.5</v>
      </c>
      <c r="X60" s="148">
        <v>83.99</v>
      </c>
      <c r="Y60" s="426"/>
      <c r="Z60" s="150">
        <v>5.7702907585688257</v>
      </c>
      <c r="AA60" s="148">
        <v>7.9646480955061367</v>
      </c>
      <c r="AB60" s="148">
        <v>9.3000000000000007</v>
      </c>
      <c r="AC60" s="148">
        <v>12.7</v>
      </c>
      <c r="AD60" s="148">
        <v>19.399999999999999</v>
      </c>
      <c r="AE60" s="148">
        <v>25.3</v>
      </c>
      <c r="AF60" s="148">
        <v>30.46</v>
      </c>
      <c r="AG60" s="426"/>
      <c r="AH60" s="150">
        <v>14.136789423566668</v>
      </c>
      <c r="AI60" s="149">
        <v>23.687294996320155</v>
      </c>
      <c r="AJ60" s="148">
        <v>29.967938414583106</v>
      </c>
      <c r="AK60" s="148">
        <v>39.799999999999997</v>
      </c>
      <c r="AL60" s="148">
        <v>57.6</v>
      </c>
      <c r="AM60" s="148">
        <v>64.7</v>
      </c>
      <c r="AN60" s="148">
        <v>70.64</v>
      </c>
      <c r="AO60" s="426"/>
      <c r="AP60" s="150">
        <v>2.0962973625351551</v>
      </c>
      <c r="AQ60" s="148">
        <v>3.0392789322090876</v>
      </c>
      <c r="AR60" s="148">
        <v>4.0158864367241618</v>
      </c>
      <c r="AS60" s="148">
        <v>4.2</v>
      </c>
      <c r="AT60" s="148">
        <v>8.8000000000000007</v>
      </c>
      <c r="AU60" s="148">
        <v>12.6</v>
      </c>
      <c r="AV60" s="148">
        <v>15.84</v>
      </c>
      <c r="AW60" s="148"/>
    </row>
    <row r="61" spans="1:50" s="151" customFormat="1" ht="12.75" customHeight="1" x14ac:dyDescent="0.2">
      <c r="A61" s="132" t="s">
        <v>43</v>
      </c>
      <c r="B61" s="431">
        <v>21.240920505329605</v>
      </c>
      <c r="C61" s="431">
        <v>32.00325832599421</v>
      </c>
      <c r="D61" s="431">
        <v>38.1</v>
      </c>
      <c r="E61" s="431">
        <v>50.2</v>
      </c>
      <c r="F61" s="431">
        <v>64.7</v>
      </c>
      <c r="G61" s="431">
        <v>74.7</v>
      </c>
      <c r="H61" s="431">
        <v>81.900000000000006</v>
      </c>
      <c r="I61" s="431"/>
      <c r="J61" s="150">
        <v>4.2200654470399925</v>
      </c>
      <c r="K61" s="148">
        <v>5.5318898862116166</v>
      </c>
      <c r="L61" s="148">
        <v>6.4</v>
      </c>
      <c r="M61" s="148">
        <v>8.6999999999999993</v>
      </c>
      <c r="N61" s="148">
        <v>13.6</v>
      </c>
      <c r="O61" s="148">
        <v>17.899999999999999</v>
      </c>
      <c r="P61" s="148">
        <v>22.35</v>
      </c>
      <c r="Q61" s="431"/>
      <c r="R61" s="150">
        <v>21.868785886050315</v>
      </c>
      <c r="S61" s="149">
        <v>32.924771893742864</v>
      </c>
      <c r="T61" s="148">
        <v>39.200000000000003</v>
      </c>
      <c r="U61" s="148">
        <v>51.6</v>
      </c>
      <c r="V61" s="148">
        <v>65.8</v>
      </c>
      <c r="W61" s="148">
        <v>75.900000000000006</v>
      </c>
      <c r="X61" s="148">
        <v>83.41</v>
      </c>
      <c r="Y61" s="431"/>
      <c r="Z61" s="150">
        <v>4.369292890652007</v>
      </c>
      <c r="AA61" s="148">
        <v>5.7487710696952146</v>
      </c>
      <c r="AB61" s="148">
        <v>6.7</v>
      </c>
      <c r="AC61" s="148">
        <v>9.1</v>
      </c>
      <c r="AD61" s="148">
        <v>14</v>
      </c>
      <c r="AE61" s="148">
        <v>18.5</v>
      </c>
      <c r="AF61" s="148">
        <v>23.1</v>
      </c>
      <c r="AG61" s="431"/>
      <c r="AH61" s="150">
        <v>8.7657302083841877</v>
      </c>
      <c r="AI61" s="149">
        <v>16.772061348288887</v>
      </c>
      <c r="AJ61" s="148">
        <v>23.719472920010041</v>
      </c>
      <c r="AK61" s="148">
        <v>33.200000000000003</v>
      </c>
      <c r="AL61" s="148">
        <v>52.1</v>
      </c>
      <c r="AM61" s="148">
        <v>63.5</v>
      </c>
      <c r="AN61" s="148">
        <v>71.84</v>
      </c>
      <c r="AO61" s="431"/>
      <c r="AP61" s="150">
        <v>1.2550368587276135</v>
      </c>
      <c r="AQ61" s="148">
        <v>1.9471786654458052</v>
      </c>
      <c r="AR61" s="148">
        <v>2.7605104859223353</v>
      </c>
      <c r="AS61" s="148">
        <v>3.4</v>
      </c>
      <c r="AT61" s="148">
        <v>6.5</v>
      </c>
      <c r="AU61" s="148">
        <v>10</v>
      </c>
      <c r="AV61" s="148">
        <v>11.95</v>
      </c>
      <c r="AW61" s="148"/>
    </row>
    <row r="62" spans="1:50" s="151" customFormat="1" ht="12.75" customHeight="1" x14ac:dyDescent="0.2">
      <c r="A62" s="2" t="s">
        <v>44</v>
      </c>
      <c r="B62" s="430">
        <v>21.116529197969253</v>
      </c>
      <c r="C62" s="430">
        <v>31.613992814268194</v>
      </c>
      <c r="D62" s="430">
        <v>35</v>
      </c>
      <c r="E62" s="430">
        <v>46.4</v>
      </c>
      <c r="F62" s="430">
        <v>61.1</v>
      </c>
      <c r="G62" s="430">
        <v>72</v>
      </c>
      <c r="H62" s="430">
        <v>77.959999999999994</v>
      </c>
      <c r="I62" s="430"/>
      <c r="J62" s="150">
        <v>4.5195122766631162</v>
      </c>
      <c r="K62" s="148">
        <v>5.9540457391192101</v>
      </c>
      <c r="L62" s="148">
        <v>6.6</v>
      </c>
      <c r="M62" s="148">
        <v>9.4</v>
      </c>
      <c r="N62" s="148">
        <v>15.4</v>
      </c>
      <c r="O62" s="148">
        <v>21.3</v>
      </c>
      <c r="P62" s="148">
        <v>25.6</v>
      </c>
      <c r="Q62" s="430"/>
      <c r="R62" s="150">
        <v>21.265348050664315</v>
      </c>
      <c r="S62" s="149">
        <v>31.782083169699348</v>
      </c>
      <c r="T62" s="148">
        <v>35.200000000000003</v>
      </c>
      <c r="U62" s="148">
        <v>46.5</v>
      </c>
      <c r="V62" s="148">
        <v>61.3</v>
      </c>
      <c r="W62" s="148">
        <v>73</v>
      </c>
      <c r="X62" s="148">
        <v>80.11</v>
      </c>
      <c r="Y62" s="430"/>
      <c r="Z62" s="150">
        <v>4.5608058998536665</v>
      </c>
      <c r="AA62" s="148">
        <v>6.0140943404459568</v>
      </c>
      <c r="AB62" s="148">
        <v>6.6</v>
      </c>
      <c r="AC62" s="148">
        <v>9.5</v>
      </c>
      <c r="AD62" s="148">
        <v>15.6</v>
      </c>
      <c r="AE62" s="148">
        <v>21.8</v>
      </c>
      <c r="AF62" s="148">
        <v>26.84</v>
      </c>
      <c r="AG62" s="430"/>
      <c r="AH62" s="150">
        <v>10.88911088911089</v>
      </c>
      <c r="AI62" s="149">
        <v>19.446320054017555</v>
      </c>
      <c r="AJ62" s="148">
        <v>25.662393162393158</v>
      </c>
      <c r="AK62" s="148">
        <v>37.4</v>
      </c>
      <c r="AL62" s="148">
        <v>58</v>
      </c>
      <c r="AM62" s="148">
        <v>65.900000000000006</v>
      </c>
      <c r="AN62" s="148">
        <v>70.95</v>
      </c>
      <c r="AO62" s="430"/>
      <c r="AP62" s="150">
        <v>1.6816516816516816</v>
      </c>
      <c r="AQ62" s="148">
        <v>1.6880486158001351</v>
      </c>
      <c r="AR62" s="148">
        <v>3.8782051282051282</v>
      </c>
      <c r="AS62" s="148">
        <v>3.5</v>
      </c>
      <c r="AT62" s="148">
        <v>8.4</v>
      </c>
      <c r="AU62" s="148">
        <v>12.7</v>
      </c>
      <c r="AV62" s="148">
        <v>16.690000000000001</v>
      </c>
      <c r="AW62" s="148"/>
    </row>
    <row r="63" spans="1:50" s="151" customFormat="1" ht="12.75" customHeight="1" x14ac:dyDescent="0.2">
      <c r="A63" s="3" t="s">
        <v>47</v>
      </c>
      <c r="B63" s="432">
        <v>27.899344624738443</v>
      </c>
      <c r="C63" s="432">
        <v>37.088247254981695</v>
      </c>
      <c r="D63" s="432">
        <v>42.9</v>
      </c>
      <c r="E63" s="432">
        <v>57.1</v>
      </c>
      <c r="F63" s="432">
        <v>71</v>
      </c>
      <c r="G63" s="432">
        <v>80.8</v>
      </c>
      <c r="H63" s="432">
        <v>86.42</v>
      </c>
      <c r="I63" s="430"/>
      <c r="J63" s="150">
        <v>4.1395238659244349</v>
      </c>
      <c r="K63" s="155">
        <v>5.9373729158194388</v>
      </c>
      <c r="L63" s="155">
        <v>7.3</v>
      </c>
      <c r="M63" s="155">
        <v>11.5</v>
      </c>
      <c r="N63" s="155">
        <v>19</v>
      </c>
      <c r="O63" s="155">
        <v>24.3</v>
      </c>
      <c r="P63" s="155">
        <v>29.45</v>
      </c>
      <c r="Q63" s="430"/>
      <c r="R63" s="150">
        <v>27.915468461257202</v>
      </c>
      <c r="S63" s="156">
        <v>37.052097785006936</v>
      </c>
      <c r="T63" s="155">
        <v>42.9</v>
      </c>
      <c r="U63" s="155">
        <v>57</v>
      </c>
      <c r="V63" s="155">
        <v>71</v>
      </c>
      <c r="W63" s="155">
        <v>80.8</v>
      </c>
      <c r="X63" s="155">
        <v>86.58</v>
      </c>
      <c r="Y63" s="430"/>
      <c r="Z63" s="150">
        <v>4.1425790321464921</v>
      </c>
      <c r="AA63" s="155">
        <v>5.9608668612160933</v>
      </c>
      <c r="AB63" s="155">
        <v>7.3</v>
      </c>
      <c r="AC63" s="155">
        <v>11.4</v>
      </c>
      <c r="AD63" s="155">
        <v>18.899999999999999</v>
      </c>
      <c r="AE63" s="155">
        <v>24.2</v>
      </c>
      <c r="AF63" s="155">
        <v>29.46</v>
      </c>
      <c r="AG63" s="430"/>
      <c r="AH63" s="150" t="s">
        <v>135</v>
      </c>
      <c r="AI63" s="156" t="s">
        <v>135</v>
      </c>
      <c r="AJ63" s="155" t="s">
        <v>135</v>
      </c>
      <c r="AK63" s="155">
        <v>55</v>
      </c>
      <c r="AL63" s="155">
        <v>83.7</v>
      </c>
      <c r="AM63" s="155">
        <v>85.9</v>
      </c>
      <c r="AN63" s="155">
        <v>84.16</v>
      </c>
      <c r="AO63" s="430"/>
      <c r="AP63" s="150" t="s">
        <v>135</v>
      </c>
      <c r="AQ63" s="155" t="s">
        <v>135</v>
      </c>
      <c r="AR63" s="155" t="s">
        <v>135</v>
      </c>
      <c r="AS63" s="155">
        <v>25.4</v>
      </c>
      <c r="AT63" s="155">
        <v>31.1</v>
      </c>
      <c r="AU63" s="155">
        <v>30.5</v>
      </c>
      <c r="AV63" s="155">
        <v>34.82</v>
      </c>
      <c r="AW63" s="155"/>
    </row>
    <row r="64" spans="1:50" s="151" customFormat="1" ht="12.75" customHeight="1" x14ac:dyDescent="0.2">
      <c r="A64" s="173" t="s">
        <v>62</v>
      </c>
      <c r="B64" s="433">
        <v>41.18037057325769</v>
      </c>
      <c r="C64" s="433">
        <v>50.188207027730499</v>
      </c>
      <c r="D64" s="433">
        <v>47.8</v>
      </c>
      <c r="E64" s="433">
        <v>55.2</v>
      </c>
      <c r="F64" s="433">
        <v>67.099999999999994</v>
      </c>
      <c r="G64" s="433">
        <v>73.099999999999994</v>
      </c>
      <c r="H64" s="433">
        <v>77.83</v>
      </c>
      <c r="I64" s="433"/>
      <c r="J64" s="434">
        <v>11.109204144439403</v>
      </c>
      <c r="K64" s="434">
        <v>13.638001801982181</v>
      </c>
      <c r="L64" s="434">
        <v>14.3</v>
      </c>
      <c r="M64" s="434">
        <v>17.8</v>
      </c>
      <c r="N64" s="434">
        <v>27.5</v>
      </c>
      <c r="O64" s="434">
        <v>33.299999999999997</v>
      </c>
      <c r="P64" s="434">
        <v>39.07</v>
      </c>
      <c r="Q64" s="433"/>
      <c r="R64" s="434">
        <v>49.669442309470888</v>
      </c>
      <c r="S64" s="435">
        <v>60.612487023580009</v>
      </c>
      <c r="T64" s="434">
        <v>61.1</v>
      </c>
      <c r="U64" s="434">
        <v>75</v>
      </c>
      <c r="V64" s="434">
        <v>88.7</v>
      </c>
      <c r="W64" s="434">
        <v>93.1</v>
      </c>
      <c r="X64" s="434">
        <v>94.43</v>
      </c>
      <c r="Y64" s="433"/>
      <c r="Z64" s="434">
        <v>13.632116238945532</v>
      </c>
      <c r="AA64" s="434">
        <v>17.244549903603737</v>
      </c>
      <c r="AB64" s="434">
        <v>20.9</v>
      </c>
      <c r="AC64" s="434">
        <v>35.299999999999997</v>
      </c>
      <c r="AD64" s="434">
        <v>57.6</v>
      </c>
      <c r="AE64" s="434">
        <v>69</v>
      </c>
      <c r="AF64" s="434">
        <v>77.3</v>
      </c>
      <c r="AG64" s="433"/>
      <c r="AH64" s="434">
        <v>17.367149758454108</v>
      </c>
      <c r="AI64" s="435">
        <v>28.5335797905114</v>
      </c>
      <c r="AJ64" s="434">
        <v>33.533551562197481</v>
      </c>
      <c r="AK64" s="434">
        <v>43.9</v>
      </c>
      <c r="AL64" s="434">
        <v>56.3</v>
      </c>
      <c r="AM64" s="434">
        <v>63.8</v>
      </c>
      <c r="AN64" s="434">
        <v>70.37</v>
      </c>
      <c r="AO64" s="433"/>
      <c r="AP64" s="434">
        <v>4.0320271962784036</v>
      </c>
      <c r="AQ64" s="434">
        <v>6.1460258780036972</v>
      </c>
      <c r="AR64" s="434">
        <v>7.1583269920888286</v>
      </c>
      <c r="AS64" s="434">
        <v>7.8</v>
      </c>
      <c r="AT64" s="434">
        <v>12.2</v>
      </c>
      <c r="AU64" s="434">
        <v>15.3</v>
      </c>
      <c r="AV64" s="434">
        <v>17.5</v>
      </c>
      <c r="AW64" s="434"/>
    </row>
    <row r="65" spans="1:49" s="151" customFormat="1" ht="12.75" customHeight="1" x14ac:dyDescent="0.2">
      <c r="A65" s="2"/>
      <c r="B65" s="430"/>
      <c r="C65" s="430"/>
      <c r="D65" s="430"/>
      <c r="E65" s="430"/>
      <c r="F65" s="430"/>
      <c r="G65" s="430"/>
      <c r="H65" s="430"/>
      <c r="I65" s="430"/>
      <c r="J65" s="148"/>
      <c r="K65" s="148"/>
      <c r="L65" s="148"/>
      <c r="M65" s="148"/>
      <c r="N65" s="148"/>
      <c r="O65" s="148"/>
      <c r="P65" s="148"/>
      <c r="Q65" s="148"/>
      <c r="R65" s="148"/>
      <c r="S65" s="149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9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</row>
    <row r="66" spans="1:49" ht="12.75" customHeight="1" x14ac:dyDescent="0.2">
      <c r="B66" s="2" t="s">
        <v>143</v>
      </c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</row>
    <row r="67" spans="1:49" x14ac:dyDescent="0.2">
      <c r="B67" s="2" t="s">
        <v>144</v>
      </c>
      <c r="R67" s="159"/>
      <c r="AH67" s="159"/>
    </row>
    <row r="68" spans="1:49" ht="12.75" customHeight="1" x14ac:dyDescent="0.2">
      <c r="B68" s="2" t="s">
        <v>137</v>
      </c>
      <c r="J68" s="159" t="s">
        <v>138</v>
      </c>
      <c r="K68" s="161"/>
      <c r="L68" s="161"/>
      <c r="M68" s="161"/>
      <c r="N68" s="161"/>
      <c r="O68" s="161"/>
      <c r="P68" s="161"/>
      <c r="Q68" s="161"/>
      <c r="R68" s="159" t="s">
        <v>139</v>
      </c>
      <c r="S68" s="160"/>
      <c r="T68" s="161"/>
      <c r="U68" s="161"/>
      <c r="V68" s="161"/>
      <c r="W68" s="161"/>
      <c r="X68" s="161"/>
      <c r="Y68" s="161"/>
      <c r="Z68" s="159" t="s">
        <v>140</v>
      </c>
      <c r="AA68" s="161"/>
      <c r="AB68" s="161"/>
      <c r="AC68" s="161"/>
      <c r="AD68" s="161"/>
      <c r="AE68" s="161"/>
      <c r="AF68" s="161"/>
      <c r="AG68" s="161"/>
      <c r="AH68" s="159" t="s">
        <v>141</v>
      </c>
      <c r="AI68" s="160"/>
      <c r="AJ68" s="161"/>
      <c r="AK68" s="161"/>
      <c r="AL68" s="161"/>
      <c r="AM68" s="161"/>
      <c r="AN68" s="161"/>
      <c r="AO68" s="161"/>
      <c r="AP68" s="159" t="s">
        <v>142</v>
      </c>
      <c r="AQ68" s="161"/>
      <c r="AR68" s="161"/>
      <c r="AS68" s="161"/>
      <c r="AT68" s="161"/>
      <c r="AU68" s="161"/>
      <c r="AV68" s="161"/>
      <c r="AW68" s="161"/>
    </row>
    <row r="69" spans="1:49" x14ac:dyDescent="0.2">
      <c r="B69" s="2" t="s">
        <v>145</v>
      </c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Table 2</vt:lpstr>
      <vt:lpstr>Table 7</vt:lpstr>
      <vt:lpstr>Pop 25+ by race &amp; gender</vt:lpstr>
      <vt:lpstr>Attainment 25+ by race &amp; gender</vt:lpstr>
      <vt:lpstr>Attainment by Race Trends</vt:lpstr>
      <vt:lpstr>Historical Attainment Rates</vt:lpstr>
      <vt:lpstr>Sheet1</vt:lpstr>
      <vt:lpstr>'Table 2'!Print_Area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2013-04-17T14:17:52Z</cp:lastPrinted>
  <dcterms:created xsi:type="dcterms:W3CDTF">2000-07-31T12:56:33Z</dcterms:created>
  <dcterms:modified xsi:type="dcterms:W3CDTF">2018-09-18T18:36:10Z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2018-09-18T18:36:10.2092370Z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