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178" documentId="8_{998E45E2-9C52-4431-BC43-8FF688460BBB}" xr6:coauthVersionLast="47" xr6:coauthVersionMax="47" xr10:uidLastSave="{27CB0402-AB07-4AEE-A3F9-8863CC2875BE}"/>
  <bookViews>
    <workbookView xWindow="-28920" yWindow="-120" windowWidth="29040" windowHeight="15840" xr2:uid="{00000000-000D-0000-FFFF-FFFF00000000}"/>
  </bookViews>
  <sheets>
    <sheet name="Table 40" sheetId="13" r:id="rId1"/>
    <sheet name="All" sheetId="9" r:id="rId2"/>
    <sheet name="Men" sheetId="8" r:id="rId3"/>
    <sheet name="Women" sheetId="7" r:id="rId4"/>
    <sheet name="1st-Yr" sheetId="6" r:id="rId5"/>
    <sheet name="Res&amp;Fel" sheetId="5" r:id="rId6"/>
    <sheet name="StateRes" sheetId="4" r:id="rId7"/>
    <sheet name="Osteo All" sheetId="10" r:id="rId8"/>
    <sheet name="Osteo-Entering Classes" sheetId="11" r:id="rId9"/>
    <sheet name="Osteo abbreviations" sheetId="14" r:id="rId10"/>
  </sheets>
  <definedNames>
    <definedName name="A">Men!$N$70:$N$80</definedName>
    <definedName name="DATA" localSheetId="0">#REF!</definedName>
    <definedName name="DATA">#REF!</definedName>
    <definedName name="_xlnm.Print_Area" localSheetId="0">'Table 40'!$A$1:$N$72</definedName>
    <definedName name="TABLE" localSheetId="0">'Table 40'!$A$1:$J$76</definedName>
    <definedName name="TABL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9" i="13" l="1"/>
  <c r="N68" i="13"/>
  <c r="N67" i="13"/>
  <c r="N66" i="13"/>
  <c r="N65" i="13"/>
  <c r="N64" i="13"/>
  <c r="N63" i="13"/>
  <c r="N62" i="13"/>
  <c r="N61" i="13"/>
  <c r="N60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1" i="13"/>
  <c r="N10" i="13"/>
  <c r="M69" i="13"/>
  <c r="M68" i="13"/>
  <c r="M67" i="13"/>
  <c r="M66" i="13"/>
  <c r="M65" i="13"/>
  <c r="M64" i="13"/>
  <c r="M63" i="13"/>
  <c r="M62" i="13"/>
  <c r="M61" i="13"/>
  <c r="M60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1" i="13"/>
  <c r="M10" i="13"/>
  <c r="L69" i="13"/>
  <c r="L68" i="13"/>
  <c r="L67" i="13"/>
  <c r="L66" i="13"/>
  <c r="L65" i="13"/>
  <c r="L64" i="13"/>
  <c r="L63" i="13"/>
  <c r="L62" i="13"/>
  <c r="L61" i="13"/>
  <c r="L60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1" i="13"/>
  <c r="L10" i="13"/>
  <c r="K69" i="13"/>
  <c r="K68" i="13"/>
  <c r="K67" i="13"/>
  <c r="K66" i="13"/>
  <c r="K65" i="13"/>
  <c r="K64" i="13"/>
  <c r="K63" i="13"/>
  <c r="K62" i="13"/>
  <c r="K61" i="13"/>
  <c r="K60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1" i="13"/>
  <c r="K10" i="13"/>
  <c r="J69" i="13"/>
  <c r="J68" i="13"/>
  <c r="J67" i="13"/>
  <c r="J66" i="13"/>
  <c r="J65" i="13"/>
  <c r="J64" i="13"/>
  <c r="J63" i="13"/>
  <c r="J62" i="13"/>
  <c r="J61" i="13"/>
  <c r="J60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1" i="13"/>
  <c r="J10" i="13"/>
  <c r="I69" i="13"/>
  <c r="I68" i="13"/>
  <c r="I67" i="13"/>
  <c r="I66" i="13"/>
  <c r="I65" i="13"/>
  <c r="I64" i="13"/>
  <c r="I63" i="13"/>
  <c r="I62" i="13"/>
  <c r="I61" i="13"/>
  <c r="I60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1" i="13"/>
  <c r="I10" i="13"/>
  <c r="CF51" i="11"/>
  <c r="CF52" i="11" s="1"/>
  <c r="CE51" i="11"/>
  <c r="CD51" i="11"/>
  <c r="CF37" i="11"/>
  <c r="CE37" i="11"/>
  <c r="CD37" i="11"/>
  <c r="CF22" i="11"/>
  <c r="CE22" i="11"/>
  <c r="CD22" i="11"/>
  <c r="CM51" i="10"/>
  <c r="CL51" i="10"/>
  <c r="CL52" i="10" s="1"/>
  <c r="CK51" i="10"/>
  <c r="CM37" i="10"/>
  <c r="CL37" i="10"/>
  <c r="CK37" i="10"/>
  <c r="CM22" i="10"/>
  <c r="CL22" i="10"/>
  <c r="CK22" i="10"/>
  <c r="CC51" i="11"/>
  <c r="CB51" i="11"/>
  <c r="CA51" i="11"/>
  <c r="CA52" i="11" s="1"/>
  <c r="CC37" i="11"/>
  <c r="CB37" i="11"/>
  <c r="CA37" i="11"/>
  <c r="CA38" i="11" s="1"/>
  <c r="CC22" i="11"/>
  <c r="CB22" i="11"/>
  <c r="CA22" i="11"/>
  <c r="CH52" i="10"/>
  <c r="CJ51" i="10"/>
  <c r="CI51" i="10"/>
  <c r="CH51" i="10"/>
  <c r="CJ37" i="10"/>
  <c r="CI37" i="10"/>
  <c r="CH37" i="10"/>
  <c r="CJ22" i="10"/>
  <c r="CI22" i="10"/>
  <c r="CH22" i="10"/>
  <c r="CF4" i="11"/>
  <c r="CF3" i="11" s="1"/>
  <c r="CE4" i="11"/>
  <c r="CE3" i="11" s="1"/>
  <c r="CE38" i="11" s="1"/>
  <c r="CD4" i="11"/>
  <c r="CC4" i="11"/>
  <c r="CB4" i="11"/>
  <c r="CA4" i="11"/>
  <c r="CA3" i="11" s="1"/>
  <c r="CM4" i="10"/>
  <c r="CL4" i="10"/>
  <c r="CK4" i="10"/>
  <c r="CL3" i="10"/>
  <c r="CL5" i="10" s="1"/>
  <c r="CJ4" i="10"/>
  <c r="CI4" i="10"/>
  <c r="CH4" i="10"/>
  <c r="CH3" i="10" s="1"/>
  <c r="CH5" i="10" s="1"/>
  <c r="CF38" i="11" l="1"/>
  <c r="CE52" i="11"/>
  <c r="CE23" i="11"/>
  <c r="CF23" i="11"/>
  <c r="CL38" i="10"/>
  <c r="CK3" i="10"/>
  <c r="CL23" i="10"/>
  <c r="CB52" i="11"/>
  <c r="CA23" i="11"/>
  <c r="CH38" i="10"/>
  <c r="CH23" i="10"/>
  <c r="CE5" i="11"/>
  <c r="CD3" i="11"/>
  <c r="CD52" i="11" s="1"/>
  <c r="CF5" i="11"/>
  <c r="CB3" i="11"/>
  <c r="CC3" i="11"/>
  <c r="CC52" i="11" s="1"/>
  <c r="CA5" i="11"/>
  <c r="CM3" i="10"/>
  <c r="CI3" i="10"/>
  <c r="CI52" i="10" s="1"/>
  <c r="CJ3" i="10"/>
  <c r="CJ5" i="10" s="1"/>
  <c r="G69" i="13"/>
  <c r="F69" i="13"/>
  <c r="D69" i="13"/>
  <c r="G68" i="13"/>
  <c r="F68" i="13"/>
  <c r="D68" i="13"/>
  <c r="G67" i="13"/>
  <c r="F67" i="13"/>
  <c r="D67" i="13"/>
  <c r="G66" i="13"/>
  <c r="F66" i="13"/>
  <c r="D66" i="13"/>
  <c r="G65" i="13"/>
  <c r="F65" i="13"/>
  <c r="D65" i="13"/>
  <c r="G64" i="13"/>
  <c r="F64" i="13"/>
  <c r="D64" i="13"/>
  <c r="G63" i="13"/>
  <c r="F63" i="13"/>
  <c r="D63" i="13"/>
  <c r="G62" i="13"/>
  <c r="F62" i="13"/>
  <c r="D62" i="13"/>
  <c r="G61" i="13"/>
  <c r="F61" i="13"/>
  <c r="D61" i="13"/>
  <c r="G60" i="13"/>
  <c r="F60" i="13"/>
  <c r="D60" i="13"/>
  <c r="G58" i="13"/>
  <c r="F58" i="13"/>
  <c r="D58" i="13"/>
  <c r="G57" i="13"/>
  <c r="F57" i="13"/>
  <c r="D57" i="13"/>
  <c r="G56" i="13"/>
  <c r="F56" i="13"/>
  <c r="D56" i="13"/>
  <c r="G55" i="13"/>
  <c r="F55" i="13"/>
  <c r="D55" i="13"/>
  <c r="G54" i="13"/>
  <c r="F54" i="13"/>
  <c r="D54" i="13"/>
  <c r="G53" i="13"/>
  <c r="F53" i="13"/>
  <c r="D53" i="13"/>
  <c r="G52" i="13"/>
  <c r="F52" i="13"/>
  <c r="D52" i="13"/>
  <c r="G51" i="13"/>
  <c r="F51" i="13"/>
  <c r="D51" i="13"/>
  <c r="G50" i="13"/>
  <c r="F50" i="13"/>
  <c r="D50" i="13"/>
  <c r="G49" i="13"/>
  <c r="F49" i="13"/>
  <c r="D49" i="13"/>
  <c r="G48" i="13"/>
  <c r="F48" i="13"/>
  <c r="D48" i="13"/>
  <c r="G47" i="13"/>
  <c r="F47" i="13"/>
  <c r="D47" i="13"/>
  <c r="G46" i="13"/>
  <c r="F46" i="13"/>
  <c r="D46" i="13"/>
  <c r="G44" i="13"/>
  <c r="F44" i="13"/>
  <c r="D44" i="13"/>
  <c r="G43" i="13"/>
  <c r="F43" i="13"/>
  <c r="D43" i="13"/>
  <c r="G42" i="13"/>
  <c r="F42" i="13"/>
  <c r="D42" i="13"/>
  <c r="G41" i="13"/>
  <c r="F41" i="13"/>
  <c r="D41" i="13"/>
  <c r="G40" i="13"/>
  <c r="F40" i="13"/>
  <c r="D40" i="13"/>
  <c r="G39" i="13"/>
  <c r="F39" i="13"/>
  <c r="D39" i="13"/>
  <c r="G38" i="13"/>
  <c r="F38" i="13"/>
  <c r="D38" i="13"/>
  <c r="G37" i="13"/>
  <c r="F37" i="13"/>
  <c r="D37" i="13"/>
  <c r="G36" i="13"/>
  <c r="F36" i="13"/>
  <c r="D36" i="13"/>
  <c r="G35" i="13"/>
  <c r="F35" i="13"/>
  <c r="D35" i="13"/>
  <c r="G34" i="13"/>
  <c r="F34" i="13"/>
  <c r="D34" i="13"/>
  <c r="G33" i="13"/>
  <c r="F33" i="13"/>
  <c r="D33" i="13"/>
  <c r="G32" i="13"/>
  <c r="F32" i="13"/>
  <c r="D32" i="13"/>
  <c r="G31" i="13"/>
  <c r="F31" i="13"/>
  <c r="D31" i="13"/>
  <c r="G29" i="13"/>
  <c r="F29" i="13"/>
  <c r="D29" i="13"/>
  <c r="G28" i="13"/>
  <c r="F28" i="13"/>
  <c r="D28" i="13"/>
  <c r="G27" i="13"/>
  <c r="F27" i="13"/>
  <c r="D27" i="13"/>
  <c r="G26" i="13"/>
  <c r="F26" i="13"/>
  <c r="D26" i="13"/>
  <c r="G25" i="13"/>
  <c r="F25" i="13"/>
  <c r="D25" i="13"/>
  <c r="G24" i="13"/>
  <c r="F24" i="13"/>
  <c r="D24" i="13"/>
  <c r="G23" i="13"/>
  <c r="F23" i="13"/>
  <c r="D23" i="13"/>
  <c r="G22" i="13"/>
  <c r="F22" i="13"/>
  <c r="D22" i="13"/>
  <c r="G21" i="13"/>
  <c r="F21" i="13"/>
  <c r="D21" i="13"/>
  <c r="G20" i="13"/>
  <c r="F20" i="13"/>
  <c r="D20" i="13"/>
  <c r="G19" i="13"/>
  <c r="F19" i="13"/>
  <c r="D19" i="13"/>
  <c r="G18" i="13"/>
  <c r="F18" i="13"/>
  <c r="D18" i="13"/>
  <c r="G17" i="13"/>
  <c r="F17" i="13"/>
  <c r="D17" i="13"/>
  <c r="G16" i="13"/>
  <c r="F16" i="13"/>
  <c r="D16" i="13"/>
  <c r="G15" i="13"/>
  <c r="F15" i="13"/>
  <c r="D15" i="13"/>
  <c r="G14" i="13"/>
  <c r="F14" i="13"/>
  <c r="D14" i="13"/>
  <c r="G13" i="13"/>
  <c r="F13" i="13"/>
  <c r="D13" i="13"/>
  <c r="G11" i="13"/>
  <c r="F11" i="13"/>
  <c r="D11" i="13"/>
  <c r="G10" i="13"/>
  <c r="F10" i="13"/>
  <c r="D10" i="13"/>
  <c r="H69" i="13"/>
  <c r="E69" i="13"/>
  <c r="H68" i="13"/>
  <c r="E68" i="13"/>
  <c r="H67" i="13"/>
  <c r="E67" i="13"/>
  <c r="H66" i="13"/>
  <c r="E66" i="13"/>
  <c r="H65" i="13"/>
  <c r="E65" i="13"/>
  <c r="H64" i="13"/>
  <c r="E64" i="13"/>
  <c r="H63" i="13"/>
  <c r="E63" i="13"/>
  <c r="H62" i="13"/>
  <c r="E62" i="13"/>
  <c r="H61" i="13"/>
  <c r="E61" i="13"/>
  <c r="H60" i="13"/>
  <c r="E60" i="13"/>
  <c r="H58" i="13"/>
  <c r="E58" i="13"/>
  <c r="H57" i="13"/>
  <c r="E57" i="13"/>
  <c r="H56" i="13"/>
  <c r="E56" i="13"/>
  <c r="H55" i="13"/>
  <c r="E55" i="13"/>
  <c r="H54" i="13"/>
  <c r="E54" i="13"/>
  <c r="H53" i="13"/>
  <c r="E53" i="13"/>
  <c r="H52" i="13"/>
  <c r="E52" i="13"/>
  <c r="H51" i="13"/>
  <c r="E51" i="13"/>
  <c r="H50" i="13"/>
  <c r="E50" i="13"/>
  <c r="H49" i="13"/>
  <c r="E49" i="13"/>
  <c r="H48" i="13"/>
  <c r="E48" i="13"/>
  <c r="H47" i="13"/>
  <c r="E47" i="13"/>
  <c r="H46" i="13"/>
  <c r="E46" i="13"/>
  <c r="H44" i="13"/>
  <c r="E44" i="13"/>
  <c r="H43" i="13"/>
  <c r="E43" i="13"/>
  <c r="H42" i="13"/>
  <c r="E42" i="13"/>
  <c r="H41" i="13"/>
  <c r="E41" i="13"/>
  <c r="H40" i="13"/>
  <c r="E40" i="13"/>
  <c r="H39" i="13"/>
  <c r="E39" i="13"/>
  <c r="H38" i="13"/>
  <c r="E38" i="13"/>
  <c r="H37" i="13"/>
  <c r="E37" i="13"/>
  <c r="H36" i="13"/>
  <c r="E36" i="13"/>
  <c r="H35" i="13"/>
  <c r="E35" i="13"/>
  <c r="H34" i="13"/>
  <c r="E34" i="13"/>
  <c r="H33" i="13"/>
  <c r="E33" i="13"/>
  <c r="H32" i="13"/>
  <c r="E32" i="13"/>
  <c r="H31" i="13"/>
  <c r="E31" i="13"/>
  <c r="H29" i="13"/>
  <c r="E29" i="13"/>
  <c r="H28" i="13"/>
  <c r="E28" i="13"/>
  <c r="H27" i="13"/>
  <c r="E27" i="13"/>
  <c r="H26" i="13"/>
  <c r="E26" i="13"/>
  <c r="H25" i="13"/>
  <c r="E25" i="13"/>
  <c r="H24" i="13"/>
  <c r="E24" i="13"/>
  <c r="H23" i="13"/>
  <c r="E23" i="13"/>
  <c r="H22" i="13"/>
  <c r="E22" i="13"/>
  <c r="H21" i="13"/>
  <c r="E21" i="13"/>
  <c r="H20" i="13"/>
  <c r="E20" i="13"/>
  <c r="H19" i="13"/>
  <c r="E19" i="13"/>
  <c r="H18" i="13"/>
  <c r="E18" i="13"/>
  <c r="H17" i="13"/>
  <c r="E17" i="13"/>
  <c r="H16" i="13"/>
  <c r="E16" i="13"/>
  <c r="H15" i="13"/>
  <c r="E15" i="13"/>
  <c r="H14" i="13"/>
  <c r="E14" i="13"/>
  <c r="H13" i="13"/>
  <c r="E13" i="13"/>
  <c r="H11" i="13"/>
  <c r="E11" i="13"/>
  <c r="H10" i="13"/>
  <c r="E10" i="13"/>
  <c r="C69" i="13"/>
  <c r="C68" i="13"/>
  <c r="C67" i="13"/>
  <c r="C66" i="13"/>
  <c r="C65" i="13"/>
  <c r="C64" i="13"/>
  <c r="C63" i="13"/>
  <c r="C62" i="13"/>
  <c r="C61" i="13"/>
  <c r="C60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1" i="13"/>
  <c r="C10" i="13"/>
  <c r="AN52" i="6"/>
  <c r="AN38" i="6"/>
  <c r="AN23" i="6"/>
  <c r="AN5" i="6"/>
  <c r="AN52" i="7"/>
  <c r="AN38" i="7"/>
  <c r="AN23" i="7"/>
  <c r="AN5" i="7"/>
  <c r="AN52" i="8"/>
  <c r="AN38" i="8"/>
  <c r="AN23" i="8"/>
  <c r="AN5" i="8"/>
  <c r="AN52" i="9"/>
  <c r="AN38" i="9"/>
  <c r="AN23" i="9"/>
  <c r="AN5" i="9"/>
  <c r="AM52" i="6"/>
  <c r="AM38" i="6"/>
  <c r="AM23" i="6"/>
  <c r="AM5" i="6"/>
  <c r="AM52" i="7"/>
  <c r="AM38" i="7"/>
  <c r="AM23" i="7"/>
  <c r="AM5" i="7"/>
  <c r="AM52" i="8"/>
  <c r="AM38" i="8"/>
  <c r="AM23" i="8"/>
  <c r="AM5" i="8"/>
  <c r="AM5" i="9"/>
  <c r="AM23" i="9"/>
  <c r="AM38" i="9"/>
  <c r="AM52" i="9"/>
  <c r="CD5" i="11" l="1"/>
  <c r="CD38" i="11"/>
  <c r="CD23" i="11"/>
  <c r="CK38" i="10"/>
  <c r="CK52" i="10"/>
  <c r="CM23" i="10"/>
  <c r="CM52" i="10"/>
  <c r="CK23" i="10"/>
  <c r="CK5" i="10"/>
  <c r="CM5" i="10"/>
  <c r="CM38" i="10"/>
  <c r="CC5" i="11"/>
  <c r="CC38" i="11"/>
  <c r="CB5" i="11"/>
  <c r="CB38" i="11"/>
  <c r="CC23" i="11"/>
  <c r="CB23" i="11"/>
  <c r="CJ52" i="10"/>
  <c r="CJ38" i="10"/>
  <c r="CI38" i="10"/>
  <c r="CJ23" i="10"/>
  <c r="CI5" i="10"/>
  <c r="CI23" i="10"/>
  <c r="AN4" i="6"/>
  <c r="AN6" i="6" s="1"/>
  <c r="AN4" i="7"/>
  <c r="AN6" i="7" s="1"/>
  <c r="AN4" i="8"/>
  <c r="AN24" i="8" s="1"/>
  <c r="AN4" i="9"/>
  <c r="AN24" i="9" s="1"/>
  <c r="AM4" i="6"/>
  <c r="AM24" i="6" s="1"/>
  <c r="AM4" i="7"/>
  <c r="AM53" i="7" s="1"/>
  <c r="AM4" i="8"/>
  <c r="AM4" i="9"/>
  <c r="AN53" i="6" l="1"/>
  <c r="AN39" i="6"/>
  <c r="AN24" i="6"/>
  <c r="AN53" i="7"/>
  <c r="AN39" i="7"/>
  <c r="AN24" i="7"/>
  <c r="AN53" i="8"/>
  <c r="AN6" i="8"/>
  <c r="AN39" i="8"/>
  <c r="AN53" i="9"/>
  <c r="AN39" i="9"/>
  <c r="AN6" i="9"/>
  <c r="AM53" i="6"/>
  <c r="AM39" i="6"/>
  <c r="AM6" i="6"/>
  <c r="AM24" i="7"/>
  <c r="AM39" i="7"/>
  <c r="AM6" i="7"/>
  <c r="AM24" i="8"/>
  <c r="AM53" i="8"/>
  <c r="AM6" i="8"/>
  <c r="AM39" i="8"/>
  <c r="AM24" i="9"/>
  <c r="AM53" i="9"/>
  <c r="AM39" i="9"/>
  <c r="AM6" i="9"/>
  <c r="BZ51" i="11" l="1"/>
  <c r="BY51" i="11"/>
  <c r="BX51" i="11"/>
  <c r="BZ37" i="11"/>
  <c r="BY37" i="11"/>
  <c r="BX37" i="11"/>
  <c r="BZ22" i="11"/>
  <c r="BY22" i="11"/>
  <c r="BX22" i="11"/>
  <c r="BZ4" i="11"/>
  <c r="BY4" i="11"/>
  <c r="BX4" i="11"/>
  <c r="CG51" i="10"/>
  <c r="CF51" i="10"/>
  <c r="CE51" i="10"/>
  <c r="CG37" i="10"/>
  <c r="CF37" i="10"/>
  <c r="CE37" i="10"/>
  <c r="CG22" i="10"/>
  <c r="CF22" i="10"/>
  <c r="CE22" i="10"/>
  <c r="CG4" i="10"/>
  <c r="CF4" i="10"/>
  <c r="CE4" i="10"/>
  <c r="CD4" i="10"/>
  <c r="CC4" i="10"/>
  <c r="CB4" i="10"/>
  <c r="CD51" i="10"/>
  <c r="CC51" i="10"/>
  <c r="CB51" i="10"/>
  <c r="CD37" i="10"/>
  <c r="CC37" i="10"/>
  <c r="CB37" i="10"/>
  <c r="CD22" i="10"/>
  <c r="CC22" i="10"/>
  <c r="CB22" i="10"/>
  <c r="BZ3" i="11" l="1"/>
  <c r="BZ23" i="11" s="1"/>
  <c r="BX3" i="11"/>
  <c r="BX38" i="11" s="1"/>
  <c r="BX5" i="11"/>
  <c r="BY3" i="11"/>
  <c r="BY5" i="11" s="1"/>
  <c r="CF3" i="10"/>
  <c r="CF5" i="10" s="1"/>
  <c r="CE3" i="10"/>
  <c r="CG3" i="10"/>
  <c r="CC3" i="10"/>
  <c r="CD3" i="10"/>
  <c r="CD5" i="10" s="1"/>
  <c r="CB3" i="10"/>
  <c r="CB5" i="10" s="1"/>
  <c r="BX23" i="11" l="1"/>
  <c r="CG5" i="10"/>
  <c r="CG52" i="10"/>
  <c r="BX52" i="11"/>
  <c r="CE38" i="10"/>
  <c r="BZ5" i="11"/>
  <c r="BZ52" i="11"/>
  <c r="BY52" i="11"/>
  <c r="BY38" i="11"/>
  <c r="BZ38" i="11"/>
  <c r="BY23" i="11"/>
  <c r="CF52" i="10"/>
  <c r="CE52" i="10"/>
  <c r="CG23" i="10"/>
  <c r="CE23" i="10"/>
  <c r="CG38" i="10"/>
  <c r="CF38" i="10"/>
  <c r="CE5" i="10"/>
  <c r="CF23" i="10"/>
  <c r="CB38" i="10"/>
  <c r="CB52" i="10"/>
  <c r="CB23" i="10"/>
  <c r="CC5" i="10"/>
  <c r="CC52" i="10"/>
  <c r="CD52" i="10"/>
  <c r="CD23" i="10"/>
  <c r="CD38" i="10"/>
  <c r="CC23" i="10"/>
  <c r="CC38" i="10"/>
  <c r="AL52" i="6" l="1"/>
  <c r="AL38" i="6"/>
  <c r="AL23" i="6"/>
  <c r="AL5" i="6"/>
  <c r="AL4" i="6" l="1"/>
  <c r="AL53" i="6" s="1"/>
  <c r="AL6" i="6" l="1"/>
  <c r="AL39" i="6"/>
  <c r="AL24" i="6"/>
  <c r="AL52" i="7" l="1"/>
  <c r="AL38" i="7"/>
  <c r="AL23" i="7"/>
  <c r="AL5" i="7"/>
  <c r="AL4" i="7" l="1"/>
  <c r="AL6" i="7" l="1"/>
  <c r="AL39" i="7"/>
  <c r="AL53" i="7"/>
  <c r="AL24" i="7"/>
  <c r="AL23" i="8" l="1"/>
  <c r="AL38" i="8"/>
  <c r="AL52" i="8"/>
  <c r="AL5" i="8"/>
  <c r="AL4" i="8" l="1"/>
  <c r="AL53" i="8" l="1"/>
  <c r="AL24" i="8"/>
  <c r="AL6" i="8"/>
  <c r="AL39" i="8"/>
  <c r="AL52" i="9" l="1"/>
  <c r="AL38" i="9"/>
  <c r="AL23" i="9"/>
  <c r="AL5" i="9"/>
  <c r="AL4" i="9" l="1"/>
  <c r="AL6" i="9"/>
  <c r="AL24" i="9" l="1"/>
  <c r="AL53" i="9"/>
  <c r="AL39" i="9"/>
  <c r="AK52" i="6" l="1"/>
  <c r="AK38" i="6"/>
  <c r="AK23" i="6"/>
  <c r="AK5" i="6"/>
  <c r="AK4" i="6" l="1"/>
  <c r="AK24" i="6" s="1"/>
  <c r="AK53" i="6" l="1"/>
  <c r="AK6" i="6"/>
  <c r="AK39" i="6"/>
  <c r="AK52" i="7" l="1"/>
  <c r="AK38" i="7"/>
  <c r="AK23" i="7"/>
  <c r="AK5" i="7"/>
  <c r="AK52" i="8"/>
  <c r="AK38" i="8"/>
  <c r="AK23" i="8"/>
  <c r="AK5" i="8"/>
  <c r="AK4" i="8" l="1"/>
  <c r="AK39" i="8" s="1"/>
  <c r="AK4" i="7"/>
  <c r="AK53" i="8"/>
  <c r="AK24" i="8"/>
  <c r="AK6" i="8"/>
  <c r="AK24" i="7" l="1"/>
  <c r="AK53" i="7"/>
  <c r="AK6" i="7"/>
  <c r="AK39" i="7"/>
  <c r="AK38" i="9" l="1"/>
  <c r="AK23" i="9"/>
  <c r="AK5" i="9"/>
  <c r="AK52" i="9"/>
  <c r="AK4" i="9" l="1"/>
  <c r="AK6" i="9" s="1"/>
  <c r="AK53" i="9"/>
  <c r="AK24" i="9" l="1"/>
  <c r="AK39" i="9"/>
  <c r="BU51" i="11" l="1"/>
  <c r="BV51" i="11"/>
  <c r="BW51" i="11"/>
  <c r="BU37" i="11"/>
  <c r="BV37" i="11"/>
  <c r="BW37" i="11"/>
  <c r="BU22" i="11"/>
  <c r="BV22" i="11"/>
  <c r="BW22" i="11"/>
  <c r="BU4" i="11"/>
  <c r="BV4" i="11"/>
  <c r="BW4" i="11"/>
  <c r="BV3" i="11" l="1"/>
  <c r="BV5" i="11" s="1"/>
  <c r="BU3" i="11"/>
  <c r="BU5" i="11" s="1"/>
  <c r="BV23" i="11"/>
  <c r="BU23" i="11"/>
  <c r="BW3" i="11"/>
  <c r="BW38" i="11" s="1"/>
  <c r="BU38" i="11" l="1"/>
  <c r="BV38" i="11"/>
  <c r="BV52" i="11"/>
  <c r="BU52" i="11"/>
  <c r="BW52" i="11"/>
  <c r="BW5" i="11"/>
  <c r="BW23" i="11"/>
  <c r="AJ52" i="6" l="1"/>
  <c r="AJ38" i="6"/>
  <c r="AJ23" i="6"/>
  <c r="AJ5" i="6"/>
  <c r="AJ52" i="7"/>
  <c r="AJ38" i="7"/>
  <c r="AJ23" i="7"/>
  <c r="AJ5" i="7"/>
  <c r="AJ52" i="8"/>
  <c r="AJ38" i="8"/>
  <c r="AJ23" i="8"/>
  <c r="AJ5" i="8"/>
  <c r="AJ52" i="9"/>
  <c r="AJ38" i="9"/>
  <c r="AJ23" i="9"/>
  <c r="AJ5" i="9"/>
  <c r="AJ4" i="6" l="1"/>
  <c r="AJ24" i="6" s="1"/>
  <c r="AJ6" i="6"/>
  <c r="AJ4" i="7"/>
  <c r="AJ4" i="8"/>
  <c r="AJ53" i="8" s="1"/>
  <c r="AJ24" i="8"/>
  <c r="AJ4" i="9"/>
  <c r="AJ24" i="9" s="1"/>
  <c r="BR51" i="11"/>
  <c r="BS51" i="11"/>
  <c r="BT51" i="11"/>
  <c r="BR37" i="11"/>
  <c r="BS37" i="11"/>
  <c r="BT37" i="11"/>
  <c r="BR22" i="11"/>
  <c r="BS22" i="11"/>
  <c r="BT22" i="11"/>
  <c r="BR4" i="11"/>
  <c r="BS4" i="11"/>
  <c r="BT4" i="11"/>
  <c r="BX51" i="10"/>
  <c r="BY51" i="10"/>
  <c r="BZ51" i="10"/>
  <c r="CA51" i="10"/>
  <c r="BX37" i="10"/>
  <c r="BY37" i="10"/>
  <c r="BZ37" i="10"/>
  <c r="CA37" i="10"/>
  <c r="BX22" i="10"/>
  <c r="BY22" i="10"/>
  <c r="BZ22" i="10"/>
  <c r="CA22" i="10"/>
  <c r="BX4" i="10"/>
  <c r="BY4" i="10"/>
  <c r="BZ4" i="10"/>
  <c r="CA4" i="10"/>
  <c r="AJ53" i="6" l="1"/>
  <c r="BS3" i="11"/>
  <c r="BS5" i="11" s="1"/>
  <c r="BR3" i="11"/>
  <c r="BR5" i="11" s="1"/>
  <c r="CA3" i="10"/>
  <c r="AJ53" i="7"/>
  <c r="AJ6" i="9"/>
  <c r="CA52" i="10"/>
  <c r="AJ53" i="9"/>
  <c r="AJ6" i="8"/>
  <c r="AJ39" i="6"/>
  <c r="AJ24" i="7"/>
  <c r="AJ6" i="7"/>
  <c r="AJ39" i="7"/>
  <c r="AJ39" i="8"/>
  <c r="AJ39" i="9"/>
  <c r="BS38" i="11"/>
  <c r="BT3" i="11"/>
  <c r="BT23" i="11" s="1"/>
  <c r="BZ3" i="10"/>
  <c r="BZ38" i="10" s="1"/>
  <c r="CA23" i="10"/>
  <c r="BY3" i="10"/>
  <c r="BY52" i="10" s="1"/>
  <c r="BX3" i="10"/>
  <c r="CA5" i="10"/>
  <c r="BX38" i="10" l="1"/>
  <c r="BX52" i="10"/>
  <c r="BT52" i="11"/>
  <c r="BX5" i="10"/>
  <c r="BT38" i="11"/>
  <c r="BR52" i="11"/>
  <c r="E45" i="13"/>
  <c r="E59" i="13"/>
  <c r="E12" i="13"/>
  <c r="E30" i="13"/>
  <c r="I12" i="13"/>
  <c r="CA38" i="10"/>
  <c r="BR23" i="11"/>
  <c r="C59" i="13"/>
  <c r="C30" i="13"/>
  <c r="I30" i="13"/>
  <c r="BR38" i="11"/>
  <c r="I59" i="13"/>
  <c r="BS23" i="11"/>
  <c r="BS52" i="11"/>
  <c r="I45" i="13"/>
  <c r="C45" i="13"/>
  <c r="BT5" i="11"/>
  <c r="BZ23" i="10"/>
  <c r="BX23" i="10"/>
  <c r="BZ5" i="10"/>
  <c r="BZ52" i="10"/>
  <c r="BY5" i="10"/>
  <c r="BY38" i="10"/>
  <c r="BY23" i="10"/>
  <c r="AI52" i="6"/>
  <c r="AI38" i="6"/>
  <c r="AI23" i="6"/>
  <c r="AI5" i="6"/>
  <c r="AI52" i="7"/>
  <c r="AI38" i="7"/>
  <c r="AI23" i="7"/>
  <c r="AI5" i="7"/>
  <c r="AI52" i="8"/>
  <c r="AI38" i="8"/>
  <c r="AI23" i="8"/>
  <c r="AI5" i="8"/>
  <c r="AI52" i="9"/>
  <c r="AI38" i="9"/>
  <c r="AI23" i="9"/>
  <c r="AI5" i="9"/>
  <c r="AI4" i="8" l="1"/>
  <c r="AI4" i="6"/>
  <c r="AI24" i="6" s="1"/>
  <c r="AI39" i="6"/>
  <c r="AI6" i="6"/>
  <c r="AI4" i="7"/>
  <c r="AI24" i="7" s="1"/>
  <c r="AI6" i="7"/>
  <c r="AI39" i="8"/>
  <c r="AI24" i="8"/>
  <c r="AI4" i="9"/>
  <c r="AI6" i="9" s="1"/>
  <c r="AI24" i="9"/>
  <c r="AI53" i="7" l="1"/>
  <c r="AI6" i="8"/>
  <c r="AI53" i="8"/>
  <c r="AI53" i="6"/>
  <c r="AI39" i="7"/>
  <c r="AI53" i="9"/>
  <c r="AI39" i="9"/>
  <c r="BC4" i="10" l="1"/>
  <c r="BD4" i="10"/>
  <c r="BE4" i="10"/>
  <c r="BC22" i="10"/>
  <c r="BD22" i="10"/>
  <c r="BE22" i="10"/>
  <c r="BC37" i="10"/>
  <c r="BD37" i="10"/>
  <c r="BE37" i="10"/>
  <c r="BC51" i="10"/>
  <c r="BD51" i="10"/>
  <c r="BE51" i="10"/>
  <c r="BE3" i="10" l="1"/>
  <c r="BE5" i="10" s="1"/>
  <c r="BE23" i="10"/>
  <c r="BE52" i="10"/>
  <c r="BD3" i="10"/>
  <c r="BD38" i="10" s="1"/>
  <c r="BC3" i="10"/>
  <c r="BE38" i="10"/>
  <c r="BD5" i="10" l="1"/>
  <c r="BC5" i="10"/>
  <c r="BD23" i="10"/>
  <c r="BD52" i="10"/>
  <c r="BC38" i="10"/>
  <c r="BC52" i="10"/>
  <c r="BC23" i="10"/>
  <c r="BI4" i="11" l="1"/>
  <c r="BJ4" i="11"/>
  <c r="BK4" i="11"/>
  <c r="BL4" i="11"/>
  <c r="BM4" i="11"/>
  <c r="BN4" i="11"/>
  <c r="BO4" i="11"/>
  <c r="BP4" i="11"/>
  <c r="BQ4" i="11"/>
  <c r="BI37" i="11"/>
  <c r="BJ37" i="11"/>
  <c r="BK37" i="11"/>
  <c r="BL37" i="11"/>
  <c r="BM37" i="11"/>
  <c r="BN37" i="11"/>
  <c r="BO37" i="11"/>
  <c r="BP37" i="11"/>
  <c r="BQ37" i="11"/>
  <c r="BI22" i="11"/>
  <c r="BJ22" i="11"/>
  <c r="BK22" i="11"/>
  <c r="BL22" i="11"/>
  <c r="BM22" i="11"/>
  <c r="BN22" i="11"/>
  <c r="BO22" i="11"/>
  <c r="BP22" i="11"/>
  <c r="BQ22" i="11"/>
  <c r="BI51" i="11"/>
  <c r="BJ51" i="11"/>
  <c r="BK51" i="11"/>
  <c r="BL51" i="11"/>
  <c r="BM51" i="11"/>
  <c r="BN51" i="11"/>
  <c r="BO51" i="11"/>
  <c r="BP51" i="11"/>
  <c r="BQ51" i="11"/>
  <c r="BU4" i="10"/>
  <c r="BV4" i="10"/>
  <c r="BW4" i="10"/>
  <c r="BU22" i="10"/>
  <c r="BV22" i="10"/>
  <c r="BW22" i="10"/>
  <c r="BU37" i="10"/>
  <c r="BV37" i="10"/>
  <c r="BW37" i="10"/>
  <c r="BV51" i="10"/>
  <c r="BW51" i="10"/>
  <c r="BU51" i="10"/>
  <c r="BN3" i="11" l="1"/>
  <c r="BK3" i="11"/>
  <c r="BK5" i="11" s="1"/>
  <c r="BM3" i="11"/>
  <c r="BM5" i="11" s="1"/>
  <c r="BL3" i="11"/>
  <c r="BL5" i="11" s="1"/>
  <c r="BQ3" i="11"/>
  <c r="BQ5" i="11" s="1"/>
  <c r="BI3" i="11"/>
  <c r="BI38" i="11" s="1"/>
  <c r="BP3" i="11"/>
  <c r="BP23" i="11" s="1"/>
  <c r="BO3" i="11"/>
  <c r="BO52" i="11" s="1"/>
  <c r="BN5" i="11"/>
  <c r="BN38" i="11"/>
  <c r="BN23" i="11"/>
  <c r="BN52" i="11"/>
  <c r="BJ3" i="11"/>
  <c r="BJ52" i="11" s="1"/>
  <c r="BK52" i="11"/>
  <c r="BK38" i="11"/>
  <c r="BK23" i="11"/>
  <c r="BU3" i="10"/>
  <c r="BU5" i="10" s="1"/>
  <c r="BW3" i="10"/>
  <c r="BW5" i="10" s="1"/>
  <c r="BV3" i="10"/>
  <c r="BV5" i="10" s="1"/>
  <c r="BU23" i="10"/>
  <c r="BU38" i="10"/>
  <c r="BP38" i="11" l="1"/>
  <c r="BI52" i="11"/>
  <c r="BJ5" i="11"/>
  <c r="BI5" i="11"/>
  <c r="BL52" i="11"/>
  <c r="BL23" i="11"/>
  <c r="BQ38" i="11"/>
  <c r="BL38" i="11"/>
  <c r="BQ52" i="11"/>
  <c r="BU52" i="10"/>
  <c r="BM52" i="11"/>
  <c r="BM38" i="11"/>
  <c r="BM23" i="11"/>
  <c r="BI23" i="11"/>
  <c r="BQ23" i="11"/>
  <c r="BP5" i="11"/>
  <c r="BO23" i="11"/>
  <c r="BO38" i="11"/>
  <c r="BO5" i="11"/>
  <c r="BP52" i="11"/>
  <c r="BJ38" i="11"/>
  <c r="BJ23" i="11"/>
  <c r="BW23" i="10"/>
  <c r="BW52" i="10"/>
  <c r="BV52" i="10"/>
  <c r="BW38" i="10"/>
  <c r="BV38" i="10"/>
  <c r="BV23" i="10"/>
  <c r="AH5" i="6" l="1"/>
  <c r="AH23" i="6"/>
  <c r="AH38" i="6"/>
  <c r="AH52" i="6"/>
  <c r="AH5" i="7"/>
  <c r="AH23" i="7"/>
  <c r="AH38" i="7"/>
  <c r="AH52" i="7"/>
  <c r="AH5" i="8"/>
  <c r="AH23" i="8"/>
  <c r="AH38" i="8"/>
  <c r="AH52" i="8"/>
  <c r="AH5" i="9"/>
  <c r="AH23" i="9"/>
  <c r="AH38" i="9"/>
  <c r="AH52" i="9"/>
  <c r="AH4" i="7" l="1"/>
  <c r="AH4" i="6"/>
  <c r="AH53" i="6" s="1"/>
  <c r="AH6" i="7"/>
  <c r="AH4" i="8"/>
  <c r="AH53" i="8" s="1"/>
  <c r="AH4" i="9"/>
  <c r="AG52" i="8"/>
  <c r="AG38" i="8"/>
  <c r="AG23" i="8"/>
  <c r="AG5" i="8"/>
  <c r="AG5" i="7"/>
  <c r="AG23" i="7"/>
  <c r="AG38" i="7"/>
  <c r="AG52" i="7"/>
  <c r="AG5" i="6"/>
  <c r="AG23" i="6"/>
  <c r="AG38" i="6"/>
  <c r="AG52" i="6"/>
  <c r="AG4" i="6" l="1"/>
  <c r="AG53" i="6" s="1"/>
  <c r="AH39" i="7"/>
  <c r="AH39" i="9"/>
  <c r="AH24" i="7"/>
  <c r="AH53" i="7"/>
  <c r="AG4" i="7"/>
  <c r="AH24" i="6"/>
  <c r="AH39" i="6"/>
  <c r="AH6" i="6"/>
  <c r="AH24" i="8"/>
  <c r="AH39" i="8"/>
  <c r="AH6" i="8"/>
  <c r="AH24" i="9"/>
  <c r="AH53" i="9"/>
  <c r="AH6" i="9"/>
  <c r="AG4" i="8"/>
  <c r="AG6" i="8" s="1"/>
  <c r="AG5" i="9"/>
  <c r="AG23" i="9"/>
  <c r="AG38" i="9"/>
  <c r="AG52" i="9"/>
  <c r="AG4" i="9" l="1"/>
  <c r="AG24" i="6"/>
  <c r="AG39" i="6"/>
  <c r="AG6" i="6"/>
  <c r="AG24" i="8"/>
  <c r="AG6" i="7"/>
  <c r="AG53" i="7"/>
  <c r="AG24" i="7"/>
  <c r="AG39" i="7"/>
  <c r="AG53" i="8"/>
  <c r="AG39" i="8"/>
  <c r="AG39" i="9"/>
  <c r="BT51" i="10"/>
  <c r="BS51" i="10"/>
  <c r="BR51" i="10"/>
  <c r="BT37" i="10"/>
  <c r="BS37" i="10"/>
  <c r="BR37" i="10"/>
  <c r="BT22" i="10"/>
  <c r="BS22" i="10"/>
  <c r="BR22" i="10"/>
  <c r="BT4" i="10"/>
  <c r="BS4" i="10"/>
  <c r="BR4" i="10"/>
  <c r="BQ51" i="10"/>
  <c r="BP51" i="10"/>
  <c r="BO51" i="10"/>
  <c r="BQ37" i="10"/>
  <c r="BP37" i="10"/>
  <c r="BO37" i="10"/>
  <c r="BQ22" i="10"/>
  <c r="BP22" i="10"/>
  <c r="BO22" i="10"/>
  <c r="BQ4" i="10"/>
  <c r="BP4" i="10"/>
  <c r="BO4" i="10"/>
  <c r="AG53" i="9" l="1"/>
  <c r="AG24" i="9"/>
  <c r="AG6" i="9"/>
  <c r="BP3" i="10"/>
  <c r="BP5" i="10" s="1"/>
  <c r="BO3" i="10"/>
  <c r="BQ3" i="10"/>
  <c r="BR3" i="10"/>
  <c r="BS3" i="10"/>
  <c r="BS23" i="10" s="1"/>
  <c r="BT3" i="10"/>
  <c r="BT52" i="10" s="1"/>
  <c r="AG4" i="10"/>
  <c r="AF4" i="10"/>
  <c r="AE4" i="10"/>
  <c r="AG22" i="10"/>
  <c r="AF22" i="10"/>
  <c r="AE22" i="10"/>
  <c r="AG37" i="10"/>
  <c r="AF37" i="10"/>
  <c r="AE37" i="10"/>
  <c r="AG51" i="10"/>
  <c r="AF51" i="10"/>
  <c r="AE51" i="10"/>
  <c r="AJ4" i="10"/>
  <c r="AI4" i="10"/>
  <c r="AH4" i="10"/>
  <c r="AJ22" i="10"/>
  <c r="AI22" i="10"/>
  <c r="AH22" i="10"/>
  <c r="AJ37" i="10"/>
  <c r="AI37" i="10"/>
  <c r="AH37" i="10"/>
  <c r="AJ51" i="10"/>
  <c r="AI51" i="10"/>
  <c r="AH51" i="10"/>
  <c r="AM4" i="10"/>
  <c r="AL4" i="10"/>
  <c r="AK4" i="10"/>
  <c r="AM22" i="10"/>
  <c r="AL22" i="10"/>
  <c r="AK22" i="10"/>
  <c r="AM37" i="10"/>
  <c r="AL37" i="10"/>
  <c r="AK37" i="10"/>
  <c r="AM51" i="10"/>
  <c r="AL51" i="10"/>
  <c r="AK51" i="10"/>
  <c r="AP4" i="10"/>
  <c r="AO4" i="10"/>
  <c r="AN4" i="10"/>
  <c r="AP22" i="10"/>
  <c r="AO22" i="10"/>
  <c r="AN22" i="10"/>
  <c r="AP37" i="10"/>
  <c r="AO37" i="10"/>
  <c r="AN37" i="10"/>
  <c r="AP51" i="10"/>
  <c r="AO51" i="10"/>
  <c r="AN51" i="10"/>
  <c r="AS4" i="10"/>
  <c r="AR4" i="10"/>
  <c r="AQ4" i="10"/>
  <c r="AV4" i="10"/>
  <c r="AU4" i="10"/>
  <c r="AT4" i="10"/>
  <c r="AY4" i="10"/>
  <c r="AX4" i="10"/>
  <c r="AW4" i="10"/>
  <c r="BB4" i="10"/>
  <c r="BA4" i="10"/>
  <c r="AZ4" i="10"/>
  <c r="AY22" i="10"/>
  <c r="AX22" i="10"/>
  <c r="AW22" i="10"/>
  <c r="BB22" i="10"/>
  <c r="BA22" i="10"/>
  <c r="AZ22" i="10"/>
  <c r="AY37" i="10"/>
  <c r="AX37" i="10"/>
  <c r="AW37" i="10"/>
  <c r="BB37" i="10"/>
  <c r="BA37" i="10"/>
  <c r="AZ37" i="10"/>
  <c r="AY51" i="10"/>
  <c r="AX51" i="10"/>
  <c r="AW51" i="10"/>
  <c r="BB51" i="10"/>
  <c r="BA51" i="10"/>
  <c r="AZ51" i="10"/>
  <c r="BO23" i="10" l="1"/>
  <c r="AY3" i="10"/>
  <c r="AY23" i="10" s="1"/>
  <c r="BP38" i="10"/>
  <c r="AK3" i="10"/>
  <c r="AK38" i="10" s="1"/>
  <c r="BS52" i="10"/>
  <c r="AG3" i="10"/>
  <c r="AG52" i="10" s="1"/>
  <c r="AX3" i="10"/>
  <c r="AX5" i="10" s="1"/>
  <c r="AH3" i="10"/>
  <c r="AH23" i="10" s="1"/>
  <c r="BO5" i="10"/>
  <c r="AI3" i="10"/>
  <c r="AI38" i="10" s="1"/>
  <c r="BA3" i="10"/>
  <c r="BA52" i="10" s="1"/>
  <c r="BO52" i="10"/>
  <c r="BT23" i="10"/>
  <c r="BP23" i="10"/>
  <c r="AW3" i="10"/>
  <c r="AW38" i="10" s="1"/>
  <c r="BR38" i="10"/>
  <c r="BP52" i="10"/>
  <c r="AE3" i="10"/>
  <c r="AE5" i="10" s="1"/>
  <c r="AL3" i="10"/>
  <c r="AL23" i="10" s="1"/>
  <c r="AX52" i="10"/>
  <c r="AX38" i="10"/>
  <c r="BQ38" i="10"/>
  <c r="BQ23" i="10"/>
  <c r="BO38" i="10"/>
  <c r="BQ5" i="10"/>
  <c r="BB3" i="10"/>
  <c r="AZ3" i="10"/>
  <c r="AM3" i="10"/>
  <c r="AM5" i="10" s="1"/>
  <c r="AJ3" i="10"/>
  <c r="AJ52" i="10" s="1"/>
  <c r="AF3" i="10"/>
  <c r="AF38" i="10" s="1"/>
  <c r="BQ52" i="10"/>
  <c r="BR5" i="10"/>
  <c r="BR23" i="10"/>
  <c r="BR52" i="10"/>
  <c r="BT5" i="10"/>
  <c r="BT38" i="10"/>
  <c r="BS5" i="10"/>
  <c r="BS38" i="10"/>
  <c r="AG23" i="10"/>
  <c r="AH52" i="10"/>
  <c r="AM52" i="10"/>
  <c r="AN3" i="10"/>
  <c r="AN5" i="10" s="1"/>
  <c r="AO3" i="10"/>
  <c r="AO38" i="10" s="1"/>
  <c r="AP3" i="10"/>
  <c r="AP52" i="10" s="1"/>
  <c r="AY38" i="10"/>
  <c r="AY52" i="10"/>
  <c r="AY5" i="10"/>
  <c r="AZ52" i="10"/>
  <c r="AF5" i="7"/>
  <c r="AF38" i="7"/>
  <c r="AF5" i="6"/>
  <c r="AF23" i="6"/>
  <c r="AF38" i="6"/>
  <c r="AF52" i="6"/>
  <c r="AF23" i="7"/>
  <c r="AF52" i="7"/>
  <c r="AF5" i="8"/>
  <c r="AF23" i="8"/>
  <c r="AF38" i="8"/>
  <c r="AF52" i="8"/>
  <c r="AF52" i="9"/>
  <c r="AF38" i="9"/>
  <c r="AF23" i="9"/>
  <c r="AF5" i="9"/>
  <c r="BH51" i="11"/>
  <c r="BG51" i="11"/>
  <c r="BF51" i="11"/>
  <c r="BH37" i="11"/>
  <c r="BG37" i="11"/>
  <c r="BF37" i="11"/>
  <c r="BH22" i="11"/>
  <c r="BG22" i="11"/>
  <c r="BF22" i="11"/>
  <c r="BH4" i="11"/>
  <c r="BG4" i="11"/>
  <c r="BF4" i="11"/>
  <c r="BN51" i="10"/>
  <c r="BM51" i="10"/>
  <c r="BL51" i="10"/>
  <c r="BN37" i="10"/>
  <c r="BM37" i="10"/>
  <c r="BL37" i="10"/>
  <c r="BL22" i="10"/>
  <c r="BN4" i="10"/>
  <c r="BM4" i="10"/>
  <c r="BL4" i="10"/>
  <c r="AV26" i="10"/>
  <c r="AU26" i="10"/>
  <c r="AV59" i="10"/>
  <c r="AV51" i="10" s="1"/>
  <c r="AU59" i="10"/>
  <c r="AU51" i="10" s="1"/>
  <c r="AV45" i="10"/>
  <c r="AU45" i="10"/>
  <c r="AV39" i="10"/>
  <c r="AU39" i="10"/>
  <c r="AV25" i="10"/>
  <c r="AV22" i="10" s="1"/>
  <c r="AU25" i="10"/>
  <c r="AU22" i="10" s="1"/>
  <c r="AS26" i="10"/>
  <c r="AR26" i="10"/>
  <c r="AR57" i="10"/>
  <c r="AS31" i="10"/>
  <c r="AR31" i="10"/>
  <c r="AS59" i="10"/>
  <c r="AR59" i="10"/>
  <c r="AS48" i="10"/>
  <c r="AR48" i="10"/>
  <c r="AS58" i="10"/>
  <c r="AR58" i="10"/>
  <c r="AS43" i="10"/>
  <c r="AR43" i="10"/>
  <c r="AS45" i="10"/>
  <c r="AR45" i="10"/>
  <c r="AS41" i="10"/>
  <c r="AR41" i="10"/>
  <c r="AS39" i="10"/>
  <c r="AR39" i="10"/>
  <c r="AS25" i="10"/>
  <c r="AR25" i="10"/>
  <c r="AT26" i="10"/>
  <c r="AQ26" i="10"/>
  <c r="AT54" i="10"/>
  <c r="AQ54" i="10"/>
  <c r="AT57" i="10"/>
  <c r="AQ57" i="10"/>
  <c r="AT31" i="10"/>
  <c r="AQ31" i="10"/>
  <c r="AT59" i="10"/>
  <c r="AQ59" i="10"/>
  <c r="AT48" i="10"/>
  <c r="AQ48" i="10"/>
  <c r="AT58" i="10"/>
  <c r="AQ58" i="10"/>
  <c r="AT43" i="10"/>
  <c r="AQ43" i="10"/>
  <c r="AT45" i="10"/>
  <c r="AQ45" i="10"/>
  <c r="AQ26" i="11"/>
  <c r="AN26" i="11"/>
  <c r="AQ59" i="11"/>
  <c r="AN59" i="11"/>
  <c r="AQ45" i="11"/>
  <c r="AN45" i="11"/>
  <c r="AE51" i="6"/>
  <c r="AE22" i="6"/>
  <c r="AE36" i="6"/>
  <c r="AE21" i="6"/>
  <c r="AE62" i="6"/>
  <c r="AE35" i="6"/>
  <c r="AE20" i="6"/>
  <c r="AE19" i="6"/>
  <c r="AE50" i="6"/>
  <c r="AE18" i="6"/>
  <c r="AE61" i="6"/>
  <c r="AE60" i="6"/>
  <c r="AE34" i="6"/>
  <c r="AE17" i="6"/>
  <c r="AE49" i="6"/>
  <c r="AE48" i="6"/>
  <c r="AE16" i="6"/>
  <c r="AE59" i="6"/>
  <c r="AE33" i="6"/>
  <c r="AE58" i="6"/>
  <c r="AE57" i="6"/>
  <c r="AE32" i="6"/>
  <c r="AE47" i="6"/>
  <c r="AE46" i="6"/>
  <c r="AE15" i="6"/>
  <c r="AE45" i="6"/>
  <c r="AE44" i="6"/>
  <c r="AE56" i="6"/>
  <c r="AE14" i="6"/>
  <c r="AE13" i="6"/>
  <c r="AE12" i="6"/>
  <c r="AE43" i="6"/>
  <c r="AE42" i="6"/>
  <c r="AE41" i="6"/>
  <c r="AE40" i="6"/>
  <c r="AE29" i="6"/>
  <c r="AE11" i="6"/>
  <c r="AE10" i="6"/>
  <c r="AE63" i="6"/>
  <c r="AE54" i="6"/>
  <c r="AE28" i="6"/>
  <c r="AE27" i="6"/>
  <c r="AE8" i="6"/>
  <c r="AE26" i="6"/>
  <c r="AE7" i="6"/>
  <c r="AE59" i="7"/>
  <c r="AE59" i="8"/>
  <c r="AE36" i="8"/>
  <c r="AE20" i="8"/>
  <c r="AE14" i="7"/>
  <c r="AE14" i="8"/>
  <c r="AE10" i="7"/>
  <c r="AE10" i="8"/>
  <c r="AE51" i="7"/>
  <c r="AE22" i="7"/>
  <c r="AE36" i="7"/>
  <c r="AE21" i="7"/>
  <c r="AE62" i="7"/>
  <c r="AE35" i="7"/>
  <c r="AE34" i="7"/>
  <c r="AE17" i="7"/>
  <c r="AE20" i="7"/>
  <c r="AE19" i="7"/>
  <c r="AE50" i="7"/>
  <c r="AE18" i="7"/>
  <c r="AE61" i="7"/>
  <c r="AE60" i="7"/>
  <c r="AE49" i="7"/>
  <c r="AE48" i="7"/>
  <c r="AE16" i="7"/>
  <c r="AE33" i="7"/>
  <c r="AE58" i="7"/>
  <c r="AE57" i="7"/>
  <c r="AE32" i="7"/>
  <c r="AE47" i="7"/>
  <c r="AE46" i="7"/>
  <c r="AE15" i="7"/>
  <c r="AE45" i="7"/>
  <c r="AE44" i="7"/>
  <c r="AE56" i="7"/>
  <c r="AE13" i="7"/>
  <c r="AE12" i="7"/>
  <c r="AE43" i="7"/>
  <c r="AE42" i="7"/>
  <c r="AE41" i="7"/>
  <c r="AE40" i="7"/>
  <c r="AE29" i="7"/>
  <c r="AE11" i="7"/>
  <c r="AE63" i="7"/>
  <c r="AE54" i="7"/>
  <c r="AE28" i="7"/>
  <c r="AE27" i="7"/>
  <c r="AE8" i="7"/>
  <c r="AE26" i="7"/>
  <c r="AE7" i="7"/>
  <c r="AE51" i="8"/>
  <c r="AE22" i="8"/>
  <c r="AE21" i="8"/>
  <c r="AE62" i="8"/>
  <c r="AE35" i="8"/>
  <c r="AE19" i="8"/>
  <c r="AE50" i="8"/>
  <c r="AE18" i="8"/>
  <c r="AE61" i="8"/>
  <c r="AE60" i="8"/>
  <c r="AE34" i="8"/>
  <c r="AE17" i="8"/>
  <c r="AE49" i="8"/>
  <c r="AE48" i="8"/>
  <c r="AE16" i="8"/>
  <c r="AE33" i="8"/>
  <c r="AE58" i="8"/>
  <c r="AE57" i="8"/>
  <c r="AE32" i="8"/>
  <c r="AE47" i="8"/>
  <c r="AE46" i="8"/>
  <c r="AE15" i="8"/>
  <c r="AE45" i="8"/>
  <c r="AE44" i="8"/>
  <c r="AE43" i="8"/>
  <c r="AE42" i="8"/>
  <c r="AE41" i="8"/>
  <c r="AE56" i="8"/>
  <c r="AE13" i="8"/>
  <c r="AE12" i="8"/>
  <c r="AE40" i="8"/>
  <c r="AE29" i="8"/>
  <c r="AE11" i="8"/>
  <c r="AE63" i="8"/>
  <c r="AE54" i="8"/>
  <c r="AE28" i="8"/>
  <c r="AE27" i="8"/>
  <c r="AE8" i="8"/>
  <c r="AE26" i="8"/>
  <c r="AE7" i="8"/>
  <c r="AE7" i="9"/>
  <c r="AE52" i="9"/>
  <c r="AE38" i="9"/>
  <c r="AE23" i="9"/>
  <c r="AW4" i="11"/>
  <c r="AW5" i="11" s="1"/>
  <c r="AT4" i="11"/>
  <c r="AT5" i="11" s="1"/>
  <c r="AS4" i="11"/>
  <c r="AS5" i="11" s="1"/>
  <c r="AR4" i="11"/>
  <c r="AR5" i="11" s="1"/>
  <c r="AQ4" i="11"/>
  <c r="AQ5" i="11" s="1"/>
  <c r="AP4" i="11"/>
  <c r="AP5" i="11" s="1"/>
  <c r="AO4" i="11"/>
  <c r="AO5" i="11" s="1"/>
  <c r="AN4" i="11"/>
  <c r="AN5" i="11" s="1"/>
  <c r="AM4" i="11"/>
  <c r="AM5" i="11" s="1"/>
  <c r="AL4" i="11"/>
  <c r="AL5" i="11" s="1"/>
  <c r="AK4" i="11"/>
  <c r="AK5" i="11" s="1"/>
  <c r="AJ4" i="11"/>
  <c r="AJ5" i="11" s="1"/>
  <c r="AI4" i="11"/>
  <c r="AI5" i="11" s="1"/>
  <c r="AH4" i="11"/>
  <c r="AH5" i="11" s="1"/>
  <c r="AG4" i="11"/>
  <c r="AG5" i="11" s="1"/>
  <c r="AF4" i="11"/>
  <c r="AF5" i="11" s="1"/>
  <c r="AE4" i="11"/>
  <c r="AE5" i="11" s="1"/>
  <c r="AD4" i="11"/>
  <c r="AD5" i="11" s="1"/>
  <c r="AC4" i="11"/>
  <c r="AC5" i="11" s="1"/>
  <c r="AB4" i="11"/>
  <c r="AB5" i="11" s="1"/>
  <c r="AA4" i="11"/>
  <c r="AA5" i="11" s="1"/>
  <c r="Z4" i="11"/>
  <c r="Z5" i="11" s="1"/>
  <c r="Y4" i="11"/>
  <c r="Y5" i="11" s="1"/>
  <c r="X4" i="11"/>
  <c r="X5" i="11" s="1"/>
  <c r="W4" i="11"/>
  <c r="W5" i="11" s="1"/>
  <c r="V4" i="11"/>
  <c r="V5" i="11" s="1"/>
  <c r="U4" i="11"/>
  <c r="U5" i="11" s="1"/>
  <c r="T4" i="11"/>
  <c r="T5" i="11" s="1"/>
  <c r="S4" i="11"/>
  <c r="S5" i="11" s="1"/>
  <c r="R4" i="11"/>
  <c r="R5" i="11" s="1"/>
  <c r="Q4" i="11"/>
  <c r="Q5" i="11" s="1"/>
  <c r="P4" i="11"/>
  <c r="P5" i="11" s="1"/>
  <c r="O4" i="11"/>
  <c r="O5" i="11" s="1"/>
  <c r="N4" i="11"/>
  <c r="N5" i="11" s="1"/>
  <c r="M4" i="11"/>
  <c r="M5" i="11" s="1"/>
  <c r="L4" i="11"/>
  <c r="L5" i="11" s="1"/>
  <c r="K4" i="11"/>
  <c r="K5" i="11" s="1"/>
  <c r="J4" i="11"/>
  <c r="J5" i="11" s="1"/>
  <c r="I4" i="11"/>
  <c r="I5" i="11" s="1"/>
  <c r="H4" i="11"/>
  <c r="H5" i="11" s="1"/>
  <c r="G4" i="11"/>
  <c r="G5" i="11" s="1"/>
  <c r="F4" i="11"/>
  <c r="F5" i="11" s="1"/>
  <c r="E4" i="11"/>
  <c r="E5" i="11" s="1"/>
  <c r="C4" i="11"/>
  <c r="C5" i="11" s="1"/>
  <c r="B4" i="11"/>
  <c r="AD4" i="10"/>
  <c r="AD5" i="10" s="1"/>
  <c r="AC4" i="10"/>
  <c r="AC5" i="10" s="1"/>
  <c r="AB4" i="10"/>
  <c r="AB5" i="10" s="1"/>
  <c r="AA4" i="10"/>
  <c r="AA5" i="10" s="1"/>
  <c r="Z4" i="10"/>
  <c r="Z5" i="10" s="1"/>
  <c r="Y4" i="10"/>
  <c r="Y5" i="10" s="1"/>
  <c r="X4" i="10"/>
  <c r="X5" i="10" s="1"/>
  <c r="W4" i="10"/>
  <c r="W5" i="10" s="1"/>
  <c r="V4" i="10"/>
  <c r="V5" i="10" s="1"/>
  <c r="U4" i="10"/>
  <c r="U5" i="10" s="1"/>
  <c r="T4" i="10"/>
  <c r="T5" i="10" s="1"/>
  <c r="S4" i="10"/>
  <c r="S5" i="10" s="1"/>
  <c r="R4" i="10"/>
  <c r="R5" i="10" s="1"/>
  <c r="Q4" i="10"/>
  <c r="Q5" i="10" s="1"/>
  <c r="P4" i="10"/>
  <c r="P5" i="10" s="1"/>
  <c r="O4" i="10"/>
  <c r="O5" i="10" s="1"/>
  <c r="N4" i="10"/>
  <c r="N5" i="10" s="1"/>
  <c r="M4" i="10"/>
  <c r="M5" i="10" s="1"/>
  <c r="L4" i="10"/>
  <c r="L5" i="10" s="1"/>
  <c r="K4" i="10"/>
  <c r="K5" i="10" s="1"/>
  <c r="J4" i="10"/>
  <c r="J5" i="10" s="1"/>
  <c r="I4" i="10"/>
  <c r="I5" i="10" s="1"/>
  <c r="H4" i="10"/>
  <c r="H5" i="10" s="1"/>
  <c r="G4" i="10"/>
  <c r="G5" i="10" s="1"/>
  <c r="F4" i="10"/>
  <c r="F5" i="10" s="1"/>
  <c r="E4" i="10"/>
  <c r="E5" i="10" s="1"/>
  <c r="D4" i="10"/>
  <c r="D5" i="10" s="1"/>
  <c r="C4" i="10"/>
  <c r="B4" i="10"/>
  <c r="AL52" i="10" l="1"/>
  <c r="AE52" i="10"/>
  <c r="AE38" i="10"/>
  <c r="AK5" i="10"/>
  <c r="AE23" i="10"/>
  <c r="AH5" i="10"/>
  <c r="AX23" i="10"/>
  <c r="AH38" i="10"/>
  <c r="AE5" i="9"/>
  <c r="AQ22" i="10"/>
  <c r="AM23" i="10"/>
  <c r="AK52" i="10"/>
  <c r="AW23" i="10"/>
  <c r="AL5" i="10"/>
  <c r="AK23" i="10"/>
  <c r="AI52" i="10"/>
  <c r="AW5" i="10"/>
  <c r="AI23" i="10"/>
  <c r="AS22" i="10"/>
  <c r="AG38" i="10"/>
  <c r="AL38" i="10"/>
  <c r="AI5" i="10"/>
  <c r="AE38" i="7"/>
  <c r="AG5" i="10"/>
  <c r="AF4" i="6"/>
  <c r="AF6" i="6" s="1"/>
  <c r="AT51" i="10"/>
  <c r="AF4" i="7"/>
  <c r="AF6" i="7" s="1"/>
  <c r="BA38" i="10"/>
  <c r="AF5" i="10"/>
  <c r="AF23" i="10"/>
  <c r="AT22" i="10"/>
  <c r="AU37" i="10"/>
  <c r="AU3" i="10" s="1"/>
  <c r="AU5" i="10" s="1"/>
  <c r="AF52" i="10"/>
  <c r="AR22" i="10"/>
  <c r="AV37" i="10"/>
  <c r="AV3" i="10" s="1"/>
  <c r="BA5" i="10"/>
  <c r="AW52" i="10"/>
  <c r="BA23" i="10"/>
  <c r="BB52" i="10"/>
  <c r="AT37" i="10"/>
  <c r="AJ5" i="10"/>
  <c r="AR51" i="10"/>
  <c r="BB5" i="10"/>
  <c r="AJ38" i="10"/>
  <c r="AQ37" i="10"/>
  <c r="AS37" i="10"/>
  <c r="AS51" i="10"/>
  <c r="BB23" i="10"/>
  <c r="AM38" i="10"/>
  <c r="AJ23" i="10"/>
  <c r="AZ38" i="10"/>
  <c r="AZ23" i="10"/>
  <c r="AZ5" i="10"/>
  <c r="BB38" i="10"/>
  <c r="AR37" i="10"/>
  <c r="AQ51" i="10"/>
  <c r="C12" i="13"/>
  <c r="AN38" i="10"/>
  <c r="AP38" i="10"/>
  <c r="AN52" i="10"/>
  <c r="AN23" i="10"/>
  <c r="AP5" i="10"/>
  <c r="AP23" i="10"/>
  <c r="AO52" i="10"/>
  <c r="AO23" i="10"/>
  <c r="AO5" i="10"/>
  <c r="AF39" i="7"/>
  <c r="AF24" i="6"/>
  <c r="AF4" i="8"/>
  <c r="AF6" i="8" s="1"/>
  <c r="AF4" i="9"/>
  <c r="AF6" i="9" s="1"/>
  <c r="BH3" i="11"/>
  <c r="BH5" i="11" s="1"/>
  <c r="BG3" i="11"/>
  <c r="BG23" i="11" s="1"/>
  <c r="BF3" i="11"/>
  <c r="BF5" i="11" s="1"/>
  <c r="BL3" i="10"/>
  <c r="BL23" i="10" s="1"/>
  <c r="AE52" i="6"/>
  <c r="AE38" i="6"/>
  <c r="AE23" i="6"/>
  <c r="AE5" i="6"/>
  <c r="AE52" i="7"/>
  <c r="AE23" i="7"/>
  <c r="AE5" i="7"/>
  <c r="AE52" i="8"/>
  <c r="AE38" i="8"/>
  <c r="AE23" i="8"/>
  <c r="AE5" i="8"/>
  <c r="BB26" i="11"/>
  <c r="BA26" i="11"/>
  <c r="AZ26" i="11"/>
  <c r="BB58" i="11"/>
  <c r="BA58" i="11"/>
  <c r="AZ58" i="11"/>
  <c r="BB59" i="11"/>
  <c r="BA59" i="11"/>
  <c r="AZ59" i="11"/>
  <c r="BB9" i="11"/>
  <c r="BB4" i="11" s="1"/>
  <c r="BA9" i="11"/>
  <c r="BA4" i="11" s="1"/>
  <c r="AZ9" i="11"/>
  <c r="AZ4" i="11" s="1"/>
  <c r="BB45" i="11"/>
  <c r="BB37" i="11" s="1"/>
  <c r="BA45" i="11"/>
  <c r="BA37" i="11" s="1"/>
  <c r="AZ45" i="11"/>
  <c r="AZ37" i="11" s="1"/>
  <c r="BB25" i="11"/>
  <c r="BA25" i="11"/>
  <c r="AZ25" i="11"/>
  <c r="BG9" i="10"/>
  <c r="BG4" i="10" s="1"/>
  <c r="BH26" i="10"/>
  <c r="BG26" i="10"/>
  <c r="BF26" i="10"/>
  <c r="BH58" i="10"/>
  <c r="BG58" i="10"/>
  <c r="BF58" i="10"/>
  <c r="BK9" i="10"/>
  <c r="BK59" i="10"/>
  <c r="BJ9" i="10"/>
  <c r="BJ4" i="10" s="1"/>
  <c r="BJ59" i="10"/>
  <c r="BI59" i="10"/>
  <c r="BI9" i="10"/>
  <c r="BH59" i="10"/>
  <c r="BG59" i="10"/>
  <c r="BF59" i="10"/>
  <c r="BH9" i="10"/>
  <c r="BF9" i="10"/>
  <c r="BH45" i="10"/>
  <c r="BG45" i="10"/>
  <c r="BG37" i="10" s="1"/>
  <c r="BF45" i="10"/>
  <c r="BH25" i="10"/>
  <c r="BG25" i="10"/>
  <c r="BF25" i="10"/>
  <c r="AS3" i="10" l="1"/>
  <c r="AS5" i="10" s="1"/>
  <c r="BB51" i="11"/>
  <c r="AE4" i="9"/>
  <c r="AT3" i="10"/>
  <c r="AT23" i="10" s="1"/>
  <c r="AF53" i="7"/>
  <c r="AQ3" i="10"/>
  <c r="AQ52" i="10" s="1"/>
  <c r="AR3" i="10"/>
  <c r="AR5" i="10" s="1"/>
  <c r="AF24" i="9"/>
  <c r="AF39" i="6"/>
  <c r="AF53" i="6"/>
  <c r="AV5" i="10"/>
  <c r="AV23" i="10"/>
  <c r="AV38" i="10"/>
  <c r="AF39" i="9"/>
  <c r="BA51" i="11"/>
  <c r="AF53" i="9"/>
  <c r="AF24" i="8"/>
  <c r="AZ51" i="11"/>
  <c r="AF39" i="8"/>
  <c r="AE4" i="7"/>
  <c r="AF53" i="8"/>
  <c r="AU52" i="10"/>
  <c r="AR52" i="10"/>
  <c r="AS52" i="10"/>
  <c r="AS23" i="10"/>
  <c r="AT38" i="10"/>
  <c r="AU23" i="10"/>
  <c r="AS38" i="10"/>
  <c r="AR23" i="10"/>
  <c r="AU38" i="10"/>
  <c r="AV52" i="10"/>
  <c r="AF24" i="7"/>
  <c r="BA22" i="11"/>
  <c r="BG51" i="10"/>
  <c r="BB22" i="11"/>
  <c r="AE53" i="9"/>
  <c r="AZ22" i="11"/>
  <c r="BF37" i="10"/>
  <c r="BI4" i="10"/>
  <c r="BH22" i="10"/>
  <c r="BG22" i="10"/>
  <c r="BF22" i="10"/>
  <c r="BK4" i="10"/>
  <c r="BH4" i="10"/>
  <c r="BF4" i="10"/>
  <c r="BH37" i="10"/>
  <c r="BG5" i="11"/>
  <c r="BH52" i="11"/>
  <c r="BG52" i="11"/>
  <c r="BF52" i="11"/>
  <c r="BH23" i="11"/>
  <c r="BH38" i="11"/>
  <c r="BG38" i="11"/>
  <c r="BF38" i="11"/>
  <c r="BF23" i="11"/>
  <c r="BL38" i="10"/>
  <c r="BL52" i="10"/>
  <c r="BL5" i="10"/>
  <c r="AE4" i="6"/>
  <c r="AE24" i="6" s="1"/>
  <c r="AE4" i="8"/>
  <c r="AE53" i="8" s="1"/>
  <c r="BF51" i="10"/>
  <c r="BH51" i="10"/>
  <c r="BE9" i="11"/>
  <c r="BE4" i="11" s="1"/>
  <c r="BD9" i="11"/>
  <c r="BD4" i="11" s="1"/>
  <c r="BE26" i="11"/>
  <c r="BD26" i="11"/>
  <c r="BE58" i="11"/>
  <c r="BD58" i="11"/>
  <c r="BC59" i="11"/>
  <c r="BE59" i="11"/>
  <c r="BD59" i="11"/>
  <c r="BE45" i="11"/>
  <c r="BE37" i="11" s="1"/>
  <c r="BD45" i="11"/>
  <c r="BD37" i="11" s="1"/>
  <c r="BE25" i="11"/>
  <c r="BE22" i="11" s="1"/>
  <c r="BD25" i="11"/>
  <c r="BC58" i="11"/>
  <c r="BC45" i="11"/>
  <c r="BC37" i="11" s="1"/>
  <c r="BC9" i="11"/>
  <c r="BC4" i="11" s="1"/>
  <c r="BC26" i="11"/>
  <c r="BC25" i="11"/>
  <c r="BK26" i="10"/>
  <c r="BJ26" i="10"/>
  <c r="BI26" i="10"/>
  <c r="BK58" i="10"/>
  <c r="BJ58" i="10"/>
  <c r="BJ51" i="10" s="1"/>
  <c r="BI58" i="10"/>
  <c r="BK45" i="10"/>
  <c r="BJ45" i="10"/>
  <c r="BJ37" i="10" s="1"/>
  <c r="BI45" i="10"/>
  <c r="BK25" i="10"/>
  <c r="BJ25" i="10"/>
  <c r="BI25" i="10"/>
  <c r="Z52" i="6"/>
  <c r="AA52" i="6"/>
  <c r="AB52" i="6"/>
  <c r="AC52" i="6"/>
  <c r="AD52" i="6"/>
  <c r="Y52" i="6"/>
  <c r="Z38" i="6"/>
  <c r="AA38" i="6"/>
  <c r="AB38" i="6"/>
  <c r="AC38" i="6"/>
  <c r="AD38" i="6"/>
  <c r="Y38" i="6"/>
  <c r="Z23" i="6"/>
  <c r="AA23" i="6"/>
  <c r="AB23" i="6"/>
  <c r="AC23" i="6"/>
  <c r="AD23" i="6"/>
  <c r="Y23" i="6"/>
  <c r="H53" i="6"/>
  <c r="G53" i="6"/>
  <c r="E53" i="6"/>
  <c r="H39" i="6"/>
  <c r="G39" i="6"/>
  <c r="E39" i="6"/>
  <c r="H24" i="6"/>
  <c r="G24" i="6"/>
  <c r="E24" i="6"/>
  <c r="AD5" i="6"/>
  <c r="AC5" i="6"/>
  <c r="AB5" i="6"/>
  <c r="AA5" i="6"/>
  <c r="Z5" i="6"/>
  <c r="Y5" i="6"/>
  <c r="H5" i="6"/>
  <c r="H6" i="6" s="1"/>
  <c r="G5" i="6"/>
  <c r="G6" i="6" s="1"/>
  <c r="E5" i="6"/>
  <c r="E6" i="6" s="1"/>
  <c r="Z52" i="7"/>
  <c r="AA52" i="7"/>
  <c r="AB52" i="7"/>
  <c r="AC52" i="7"/>
  <c r="AD52" i="7"/>
  <c r="Y52" i="7"/>
  <c r="Z38" i="7"/>
  <c r="AA38" i="7"/>
  <c r="AB38" i="7"/>
  <c r="AC38" i="7"/>
  <c r="AD38" i="7"/>
  <c r="Y38" i="7"/>
  <c r="Z23" i="7"/>
  <c r="AA23" i="7"/>
  <c r="AB23" i="7"/>
  <c r="AC23" i="7"/>
  <c r="AD23" i="7"/>
  <c r="Y23" i="7"/>
  <c r="AD5" i="7"/>
  <c r="AC5" i="7"/>
  <c r="AB5" i="7"/>
  <c r="AA5" i="7"/>
  <c r="Z5" i="7"/>
  <c r="Y5" i="7"/>
  <c r="H5" i="7"/>
  <c r="H6" i="7" s="1"/>
  <c r="G5" i="7"/>
  <c r="G6" i="7" s="1"/>
  <c r="E5" i="7"/>
  <c r="E6" i="7" s="1"/>
  <c r="H53" i="7"/>
  <c r="G53" i="7"/>
  <c r="E53" i="7"/>
  <c r="H39" i="7"/>
  <c r="G39" i="7"/>
  <c r="E39" i="7"/>
  <c r="H24" i="7"/>
  <c r="G24" i="7"/>
  <c r="E24" i="7"/>
  <c r="Z52" i="8"/>
  <c r="AA52" i="8"/>
  <c r="AB52" i="8"/>
  <c r="AC52" i="8"/>
  <c r="AD52" i="8"/>
  <c r="Y52" i="8"/>
  <c r="Z38" i="8"/>
  <c r="AA38" i="8"/>
  <c r="AB38" i="8"/>
  <c r="AC38" i="8"/>
  <c r="AD38" i="8"/>
  <c r="Y38" i="8"/>
  <c r="Z23" i="8"/>
  <c r="AA23" i="8"/>
  <c r="AB23" i="8"/>
  <c r="AC23" i="8"/>
  <c r="AD23" i="8"/>
  <c r="Y23" i="8"/>
  <c r="H53" i="8"/>
  <c r="G53" i="8"/>
  <c r="E53" i="8"/>
  <c r="H39" i="8"/>
  <c r="G39" i="8"/>
  <c r="E39" i="8"/>
  <c r="H24" i="8"/>
  <c r="G24" i="8"/>
  <c r="E24" i="8"/>
  <c r="E5" i="8"/>
  <c r="E6" i="8" s="1"/>
  <c r="G5" i="8"/>
  <c r="G6" i="8" s="1"/>
  <c r="H5" i="8"/>
  <c r="H6" i="8" s="1"/>
  <c r="Y5" i="8"/>
  <c r="Z5" i="8"/>
  <c r="AA5" i="8"/>
  <c r="AB5" i="8"/>
  <c r="AC5" i="8"/>
  <c r="AD5" i="8"/>
  <c r="Z52" i="9"/>
  <c r="AA52" i="9"/>
  <c r="AB52" i="9"/>
  <c r="AC52" i="9"/>
  <c r="AD52" i="9"/>
  <c r="Y52" i="9"/>
  <c r="Z38" i="9"/>
  <c r="AA38" i="9"/>
  <c r="AB38" i="9"/>
  <c r="AC38" i="9"/>
  <c r="AD38" i="9"/>
  <c r="Y38" i="9"/>
  <c r="Z23" i="9"/>
  <c r="AA23" i="9"/>
  <c r="AB23" i="9"/>
  <c r="AC23" i="9"/>
  <c r="AD23" i="9"/>
  <c r="Y23" i="9"/>
  <c r="Y5" i="9"/>
  <c r="Z5" i="9"/>
  <c r="AA5" i="9"/>
  <c r="AB5" i="9"/>
  <c r="AC5" i="9"/>
  <c r="AD5" i="9"/>
  <c r="AQ38" i="10" l="1"/>
  <c r="AQ23" i="10"/>
  <c r="AT52" i="10"/>
  <c r="AQ5" i="10"/>
  <c r="BB3" i="11"/>
  <c r="BB23" i="11" s="1"/>
  <c r="AE6" i="9"/>
  <c r="AA4" i="6"/>
  <c r="AE39" i="9"/>
  <c r="AR38" i="10"/>
  <c r="AE24" i="9"/>
  <c r="AZ3" i="11"/>
  <c r="AZ5" i="11" s="1"/>
  <c r="AE39" i="7"/>
  <c r="AT5" i="10"/>
  <c r="Z4" i="8"/>
  <c r="Y4" i="8"/>
  <c r="AA4" i="7"/>
  <c r="AA53" i="7" s="1"/>
  <c r="AB4" i="6"/>
  <c r="AD4" i="8"/>
  <c r="BG3" i="10"/>
  <c r="BG52" i="10" s="1"/>
  <c r="AC4" i="8"/>
  <c r="Y4" i="6"/>
  <c r="AC4" i="9"/>
  <c r="AC6" i="9" s="1"/>
  <c r="AC4" i="6"/>
  <c r="BE51" i="11"/>
  <c r="BE3" i="11" s="1"/>
  <c r="BA3" i="11"/>
  <c r="BA38" i="11" s="1"/>
  <c r="AB4" i="9"/>
  <c r="AB53" i="9" s="1"/>
  <c r="AD4" i="6"/>
  <c r="Z4" i="6"/>
  <c r="BB38" i="11"/>
  <c r="BG5" i="10"/>
  <c r="Y4" i="7"/>
  <c r="Y53" i="7" s="1"/>
  <c r="AD4" i="9"/>
  <c r="AD24" i="9" s="1"/>
  <c r="Z4" i="7"/>
  <c r="Z39" i="7" s="1"/>
  <c r="BC51" i="11"/>
  <c r="BD51" i="11"/>
  <c r="AB4" i="7"/>
  <c r="AB53" i="7" s="1"/>
  <c r="AA4" i="9"/>
  <c r="AA39" i="9" s="1"/>
  <c r="AB4" i="8"/>
  <c r="AC4" i="7"/>
  <c r="Z4" i="9"/>
  <c r="Z24" i="9" s="1"/>
  <c r="AA4" i="8"/>
  <c r="AD4" i="7"/>
  <c r="AD39" i="7" s="1"/>
  <c r="BC22" i="11"/>
  <c r="BD22" i="11"/>
  <c r="BI22" i="10"/>
  <c r="BI51" i="10"/>
  <c r="BK37" i="10"/>
  <c r="BN22" i="10"/>
  <c r="BJ22" i="10"/>
  <c r="BJ3" i="10" s="1"/>
  <c r="BJ52" i="10" s="1"/>
  <c r="BH3" i="10"/>
  <c r="BH5" i="10" s="1"/>
  <c r="BM22" i="10"/>
  <c r="BI37" i="10"/>
  <c r="BK22" i="10"/>
  <c r="BK51" i="10"/>
  <c r="AE6" i="6"/>
  <c r="AE39" i="6"/>
  <c r="AE53" i="6"/>
  <c r="AE24" i="7"/>
  <c r="AE6" i="7"/>
  <c r="AE53" i="7"/>
  <c r="AE6" i="8"/>
  <c r="AE24" i="8"/>
  <c r="AE39" i="8"/>
  <c r="BG23" i="10"/>
  <c r="BF3" i="10"/>
  <c r="AD24" i="7"/>
  <c r="Y4" i="9"/>
  <c r="Y24" i="9" s="1"/>
  <c r="AB24" i="9"/>
  <c r="AA24" i="9"/>
  <c r="AC39" i="9"/>
  <c r="AC53" i="9"/>
  <c r="AD6" i="9"/>
  <c r="AA6" i="9"/>
  <c r="BB52" i="11" l="1"/>
  <c r="BB5" i="11"/>
  <c r="BG38" i="10"/>
  <c r="BE5" i="11"/>
  <c r="BE52" i="11"/>
  <c r="Z24" i="7"/>
  <c r="AC24" i="9"/>
  <c r="Y39" i="9"/>
  <c r="AZ38" i="11"/>
  <c r="AZ52" i="11"/>
  <c r="AD53" i="7"/>
  <c r="AZ23" i="11"/>
  <c r="AD39" i="9"/>
  <c r="AA53" i="9"/>
  <c r="AD53" i="9"/>
  <c r="AB6" i="9"/>
  <c r="AB39" i="9"/>
  <c r="AA24" i="7"/>
  <c r="Y6" i="9"/>
  <c r="AA39" i="7"/>
  <c r="BA52" i="11"/>
  <c r="BA23" i="11"/>
  <c r="AB24" i="7"/>
  <c r="AB39" i="7"/>
  <c r="BE23" i="11"/>
  <c r="AC24" i="7"/>
  <c r="AC39" i="7"/>
  <c r="BE38" i="11"/>
  <c r="AC53" i="7"/>
  <c r="BA5" i="11"/>
  <c r="BJ38" i="10"/>
  <c r="Z6" i="9"/>
  <c r="Z53" i="9"/>
  <c r="Y24" i="7"/>
  <c r="Z53" i="7"/>
  <c r="Y39" i="7"/>
  <c r="Z39" i="9"/>
  <c r="BC3" i="11"/>
  <c r="BC23" i="11" s="1"/>
  <c r="BD3" i="11"/>
  <c r="BD23" i="11" s="1"/>
  <c r="BK3" i="10"/>
  <c r="BM3" i="10"/>
  <c r="BN3" i="10"/>
  <c r="BI3" i="10"/>
  <c r="BH52" i="10"/>
  <c r="BH23" i="10"/>
  <c r="BH38" i="10"/>
  <c r="BF38" i="10"/>
  <c r="BF23" i="10"/>
  <c r="BF5" i="10"/>
  <c r="BF52" i="10"/>
  <c r="Y53" i="9"/>
  <c r="BI38" i="10" l="1"/>
  <c r="BC38" i="11"/>
  <c r="BC52" i="11"/>
  <c r="BC5" i="11"/>
  <c r="BD38" i="11"/>
  <c r="BD5" i="11"/>
  <c r="BD52" i="11"/>
  <c r="BN5" i="10"/>
  <c r="BN38" i="10"/>
  <c r="BN52" i="10"/>
  <c r="BK38" i="10"/>
  <c r="BK52" i="10"/>
  <c r="BI52" i="10"/>
  <c r="BM38" i="10"/>
  <c r="BM52" i="10"/>
  <c r="BM5" i="10"/>
  <c r="BN23" i="10"/>
  <c r="BM23" i="10"/>
  <c r="E7" i="9"/>
  <c r="G7" i="9"/>
  <c r="H7" i="9"/>
  <c r="E8" i="9"/>
  <c r="G8" i="9"/>
  <c r="H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E10" i="9"/>
  <c r="G10" i="9"/>
  <c r="H10" i="9"/>
  <c r="E11" i="9"/>
  <c r="G11" i="9"/>
  <c r="H11" i="9"/>
  <c r="E12" i="9"/>
  <c r="G12" i="9"/>
  <c r="H12" i="9"/>
  <c r="E13" i="9"/>
  <c r="G13" i="9"/>
  <c r="H13" i="9"/>
  <c r="E14" i="9"/>
  <c r="G14" i="9"/>
  <c r="H14" i="9"/>
  <c r="E15" i="9"/>
  <c r="G15" i="9"/>
  <c r="H15" i="9"/>
  <c r="E16" i="9"/>
  <c r="G16" i="9"/>
  <c r="H16" i="9"/>
  <c r="E17" i="9"/>
  <c r="G17" i="9"/>
  <c r="H17" i="9"/>
  <c r="E18" i="9"/>
  <c r="G18" i="9"/>
  <c r="H18" i="9"/>
  <c r="E19" i="9"/>
  <c r="G19" i="9"/>
  <c r="H19" i="9"/>
  <c r="E20" i="9"/>
  <c r="G20" i="9"/>
  <c r="H20" i="9"/>
  <c r="E21" i="9"/>
  <c r="G21" i="9"/>
  <c r="H21" i="9"/>
  <c r="E22" i="9"/>
  <c r="G22" i="9"/>
  <c r="H22" i="9"/>
  <c r="B9" i="9"/>
  <c r="B3" i="10"/>
  <c r="B5" i="10" s="1"/>
  <c r="C3" i="10"/>
  <c r="C5" i="10" s="1"/>
  <c r="B3" i="11"/>
  <c r="B5" i="11" s="1"/>
  <c r="D3" i="11"/>
  <c r="AU9" i="11"/>
  <c r="AU4" i="11" s="1"/>
  <c r="AU5" i="11" s="1"/>
  <c r="AV9" i="11"/>
  <c r="AV4" i="11" s="1"/>
  <c r="AV5" i="11" s="1"/>
  <c r="AX9" i="11"/>
  <c r="AX4" i="11" s="1"/>
  <c r="AX5" i="11" s="1"/>
  <c r="AY9" i="11"/>
  <c r="AY4" i="11" s="1"/>
  <c r="AY5" i="11" s="1"/>
  <c r="D9" i="11"/>
  <c r="D16" i="11"/>
  <c r="D19" i="11"/>
  <c r="D21" i="11"/>
  <c r="Y5" i="5"/>
  <c r="Y4" i="5"/>
  <c r="W5" i="4"/>
  <c r="W4" i="4"/>
  <c r="T4" i="4"/>
  <c r="S4" i="4"/>
  <c r="R4" i="4"/>
  <c r="Q4" i="4"/>
  <c r="V4" i="5"/>
  <c r="U4" i="5"/>
  <c r="T4" i="5"/>
  <c r="S4" i="5"/>
  <c r="V4" i="6"/>
  <c r="U4" i="6"/>
  <c r="T4" i="6"/>
  <c r="S4" i="6"/>
  <c r="T4" i="7"/>
  <c r="V4" i="7"/>
  <c r="U4" i="7"/>
  <c r="S4" i="7"/>
  <c r="V4" i="8"/>
  <c r="U4" i="8"/>
  <c r="T4" i="8"/>
  <c r="S4" i="8"/>
  <c r="V4" i="9"/>
  <c r="U4" i="9"/>
  <c r="T4" i="9"/>
  <c r="S4" i="9"/>
  <c r="X22" i="9"/>
  <c r="X21" i="9"/>
  <c r="X20" i="9"/>
  <c r="X19" i="9"/>
  <c r="X18" i="9"/>
  <c r="X16" i="9"/>
  <c r="X14" i="9"/>
  <c r="X13" i="9"/>
  <c r="X12" i="9"/>
  <c r="X11" i="9"/>
  <c r="X10" i="9"/>
  <c r="X7" i="9"/>
  <c r="X4" i="9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8" i="7"/>
  <c r="X7" i="7"/>
  <c r="W4" i="7"/>
  <c r="W4" i="6"/>
  <c r="W4" i="5"/>
  <c r="U4" i="4"/>
  <c r="W4" i="8"/>
  <c r="X4" i="5"/>
  <c r="X4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8" i="6"/>
  <c r="X7" i="6"/>
  <c r="X36" i="5"/>
  <c r="X62" i="5"/>
  <c r="X19" i="5"/>
  <c r="X50" i="5"/>
  <c r="X61" i="5"/>
  <c r="X59" i="5"/>
  <c r="X55" i="5"/>
  <c r="X12" i="5"/>
  <c r="X43" i="5"/>
  <c r="X10" i="5"/>
  <c r="X63" i="5"/>
  <c r="X7" i="5"/>
  <c r="V36" i="4"/>
  <c r="V62" i="4"/>
  <c r="V19" i="4"/>
  <c r="V50" i="4"/>
  <c r="V61" i="4"/>
  <c r="V59" i="4"/>
  <c r="V55" i="4"/>
  <c r="V12" i="4"/>
  <c r="V43" i="4"/>
  <c r="V10" i="4"/>
  <c r="V63" i="4"/>
  <c r="V7" i="4"/>
  <c r="V4" i="4"/>
  <c r="P4" i="4"/>
  <c r="R4" i="5"/>
  <c r="R4" i="6"/>
  <c r="R4" i="7"/>
  <c r="R4" i="8"/>
  <c r="Q4" i="9"/>
  <c r="Q4" i="8"/>
  <c r="Q4" i="7"/>
  <c r="Q4" i="6"/>
  <c r="Q4" i="5"/>
  <c r="O4" i="4"/>
  <c r="N4" i="4"/>
  <c r="P4" i="5"/>
  <c r="P4" i="6"/>
  <c r="P4" i="7"/>
  <c r="P4" i="8"/>
  <c r="O4" i="8"/>
  <c r="O4" i="7"/>
  <c r="O4" i="6"/>
  <c r="O4" i="5"/>
  <c r="M4" i="4"/>
  <c r="L4" i="4"/>
  <c r="N4" i="5"/>
  <c r="N4" i="6"/>
  <c r="N4" i="7"/>
  <c r="N4" i="8"/>
  <c r="N4" i="9" s="1"/>
  <c r="X4" i="7"/>
  <c r="X22" i="8"/>
  <c r="X21" i="8"/>
  <c r="X20" i="8"/>
  <c r="X19" i="8"/>
  <c r="X18" i="8"/>
  <c r="X17" i="8"/>
  <c r="X16" i="8"/>
  <c r="X15" i="8"/>
  <c r="X14" i="8"/>
  <c r="X13" i="8"/>
  <c r="X12" i="8"/>
  <c r="X11" i="8"/>
  <c r="X10" i="8"/>
  <c r="X8" i="8"/>
  <c r="X7" i="8"/>
  <c r="X4" i="8"/>
  <c r="R4" i="9"/>
  <c r="W4" i="9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8" i="7"/>
  <c r="W7" i="7"/>
  <c r="M22" i="7"/>
  <c r="M22" i="8"/>
  <c r="M21" i="7"/>
  <c r="M21" i="8"/>
  <c r="M20" i="7"/>
  <c r="M20" i="8"/>
  <c r="M19" i="7"/>
  <c r="M19" i="8"/>
  <c r="M18" i="7"/>
  <c r="M18" i="8"/>
  <c r="M17" i="7"/>
  <c r="M17" i="8"/>
  <c r="M16" i="7"/>
  <c r="M16" i="8"/>
  <c r="M15" i="7"/>
  <c r="M15" i="8"/>
  <c r="M14" i="7"/>
  <c r="M14" i="8"/>
  <c r="M13" i="7"/>
  <c r="M13" i="8"/>
  <c r="M12" i="7"/>
  <c r="M12" i="8"/>
  <c r="M11" i="7"/>
  <c r="M11" i="8"/>
  <c r="M10" i="7"/>
  <c r="M10" i="8"/>
  <c r="M8" i="7"/>
  <c r="M8" i="8"/>
  <c r="M7" i="7"/>
  <c r="M7" i="8"/>
  <c r="M4" i="7"/>
  <c r="M4" i="8"/>
  <c r="W7" i="8"/>
  <c r="W8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U7" i="4"/>
  <c r="U63" i="4"/>
  <c r="U10" i="4"/>
  <c r="U43" i="4"/>
  <c r="U12" i="4"/>
  <c r="U55" i="4"/>
  <c r="U59" i="4"/>
  <c r="U61" i="4"/>
  <c r="U50" i="4"/>
  <c r="U19" i="4"/>
  <c r="U62" i="4"/>
  <c r="U36" i="4"/>
  <c r="W7" i="5"/>
  <c r="W63" i="5"/>
  <c r="W10" i="5"/>
  <c r="W43" i="5"/>
  <c r="W12" i="5"/>
  <c r="W55" i="5"/>
  <c r="W59" i="5"/>
  <c r="W61" i="5"/>
  <c r="W50" i="5"/>
  <c r="W19" i="5"/>
  <c r="W62" i="5"/>
  <c r="W36" i="5"/>
  <c r="W22" i="6"/>
  <c r="W21" i="6"/>
  <c r="W20" i="6"/>
  <c r="W19" i="6"/>
  <c r="W18" i="6"/>
  <c r="W17" i="6"/>
  <c r="W16" i="6"/>
  <c r="W15" i="6"/>
  <c r="W12" i="6"/>
  <c r="W13" i="6"/>
  <c r="W14" i="6"/>
  <c r="W11" i="6"/>
  <c r="W10" i="6"/>
  <c r="W8" i="6"/>
  <c r="W7" i="6"/>
  <c r="W22" i="9"/>
  <c r="W21" i="9"/>
  <c r="W20" i="9"/>
  <c r="W19" i="9"/>
  <c r="W18" i="9"/>
  <c r="W16" i="9"/>
  <c r="W14" i="9"/>
  <c r="W13" i="9"/>
  <c r="W12" i="9"/>
  <c r="W11" i="9"/>
  <c r="W10" i="9"/>
  <c r="W7" i="9"/>
  <c r="Q7" i="9"/>
  <c r="Q10" i="9"/>
  <c r="Q11" i="9"/>
  <c r="Q12" i="9"/>
  <c r="Q13" i="9"/>
  <c r="Q14" i="9"/>
  <c r="Q16" i="9"/>
  <c r="Q18" i="9"/>
  <c r="Q19" i="9"/>
  <c r="Q20" i="9"/>
  <c r="Q21" i="9"/>
  <c r="Q22" i="9"/>
  <c r="T36" i="4"/>
  <c r="T62" i="4"/>
  <c r="T19" i="4"/>
  <c r="T50" i="4"/>
  <c r="T61" i="4"/>
  <c r="T59" i="4"/>
  <c r="T55" i="4"/>
  <c r="T12" i="4"/>
  <c r="T43" i="4"/>
  <c r="T10" i="4"/>
  <c r="T63" i="4"/>
  <c r="T7" i="4"/>
  <c r="V36" i="5"/>
  <c r="V62" i="5"/>
  <c r="V19" i="5"/>
  <c r="V50" i="5"/>
  <c r="V61" i="5"/>
  <c r="V59" i="5"/>
  <c r="V55" i="5"/>
  <c r="V12" i="5"/>
  <c r="V43" i="5"/>
  <c r="V10" i="5"/>
  <c r="V63" i="5"/>
  <c r="V7" i="5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8" i="6"/>
  <c r="V7" i="6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8" i="7"/>
  <c r="V7" i="7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8" i="8"/>
  <c r="V20" i="9"/>
  <c r="V7" i="8"/>
  <c r="V22" i="9"/>
  <c r="V21" i="9"/>
  <c r="V19" i="9"/>
  <c r="V18" i="9"/>
  <c r="V16" i="9"/>
  <c r="V14" i="9"/>
  <c r="V13" i="9"/>
  <c r="V12" i="9"/>
  <c r="V11" i="9"/>
  <c r="V7" i="9"/>
  <c r="V10" i="9"/>
  <c r="U22" i="6"/>
  <c r="U21" i="6"/>
  <c r="U20" i="6"/>
  <c r="U19" i="6"/>
  <c r="U18" i="6"/>
  <c r="U17" i="6"/>
  <c r="U16" i="6"/>
  <c r="U14" i="6"/>
  <c r="U13" i="6"/>
  <c r="U12" i="6"/>
  <c r="U11" i="6"/>
  <c r="U10" i="6"/>
  <c r="U8" i="6"/>
  <c r="U7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8" i="6"/>
  <c r="S7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8" i="6"/>
  <c r="T7" i="6"/>
  <c r="B4" i="6"/>
  <c r="C4" i="6"/>
  <c r="D4" i="6"/>
  <c r="F4" i="6"/>
  <c r="I4" i="6"/>
  <c r="J4" i="6"/>
  <c r="K4" i="6"/>
  <c r="L4" i="6"/>
  <c r="M4" i="6"/>
  <c r="B7" i="6"/>
  <c r="B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C7" i="6"/>
  <c r="C8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F7" i="6"/>
  <c r="F8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K7" i="6"/>
  <c r="K8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L7" i="6"/>
  <c r="L8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M7" i="6"/>
  <c r="M8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N7" i="6"/>
  <c r="N8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O7" i="6"/>
  <c r="O8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P7" i="6"/>
  <c r="P8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Q7" i="6"/>
  <c r="Q8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R7" i="6"/>
  <c r="R8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I7" i="6"/>
  <c r="J7" i="6"/>
  <c r="I8" i="6"/>
  <c r="J8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U22" i="9"/>
  <c r="U20" i="9"/>
  <c r="U19" i="9"/>
  <c r="U18" i="9"/>
  <c r="U16" i="9"/>
  <c r="U14" i="9"/>
  <c r="U13" i="9"/>
  <c r="U12" i="9"/>
  <c r="U11" i="9"/>
  <c r="U10" i="9"/>
  <c r="U7" i="9"/>
  <c r="S22" i="9"/>
  <c r="S21" i="9"/>
  <c r="S20" i="9"/>
  <c r="S19" i="9"/>
  <c r="S18" i="9"/>
  <c r="S16" i="9"/>
  <c r="S14" i="9"/>
  <c r="S13" i="9"/>
  <c r="S12" i="9"/>
  <c r="S11" i="9"/>
  <c r="S10" i="9"/>
  <c r="S7" i="9"/>
  <c r="T22" i="9"/>
  <c r="T21" i="9"/>
  <c r="T20" i="9"/>
  <c r="T19" i="9"/>
  <c r="T18" i="9"/>
  <c r="T16" i="9"/>
  <c r="T14" i="9"/>
  <c r="T13" i="9"/>
  <c r="T12" i="9"/>
  <c r="T11" i="9"/>
  <c r="T10" i="9"/>
  <c r="T7" i="9"/>
  <c r="E4" i="9"/>
  <c r="G4" i="9"/>
  <c r="H4" i="9"/>
  <c r="R7" i="9"/>
  <c r="R10" i="9"/>
  <c r="R11" i="9"/>
  <c r="R12" i="9"/>
  <c r="R13" i="9"/>
  <c r="R14" i="9"/>
  <c r="R16" i="9"/>
  <c r="R18" i="9"/>
  <c r="R19" i="9"/>
  <c r="R20" i="9"/>
  <c r="R21" i="9"/>
  <c r="R22" i="9"/>
  <c r="B4" i="8"/>
  <c r="B4" i="7"/>
  <c r="C4" i="8"/>
  <c r="C4" i="7"/>
  <c r="D4" i="8"/>
  <c r="D4" i="7"/>
  <c r="F4" i="8"/>
  <c r="F4" i="7"/>
  <c r="K4" i="8"/>
  <c r="K4" i="7"/>
  <c r="L4" i="8"/>
  <c r="L4" i="7"/>
  <c r="B8" i="8"/>
  <c r="B8" i="7"/>
  <c r="B10" i="8"/>
  <c r="B10" i="7"/>
  <c r="B11" i="8"/>
  <c r="B11" i="7"/>
  <c r="B12" i="8"/>
  <c r="B12" i="7"/>
  <c r="B13" i="8"/>
  <c r="B13" i="7"/>
  <c r="B14" i="8"/>
  <c r="B14" i="7"/>
  <c r="B15" i="8"/>
  <c r="B15" i="7"/>
  <c r="B16" i="8"/>
  <c r="B16" i="7"/>
  <c r="B17" i="8"/>
  <c r="B17" i="7"/>
  <c r="B18" i="8"/>
  <c r="B18" i="7"/>
  <c r="B19" i="8"/>
  <c r="B19" i="7"/>
  <c r="B20" i="8"/>
  <c r="B20" i="7"/>
  <c r="B21" i="8"/>
  <c r="B21" i="7"/>
  <c r="B22" i="8"/>
  <c r="B22" i="7"/>
  <c r="B7" i="8"/>
  <c r="B7" i="7"/>
  <c r="C8" i="8"/>
  <c r="C8" i="7"/>
  <c r="C10" i="8"/>
  <c r="C10" i="7"/>
  <c r="C11" i="8"/>
  <c r="C11" i="7"/>
  <c r="C12" i="8"/>
  <c r="C12" i="7"/>
  <c r="C13" i="8"/>
  <c r="C13" i="7"/>
  <c r="C14" i="8"/>
  <c r="C14" i="7"/>
  <c r="C15" i="8"/>
  <c r="C15" i="7"/>
  <c r="C16" i="8"/>
  <c r="C16" i="7"/>
  <c r="C17" i="8"/>
  <c r="C17" i="7"/>
  <c r="C18" i="8"/>
  <c r="C18" i="7"/>
  <c r="C19" i="8"/>
  <c r="C19" i="7"/>
  <c r="C20" i="8"/>
  <c r="C20" i="7"/>
  <c r="C21" i="8"/>
  <c r="C21" i="7"/>
  <c r="C22" i="8"/>
  <c r="C22" i="7"/>
  <c r="C7" i="8"/>
  <c r="C7" i="7"/>
  <c r="D8" i="8"/>
  <c r="D8" i="7"/>
  <c r="D10" i="8"/>
  <c r="D10" i="7"/>
  <c r="D11" i="8"/>
  <c r="D11" i="7"/>
  <c r="D12" i="8"/>
  <c r="D12" i="7"/>
  <c r="D13" i="8"/>
  <c r="D13" i="7"/>
  <c r="D14" i="8"/>
  <c r="D14" i="7"/>
  <c r="D15" i="8"/>
  <c r="D15" i="7"/>
  <c r="D16" i="8"/>
  <c r="D16" i="7"/>
  <c r="D17" i="8"/>
  <c r="D17" i="7"/>
  <c r="D18" i="8"/>
  <c r="D18" i="7"/>
  <c r="D19" i="8"/>
  <c r="D19" i="7"/>
  <c r="D20" i="8"/>
  <c r="D20" i="7"/>
  <c r="D21" i="8"/>
  <c r="D21" i="7"/>
  <c r="D22" i="8"/>
  <c r="D22" i="7"/>
  <c r="D7" i="8"/>
  <c r="D7" i="7"/>
  <c r="I8" i="8"/>
  <c r="I8" i="7"/>
  <c r="I10" i="8"/>
  <c r="I10" i="7"/>
  <c r="I11" i="8"/>
  <c r="I11" i="7"/>
  <c r="I12" i="8"/>
  <c r="I12" i="7"/>
  <c r="I13" i="8"/>
  <c r="I13" i="7"/>
  <c r="I14" i="8"/>
  <c r="I14" i="7"/>
  <c r="I15" i="8"/>
  <c r="I15" i="7"/>
  <c r="I16" i="8"/>
  <c r="I16" i="7"/>
  <c r="I17" i="8"/>
  <c r="I17" i="7"/>
  <c r="I18" i="8"/>
  <c r="I18" i="7"/>
  <c r="I19" i="8"/>
  <c r="I19" i="7"/>
  <c r="I20" i="8"/>
  <c r="I20" i="7"/>
  <c r="I21" i="8"/>
  <c r="I21" i="7"/>
  <c r="I22" i="8"/>
  <c r="I22" i="7"/>
  <c r="I7" i="8"/>
  <c r="I7" i="7"/>
  <c r="J8" i="8"/>
  <c r="J8" i="7"/>
  <c r="J10" i="8"/>
  <c r="J10" i="7"/>
  <c r="J11" i="8"/>
  <c r="J11" i="7"/>
  <c r="J12" i="8"/>
  <c r="J12" i="7"/>
  <c r="J13" i="8"/>
  <c r="J13" i="7"/>
  <c r="J14" i="8"/>
  <c r="J14" i="7"/>
  <c r="J15" i="8"/>
  <c r="J15" i="7"/>
  <c r="J16" i="8"/>
  <c r="J16" i="7"/>
  <c r="J17" i="8"/>
  <c r="J17" i="7"/>
  <c r="J18" i="8"/>
  <c r="J18" i="7"/>
  <c r="J19" i="8"/>
  <c r="J19" i="7"/>
  <c r="J20" i="8"/>
  <c r="J20" i="7"/>
  <c r="J21" i="8"/>
  <c r="J21" i="7"/>
  <c r="J22" i="8"/>
  <c r="J22" i="7"/>
  <c r="J7" i="8"/>
  <c r="J7" i="7"/>
  <c r="K8" i="8"/>
  <c r="K8" i="7"/>
  <c r="K10" i="8"/>
  <c r="K10" i="7"/>
  <c r="K11" i="8"/>
  <c r="K11" i="7"/>
  <c r="K12" i="8"/>
  <c r="K12" i="7"/>
  <c r="K13" i="8"/>
  <c r="K13" i="7"/>
  <c r="K14" i="8"/>
  <c r="K14" i="7"/>
  <c r="K15" i="8"/>
  <c r="K15" i="7"/>
  <c r="K16" i="8"/>
  <c r="K16" i="7"/>
  <c r="K17" i="8"/>
  <c r="K17" i="7"/>
  <c r="K18" i="8"/>
  <c r="K18" i="7"/>
  <c r="K19" i="8"/>
  <c r="K19" i="7"/>
  <c r="K20" i="8"/>
  <c r="K20" i="7"/>
  <c r="K21" i="8"/>
  <c r="K21" i="7"/>
  <c r="K22" i="8"/>
  <c r="K22" i="7"/>
  <c r="K7" i="8"/>
  <c r="K7" i="7"/>
  <c r="L8" i="8"/>
  <c r="L8" i="7"/>
  <c r="L10" i="8"/>
  <c r="L10" i="7"/>
  <c r="L11" i="8"/>
  <c r="L11" i="7"/>
  <c r="L12" i="8"/>
  <c r="L12" i="7"/>
  <c r="L13" i="8"/>
  <c r="L13" i="7"/>
  <c r="L14" i="8"/>
  <c r="L14" i="7"/>
  <c r="L15" i="8"/>
  <c r="L15" i="7"/>
  <c r="L16" i="8"/>
  <c r="L16" i="7"/>
  <c r="L17" i="8"/>
  <c r="L17" i="7"/>
  <c r="L18" i="8"/>
  <c r="L18" i="7"/>
  <c r="L19" i="8"/>
  <c r="L19" i="7"/>
  <c r="L20" i="8"/>
  <c r="L20" i="7"/>
  <c r="L21" i="8"/>
  <c r="L21" i="7"/>
  <c r="L22" i="8"/>
  <c r="L22" i="7"/>
  <c r="L7" i="8"/>
  <c r="L7" i="7"/>
  <c r="F7" i="8"/>
  <c r="F8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7" i="7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I4" i="8"/>
  <c r="I4" i="7"/>
  <c r="I4" i="9" s="1"/>
  <c r="J4" i="8"/>
  <c r="J4" i="7"/>
  <c r="N7" i="8"/>
  <c r="N8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7" i="7"/>
  <c r="N8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O7" i="8"/>
  <c r="O8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7" i="7"/>
  <c r="O8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P7" i="8"/>
  <c r="P8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7" i="7"/>
  <c r="P8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8" i="8"/>
  <c r="U7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8" i="8"/>
  <c r="S7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8" i="8"/>
  <c r="T7" i="8"/>
  <c r="Q7" i="8"/>
  <c r="Q8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R7" i="8"/>
  <c r="R8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U36" i="5"/>
  <c r="U62" i="5"/>
  <c r="U19" i="5"/>
  <c r="U50" i="5"/>
  <c r="U61" i="5"/>
  <c r="U59" i="5"/>
  <c r="U55" i="5"/>
  <c r="U12" i="5"/>
  <c r="U43" i="5"/>
  <c r="U10" i="5"/>
  <c r="U63" i="5"/>
  <c r="U7" i="5"/>
  <c r="S36" i="5"/>
  <c r="S62" i="5"/>
  <c r="S19" i="5"/>
  <c r="S50" i="5"/>
  <c r="S61" i="5"/>
  <c r="S59" i="5"/>
  <c r="S55" i="5"/>
  <c r="S12" i="5"/>
  <c r="S43" i="5"/>
  <c r="S10" i="5"/>
  <c r="S63" i="5"/>
  <c r="S7" i="5"/>
  <c r="T36" i="5"/>
  <c r="T62" i="5"/>
  <c r="T19" i="5"/>
  <c r="T50" i="5"/>
  <c r="T61" i="5"/>
  <c r="T59" i="5"/>
  <c r="T55" i="5"/>
  <c r="T12" i="5"/>
  <c r="T43" i="5"/>
  <c r="T10" i="5"/>
  <c r="T63" i="5"/>
  <c r="T7" i="5"/>
  <c r="B7" i="5"/>
  <c r="B63" i="5"/>
  <c r="B10" i="5"/>
  <c r="B43" i="5"/>
  <c r="B12" i="5"/>
  <c r="B55" i="5"/>
  <c r="B59" i="5"/>
  <c r="B49" i="5"/>
  <c r="B61" i="5"/>
  <c r="B50" i="5"/>
  <c r="B19" i="5"/>
  <c r="B62" i="5"/>
  <c r="B36" i="5"/>
  <c r="C7" i="5"/>
  <c r="C63" i="5"/>
  <c r="C10" i="5"/>
  <c r="C43" i="5"/>
  <c r="C12" i="5"/>
  <c r="C55" i="5"/>
  <c r="C59" i="5"/>
  <c r="C49" i="5"/>
  <c r="C61" i="5"/>
  <c r="C50" i="5"/>
  <c r="C19" i="5"/>
  <c r="C62" i="5"/>
  <c r="C36" i="5"/>
  <c r="D7" i="5"/>
  <c r="D63" i="5"/>
  <c r="D10" i="5"/>
  <c r="D43" i="5"/>
  <c r="D12" i="5"/>
  <c r="D55" i="5"/>
  <c r="D59" i="5"/>
  <c r="D49" i="5"/>
  <c r="D61" i="5"/>
  <c r="D50" i="5"/>
  <c r="D19" i="5"/>
  <c r="D62" i="5"/>
  <c r="D36" i="5"/>
  <c r="E5" i="5"/>
  <c r="E6" i="5" s="1"/>
  <c r="F7" i="5"/>
  <c r="F63" i="5"/>
  <c r="F10" i="5"/>
  <c r="F43" i="5"/>
  <c r="F12" i="5"/>
  <c r="F55" i="5"/>
  <c r="F59" i="5"/>
  <c r="F49" i="5"/>
  <c r="F50" i="5"/>
  <c r="F19" i="5"/>
  <c r="F62" i="5"/>
  <c r="F36" i="5"/>
  <c r="G5" i="5"/>
  <c r="G6" i="5" s="1"/>
  <c r="H5" i="5"/>
  <c r="H6" i="5" s="1"/>
  <c r="K7" i="5"/>
  <c r="K63" i="5"/>
  <c r="K10" i="5"/>
  <c r="K43" i="5"/>
  <c r="K12" i="5"/>
  <c r="K55" i="5"/>
  <c r="K59" i="5"/>
  <c r="K61" i="5"/>
  <c r="K50" i="5"/>
  <c r="K19" i="5"/>
  <c r="K62" i="5"/>
  <c r="K36" i="5"/>
  <c r="L7" i="5"/>
  <c r="L63" i="5"/>
  <c r="L10" i="5"/>
  <c r="L43" i="5"/>
  <c r="L12" i="5"/>
  <c r="L55" i="5"/>
  <c r="L59" i="5"/>
  <c r="L61" i="5"/>
  <c r="L50" i="5"/>
  <c r="L19" i="5"/>
  <c r="L62" i="5"/>
  <c r="L36" i="5"/>
  <c r="M7" i="5"/>
  <c r="M63" i="5"/>
  <c r="M10" i="5"/>
  <c r="M43" i="5"/>
  <c r="M12" i="5"/>
  <c r="M55" i="5"/>
  <c r="M59" i="5"/>
  <c r="M61" i="5"/>
  <c r="M50" i="5"/>
  <c r="M19" i="5"/>
  <c r="M62" i="5"/>
  <c r="M36" i="5"/>
  <c r="N7" i="5"/>
  <c r="N63" i="5"/>
  <c r="N10" i="5"/>
  <c r="N43" i="5"/>
  <c r="N12" i="5"/>
  <c r="N55" i="5"/>
  <c r="N59" i="5"/>
  <c r="N61" i="5"/>
  <c r="N50" i="5"/>
  <c r="N19" i="5"/>
  <c r="N62" i="5"/>
  <c r="N36" i="5"/>
  <c r="O7" i="5"/>
  <c r="O63" i="5"/>
  <c r="O10" i="5"/>
  <c r="O43" i="5"/>
  <c r="O12" i="5"/>
  <c r="O55" i="5"/>
  <c r="O59" i="5"/>
  <c r="O61" i="5"/>
  <c r="O50" i="5"/>
  <c r="O19" i="5"/>
  <c r="O62" i="5"/>
  <c r="O36" i="5"/>
  <c r="P7" i="5"/>
  <c r="P63" i="5"/>
  <c r="P10" i="5"/>
  <c r="P43" i="5"/>
  <c r="P12" i="5"/>
  <c r="P55" i="5"/>
  <c r="P59" i="5"/>
  <c r="P61" i="5"/>
  <c r="P50" i="5"/>
  <c r="P19" i="5"/>
  <c r="P62" i="5"/>
  <c r="P36" i="5"/>
  <c r="Q7" i="5"/>
  <c r="Q63" i="5"/>
  <c r="Q10" i="5"/>
  <c r="Q43" i="5"/>
  <c r="Q12" i="5"/>
  <c r="Q55" i="5"/>
  <c r="Q59" i="5"/>
  <c r="Q61" i="5"/>
  <c r="Q50" i="5"/>
  <c r="Q19" i="5"/>
  <c r="Q62" i="5"/>
  <c r="Q36" i="5"/>
  <c r="R7" i="5"/>
  <c r="R63" i="5"/>
  <c r="R10" i="5"/>
  <c r="R43" i="5"/>
  <c r="R12" i="5"/>
  <c r="R55" i="5"/>
  <c r="R59" i="5"/>
  <c r="R61" i="5"/>
  <c r="R50" i="5"/>
  <c r="R19" i="5"/>
  <c r="R62" i="5"/>
  <c r="R36" i="5"/>
  <c r="I6" i="5"/>
  <c r="J6" i="5"/>
  <c r="I7" i="5"/>
  <c r="J7" i="5"/>
  <c r="I63" i="5"/>
  <c r="J63" i="5"/>
  <c r="I10" i="5"/>
  <c r="J10" i="5"/>
  <c r="I43" i="5"/>
  <c r="J43" i="5"/>
  <c r="I12" i="5"/>
  <c r="J12" i="5"/>
  <c r="I55" i="5"/>
  <c r="J55" i="5"/>
  <c r="I59" i="5"/>
  <c r="J59" i="5"/>
  <c r="I49" i="5"/>
  <c r="I61" i="5"/>
  <c r="J61" i="5"/>
  <c r="I50" i="5"/>
  <c r="J50" i="5"/>
  <c r="I19" i="5"/>
  <c r="J19" i="5"/>
  <c r="I62" i="5"/>
  <c r="J62" i="5"/>
  <c r="I36" i="5"/>
  <c r="J36" i="5"/>
  <c r="S36" i="4"/>
  <c r="S62" i="4"/>
  <c r="S19" i="4"/>
  <c r="S50" i="4"/>
  <c r="S61" i="4"/>
  <c r="S59" i="4"/>
  <c r="S55" i="4"/>
  <c r="S12" i="4"/>
  <c r="S43" i="4"/>
  <c r="S10" i="4"/>
  <c r="S63" i="4"/>
  <c r="S7" i="4"/>
  <c r="Q36" i="4"/>
  <c r="Q62" i="4"/>
  <c r="Q19" i="4"/>
  <c r="Q50" i="4"/>
  <c r="Q61" i="4"/>
  <c r="Q59" i="4"/>
  <c r="Q55" i="4"/>
  <c r="Q12" i="4"/>
  <c r="Q43" i="4"/>
  <c r="Q10" i="4"/>
  <c r="Q63" i="4"/>
  <c r="Q7" i="4"/>
  <c r="R36" i="4"/>
  <c r="R62" i="4"/>
  <c r="R19" i="4"/>
  <c r="R50" i="4"/>
  <c r="R61" i="4"/>
  <c r="R59" i="4"/>
  <c r="R55" i="4"/>
  <c r="R12" i="4"/>
  <c r="R43" i="4"/>
  <c r="R10" i="4"/>
  <c r="R63" i="4"/>
  <c r="R7" i="4"/>
  <c r="P36" i="4"/>
  <c r="P62" i="4"/>
  <c r="P19" i="4"/>
  <c r="P50" i="4"/>
  <c r="P61" i="4"/>
  <c r="P59" i="4"/>
  <c r="P55" i="4"/>
  <c r="P12" i="4"/>
  <c r="P43" i="4"/>
  <c r="P10" i="4"/>
  <c r="P63" i="4"/>
  <c r="P7" i="4"/>
  <c r="B4" i="4"/>
  <c r="B7" i="4"/>
  <c r="B63" i="4"/>
  <c r="B10" i="4"/>
  <c r="B43" i="4"/>
  <c r="B12" i="4"/>
  <c r="B55" i="4"/>
  <c r="B59" i="4"/>
  <c r="B49" i="4"/>
  <c r="B61" i="4"/>
  <c r="B50" i="4"/>
  <c r="B19" i="4"/>
  <c r="B62" i="4"/>
  <c r="B36" i="4"/>
  <c r="C5" i="4"/>
  <c r="C6" i="4" s="1"/>
  <c r="E5" i="4"/>
  <c r="E6" i="4" s="1"/>
  <c r="F5" i="4"/>
  <c r="F6" i="4" s="1"/>
  <c r="G5" i="4"/>
  <c r="G6" i="4" s="1"/>
  <c r="H5" i="4"/>
  <c r="H6" i="4" s="1"/>
  <c r="I7" i="4"/>
  <c r="I63" i="4"/>
  <c r="I10" i="4"/>
  <c r="I43" i="4"/>
  <c r="I12" i="4"/>
  <c r="I55" i="4"/>
  <c r="I59" i="4"/>
  <c r="I61" i="4"/>
  <c r="I50" i="4"/>
  <c r="I19" i="4"/>
  <c r="I62" i="4"/>
  <c r="I36" i="4"/>
  <c r="J7" i="4"/>
  <c r="J63" i="4"/>
  <c r="J10" i="4"/>
  <c r="J43" i="4"/>
  <c r="J12" i="4"/>
  <c r="J55" i="4"/>
  <c r="J59" i="4"/>
  <c r="J61" i="4"/>
  <c r="J50" i="4"/>
  <c r="J19" i="4"/>
  <c r="J62" i="4"/>
  <c r="J36" i="4"/>
  <c r="K7" i="4"/>
  <c r="K63" i="4"/>
  <c r="K10" i="4"/>
  <c r="K43" i="4"/>
  <c r="K12" i="4"/>
  <c r="K55" i="4"/>
  <c r="K59" i="4"/>
  <c r="K61" i="4"/>
  <c r="K50" i="4"/>
  <c r="K19" i="4"/>
  <c r="K62" i="4"/>
  <c r="K36" i="4"/>
  <c r="L7" i="4"/>
  <c r="L63" i="4"/>
  <c r="L10" i="4"/>
  <c r="L43" i="4"/>
  <c r="L12" i="4"/>
  <c r="L55" i="4"/>
  <c r="L59" i="4"/>
  <c r="L61" i="4"/>
  <c r="L50" i="4"/>
  <c r="L19" i="4"/>
  <c r="L62" i="4"/>
  <c r="L36" i="4"/>
  <c r="M7" i="4"/>
  <c r="M63" i="4"/>
  <c r="M10" i="4"/>
  <c r="M43" i="4"/>
  <c r="M12" i="4"/>
  <c r="M55" i="4"/>
  <c r="M59" i="4"/>
  <c r="M61" i="4"/>
  <c r="M50" i="4"/>
  <c r="M19" i="4"/>
  <c r="M62" i="4"/>
  <c r="M36" i="4"/>
  <c r="N7" i="4"/>
  <c r="N63" i="4"/>
  <c r="N10" i="4"/>
  <c r="N43" i="4"/>
  <c r="N12" i="4"/>
  <c r="N55" i="4"/>
  <c r="N59" i="4"/>
  <c r="N61" i="4"/>
  <c r="N50" i="4"/>
  <c r="N19" i="4"/>
  <c r="N62" i="4"/>
  <c r="N36" i="4"/>
  <c r="O7" i="4"/>
  <c r="O63" i="4"/>
  <c r="O10" i="4"/>
  <c r="O43" i="4"/>
  <c r="O12" i="4"/>
  <c r="O55" i="4"/>
  <c r="O59" i="4"/>
  <c r="O61" i="4"/>
  <c r="O50" i="4"/>
  <c r="O19" i="4"/>
  <c r="O62" i="4"/>
  <c r="O36" i="4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8" i="7"/>
  <c r="U7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8" i="7"/>
  <c r="S7" i="7"/>
  <c r="T16" i="7"/>
  <c r="T22" i="7"/>
  <c r="T21" i="7"/>
  <c r="T20" i="7"/>
  <c r="T19" i="7"/>
  <c r="T18" i="7"/>
  <c r="T17" i="7"/>
  <c r="T15" i="7"/>
  <c r="T14" i="7"/>
  <c r="T13" i="7"/>
  <c r="T12" i="7"/>
  <c r="T11" i="7"/>
  <c r="T10" i="7"/>
  <c r="T8" i="7"/>
  <c r="T7" i="7"/>
  <c r="Q7" i="7"/>
  <c r="Q8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R7" i="7"/>
  <c r="R8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U21" i="9"/>
  <c r="L4" i="9" l="1"/>
  <c r="O17" i="9"/>
  <c r="N15" i="9"/>
  <c r="F17" i="9"/>
  <c r="P19" i="9"/>
  <c r="O8" i="9"/>
  <c r="L5" i="5"/>
  <c r="L6" i="5" s="1"/>
  <c r="D5" i="5"/>
  <c r="D6" i="5" s="1"/>
  <c r="I5" i="8"/>
  <c r="I6" i="8" s="1"/>
  <c r="P11" i="9"/>
  <c r="F8" i="9"/>
  <c r="P15" i="9"/>
  <c r="O21" i="9"/>
  <c r="O13" i="9"/>
  <c r="F21" i="9"/>
  <c r="F13" i="9"/>
  <c r="T5" i="6"/>
  <c r="T6" i="6" s="1"/>
  <c r="X5" i="6"/>
  <c r="X6" i="6" s="1"/>
  <c r="B5" i="5"/>
  <c r="B6" i="5" s="1"/>
  <c r="L21" i="9"/>
  <c r="L17" i="9"/>
  <c r="L13" i="9"/>
  <c r="L8" i="9"/>
  <c r="K20" i="9"/>
  <c r="K16" i="9"/>
  <c r="K12" i="9"/>
  <c r="J19" i="9"/>
  <c r="J15" i="9"/>
  <c r="J11" i="9"/>
  <c r="I22" i="9"/>
  <c r="I18" i="9"/>
  <c r="I14" i="9"/>
  <c r="I10" i="9"/>
  <c r="D21" i="9"/>
  <c r="D17" i="9"/>
  <c r="D13" i="9"/>
  <c r="D8" i="9"/>
  <c r="C20" i="9"/>
  <c r="C16" i="9"/>
  <c r="C12" i="9"/>
  <c r="B5" i="7"/>
  <c r="B6" i="7" s="1"/>
  <c r="B19" i="9"/>
  <c r="B15" i="9"/>
  <c r="B11" i="9"/>
  <c r="N19" i="9"/>
  <c r="I5" i="4"/>
  <c r="I6" i="4" s="1"/>
  <c r="M4" i="9"/>
  <c r="C5" i="5"/>
  <c r="C6" i="5" s="1"/>
  <c r="T5" i="5"/>
  <c r="T6" i="5" s="1"/>
  <c r="L19" i="9"/>
  <c r="L15" i="9"/>
  <c r="L11" i="9"/>
  <c r="K22" i="9"/>
  <c r="K18" i="9"/>
  <c r="K14" i="9"/>
  <c r="K10" i="9"/>
  <c r="J21" i="9"/>
  <c r="J17" i="9"/>
  <c r="J13" i="9"/>
  <c r="J8" i="9"/>
  <c r="I20" i="9"/>
  <c r="I16" i="9"/>
  <c r="I12" i="9"/>
  <c r="D19" i="9"/>
  <c r="D15" i="9"/>
  <c r="D11" i="9"/>
  <c r="C22" i="9"/>
  <c r="C18" i="9"/>
  <c r="C14" i="9"/>
  <c r="C10" i="9"/>
  <c r="B21" i="9"/>
  <c r="B17" i="9"/>
  <c r="B13" i="9"/>
  <c r="B8" i="9"/>
  <c r="N11" i="9"/>
  <c r="B5" i="4"/>
  <c r="B6" i="4" s="1"/>
  <c r="K12" i="13"/>
  <c r="K45" i="13"/>
  <c r="K59" i="13"/>
  <c r="K30" i="13"/>
  <c r="C53" i="8"/>
  <c r="C39" i="8"/>
  <c r="C24" i="8"/>
  <c r="Q5" i="6"/>
  <c r="Q6" i="6" s="1"/>
  <c r="D5" i="6"/>
  <c r="D6" i="6" s="1"/>
  <c r="L39" i="6"/>
  <c r="L53" i="6"/>
  <c r="L24" i="6"/>
  <c r="Q24" i="8"/>
  <c r="Q39" i="8"/>
  <c r="Q53" i="8"/>
  <c r="U53" i="6"/>
  <c r="U24" i="6"/>
  <c r="U39" i="6"/>
  <c r="J7" i="9"/>
  <c r="J5" i="7"/>
  <c r="J6" i="7" s="1"/>
  <c r="K4" i="9"/>
  <c r="K24" i="7"/>
  <c r="K39" i="7"/>
  <c r="K53" i="7"/>
  <c r="J5" i="6"/>
  <c r="J6" i="6" s="1"/>
  <c r="R5" i="6"/>
  <c r="R6" i="6" s="1"/>
  <c r="P39" i="6"/>
  <c r="P53" i="6"/>
  <c r="P24" i="6"/>
  <c r="W53" i="8"/>
  <c r="W24" i="8"/>
  <c r="W39" i="8"/>
  <c r="V39" i="8"/>
  <c r="V53" i="8"/>
  <c r="V24" i="8"/>
  <c r="U5" i="8"/>
  <c r="U6" i="8" s="1"/>
  <c r="P21" i="9"/>
  <c r="P13" i="9"/>
  <c r="O19" i="9"/>
  <c r="O11" i="9"/>
  <c r="N17" i="9"/>
  <c r="N8" i="9"/>
  <c r="N5" i="8"/>
  <c r="N6" i="8" s="1"/>
  <c r="F19" i="9"/>
  <c r="F11" i="9"/>
  <c r="J5" i="8"/>
  <c r="J6" i="8" s="1"/>
  <c r="B5" i="8"/>
  <c r="B6" i="8" s="1"/>
  <c r="K53" i="8"/>
  <c r="K39" i="8"/>
  <c r="K24" i="8"/>
  <c r="B39" i="8"/>
  <c r="B53" i="8"/>
  <c r="B24" i="8"/>
  <c r="I5" i="6"/>
  <c r="I6" i="6" s="1"/>
  <c r="K5" i="6"/>
  <c r="K6" i="6" s="1"/>
  <c r="J24" i="6"/>
  <c r="J39" i="6"/>
  <c r="J53" i="6"/>
  <c r="W5" i="8"/>
  <c r="W6" i="8" s="1"/>
  <c r="R39" i="8"/>
  <c r="R53" i="8"/>
  <c r="R24" i="8"/>
  <c r="S24" i="7"/>
  <c r="S39" i="7"/>
  <c r="S53" i="7"/>
  <c r="L24" i="8"/>
  <c r="L39" i="8"/>
  <c r="L53" i="8"/>
  <c r="P39" i="7"/>
  <c r="P53" i="7"/>
  <c r="P24" i="7"/>
  <c r="U24" i="8"/>
  <c r="U39" i="8"/>
  <c r="U53" i="8"/>
  <c r="U5" i="7"/>
  <c r="U6" i="7" s="1"/>
  <c r="P5" i="5"/>
  <c r="P6" i="5" s="1"/>
  <c r="N5" i="5"/>
  <c r="N6" i="5" s="1"/>
  <c r="B4" i="9"/>
  <c r="B24" i="7"/>
  <c r="B39" i="7"/>
  <c r="B53" i="7"/>
  <c r="F5" i="6"/>
  <c r="F6" i="6" s="1"/>
  <c r="K24" i="6"/>
  <c r="K39" i="6"/>
  <c r="K53" i="6"/>
  <c r="V24" i="6"/>
  <c r="V39" i="6"/>
  <c r="V53" i="6"/>
  <c r="Q5" i="7"/>
  <c r="Q6" i="7" s="1"/>
  <c r="S5" i="7"/>
  <c r="S6" i="7" s="1"/>
  <c r="P4" i="9"/>
  <c r="R5" i="7"/>
  <c r="R6" i="7" s="1"/>
  <c r="T5" i="7"/>
  <c r="T6" i="7" s="1"/>
  <c r="M5" i="4"/>
  <c r="M6" i="4" s="1"/>
  <c r="K5" i="4"/>
  <c r="K6" i="4" s="1"/>
  <c r="Q5" i="8"/>
  <c r="Q6" i="8" s="1"/>
  <c r="S5" i="8"/>
  <c r="S6" i="8" s="1"/>
  <c r="N5" i="7"/>
  <c r="N6" i="7" s="1"/>
  <c r="J24" i="7"/>
  <c r="J39" i="7"/>
  <c r="J53" i="7"/>
  <c r="L20" i="9"/>
  <c r="L16" i="9"/>
  <c r="L12" i="9"/>
  <c r="K7" i="9"/>
  <c r="K5" i="7"/>
  <c r="K6" i="7" s="1"/>
  <c r="K19" i="9"/>
  <c r="K15" i="9"/>
  <c r="K11" i="9"/>
  <c r="J22" i="9"/>
  <c r="J18" i="9"/>
  <c r="J14" i="9"/>
  <c r="J10" i="9"/>
  <c r="I21" i="9"/>
  <c r="I17" i="9"/>
  <c r="I13" i="9"/>
  <c r="I8" i="9"/>
  <c r="D20" i="9"/>
  <c r="D16" i="9"/>
  <c r="D12" i="9"/>
  <c r="C7" i="9"/>
  <c r="C5" i="7"/>
  <c r="C6" i="7" s="1"/>
  <c r="C19" i="9"/>
  <c r="C15" i="9"/>
  <c r="C11" i="9"/>
  <c r="B22" i="9"/>
  <c r="B18" i="9"/>
  <c r="B14" i="9"/>
  <c r="B10" i="9"/>
  <c r="F24" i="7"/>
  <c r="F53" i="7"/>
  <c r="F39" i="7"/>
  <c r="L5" i="6"/>
  <c r="L6" i="6" s="1"/>
  <c r="I24" i="6"/>
  <c r="I53" i="6"/>
  <c r="I39" i="6"/>
  <c r="M24" i="8"/>
  <c r="M39" i="8"/>
  <c r="M53" i="8"/>
  <c r="W5" i="7"/>
  <c r="W6" i="7" s="1"/>
  <c r="R24" i="7"/>
  <c r="R39" i="7"/>
  <c r="R53" i="7"/>
  <c r="U53" i="7"/>
  <c r="U39" i="7"/>
  <c r="U24" i="7"/>
  <c r="R5" i="8"/>
  <c r="R6" i="8" s="1"/>
  <c r="T5" i="8"/>
  <c r="T6" i="8" s="1"/>
  <c r="O5" i="8"/>
  <c r="O6" i="8" s="1"/>
  <c r="C5" i="8"/>
  <c r="C6" i="8" s="1"/>
  <c r="F39" i="8"/>
  <c r="F53" i="8"/>
  <c r="F24" i="8"/>
  <c r="O24" i="6"/>
  <c r="O39" i="6"/>
  <c r="O53" i="6"/>
  <c r="R39" i="6"/>
  <c r="R24" i="6"/>
  <c r="R53" i="6"/>
  <c r="F4" i="9"/>
  <c r="M5" i="5"/>
  <c r="M6" i="5" s="1"/>
  <c r="O5" i="7"/>
  <c r="O6" i="7" s="1"/>
  <c r="I53" i="7"/>
  <c r="I39" i="7"/>
  <c r="I24" i="7"/>
  <c r="F5" i="7"/>
  <c r="F6" i="7" s="1"/>
  <c r="D7" i="9"/>
  <c r="D5" i="7"/>
  <c r="D6" i="7" s="1"/>
  <c r="D4" i="9"/>
  <c r="D39" i="7"/>
  <c r="D53" i="7"/>
  <c r="D24" i="7"/>
  <c r="D39" i="6"/>
  <c r="D53" i="6"/>
  <c r="D24" i="6"/>
  <c r="W5" i="6"/>
  <c r="W6" i="6" s="1"/>
  <c r="M5" i="8"/>
  <c r="M6" i="8" s="1"/>
  <c r="X5" i="8"/>
  <c r="X6" i="8" s="1"/>
  <c r="N39" i="8"/>
  <c r="N53" i="8"/>
  <c r="N24" i="8"/>
  <c r="P17" i="9"/>
  <c r="P8" i="9"/>
  <c r="P5" i="8"/>
  <c r="P6" i="8" s="1"/>
  <c r="N21" i="9"/>
  <c r="N13" i="9"/>
  <c r="I24" i="8"/>
  <c r="I39" i="8"/>
  <c r="I53" i="8"/>
  <c r="F15" i="9"/>
  <c r="L5" i="8"/>
  <c r="L6" i="8" s="1"/>
  <c r="D5" i="8"/>
  <c r="D6" i="8" s="1"/>
  <c r="D24" i="8"/>
  <c r="D53" i="8"/>
  <c r="D39" i="8"/>
  <c r="O5" i="6"/>
  <c r="O6" i="6" s="1"/>
  <c r="B5" i="6"/>
  <c r="B6" i="6" s="1"/>
  <c r="C24" i="6"/>
  <c r="C39" i="6"/>
  <c r="C53" i="6"/>
  <c r="U5" i="6"/>
  <c r="U6" i="6" s="1"/>
  <c r="V5" i="6"/>
  <c r="V6" i="6" s="1"/>
  <c r="M5" i="7"/>
  <c r="M6" i="7" s="1"/>
  <c r="N24" i="7"/>
  <c r="N53" i="7"/>
  <c r="N39" i="7"/>
  <c r="O53" i="8"/>
  <c r="O39" i="8"/>
  <c r="O24" i="8"/>
  <c r="Q24" i="6"/>
  <c r="Q53" i="6"/>
  <c r="Q39" i="6"/>
  <c r="X5" i="7"/>
  <c r="X6" i="7" s="1"/>
  <c r="S53" i="8"/>
  <c r="S24" i="8"/>
  <c r="S39" i="8"/>
  <c r="S24" i="6"/>
  <c r="S39" i="6"/>
  <c r="S53" i="6"/>
  <c r="J39" i="8"/>
  <c r="J53" i="8"/>
  <c r="J24" i="8"/>
  <c r="F5" i="8"/>
  <c r="F6" i="8" s="1"/>
  <c r="K5" i="8"/>
  <c r="K6" i="8" s="1"/>
  <c r="M5" i="6"/>
  <c r="M6" i="6" s="1"/>
  <c r="F24" i="6"/>
  <c r="F39" i="6"/>
  <c r="F53" i="6"/>
  <c r="M53" i="7"/>
  <c r="M24" i="7"/>
  <c r="M39" i="7"/>
  <c r="X24" i="8"/>
  <c r="X53" i="8"/>
  <c r="X39" i="8"/>
  <c r="X39" i="7"/>
  <c r="X53" i="7"/>
  <c r="X24" i="7"/>
  <c r="W24" i="6"/>
  <c r="W39" i="6"/>
  <c r="W53" i="6"/>
  <c r="V24" i="7"/>
  <c r="V53" i="7"/>
  <c r="V39" i="7"/>
  <c r="L7" i="9"/>
  <c r="L5" i="7"/>
  <c r="L6" i="7" s="1"/>
  <c r="N5" i="6"/>
  <c r="N6" i="6" s="1"/>
  <c r="O24" i="7"/>
  <c r="O39" i="7"/>
  <c r="O53" i="7"/>
  <c r="W24" i="7"/>
  <c r="W39" i="7"/>
  <c r="W53" i="7"/>
  <c r="T39" i="7"/>
  <c r="T53" i="7"/>
  <c r="T24" i="7"/>
  <c r="B7" i="9"/>
  <c r="O15" i="9"/>
  <c r="O4" i="9"/>
  <c r="P5" i="7"/>
  <c r="P6" i="7" s="1"/>
  <c r="L22" i="9"/>
  <c r="L18" i="9"/>
  <c r="L14" i="9"/>
  <c r="L10" i="9"/>
  <c r="K21" i="9"/>
  <c r="K17" i="9"/>
  <c r="K13" i="9"/>
  <c r="K8" i="9"/>
  <c r="J20" i="9"/>
  <c r="J16" i="9"/>
  <c r="J12" i="9"/>
  <c r="I7" i="9"/>
  <c r="I5" i="7"/>
  <c r="I6" i="7" s="1"/>
  <c r="I19" i="9"/>
  <c r="I15" i="9"/>
  <c r="I11" i="9"/>
  <c r="D22" i="9"/>
  <c r="D18" i="9"/>
  <c r="D14" i="9"/>
  <c r="D10" i="9"/>
  <c r="C21" i="9"/>
  <c r="C17" i="9"/>
  <c r="C13" i="9"/>
  <c r="C8" i="9"/>
  <c r="B20" i="9"/>
  <c r="B16" i="9"/>
  <c r="B12" i="9"/>
  <c r="L39" i="7"/>
  <c r="L53" i="7"/>
  <c r="L24" i="7"/>
  <c r="C4" i="9"/>
  <c r="C24" i="7"/>
  <c r="C39" i="7"/>
  <c r="C53" i="7"/>
  <c r="P5" i="6"/>
  <c r="P6" i="6" s="1"/>
  <c r="C5" i="6"/>
  <c r="C6" i="6" s="1"/>
  <c r="M53" i="6"/>
  <c r="M24" i="6"/>
  <c r="M39" i="6"/>
  <c r="B24" i="6"/>
  <c r="B39" i="6"/>
  <c r="B53" i="6"/>
  <c r="S5" i="6"/>
  <c r="S6" i="6" s="1"/>
  <c r="V5" i="8"/>
  <c r="V6" i="8" s="1"/>
  <c r="V5" i="7"/>
  <c r="V6" i="7" s="1"/>
  <c r="N24" i="6"/>
  <c r="N39" i="6"/>
  <c r="N53" i="6"/>
  <c r="P24" i="8"/>
  <c r="P39" i="8"/>
  <c r="P53" i="8"/>
  <c r="Q53" i="7"/>
  <c r="Q24" i="7"/>
  <c r="Q39" i="7"/>
  <c r="X39" i="6"/>
  <c r="X53" i="6"/>
  <c r="X24" i="6"/>
  <c r="T24" i="8"/>
  <c r="T53" i="8"/>
  <c r="T39" i="8"/>
  <c r="T39" i="6"/>
  <c r="T53" i="6"/>
  <c r="T24" i="6"/>
  <c r="D4" i="11"/>
  <c r="D5" i="11" s="1"/>
  <c r="H5" i="9"/>
  <c r="H6" i="9" s="1"/>
  <c r="E5" i="9"/>
  <c r="E6" i="9" s="1"/>
  <c r="G5" i="9"/>
  <c r="G6" i="9" s="1"/>
  <c r="W5" i="5"/>
  <c r="W6" i="5" s="1"/>
  <c r="X5" i="5"/>
  <c r="X6" i="5" s="1"/>
  <c r="Z39" i="8"/>
  <c r="Z53" i="8"/>
  <c r="Z6" i="8"/>
  <c r="Z24" i="8"/>
  <c r="P22" i="9"/>
  <c r="P20" i="9"/>
  <c r="P18" i="9"/>
  <c r="P16" i="9"/>
  <c r="P14" i="9"/>
  <c r="P12" i="9"/>
  <c r="P10" i="9"/>
  <c r="P7" i="9"/>
  <c r="O22" i="9"/>
  <c r="O20" i="9"/>
  <c r="O18" i="9"/>
  <c r="O16" i="9"/>
  <c r="O14" i="9"/>
  <c r="O12" i="9"/>
  <c r="O10" i="9"/>
  <c r="O7" i="9"/>
  <c r="N22" i="9"/>
  <c r="N20" i="9"/>
  <c r="N18" i="9"/>
  <c r="N16" i="9"/>
  <c r="N14" i="9"/>
  <c r="N12" i="9"/>
  <c r="N10" i="9"/>
  <c r="N7" i="9"/>
  <c r="F22" i="9"/>
  <c r="F20" i="9"/>
  <c r="F18" i="9"/>
  <c r="F16" i="9"/>
  <c r="F14" i="9"/>
  <c r="F12" i="9"/>
  <c r="F10" i="9"/>
  <c r="F7" i="9"/>
  <c r="S5" i="9"/>
  <c r="S6" i="9" s="1"/>
  <c r="V5" i="9"/>
  <c r="V6" i="9" s="1"/>
  <c r="W5" i="9"/>
  <c r="W6" i="9" s="1"/>
  <c r="M7" i="9"/>
  <c r="M8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X5" i="9"/>
  <c r="X6" i="9" s="1"/>
  <c r="Q5" i="9"/>
  <c r="Q6" i="9" s="1"/>
  <c r="T5" i="9"/>
  <c r="T6" i="9" s="1"/>
  <c r="R5" i="9"/>
  <c r="R6" i="9" s="1"/>
  <c r="U5" i="9"/>
  <c r="U6" i="9" s="1"/>
  <c r="O5" i="4"/>
  <c r="O6" i="4" s="1"/>
  <c r="L5" i="4"/>
  <c r="L6" i="4" s="1"/>
  <c r="P5" i="4"/>
  <c r="P6" i="4" s="1"/>
  <c r="Q5" i="4"/>
  <c r="Q6" i="4" s="1"/>
  <c r="S5" i="4"/>
  <c r="S6" i="4" s="1"/>
  <c r="U5" i="4"/>
  <c r="U6" i="4" s="1"/>
  <c r="N5" i="4"/>
  <c r="N6" i="4" s="1"/>
  <c r="J5" i="4"/>
  <c r="J6" i="4" s="1"/>
  <c r="R5" i="4"/>
  <c r="R6" i="4" s="1"/>
  <c r="T5" i="4"/>
  <c r="T6" i="4" s="1"/>
  <c r="V5" i="4"/>
  <c r="V6" i="4" s="1"/>
  <c r="W6" i="4"/>
  <c r="K5" i="5"/>
  <c r="K6" i="5" s="1"/>
  <c r="Q5" i="5"/>
  <c r="Q6" i="5" s="1"/>
  <c r="U5" i="5"/>
  <c r="U6" i="5" s="1"/>
  <c r="R5" i="5"/>
  <c r="R6" i="5" s="1"/>
  <c r="O5" i="5"/>
  <c r="O6" i="5" s="1"/>
  <c r="F5" i="5"/>
  <c r="F6" i="5" s="1"/>
  <c r="S5" i="5"/>
  <c r="S6" i="5" s="1"/>
  <c r="V5" i="5"/>
  <c r="V6" i="5" s="1"/>
  <c r="Y6" i="5"/>
  <c r="J4" i="9"/>
  <c r="B5" i="9" l="1"/>
  <c r="B6" i="9" s="1"/>
  <c r="C5" i="9"/>
  <c r="C6" i="9" s="1"/>
  <c r="K5" i="9"/>
  <c r="K6" i="9" s="1"/>
  <c r="J5" i="9"/>
  <c r="L5" i="9"/>
  <c r="L6" i="9" s="1"/>
  <c r="I5" i="9"/>
  <c r="I6" i="9" s="1"/>
  <c r="D5" i="9"/>
  <c r="D6" i="9" s="1"/>
  <c r="J6" i="9"/>
  <c r="F5" i="9"/>
  <c r="F6" i="9" s="1"/>
  <c r="N5" i="9"/>
  <c r="N6" i="9" s="1"/>
  <c r="O5" i="9"/>
  <c r="O6" i="9" s="1"/>
  <c r="P5" i="9"/>
  <c r="P6" i="9" s="1"/>
  <c r="M5" i="9"/>
  <c r="M6" i="9" s="1"/>
  <c r="Y39" i="8"/>
  <c r="Y53" i="8"/>
  <c r="AB39" i="8"/>
  <c r="AB53" i="8"/>
  <c r="Y24" i="8"/>
  <c r="Y6" i="8"/>
  <c r="AB6" i="8"/>
  <c r="AB24" i="8"/>
  <c r="AA39" i="8" l="1"/>
  <c r="AA53" i="8"/>
  <c r="AD39" i="8"/>
  <c r="AD53" i="8"/>
  <c r="AA24" i="8"/>
  <c r="AA6" i="8"/>
  <c r="AD6" i="8"/>
  <c r="AD24" i="8"/>
  <c r="AC39" i="8" l="1"/>
  <c r="AC53" i="8"/>
  <c r="AC24" i="8"/>
  <c r="AC6" i="8"/>
  <c r="AA6" i="7"/>
  <c r="AD6" i="7"/>
  <c r="AC6" i="7"/>
  <c r="Y6" i="7"/>
  <c r="AB6" i="7"/>
  <c r="Z6" i="7"/>
  <c r="AC39" i="6"/>
  <c r="AC53" i="6"/>
  <c r="AC6" i="6"/>
  <c r="AA53" i="6"/>
  <c r="AA6" i="6"/>
  <c r="AA39" i="6"/>
  <c r="Y39" i="6"/>
  <c r="Y53" i="6"/>
  <c r="Y6" i="6"/>
  <c r="AD53" i="6"/>
  <c r="AD39" i="6"/>
  <c r="AD6" i="6"/>
  <c r="AB39" i="6"/>
  <c r="AB53" i="6"/>
  <c r="AB6" i="6"/>
  <c r="Z53" i="6"/>
  <c r="Z39" i="6"/>
  <c r="Z6" i="6"/>
  <c r="AB24" i="6"/>
  <c r="Z24" i="6"/>
  <c r="AD24" i="6"/>
  <c r="AA24" i="6"/>
  <c r="AC24" i="6"/>
  <c r="Y24" i="6"/>
  <c r="BI5" i="10" l="1"/>
  <c r="BI23" i="10"/>
  <c r="BJ5" i="10"/>
  <c r="BJ23" i="10"/>
  <c r="BK5" i="10"/>
  <c r="BK2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</authors>
  <commentList>
    <comment ref="U21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1,353 reported but extrapolated figure substituted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D2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sharedStrings.xml><?xml version="1.0" encoding="utf-8"?>
<sst xmlns="http://schemas.openxmlformats.org/spreadsheetml/2006/main" count="1792" uniqueCount="429">
  <si>
    <t>Table 40</t>
  </si>
  <si>
    <t>Medical School Enrollment</t>
  </si>
  <si>
    <t>M.D. Programs (allopathic medicine)</t>
  </si>
  <si>
    <t>D.O. Programs (osteopathic medicine)</t>
  </si>
  <si>
    <t>Total</t>
  </si>
  <si>
    <t>Women</t>
  </si>
  <si>
    <t>Percent</t>
  </si>
  <si>
    <t>Change</t>
  </si>
  <si>
    <t>2014-15 to</t>
  </si>
  <si>
    <t>Percent of Total</t>
  </si>
  <si>
    <t>2019-20</t>
  </si>
  <si>
    <t>2014-15</t>
  </si>
  <si>
    <t>50 states and D.C.</t>
  </si>
  <si>
    <t>SREB states</t>
  </si>
  <si>
    <t xml:space="preserve">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</si>
  <si>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</si>
  <si>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</si>
  <si>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</si>
  <si>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</si>
  <si>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</si>
  <si>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</si>
  <si>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</si>
  <si>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</si>
  <si>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</si>
  <si>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</si>
  <si>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</si>
  <si>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</si>
  <si>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</si>
  <si>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</si>
  <si>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</si>
  <si>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</si>
  <si>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</si>
  <si>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</si>
  <si>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</si>
  <si>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</si>
  <si>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</si>
  <si>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</si>
  <si>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</si>
  <si>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</si>
  <si>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</si>
  <si>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</si>
  <si>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</si>
  <si>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</si>
  <si>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</si>
  <si>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</si>
  <si>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</si>
  <si>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</si>
  <si>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</si>
  <si>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</si>
  <si>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</si>
  <si>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</si>
  <si>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</si>
  <si>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</si>
  <si>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</si>
  <si>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</si>
  <si>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</si>
  <si>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</si>
  <si>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</si>
  <si>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</si>
  <si>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</si>
  <si>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</si>
  <si>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</si>
  <si>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</si>
  <si>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</si>
  <si>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</si>
  <si>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</si>
  <si>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</si>
  <si>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</si>
  <si>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</si>
  <si>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Sources:</t>
  </si>
  <si>
    <t>American Association of Colleges of Osteopathic Medicine, Annual Osteopathic Medical School Questionnaires, 2000-01 through 2019-20 academic years. (2020)  — www.aacom.org.</t>
  </si>
  <si>
    <r>
      <t xml:space="preserve">American Medical Association, </t>
    </r>
    <r>
      <rPr>
        <i/>
        <sz val="10"/>
        <rFont val="Arial"/>
        <family val="2"/>
      </rPr>
      <t>Journal of the American Medical Association</t>
    </r>
    <r>
      <rPr>
        <sz val="10"/>
        <rFont val="Arial"/>
        <family val="2"/>
      </rPr>
      <t>, Vol.324, No. 10, September 22, 2020 Appendix I, Table 8.</t>
    </r>
  </si>
  <si>
    <t xml:space="preserve">  May 2021</t>
  </si>
  <si>
    <t>Total Allopathic Medical School Enrollment</t>
  </si>
  <si>
    <t>from this point on US figures exclude Puerto Rico</t>
  </si>
  <si>
    <t>1979-80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</si>
  <si>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</si>
  <si>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</si>
  <si>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</si>
  <si>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</si>
  <si>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</si>
  <si>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</si>
  <si>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</si>
  <si>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</si>
  <si>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</si>
  <si>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</si>
  <si>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</si>
  <si>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</si>
  <si>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</si>
  <si>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</si>
  <si>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</si>
  <si>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</si>
  <si>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</si>
  <si>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</si>
  <si>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</si>
  <si>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</si>
  <si>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</si>
  <si>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</si>
  <si>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</si>
  <si>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</si>
  <si>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</si>
  <si>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</si>
  <si>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</si>
  <si>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</si>
  <si>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</si>
  <si>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</si>
  <si>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</si>
  <si>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</si>
  <si>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2015-16</t>
  </si>
  <si>
    <t>2016-17</t>
  </si>
  <si>
    <t>2017-18</t>
  </si>
  <si>
    <t>2018-19</t>
  </si>
  <si>
    <t>50 States and D.C.</t>
  </si>
  <si>
    <t>SREB States</t>
  </si>
  <si>
    <t xml:space="preserve">SOURCE: American Medical Association, Journal of the American Medical Association, Vol.244, No. 25, December 26, 1980. </t>
  </si>
  <si>
    <t>SOURCE: American Medical Association, Journal of the American Medical Association, Vol.252, No. 12, Septmber 28, 1984. Appendix II, Table 2.</t>
  </si>
  <si>
    <t>SOURCE: American Medical Association, Journal of the American Medical Association, Vol.254, No. 12, Septmber 27, 1985.</t>
  </si>
  <si>
    <t>SOURCE: American Medical Association, Journal of the American Medical Association, Vol.256, No. __,  1986.</t>
  </si>
  <si>
    <t>SOURCE: American Medical Association, Journal of the American Medical Association, Vol.258, No. 8, 1987.</t>
  </si>
  <si>
    <t>SOURCE: American Medical Association, Journal of the American Medical Association, Vol.254, No. 12, 1985 &amp; Vol. 260, No. 8, 1988.</t>
  </si>
  <si>
    <t>SOURCE: American Medical Association, Journal of the American Medical Association, Vol.262, No. 8, 1989. Appendix II, Table 2.</t>
  </si>
  <si>
    <t>SOURCE: American Medical Association, Journal of the American Medical Association, Vol.264, No. 7, 1990. Appendix II, Table 2.</t>
  </si>
  <si>
    <t>SOURCE: American Medical Association, Journal of the American Medical Association, Vol.266, No. 12, 1991.</t>
  </si>
  <si>
    <t>SOURCE: American Medical Association, Journal of the American Medical Association, Vol.268, No. 9, 1992. Appendix IA, Table 2.</t>
  </si>
  <si>
    <t>SOURCE: American Medical Association, Journal of the American Medical Association, Vol.270, No. 9, 1993. Appendix IA, Table 2.</t>
  </si>
  <si>
    <t>SOURCE: American Medical Association, Journal of the American Medical Association, Vol.272, No. 9, 1994. Appendix IA, Table 2.</t>
  </si>
  <si>
    <t>SOURCE: American Medical Association, Journal of the American Medical Association, Vol.274, No. 9, 1995. Appendix IA, Table 2.</t>
  </si>
  <si>
    <t>SOURCE: American Medical Association, Journal of the American Medical Association, Vol.276, No. 9, 1996. Appendix IA, Table 2.</t>
  </si>
  <si>
    <t>SOURCE: American Medical Association, Journal of the American Medical Association, Vol.278, No. 9, September 3, 1997. Appendix IA, Table 2.</t>
  </si>
  <si>
    <t>SOURCE: American Medical Association, Journal of the American Medical Association, Vol.280, No. 9, September 1, 1998. Appendix IA, Table 2.</t>
  </si>
  <si>
    <t>SOURCE: American Medical Association, Journal of the American Medical Association, Vol.282, No. 9, September 1, 1999. Appendix IA, Table 2.</t>
  </si>
  <si>
    <t>SOURCE: American Medical Association, Journal of the American Medical Association, Vol.284, No. 9, September 6, 2000. Appendix IA, Table 2.</t>
  </si>
  <si>
    <t>SOURCE: American Medical Association, Journal of the American Medical Association, Vol.286, No. 9, September 5, 2001. Appendix IA, Table 2.</t>
  </si>
  <si>
    <t>SOURCE: American Medical Association, Journal of the American Medical Association, Vol.288, No. 9, September 4, 2002. Appendix IA, Table 2.</t>
  </si>
  <si>
    <t>SOURCE: American Medical Association, Journal of the American Medical Association, Vol.290, No. 9, September 3, 2003. Appendix IA, Table 2.</t>
  </si>
  <si>
    <t>SOURCE: American Medical Association, Journal of the American Medical Association, Vol.292, No. 9, September 1, 2004. Appendix IA, Table 2.</t>
  </si>
  <si>
    <t>SOURCE: American Medical Association, Journal of the American Medical Association, Vol.294, No. 9, September 7, 2005. Appendix IA, Table 2.</t>
  </si>
  <si>
    <t>SOURCE: American Medical Association, Journal of the American Medical Association, Vol.296, No. 9, September 6, 2006. Appendix I, Table 1.</t>
  </si>
  <si>
    <t>SOURCE: American Medical Association, Journal of the American Medical Association, Vol.298, No. 9, September 5, 2007. Appendix I, Table 1.</t>
  </si>
  <si>
    <t>SOURCE: American Medical Association, Journal of the American Medical Association, Vol.300, No. 10, September 10, 2008. Appendix I, Table 1.</t>
  </si>
  <si>
    <t>SOURCE: American Medical Association, Journal of the American Medical Association, Vol.302, No. 12, September 23/30, 2009. Appendix I, Table 1.</t>
  </si>
  <si>
    <t>SOURCE: American Medical Association, Journal of the American Medical Association, Vol.304, No. 11, September 15, 2010. Appendix I, Table 1.</t>
  </si>
  <si>
    <t>SOURCE: American Medical Association, Journal of the American Medical Association, Vol.306, No. 9, September 7, 2011. Appendix I, Table 1.</t>
  </si>
  <si>
    <t>SOURCE: American Medical Association, Journal of the American Medical Association, Vol.308, No. 21, December 5, 2012. Appendix I, Table 1.</t>
  </si>
  <si>
    <t>SOURCE: American Medical Association, Journal of the American Medical Association, Vol.310, No. 21, December 4, 2013. Appendix I, Table 1.</t>
  </si>
  <si>
    <t>SOURCE: American Medical Association, Journal of the American Medical Association, Vol.312, No. 22, December 10, 2014. Appendix I, Table 8.</t>
  </si>
  <si>
    <t>SOURCE: American Medical Association, Journal of the American Medical Association, Vol.314, No. 22, December 8, 2015. Appendix I, Table 8.</t>
  </si>
  <si>
    <t>SOURCE: American Medical Association, Journal of the American Medical Association, Vol.316, No. 21, December 6, 2016. Appendix I, Table 8.</t>
  </si>
  <si>
    <t>SOURCE: American Medical Association, Journal of the American Medical Association, Vol.318, No. 23, December 19, 2017. Appendix I, Table 7.</t>
  </si>
  <si>
    <t>SOURCE: American Medical Association, Journal of the American Medical Association, Vol.322, No. 10, September 10, 2019. Appendix I, Table 8.</t>
  </si>
  <si>
    <t>SOURCE: American Medical Association, Journal of the American Medical Association, Vol.324, No. 10, September 22, 2020. Appendix I, Table 8.</t>
  </si>
  <si>
    <t>Men</t>
  </si>
  <si>
    <t>Sources: See page for "All".</t>
  </si>
  <si>
    <t xml:space="preserve">Women </t>
  </si>
  <si>
    <t>First Year Students</t>
  </si>
  <si>
    <t>Residents &amp; Fellows</t>
  </si>
  <si>
    <t>no longer available</t>
  </si>
  <si>
    <t>..</t>
  </si>
  <si>
    <t>Includes</t>
  </si>
  <si>
    <t xml:space="preserve">SOURCE: </t>
  </si>
  <si>
    <t>SC report</t>
  </si>
  <si>
    <t>*The total</t>
  </si>
  <si>
    <t>Journal</t>
  </si>
  <si>
    <t>American</t>
  </si>
  <si>
    <t>only</t>
  </si>
  <si>
    <t>incomplete</t>
  </si>
  <si>
    <t>number of</t>
  </si>
  <si>
    <t>of the</t>
  </si>
  <si>
    <t>Medical</t>
  </si>
  <si>
    <t>students</t>
  </si>
  <si>
    <t xml:space="preserve">NOTE:  </t>
  </si>
  <si>
    <t>residents</t>
  </si>
  <si>
    <t>Association,</t>
  </si>
  <si>
    <t>from the</t>
  </si>
  <si>
    <t>in all</t>
  </si>
  <si>
    <t>50 states.</t>
  </si>
  <si>
    <t>accredited</t>
  </si>
  <si>
    <t>residency</t>
  </si>
  <si>
    <t>Vol. 262,</t>
  </si>
  <si>
    <t>Vol. 264</t>
  </si>
  <si>
    <t>Vol.</t>
  </si>
  <si>
    <t>Vol. 268</t>
  </si>
  <si>
    <t>Vol. 270</t>
  </si>
  <si>
    <t>Vol. 272</t>
  </si>
  <si>
    <t>Vol. 276</t>
  </si>
  <si>
    <t>programs</t>
  </si>
  <si>
    <t>no.8</t>
  </si>
  <si>
    <t>no.7</t>
  </si>
  <si>
    <t>266,</t>
  </si>
  <si>
    <t>no.9</t>
  </si>
  <si>
    <t>in the U.S.</t>
  </si>
  <si>
    <t>(1989);</t>
  </si>
  <si>
    <t>(1990).</t>
  </si>
  <si>
    <t>no. 12</t>
  </si>
  <si>
    <t>(1992).</t>
  </si>
  <si>
    <t>(1993).</t>
  </si>
  <si>
    <t>(1994).</t>
  </si>
  <si>
    <t>(1996).</t>
  </si>
  <si>
    <t>as of Sept.</t>
  </si>
  <si>
    <t>Appendix</t>
  </si>
  <si>
    <t>(1991);</t>
  </si>
  <si>
    <t>Vol.278</t>
  </si>
  <si>
    <t>Vol.280,</t>
  </si>
  <si>
    <t>Vol.282,</t>
  </si>
  <si>
    <t>Vol.284,</t>
  </si>
  <si>
    <t>Vol.286,</t>
  </si>
  <si>
    <t>Vol.288,</t>
  </si>
  <si>
    <t>Vol. 290</t>
  </si>
  <si>
    <t>Vol.292</t>
  </si>
  <si>
    <t>Vol.294</t>
  </si>
  <si>
    <t>Vol.252,</t>
  </si>
  <si>
    <t>Vol. 258,</t>
  </si>
  <si>
    <t>1, 1987</t>
  </si>
  <si>
    <t>II,</t>
  </si>
  <si>
    <t>IA,</t>
  </si>
  <si>
    <t>No. 9,</t>
  </si>
  <si>
    <t>No. 12,</t>
  </si>
  <si>
    <t>No. 8,</t>
  </si>
  <si>
    <t>was 81,410--</t>
  </si>
  <si>
    <t>Table 3</t>
  </si>
  <si>
    <t>Table 2</t>
  </si>
  <si>
    <t>September</t>
  </si>
  <si>
    <t>August 28,</t>
  </si>
  <si>
    <t>of that</t>
  </si>
  <si>
    <t>3, 1997</t>
  </si>
  <si>
    <t>2, 1998.</t>
  </si>
  <si>
    <t>1, 1999.</t>
  </si>
  <si>
    <t>6, 2000.</t>
  </si>
  <si>
    <t>5, 2001.</t>
  </si>
  <si>
    <t>4, 2002.</t>
  </si>
  <si>
    <t>3, 2003</t>
  </si>
  <si>
    <t>1, 2004</t>
  </si>
  <si>
    <t>7, 2005</t>
  </si>
  <si>
    <t>28, 1984.</t>
  </si>
  <si>
    <t>1987.</t>
  </si>
  <si>
    <t xml:space="preserve">number, </t>
  </si>
  <si>
    <t>Appendix IA,</t>
  </si>
  <si>
    <t>Appendix II,</t>
  </si>
  <si>
    <t>53,984 were</t>
  </si>
  <si>
    <t>Table 2.</t>
  </si>
  <si>
    <t>Vol.244,</t>
  </si>
  <si>
    <t>Vol.250,</t>
  </si>
  <si>
    <t>Table 3.</t>
  </si>
  <si>
    <t>in residency</t>
  </si>
  <si>
    <t xml:space="preserve">*TN is </t>
  </si>
  <si>
    <t>No. 25,</t>
  </si>
  <si>
    <t>missing</t>
  </si>
  <si>
    <t>December</t>
  </si>
  <si>
    <t>supervised</t>
  </si>
  <si>
    <t>East TN</t>
  </si>
  <si>
    <t>26, 1980.</t>
  </si>
  <si>
    <t>23/30, 1983.</t>
  </si>
  <si>
    <t>Vol.254,</t>
  </si>
  <si>
    <t>by faculty</t>
  </si>
  <si>
    <t>State Univ</t>
  </si>
  <si>
    <t>of U.S. med</t>
  </si>
  <si>
    <t>Coll Med</t>
  </si>
  <si>
    <t>schools.</t>
  </si>
  <si>
    <t>data</t>
  </si>
  <si>
    <t>27, 1985.</t>
  </si>
  <si>
    <t>The number</t>
  </si>
  <si>
    <t>of residents</t>
  </si>
  <si>
    <t>shown for</t>
  </si>
  <si>
    <t>the SREB</t>
  </si>
  <si>
    <t>region and</t>
  </si>
  <si>
    <t>each SREB</t>
  </si>
  <si>
    <t>state, represents</t>
  </si>
  <si>
    <t>only those</t>
  </si>
  <si>
    <t>under the</t>
  </si>
  <si>
    <t>supervision</t>
  </si>
  <si>
    <t>school faculty.</t>
  </si>
  <si>
    <t>Vol. 260,</t>
  </si>
  <si>
    <t>No. 8</t>
  </si>
  <si>
    <t>(1988).</t>
  </si>
  <si>
    <t>State Residents Entering (Allopathic) Medical School</t>
  </si>
  <si>
    <t>for whom</t>
  </si>
  <si>
    <t>origin is</t>
  </si>
  <si>
    <t>known.</t>
  </si>
  <si>
    <t>Vol. 274</t>
  </si>
  <si>
    <t>Vol. 278</t>
  </si>
  <si>
    <t>(1995).</t>
  </si>
  <si>
    <t>(1997).</t>
  </si>
  <si>
    <t>Vol. 254,</t>
  </si>
  <si>
    <t>No. 12</t>
  </si>
  <si>
    <t>(1985) and</t>
  </si>
  <si>
    <t>Tables 4+5</t>
  </si>
  <si>
    <t>Vol.262,</t>
  </si>
  <si>
    <t>Vol.264,</t>
  </si>
  <si>
    <t>No. 7,</t>
  </si>
  <si>
    <t>August 25,</t>
  </si>
  <si>
    <t>August 15,</t>
  </si>
  <si>
    <t>1989:</t>
  </si>
  <si>
    <t>1990:</t>
  </si>
  <si>
    <t>Table 4</t>
  </si>
  <si>
    <t>Total Osteopathic Medical School Enrollment*</t>
  </si>
  <si>
    <t>men</t>
  </si>
  <si>
    <t>wom</t>
  </si>
  <si>
    <t>women</t>
  </si>
  <si>
    <t>Alabama (ACOM, VCOM–Auburn)</t>
  </si>
  <si>
    <t>Arkansas (ARCOM)</t>
  </si>
  <si>
    <r>
      <t xml:space="preserve">Florida </t>
    </r>
    <r>
      <rPr>
        <sz val="10"/>
        <color indexed="12"/>
        <rFont val="Arial"/>
        <family val="2"/>
      </rPr>
      <t>(NSU-COM &amp; LECOM-Br)</t>
    </r>
  </si>
  <si>
    <r>
      <t xml:space="preserve">Georgia </t>
    </r>
    <r>
      <rPr>
        <sz val="10"/>
        <color indexed="12"/>
        <rFont val="Arial"/>
        <family val="2"/>
      </rPr>
      <t>(GA-PCOM)</t>
    </r>
  </si>
  <si>
    <r>
      <t xml:space="preserve">Kentucky </t>
    </r>
    <r>
      <rPr>
        <sz val="10"/>
        <color indexed="12"/>
        <rFont val="Arial"/>
        <family val="2"/>
      </rPr>
      <t>(UP-KYCOM)</t>
    </r>
  </si>
  <si>
    <t>Mississippi (WCU-COM)</t>
  </si>
  <si>
    <r>
      <t xml:space="preserve">Oklahoma </t>
    </r>
    <r>
      <rPr>
        <sz val="10"/>
        <color indexed="12"/>
        <rFont val="Arial"/>
        <family val="2"/>
      </rPr>
      <t>(OSU-COM)</t>
    </r>
  </si>
  <si>
    <t>South Carolina (VCOM-CC)</t>
  </si>
  <si>
    <r>
      <t xml:space="preserve">Tennessee </t>
    </r>
    <r>
      <rPr>
        <sz val="10"/>
        <color indexed="12"/>
        <rFont val="Arial"/>
        <family val="2"/>
      </rPr>
      <t>(LMU-DCOM)</t>
    </r>
  </si>
  <si>
    <r>
      <t xml:space="preserve">Texas </t>
    </r>
    <r>
      <rPr>
        <sz val="10"/>
        <color indexed="12"/>
        <rFont val="Arial"/>
        <family val="2"/>
      </rPr>
      <t>(UNTHSC/TCOM)</t>
    </r>
  </si>
  <si>
    <r>
      <t xml:space="preserve">Virginia </t>
    </r>
    <r>
      <rPr>
        <sz val="10"/>
        <color indexed="12"/>
        <rFont val="Arial"/>
        <family val="2"/>
      </rPr>
      <t>(VCOM-VC)</t>
    </r>
  </si>
  <si>
    <r>
      <t xml:space="preserve">West Virginia </t>
    </r>
    <r>
      <rPr>
        <sz val="10"/>
        <color indexed="12"/>
        <rFont val="Arial"/>
        <family val="2"/>
      </rPr>
      <t>(WVSOM)</t>
    </r>
  </si>
  <si>
    <t>Arizona (ATSU-SOMA &amp; AZCOM/MWU)</t>
  </si>
  <si>
    <t>California (TUCOM-CA &amp; Western U/COMP)</t>
  </si>
  <si>
    <t>Colorado (RVUCOM)</t>
  </si>
  <si>
    <t>Nevada (TUNCOM)</t>
  </si>
  <si>
    <t>Washington (PNWU-COM)</t>
  </si>
  <si>
    <t>Illinois (CCOM/MWU)</t>
  </si>
  <si>
    <t>Iowa (DMU-COM)</t>
  </si>
  <si>
    <t>Michigan (MSUCOM)</t>
  </si>
  <si>
    <t>Missouri (ATSU-KCOM, KCUMB-COM)</t>
  </si>
  <si>
    <t>Ohio (OU-HCOM)</t>
  </si>
  <si>
    <t>Maine (UNECOM)</t>
  </si>
  <si>
    <t>New Jersey (UMDNJ-SOM)</t>
  </si>
  <si>
    <t>New York (NYCOM/NYIT &amp; TouroCOM-NY)</t>
  </si>
  <si>
    <t>Pennsylvania (LECOM &amp; PCOM)</t>
  </si>
  <si>
    <t xml:space="preserve">* SREB state colleges of osteopathic medicine: FL-- SE College of Osteopathic Medicine (SECOM or NSU-COM ) and Lake Erie College of Osteopathic Medicine-Bradenton (LECOM-Br); GA-- Philadelphia College of Osteopathic Medicine-Georgia (PCOM-GA);  KY--The Pikeville College School of Oste Med (PCSOM); MS -- William Carey University College of Osteopathic Medicine; OK--Ok State Univ College of Osteo Med (OSU-COM or OCOMS); TN--Lincoln Memorial University-DeBusk College of Osteopathic Medicine (LMU-DCOM); TX-- Tx College of Osteo Med/Univ of N TX Health Sci Ctr; (UNTHSC or TCOM); VA-- Edward Via Virginia College of Osteopathic Medicine (VCOM); WV-- School of Osteo Med (WVSOM); 
</t>
  </si>
  <si>
    <t>Association of Colleges of Osteopathic Medicine, 1985 Annual Statistical Report (1985) p.8</t>
  </si>
  <si>
    <t>Association of Colleges of Osteopathic Medicine, 1987 Annual Statistical Report (1987) p.5</t>
  </si>
  <si>
    <t>Association of Colleges of Osteopathic Medicine, 1989 Annual Statistical Report (1989) p.5</t>
  </si>
  <si>
    <t>Association of Colleges of Osteopathic Medicine, 1990 Annual Statistical Report (1990) p.5</t>
  </si>
  <si>
    <t>Association of Colleges of Osteopathic Medicine, 1991Annual Statistical Report (1991)</t>
  </si>
  <si>
    <t>Association of Colleges of Osteopathic Medicine, 1994 Annual Statistical Report (1994) p. 7</t>
  </si>
  <si>
    <t>Association of Colleges of Osteopathic Medicine, 1995 Annual Statistical Report (1995): p.6</t>
  </si>
  <si>
    <t>Association of Colleges of Osteopathic Medicine, 1996 Annual Statistical Report (1996): p.7</t>
  </si>
  <si>
    <t>American Association of Colleges of Osteopathic Medicine, Annual Osteopathic Medical School Questionnaire, 1996-97 academic year.</t>
  </si>
  <si>
    <t>Association of Colleges of Osteopathic Medicine, 1998 Annual Statistical Report (1998): p.6</t>
  </si>
  <si>
    <t>Association of Colleges of Osteopathic Medicine, 1999 Annual Statistical Report (1999): p.14</t>
  </si>
  <si>
    <t>Association of Colleges of Osteopathic Medicine,  2000 Annual Statistical Report (2000)</t>
  </si>
  <si>
    <t>American Association of Colleges of Osteopathic Medicine, "Enrollment by Osteopathic Medical College and Gender and Class Year 2000-01 -2011-12" (www.aacom.org) 3/5/12</t>
  </si>
  <si>
    <t>American Association of Colleges of Osteopathic Medicine, "2009-10 Osteopathic Medical College Total Enrollment by Gender and Race/Ethnicity (www.aacom.org) 9/23/10.</t>
  </si>
  <si>
    <t>American Association of Colleges of Osteopathic Medicine, "2010-11 Osteopathic Medical College Total Enrollment by Gender and Race/Ethnicity (www.aacom.org) 3/10/11</t>
  </si>
  <si>
    <t>American Association of Colleges of Osteopathic Medicine, "Annual Osteopathic Medical School Questionaires, 2000-01 through 2014-15" (www.aacom.org) 5/28/15</t>
  </si>
  <si>
    <t>American Association of Colleges of Osteopathic Medicine, "Annual Osteopathic Medical School Questionaires, 2000-01 through 2015-16" (www.aacom.org). Release Date: 2/4/16</t>
  </si>
  <si>
    <t xml:space="preserve">American Association of Colleges of Osteopathic Medicine, "Annual Osteopathic Medical School Questionaires, 2000-01 through 2018-19" (www.aacom.org). </t>
  </si>
  <si>
    <t xml:space="preserve">American Association of Colleges of Osteopathic Medicine, "Annual Osteopathic Medical School Questionaires, 2000-01 through 2019-20" (www.aacom.org). </t>
  </si>
  <si>
    <t>1st Year Osteopathic Students</t>
  </si>
  <si>
    <r>
      <t xml:space="preserve">Florida </t>
    </r>
    <r>
      <rPr>
        <sz val="10"/>
        <color indexed="12"/>
        <rFont val="Arial"/>
        <family val="2"/>
      </rPr>
      <t>(NSUCOM &amp; LECOM-Br)</t>
    </r>
  </si>
  <si>
    <r>
      <t xml:space="preserve">Georgia </t>
    </r>
    <r>
      <rPr>
        <sz val="10"/>
        <color indexed="12"/>
        <rFont val="Arial"/>
        <family val="2"/>
      </rPr>
      <t>(PCOM-GA)</t>
    </r>
  </si>
  <si>
    <r>
      <t xml:space="preserve">Kentucky </t>
    </r>
    <r>
      <rPr>
        <sz val="10"/>
        <color indexed="12"/>
        <rFont val="Arial"/>
        <family val="2"/>
      </rPr>
      <t>(PCSOM)</t>
    </r>
  </si>
  <si>
    <r>
      <t xml:space="preserve">Mississippi </t>
    </r>
    <r>
      <rPr>
        <sz val="10"/>
        <color rgb="FF0000FF"/>
        <rFont val="Arial"/>
        <family val="2"/>
      </rPr>
      <t>(WCUCOM)</t>
    </r>
  </si>
  <si>
    <r>
      <t xml:space="preserve">Oklahoma </t>
    </r>
    <r>
      <rPr>
        <sz val="10"/>
        <color indexed="12"/>
        <rFont val="Arial"/>
        <family val="2"/>
      </rPr>
      <t>(OSUCOM)</t>
    </r>
  </si>
  <si>
    <r>
      <t xml:space="preserve">Virginia </t>
    </r>
    <r>
      <rPr>
        <sz val="10"/>
        <color indexed="12"/>
        <rFont val="Arial"/>
        <family val="2"/>
      </rPr>
      <t>(VCOM)</t>
    </r>
  </si>
  <si>
    <t>Arizona (SU-SOMAZ &amp; AZCOM-MU)</t>
  </si>
  <si>
    <t>California (TUCOM-CA &amp; WUHSCOM)</t>
  </si>
  <si>
    <t>Washington (PNWUHSCOM)</t>
  </si>
  <si>
    <t>Illinois (CCOM-MU)</t>
  </si>
  <si>
    <t>Iowa (DMUCOM)</t>
  </si>
  <si>
    <t>Missouri (SU-KCOM, KCUMBCOM)</t>
  </si>
  <si>
    <t>Ohio (OUCOM)</t>
  </si>
  <si>
    <t>New Jersey (UMDNJSOM)</t>
  </si>
  <si>
    <t>New York (NYCOM-NYIT &amp; TCOM-NY)</t>
  </si>
  <si>
    <t>See "Osteo All" tab for sources.</t>
  </si>
  <si>
    <t>State</t>
  </si>
  <si>
    <t>Abbreviation Key</t>
  </si>
  <si>
    <t>SREB</t>
  </si>
  <si>
    <r>
      <rPr>
        <b/>
        <sz val="10"/>
        <rFont val="Arial"/>
        <family val="2"/>
      </rPr>
      <t xml:space="preserve">ACOM </t>
    </r>
    <r>
      <rPr>
        <sz val="10"/>
        <rFont val="Arial"/>
        <family val="2"/>
      </rPr>
      <t>Alabama College of Osteopathic Medicine</t>
    </r>
  </si>
  <si>
    <t>AL</t>
  </si>
  <si>
    <r>
      <rPr>
        <b/>
        <sz val="10"/>
        <rFont val="Arial"/>
        <family val="2"/>
      </rPr>
      <t>VCOM–Auburn</t>
    </r>
    <r>
      <rPr>
        <sz val="10"/>
        <rFont val="Arial"/>
        <family val="2"/>
      </rPr>
      <t xml:space="preserve"> Edward Via College of Osteopathic Medicine (Auburn)</t>
    </r>
  </si>
  <si>
    <r>
      <rPr>
        <b/>
        <sz val="10"/>
        <rFont val="Arial"/>
        <family val="2"/>
      </rPr>
      <t>ARCOM</t>
    </r>
    <r>
      <rPr>
        <sz val="10"/>
        <rFont val="Arial"/>
        <family val="2"/>
      </rPr>
      <t xml:space="preserve"> Arkansas College of Osteopathic Medicine</t>
    </r>
  </si>
  <si>
    <t>FL</t>
  </si>
  <si>
    <r>
      <rPr>
        <b/>
        <sz val="10"/>
        <rFont val="Arial"/>
        <family val="2"/>
      </rPr>
      <t>LECOM-Bradenton</t>
    </r>
    <r>
      <rPr>
        <sz val="10"/>
        <rFont val="Arial"/>
        <family val="2"/>
      </rPr>
      <t xml:space="preserve"> Lake Erie College of Osteopathic Medicine Bradenton Campus</t>
    </r>
  </si>
  <si>
    <r>
      <rPr>
        <b/>
        <sz val="10"/>
        <rFont val="Arial"/>
        <family val="2"/>
      </rPr>
      <t>NSU-COM</t>
    </r>
    <r>
      <rPr>
        <sz val="10"/>
        <rFont val="Arial"/>
        <family val="2"/>
      </rPr>
      <t xml:space="preserve"> Nova Southeastern University College of Osteopathic Medicine</t>
    </r>
  </si>
  <si>
    <t>GA</t>
  </si>
  <si>
    <r>
      <rPr>
        <b/>
        <sz val="10"/>
        <rFont val="Arial"/>
        <family val="2"/>
      </rPr>
      <t>GA-PCOM</t>
    </r>
    <r>
      <rPr>
        <sz val="10"/>
        <rFont val="Arial"/>
        <family val="2"/>
      </rPr>
      <t xml:space="preserve"> Georgia Campus - Philadelphia College of Osteopathic Medicine</t>
    </r>
  </si>
  <si>
    <t>KY</t>
  </si>
  <si>
    <r>
      <rPr>
        <b/>
        <sz val="10"/>
        <rFont val="Arial"/>
        <family val="2"/>
      </rPr>
      <t>UP-KYCOM</t>
    </r>
    <r>
      <rPr>
        <sz val="10"/>
        <rFont val="Arial"/>
        <family val="2"/>
      </rPr>
      <t xml:space="preserve"> University Pikeville Kentucky College School of Osteopathic Medicine</t>
    </r>
  </si>
  <si>
    <t>MS</t>
  </si>
  <si>
    <r>
      <rPr>
        <b/>
        <sz val="10"/>
        <rFont val="Arial"/>
        <family val="2"/>
      </rPr>
      <t>WCU-COM</t>
    </r>
    <r>
      <rPr>
        <sz val="10"/>
        <rFont val="Arial"/>
        <family val="2"/>
      </rPr>
      <t xml:space="preserve"> William Carey University College of Osteopathic Medicine</t>
    </r>
  </si>
  <si>
    <t>OK</t>
  </si>
  <si>
    <r>
      <rPr>
        <b/>
        <sz val="10"/>
        <rFont val="Arial"/>
        <family val="2"/>
      </rPr>
      <t>OSU-COM</t>
    </r>
    <r>
      <rPr>
        <sz val="10"/>
        <rFont val="Arial"/>
        <family val="2"/>
      </rPr>
      <t xml:space="preserve"> Oklahoma State University Center for Health Sciences College of Osteopathic Medicine</t>
    </r>
  </si>
  <si>
    <t>SC</t>
  </si>
  <si>
    <r>
      <rPr>
        <b/>
        <sz val="10"/>
        <rFont val="Arial"/>
        <family val="2"/>
      </rPr>
      <t>VCOM-CC</t>
    </r>
    <r>
      <rPr>
        <sz val="10"/>
        <rFont val="Arial"/>
        <family val="2"/>
      </rPr>
      <t xml:space="preserve"> Edward Via Virginia College of Osteopathic Medicine - Carolinas Campus</t>
    </r>
  </si>
  <si>
    <t>TN</t>
  </si>
  <si>
    <r>
      <rPr>
        <b/>
        <sz val="10"/>
        <rFont val="Arial"/>
        <family val="2"/>
      </rPr>
      <t>LMU-DCOM</t>
    </r>
    <r>
      <rPr>
        <sz val="10"/>
        <rFont val="Arial"/>
        <family val="2"/>
      </rPr>
      <t xml:space="preserve"> Lincoln Memorial University – DeBusk College of Osteopathic Medicine</t>
    </r>
  </si>
  <si>
    <t>TX</t>
  </si>
  <si>
    <r>
      <rPr>
        <b/>
        <sz val="10"/>
        <rFont val="Arial"/>
        <family val="2"/>
      </rPr>
      <t>UNTHSC/TCOM</t>
    </r>
    <r>
      <rPr>
        <sz val="10"/>
        <rFont val="Arial"/>
        <family val="2"/>
      </rPr>
      <t xml:space="preserve"> University of North Texas Health Science Center at Fort Worth Texas College of Osteopathic Medicine</t>
    </r>
  </si>
  <si>
    <t>VA</t>
  </si>
  <si>
    <r>
      <rPr>
        <b/>
        <sz val="10"/>
        <rFont val="Arial"/>
        <family val="2"/>
      </rPr>
      <t>VCOM-VC</t>
    </r>
    <r>
      <rPr>
        <sz val="10"/>
        <rFont val="Arial"/>
        <family val="2"/>
      </rPr>
      <t xml:space="preserve"> Edward Via Virginia College of Osteopathic Medicine - Virginia Campus</t>
    </r>
  </si>
  <si>
    <t>WV</t>
  </si>
  <si>
    <r>
      <rPr>
        <b/>
        <sz val="10"/>
        <rFont val="Arial"/>
        <family val="2"/>
      </rPr>
      <t>WVSOM</t>
    </r>
    <r>
      <rPr>
        <sz val="10"/>
        <rFont val="Arial"/>
        <family val="2"/>
      </rPr>
      <t xml:space="preserve"> West Virginia School of Osteopathic Medicine</t>
    </r>
  </si>
  <si>
    <t>AZ</t>
  </si>
  <si>
    <r>
      <rPr>
        <b/>
        <sz val="10"/>
        <rFont val="Arial"/>
        <family val="2"/>
      </rPr>
      <t xml:space="preserve">ATSU-SOMA </t>
    </r>
    <r>
      <rPr>
        <sz val="10"/>
        <rFont val="Arial"/>
        <family val="2"/>
      </rPr>
      <t>A.T. Still University -School of Osteopathic Medicine in Arizona</t>
    </r>
  </si>
  <si>
    <r>
      <rPr>
        <b/>
        <sz val="10"/>
        <rFont val="Arial"/>
        <family val="2"/>
      </rPr>
      <t>AZCOM/MWU</t>
    </r>
    <r>
      <rPr>
        <sz val="10"/>
        <rFont val="Arial"/>
        <family val="2"/>
      </rPr>
      <t xml:space="preserve"> Arizona College of Osteopathic Medicine of Midwestern University</t>
    </r>
  </si>
  <si>
    <t>CA</t>
  </si>
  <si>
    <r>
      <rPr>
        <b/>
        <sz val="10"/>
        <rFont val="Arial"/>
        <family val="2"/>
      </rPr>
      <t>Western U/COMP</t>
    </r>
    <r>
      <rPr>
        <sz val="10"/>
        <rFont val="Arial"/>
        <family val="2"/>
      </rPr>
      <t xml:space="preserve"> Western University of Health Sciences / College of Osteopathic Medicine of the Pacific</t>
    </r>
  </si>
  <si>
    <r>
      <rPr>
        <b/>
        <sz val="10"/>
        <rFont val="Arial"/>
        <family val="2"/>
      </rPr>
      <t>TUCOM-CA</t>
    </r>
    <r>
      <rPr>
        <sz val="10"/>
        <rFont val="Arial"/>
        <family val="2"/>
      </rPr>
      <t xml:space="preserve"> Touro University College of Osteopathic Medicine – California</t>
    </r>
  </si>
  <si>
    <t>CO</t>
  </si>
  <si>
    <r>
      <rPr>
        <b/>
        <sz val="10"/>
        <rFont val="Arial"/>
        <family val="2"/>
      </rPr>
      <t xml:space="preserve">RVUCOM </t>
    </r>
    <r>
      <rPr>
        <sz val="10"/>
        <rFont val="Arial"/>
        <family val="2"/>
      </rPr>
      <t>Rocky Vista University College of Osteopathic Medicine</t>
    </r>
  </si>
  <si>
    <t>NV</t>
  </si>
  <si>
    <r>
      <rPr>
        <b/>
        <sz val="10"/>
        <rFont val="Arial"/>
        <family val="2"/>
      </rPr>
      <t>TUNCOM</t>
    </r>
    <r>
      <rPr>
        <sz val="10"/>
        <rFont val="Arial"/>
        <family val="2"/>
      </rPr>
      <t xml:space="preserve"> Touro University Nevada College of Osteopathic Medicine</t>
    </r>
  </si>
  <si>
    <r>
      <rPr>
        <b/>
        <sz val="10"/>
        <rFont val="Arial"/>
        <family val="2"/>
      </rPr>
      <t>BCOM</t>
    </r>
    <r>
      <rPr>
        <sz val="10"/>
        <rFont val="Arial"/>
        <family val="2"/>
      </rPr>
      <t xml:space="preserve"> Burrell College of Osteopathic Medicine</t>
    </r>
  </si>
  <si>
    <t>WA</t>
  </si>
  <si>
    <r>
      <rPr>
        <b/>
        <sz val="10"/>
        <rFont val="Arial"/>
        <family val="2"/>
      </rPr>
      <t>PNWU-COM</t>
    </r>
    <r>
      <rPr>
        <sz val="10"/>
        <rFont val="Arial"/>
        <family val="2"/>
      </rPr>
      <t xml:space="preserve"> Pacific Northwest University of Health Sciences College of Oseteopathic Medicine</t>
    </r>
  </si>
  <si>
    <t>IL</t>
  </si>
  <si>
    <r>
      <rPr>
        <b/>
        <sz val="10"/>
        <rFont val="Arial"/>
        <family val="2"/>
      </rPr>
      <t xml:space="preserve">CCOM/MWU </t>
    </r>
    <r>
      <rPr>
        <sz val="10"/>
        <rFont val="Arial"/>
        <family val="2"/>
      </rPr>
      <t>Chicago College of Osteopathic Medicine of Midwestern University</t>
    </r>
  </si>
  <si>
    <t>IA</t>
  </si>
  <si>
    <r>
      <rPr>
        <b/>
        <sz val="10"/>
        <rFont val="Arial"/>
        <family val="2"/>
      </rPr>
      <t>DMU-COM</t>
    </r>
    <r>
      <rPr>
        <sz val="10"/>
        <rFont val="Arial"/>
        <family val="2"/>
      </rPr>
      <t xml:space="preserve"> Des Moines University College of Osteopathic Medicine</t>
    </r>
  </si>
  <si>
    <t>MI</t>
  </si>
  <si>
    <r>
      <rPr>
        <b/>
        <sz val="10"/>
        <rFont val="Arial"/>
        <family val="2"/>
      </rPr>
      <t>MSUCOM</t>
    </r>
    <r>
      <rPr>
        <sz val="10"/>
        <rFont val="Arial"/>
        <family val="2"/>
      </rPr>
      <t xml:space="preserve"> Michigan State University College of Osteopathic Medicine</t>
    </r>
  </si>
  <si>
    <t>MO</t>
  </si>
  <si>
    <r>
      <rPr>
        <b/>
        <sz val="10"/>
        <rFont val="Arial"/>
        <family val="2"/>
      </rPr>
      <t>KCUMB-COM</t>
    </r>
    <r>
      <rPr>
        <sz val="10"/>
        <rFont val="Arial"/>
        <family val="2"/>
      </rPr>
      <t xml:space="preserve"> Kansas City University of Medicine and Biosciences College of Osteopathic Medicine</t>
    </r>
  </si>
  <si>
    <r>
      <rPr>
        <b/>
        <sz val="10"/>
        <rFont val="Arial"/>
        <family val="2"/>
      </rPr>
      <t>ATSU-KCOM</t>
    </r>
    <r>
      <rPr>
        <sz val="10"/>
        <rFont val="Arial"/>
        <family val="2"/>
      </rPr>
      <t xml:space="preserve"> A.T. Still University / Kirksville College of Osteopathic Medicine</t>
    </r>
  </si>
  <si>
    <t>OH</t>
  </si>
  <si>
    <r>
      <rPr>
        <b/>
        <sz val="10"/>
        <rFont val="Arial"/>
        <family val="2"/>
      </rPr>
      <t>OU-HCOM</t>
    </r>
    <r>
      <rPr>
        <sz val="10"/>
        <rFont val="Arial"/>
        <family val="2"/>
      </rPr>
      <t xml:space="preserve"> Ohio University Heritage College of Osteopathic Medicine</t>
    </r>
  </si>
  <si>
    <t>ME</t>
  </si>
  <si>
    <r>
      <rPr>
        <b/>
        <sz val="10"/>
        <rFont val="Arial"/>
        <family val="2"/>
      </rPr>
      <t>UNECOM</t>
    </r>
    <r>
      <rPr>
        <sz val="10"/>
        <rFont val="Arial"/>
        <family val="2"/>
      </rPr>
      <t xml:space="preserve"> University of New England College of Osteopathic Medicine</t>
    </r>
  </si>
  <si>
    <t>NJ</t>
  </si>
  <si>
    <r>
      <rPr>
        <b/>
        <sz val="10"/>
        <rFont val="Arial"/>
        <family val="2"/>
      </rPr>
      <t>UMDNJ-SOM</t>
    </r>
    <r>
      <rPr>
        <sz val="10"/>
        <rFont val="Arial"/>
        <family val="2"/>
      </rPr>
      <t xml:space="preserve"> University of Medicine and Dentistry of New Jersey – School of Osteopathic Medicine</t>
    </r>
  </si>
  <si>
    <t>NY</t>
  </si>
  <si>
    <r>
      <rPr>
        <b/>
        <sz val="10"/>
        <rFont val="Arial"/>
        <family val="2"/>
      </rPr>
      <t>TouroCOM-NY</t>
    </r>
    <r>
      <rPr>
        <sz val="10"/>
        <rFont val="Arial"/>
        <family val="2"/>
      </rPr>
      <t xml:space="preserve"> Touro College of Osteopathic Medicine – New York</t>
    </r>
  </si>
  <si>
    <r>
      <rPr>
        <b/>
        <sz val="10"/>
        <rFont val="Arial"/>
        <family val="2"/>
      </rPr>
      <t>NYCOM/NYIT</t>
    </r>
    <r>
      <rPr>
        <sz val="10"/>
        <rFont val="Arial"/>
        <family val="2"/>
      </rPr>
      <t xml:space="preserve"> New York College of Osteopathic Medicine of New York Institute of Technology</t>
    </r>
  </si>
  <si>
    <t>PA</t>
  </si>
  <si>
    <r>
      <rPr>
        <b/>
        <sz val="10"/>
        <rFont val="Arial"/>
        <family val="2"/>
      </rPr>
      <t>PCOM</t>
    </r>
    <r>
      <rPr>
        <sz val="10"/>
        <rFont val="Arial"/>
        <family val="2"/>
      </rPr>
      <t xml:space="preserve"> Philadelphia College of Osteopathic Medicine</t>
    </r>
  </si>
  <si>
    <r>
      <rPr>
        <b/>
        <sz val="10"/>
        <rFont val="Arial"/>
        <family val="2"/>
      </rPr>
      <t>LECOM</t>
    </r>
    <r>
      <rPr>
        <sz val="10"/>
        <rFont val="Arial"/>
        <family val="2"/>
      </rPr>
      <t xml:space="preserve"> Lake Erie College of Osteopathic Medicine</t>
    </r>
  </si>
  <si>
    <r>
      <rPr>
        <b/>
        <strike/>
        <sz val="10"/>
        <rFont val="Arial"/>
        <family val="2"/>
      </rPr>
      <t>ACOM</t>
    </r>
    <r>
      <rPr>
        <strike/>
        <sz val="10"/>
        <rFont val="Arial"/>
        <family val="2"/>
      </rPr>
      <t xml:space="preserve"> Alabama College of Osteopathic Medicine</t>
    </r>
  </si>
  <si>
    <t>NC</t>
  </si>
  <si>
    <r>
      <rPr>
        <b/>
        <strike/>
        <sz val="10"/>
        <rFont val="Arial"/>
        <family val="2"/>
      </rPr>
      <t>CUSOM</t>
    </r>
    <r>
      <rPr>
        <strike/>
        <sz val="10"/>
        <rFont val="Arial"/>
        <family val="2"/>
      </rPr>
      <t xml:space="preserve"> - Campbell University School of Osteopathic Medicine</t>
    </r>
  </si>
  <si>
    <t>IN</t>
  </si>
  <si>
    <r>
      <rPr>
        <b/>
        <strike/>
        <sz val="10"/>
        <rFont val="Arial"/>
        <family val="2"/>
      </rPr>
      <t>MU-COM</t>
    </r>
    <r>
      <rPr>
        <strike/>
        <sz val="10"/>
        <rFont val="Arial"/>
        <family val="2"/>
      </rPr>
      <t xml:space="preserve"> Marian University College of Osteopathic Medicine</t>
    </r>
  </si>
  <si>
    <t>"NA" indicates not applicable. There was no institution of this type in at least one of the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</si>
</sst>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_)"/>
    <numFmt numFmtId="165" formatCode="#,##0.0_);\(#,##0.0\)"/>
    <numFmt numFmtId="166" formatCode="_(* #,##0_);_(* \(#,##0\);_(* &quot;-&quot;??_);_(@_)"/>
    <numFmt numFmtId="167" formatCode="0.0"/>
  </numFmts>
  <fonts count="38">
    <font>
      <sz val="10"/>
      <name val="SWISS-C"/>
    </font>
    <font>
      <sz val="12"/>
      <name val="AGaramond"/>
      <family val="3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7.5"/>
      <color rgb="FFFF0000"/>
      <name val="Verdana"/>
      <family val="2"/>
    </font>
    <font>
      <sz val="10"/>
      <color rgb="FF0000FF"/>
      <name val="Arial"/>
      <family val="2"/>
    </font>
    <font>
      <sz val="10"/>
      <name val="SWISS-C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2"/>
      <color rgb="FFFF0000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44">
    <xf numFmtId="37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17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9" fontId="32" fillId="0" borderId="0" applyFont="0" applyFill="0" applyBorder="0" applyAlignment="0" applyProtection="0"/>
  </cellStyleXfs>
  <cellXfs count="219">
    <xf numFmtId="37" fontId="0" fillId="0" borderId="0" xfId="0"/>
    <xf numFmtId="37" fontId="2" fillId="0" borderId="0" xfId="0" applyFont="1" applyProtection="1"/>
    <xf numFmtId="37" fontId="2" fillId="0" borderId="0" xfId="0" applyFont="1" applyAlignment="1" applyProtection="1">
      <alignment horizontal="centerContinuous"/>
    </xf>
    <xf numFmtId="37" fontId="2" fillId="0" borderId="0" xfId="0" applyFont="1" applyAlignment="1" applyProtection="1">
      <alignment horizontal="left"/>
    </xf>
    <xf numFmtId="37" fontId="2" fillId="0" borderId="0" xfId="0" applyFont="1"/>
    <xf numFmtId="37" fontId="2" fillId="0" borderId="0" xfId="0" applyFont="1" applyFill="1"/>
    <xf numFmtId="37" fontId="2" fillId="0" borderId="0" xfId="0" applyFont="1" applyFill="1" applyBorder="1" applyProtection="1"/>
    <xf numFmtId="37" fontId="2" fillId="0" borderId="13" xfId="0" applyFont="1" applyFill="1" applyBorder="1" applyProtection="1"/>
    <xf numFmtId="166" fontId="2" fillId="0" borderId="0" xfId="28" applyNumberFormat="1" applyFont="1"/>
    <xf numFmtId="166" fontId="2" fillId="0" borderId="13" xfId="28" applyNumberFormat="1" applyFont="1" applyBorder="1"/>
    <xf numFmtId="37" fontId="2" fillId="0" borderId="0" xfId="0" applyFont="1" applyAlignment="1" applyProtection="1">
      <alignment vertical="top"/>
    </xf>
    <xf numFmtId="37" fontId="2" fillId="0" borderId="0" xfId="0" applyFont="1" applyAlignment="1">
      <alignment vertical="top"/>
    </xf>
    <xf numFmtId="37" fontId="2" fillId="0" borderId="0" xfId="0" applyFont="1" applyFill="1" applyBorder="1"/>
    <xf numFmtId="37" fontId="2" fillId="0" borderId="12" xfId="0" applyFont="1" applyBorder="1" applyAlignment="1" applyProtection="1">
      <alignment horizontal="center"/>
    </xf>
    <xf numFmtId="37" fontId="2" fillId="0" borderId="17" xfId="0" applyFont="1" applyFill="1" applyBorder="1" applyAlignment="1" applyProtection="1">
      <alignment horizontal="centerContinuous"/>
    </xf>
    <xf numFmtId="166" fontId="2" fillId="0" borderId="15" xfId="28" applyNumberFormat="1" applyFont="1" applyBorder="1"/>
    <xf numFmtId="166" fontId="2" fillId="0" borderId="18" xfId="28" applyNumberFormat="1" applyFont="1" applyBorder="1"/>
    <xf numFmtId="166" fontId="2" fillId="0" borderId="0" xfId="28" applyNumberFormat="1" applyFont="1" applyBorder="1"/>
    <xf numFmtId="37" fontId="2" fillId="0" borderId="12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Alignment="1" applyProtection="1">
      <alignment horizontal="centerContinuous"/>
    </xf>
    <xf numFmtId="37" fontId="2" fillId="0" borderId="0" xfId="0" applyFont="1" applyFill="1" applyProtection="1"/>
    <xf numFmtId="37" fontId="2" fillId="0" borderId="0" xfId="0" applyFont="1" applyFill="1" applyBorder="1" applyAlignment="1" applyProtection="1">
      <alignment horizontal="right"/>
    </xf>
    <xf numFmtId="37" fontId="2" fillId="0" borderId="0" xfId="0" applyFont="1" applyFill="1" applyAlignment="1" applyProtection="1">
      <alignment horizontal="center"/>
    </xf>
    <xf numFmtId="37" fontId="2" fillId="0" borderId="11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 applyProtection="1">
      <alignment horizontal="centerContinuous"/>
    </xf>
    <xf numFmtId="37" fontId="2" fillId="0" borderId="12" xfId="0" applyFont="1" applyFill="1" applyBorder="1" applyAlignment="1" applyProtection="1">
      <alignment horizontal="center"/>
    </xf>
    <xf numFmtId="37" fontId="2" fillId="0" borderId="20" xfId="0" applyFont="1" applyFill="1" applyBorder="1" applyAlignment="1" applyProtection="1">
      <alignment horizontal="centerContinuous"/>
    </xf>
    <xf numFmtId="37" fontId="2" fillId="0" borderId="21" xfId="0" applyFont="1" applyFill="1" applyBorder="1" applyAlignment="1" applyProtection="1">
      <alignment horizontal="centerContinuous"/>
    </xf>
    <xf numFmtId="37" fontId="2" fillId="0" borderId="10" xfId="0" applyFont="1" applyFill="1" applyBorder="1" applyAlignment="1" applyProtection="1">
      <alignment horizontal="centerContinuous"/>
    </xf>
    <xf numFmtId="37" fontId="7" fillId="0" borderId="16" xfId="0" applyFont="1" applyBorder="1" applyAlignment="1" applyProtection="1">
      <alignment horizontal="center"/>
    </xf>
    <xf numFmtId="37" fontId="2" fillId="0" borderId="22" xfId="0" applyFont="1" applyFill="1" applyBorder="1" applyAlignment="1" applyProtection="1">
      <alignment horizontal="center"/>
    </xf>
    <xf numFmtId="37" fontId="2" fillId="0" borderId="15" xfId="0" applyFont="1" applyFill="1" applyBorder="1" applyAlignment="1" applyProtection="1">
      <alignment horizontal="center"/>
    </xf>
    <xf numFmtId="37" fontId="2" fillId="0" borderId="0" xfId="0" applyFont="1" applyFill="1" applyBorder="1" applyAlignment="1">
      <alignment vertical="top" wrapText="1"/>
    </xf>
    <xf numFmtId="167" fontId="2" fillId="0" borderId="0" xfId="0" applyNumberFormat="1" applyFont="1" applyFill="1" applyBorder="1" applyAlignment="1" applyProtection="1">
      <alignment horizontal="right"/>
    </xf>
    <xf numFmtId="37" fontId="2" fillId="0" borderId="13" xfId="0" applyFont="1" applyFill="1" applyBorder="1" applyAlignment="1" applyProtection="1">
      <alignment horizontal="centerContinuous"/>
    </xf>
    <xf numFmtId="37" fontId="2" fillId="0" borderId="18" xfId="0" applyFont="1" applyFill="1" applyBorder="1" applyAlignment="1" applyProtection="1">
      <alignment horizontal="centerContinuous"/>
    </xf>
    <xf numFmtId="37" fontId="2" fillId="0" borderId="14" xfId="0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 applyProtection="1">
      <alignment horizontal="left"/>
    </xf>
    <xf numFmtId="37" fontId="4" fillId="0" borderId="12" xfId="0" applyFont="1" applyFill="1" applyBorder="1" applyProtection="1"/>
    <xf numFmtId="37" fontId="2" fillId="0" borderId="15" xfId="0" applyFont="1" applyFill="1" applyBorder="1" applyProtection="1"/>
    <xf numFmtId="37" fontId="6" fillId="0" borderId="15" xfId="0" applyFont="1" applyFill="1" applyBorder="1" applyProtection="1"/>
    <xf numFmtId="37" fontId="2" fillId="0" borderId="14" xfId="0" applyFont="1" applyFill="1" applyBorder="1" applyAlignment="1">
      <alignment horizontal="right"/>
    </xf>
    <xf numFmtId="37" fontId="2" fillId="0" borderId="19" xfId="0" applyFont="1" applyFill="1" applyBorder="1" applyAlignment="1" applyProtection="1">
      <alignment horizontal="right"/>
    </xf>
    <xf numFmtId="37" fontId="31" fillId="0" borderId="0" xfId="0" applyFont="1" applyFill="1" applyProtection="1"/>
    <xf numFmtId="164" fontId="31" fillId="0" borderId="0" xfId="0" applyNumberFormat="1" applyFont="1" applyFill="1" applyProtection="1"/>
    <xf numFmtId="37" fontId="2" fillId="0" borderId="0" xfId="0" applyFont="1" applyFill="1" applyAlignment="1" applyProtection="1">
      <alignment horizontal="fill"/>
    </xf>
    <xf numFmtId="37" fontId="2" fillId="0" borderId="0" xfId="0" applyFont="1" applyFill="1" applyBorder="1" applyAlignment="1" applyProtection="1">
      <alignment horizontal="left"/>
    </xf>
    <xf numFmtId="37" fontId="2" fillId="0" borderId="0" xfId="0" quotePrefix="1" applyFont="1" applyFill="1" applyBorder="1" applyAlignment="1" applyProtection="1">
      <alignment horizontal="left"/>
    </xf>
    <xf numFmtId="37" fontId="31" fillId="0" borderId="14" xfId="0" applyNumberFormat="1" applyFont="1" applyFill="1" applyBorder="1"/>
    <xf numFmtId="165" fontId="31" fillId="0" borderId="0" xfId="0" applyNumberFormat="1" applyFont="1" applyFill="1" applyBorder="1" applyAlignment="1" applyProtection="1">
      <alignment horizontal="left"/>
    </xf>
    <xf numFmtId="166" fontId="2" fillId="0" borderId="14" xfId="28" applyNumberFormat="1" applyFont="1" applyBorder="1"/>
    <xf numFmtId="37" fontId="2" fillId="0" borderId="14" xfId="0" applyNumberFormat="1" applyFont="1" applyFill="1" applyBorder="1"/>
    <xf numFmtId="166" fontId="31" fillId="0" borderId="0" xfId="28" applyNumberFormat="1" applyFont="1"/>
    <xf numFmtId="165" fontId="31" fillId="0" borderId="0" xfId="0" applyNumberFormat="1" applyFont="1" applyFill="1" applyBorder="1" applyAlignment="1" applyProtection="1">
      <alignment horizontal="right"/>
    </xf>
    <xf numFmtId="37" fontId="2" fillId="0" borderId="19" xfId="0" applyNumberFormat="1" applyFont="1" applyFill="1" applyBorder="1"/>
    <xf numFmtId="166" fontId="31" fillId="0" borderId="15" xfId="28" applyNumberFormat="1" applyFont="1" applyBorder="1"/>
    <xf numFmtId="165" fontId="31" fillId="0" borderId="15" xfId="0" applyNumberFormat="1" applyFont="1" applyFill="1" applyBorder="1" applyAlignment="1" applyProtection="1">
      <alignment horizontal="right"/>
    </xf>
    <xf numFmtId="166" fontId="2" fillId="0" borderId="19" xfId="28" applyNumberFormat="1" applyFont="1" applyBorder="1"/>
    <xf numFmtId="37" fontId="2" fillId="0" borderId="0" xfId="0" applyFont="1" applyFill="1" applyBorder="1" applyAlignment="1" applyProtection="1">
      <alignment vertical="top" wrapText="1"/>
    </xf>
    <xf numFmtId="37" fontId="30" fillId="0" borderId="0" xfId="0" applyFont="1" applyFill="1" applyBorder="1"/>
    <xf numFmtId="37" fontId="2" fillId="0" borderId="0" xfId="0" applyNumberFormat="1" applyFont="1" applyFill="1" applyBorder="1" applyAlignment="1" applyProtection="1">
      <alignment horizontal="centerContinuous"/>
    </xf>
    <xf numFmtId="37" fontId="3" fillId="0" borderId="0" xfId="0" applyFont="1" applyFill="1" applyBorder="1"/>
    <xf numFmtId="37" fontId="2" fillId="0" borderId="0" xfId="0" applyFont="1" applyFill="1" applyBorder="1" applyAlignment="1">
      <alignment horizontal="right"/>
    </xf>
    <xf numFmtId="166" fontId="31" fillId="0" borderId="0" xfId="28" applyNumberFormat="1" applyFont="1" applyBorder="1"/>
    <xf numFmtId="0" fontId="2" fillId="0" borderId="0" xfId="0" applyNumberFormat="1" applyFont="1" applyFill="1" applyAlignment="1" applyProtection="1">
      <alignment horizontal="left"/>
    </xf>
    <xf numFmtId="37" fontId="2" fillId="24" borderId="0" xfId="0" applyNumberFormat="1" applyFont="1" applyFill="1" applyAlignment="1"/>
    <xf numFmtId="0" fontId="2" fillId="24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24" borderId="0" xfId="0" applyNumberFormat="1" applyFont="1" applyFill="1" applyBorder="1" applyAlignment="1">
      <alignment horizontal="left"/>
    </xf>
    <xf numFmtId="37" fontId="2" fillId="0" borderId="23" xfId="0" applyFont="1" applyFill="1" applyBorder="1" applyAlignment="1" applyProtection="1">
      <alignment horizontal="centerContinuous"/>
    </xf>
    <xf numFmtId="166" fontId="2" fillId="0" borderId="0" xfId="28" applyNumberFormat="1" applyFont="1" applyFill="1" applyAlignment="1" applyProtection="1">
      <alignment horizontal="left"/>
    </xf>
    <xf numFmtId="167" fontId="2" fillId="0" borderId="0" xfId="0" applyNumberFormat="1" applyFont="1" applyFill="1" applyAlignment="1" applyProtection="1">
      <alignment horizontal="right"/>
    </xf>
    <xf numFmtId="166" fontId="2" fillId="24" borderId="0" xfId="28" applyNumberFormat="1" applyFont="1" applyFill="1" applyAlignment="1">
      <alignment horizontal="right"/>
    </xf>
    <xf numFmtId="166" fontId="2" fillId="0" borderId="0" xfId="28" applyNumberFormat="1" applyFont="1" applyFill="1" applyBorder="1" applyAlignment="1" applyProtection="1">
      <alignment horizontal="right"/>
    </xf>
    <xf numFmtId="166" fontId="2" fillId="24" borderId="0" xfId="28" applyNumberFormat="1" applyFont="1" applyFill="1" applyBorder="1" applyAlignment="1" applyProtection="1">
      <alignment horizontal="right"/>
    </xf>
    <xf numFmtId="166" fontId="2" fillId="0" borderId="0" xfId="28" applyNumberFormat="1" applyFont="1" applyFill="1" applyAlignment="1">
      <alignment horizontal="right"/>
    </xf>
    <xf numFmtId="167" fontId="2" fillId="24" borderId="0" xfId="0" applyNumberFormat="1" applyFont="1" applyFill="1" applyBorder="1" applyAlignment="1" applyProtection="1">
      <alignment horizontal="right"/>
    </xf>
    <xf numFmtId="166" fontId="2" fillId="0" borderId="15" xfId="28" applyNumberFormat="1" applyFont="1" applyFill="1" applyBorder="1" applyAlignment="1" applyProtection="1">
      <alignment horizontal="right"/>
    </xf>
    <xf numFmtId="166" fontId="2" fillId="24" borderId="15" xfId="28" applyNumberFormat="1" applyFont="1" applyFill="1" applyBorder="1" applyAlignment="1">
      <alignment horizontal="right"/>
    </xf>
    <xf numFmtId="166" fontId="2" fillId="24" borderId="15" xfId="28" applyNumberFormat="1" applyFont="1" applyFill="1" applyBorder="1" applyAlignment="1" applyProtection="1">
      <alignment horizontal="right"/>
    </xf>
    <xf numFmtId="166" fontId="2" fillId="0" borderId="15" xfId="28" applyNumberFormat="1" applyFont="1" applyFill="1" applyBorder="1" applyAlignment="1">
      <alignment horizontal="right"/>
    </xf>
    <xf numFmtId="167" fontId="2" fillId="0" borderId="15" xfId="0" applyNumberFormat="1" applyFont="1" applyFill="1" applyBorder="1" applyAlignment="1" applyProtection="1">
      <alignment horizontal="right"/>
    </xf>
    <xf numFmtId="167" fontId="2" fillId="24" borderId="15" xfId="0" applyNumberFormat="1" applyFont="1" applyFill="1" applyBorder="1" applyAlignment="1" applyProtection="1">
      <alignment horizontal="right"/>
    </xf>
    <xf numFmtId="164" fontId="31" fillId="0" borderId="0" xfId="0" applyNumberFormat="1" applyFont="1" applyFill="1" applyBorder="1" applyAlignment="1" applyProtection="1">
      <alignment horizontal="right"/>
    </xf>
    <xf numFmtId="164" fontId="31" fillId="0" borderId="15" xfId="0" applyNumberFormat="1" applyFont="1" applyFill="1" applyBorder="1" applyAlignment="1" applyProtection="1">
      <alignment horizontal="right"/>
    </xf>
    <xf numFmtId="37" fontId="6" fillId="0" borderId="0" xfId="0" applyFont="1" applyFill="1" applyBorder="1" applyProtection="1"/>
    <xf numFmtId="37" fontId="2" fillId="0" borderId="0" xfId="0" applyFont="1" applyFill="1" applyBorder="1" applyAlignment="1" applyProtection="1">
      <alignment horizontal="left" vertical="top" wrapText="1"/>
    </xf>
    <xf numFmtId="37" fontId="31" fillId="0" borderId="19" xfId="0" applyNumberFormat="1" applyFont="1" applyFill="1" applyBorder="1"/>
    <xf numFmtId="37" fontId="2" fillId="0" borderId="15" xfId="0" applyFont="1" applyFill="1" applyBorder="1" applyAlignment="1" applyProtection="1">
      <alignment horizontal="centerContinuous"/>
    </xf>
    <xf numFmtId="37" fontId="2" fillId="0" borderId="22" xfId="0" applyFont="1" applyFill="1" applyBorder="1" applyAlignment="1" applyProtection="1">
      <alignment horizontal="centerContinuous"/>
    </xf>
    <xf numFmtId="37" fontId="0" fillId="0" borderId="0" xfId="0" applyAlignment="1">
      <alignment vertical="top"/>
    </xf>
    <xf numFmtId="37" fontId="2" fillId="0" borderId="0" xfId="0" applyFont="1" applyAlignment="1" applyProtection="1">
      <alignment vertical="top" wrapText="1"/>
    </xf>
    <xf numFmtId="37" fontId="0" fillId="0" borderId="0" xfId="0" applyAlignment="1">
      <alignment vertical="top" wrapText="1"/>
    </xf>
    <xf numFmtId="37" fontId="0" fillId="0" borderId="0" xfId="0" applyAlignment="1">
      <alignment horizontal="right" vertical="top"/>
    </xf>
    <xf numFmtId="37" fontId="0" fillId="0" borderId="0" xfId="0" applyFill="1"/>
    <xf numFmtId="166" fontId="0" fillId="0" borderId="0" xfId="0" applyNumberFormat="1"/>
    <xf numFmtId="9" fontId="2" fillId="0" borderId="0" xfId="43" applyFont="1" applyFill="1" applyBorder="1"/>
    <xf numFmtId="37" fontId="0" fillId="0" borderId="0" xfId="0" applyFill="1" applyBorder="1"/>
    <xf numFmtId="166" fontId="2" fillId="0" borderId="0" xfId="28" applyNumberFormat="1" applyFont="1" applyFill="1" applyBorder="1"/>
    <xf numFmtId="166" fontId="0" fillId="0" borderId="15" xfId="0" applyNumberFormat="1" applyBorder="1"/>
    <xf numFmtId="166" fontId="0" fillId="0" borderId="0" xfId="0" applyNumberFormat="1" applyBorder="1"/>
    <xf numFmtId="37" fontId="2" fillId="0" borderId="0" xfId="0" applyFont="1" applyBorder="1"/>
    <xf numFmtId="37" fontId="2" fillId="0" borderId="0" xfId="0" applyFont="1" applyBorder="1" applyAlignment="1">
      <alignment vertical="top"/>
    </xf>
    <xf numFmtId="37" fontId="2" fillId="0" borderId="21" xfId="0" applyFont="1" applyFill="1" applyBorder="1"/>
    <xf numFmtId="37" fontId="2" fillId="0" borderId="15" xfId="0" applyFont="1" applyFill="1" applyBorder="1"/>
    <xf numFmtId="37" fontId="2" fillId="0" borderId="18" xfId="0" applyFont="1" applyFill="1" applyBorder="1"/>
    <xf numFmtId="37" fontId="2" fillId="0" borderId="13" xfId="0" applyFont="1" applyFill="1" applyBorder="1"/>
    <xf numFmtId="37" fontId="2" fillId="0" borderId="25" xfId="0" applyFont="1" applyFill="1" applyBorder="1"/>
    <xf numFmtId="37" fontId="2" fillId="0" borderId="24" xfId="0" applyFont="1" applyFill="1" applyBorder="1" applyAlignment="1">
      <alignment horizontal="right"/>
    </xf>
    <xf numFmtId="37" fontId="2" fillId="0" borderId="26" xfId="0" applyFont="1" applyFill="1" applyBorder="1" applyAlignment="1">
      <alignment horizontal="right"/>
    </xf>
    <xf numFmtId="37" fontId="2" fillId="0" borderId="27" xfId="0" applyFont="1" applyFill="1" applyBorder="1" applyAlignment="1">
      <alignment horizontal="right"/>
    </xf>
    <xf numFmtId="3" fontId="2" fillId="0" borderId="15" xfId="43" applyNumberFormat="1" applyFont="1" applyFill="1" applyBorder="1"/>
    <xf numFmtId="37" fontId="2" fillId="0" borderId="19" xfId="0" applyFont="1" applyFill="1" applyBorder="1"/>
    <xf numFmtId="37" fontId="2" fillId="0" borderId="14" xfId="0" applyFont="1" applyFill="1" applyBorder="1"/>
    <xf numFmtId="166" fontId="31" fillId="0" borderId="27" xfId="28" applyNumberFormat="1" applyFont="1" applyBorder="1"/>
    <xf numFmtId="164" fontId="31" fillId="0" borderId="21" xfId="0" applyNumberFormat="1" applyFont="1" applyFill="1" applyBorder="1" applyAlignment="1" applyProtection="1">
      <alignment horizontal="right"/>
    </xf>
    <xf numFmtId="166" fontId="31" fillId="0" borderId="21" xfId="28" applyNumberFormat="1" applyFont="1" applyBorder="1"/>
    <xf numFmtId="37" fontId="31" fillId="0" borderId="28" xfId="0" applyNumberFormat="1" applyFont="1" applyFill="1" applyBorder="1"/>
    <xf numFmtId="37" fontId="2" fillId="0" borderId="28" xfId="0" applyFont="1" applyFill="1" applyBorder="1"/>
    <xf numFmtId="37" fontId="2" fillId="0" borderId="19" xfId="0" applyFont="1" applyFill="1" applyBorder="1" applyAlignment="1">
      <alignment horizontal="right"/>
    </xf>
    <xf numFmtId="37" fontId="2" fillId="0" borderId="28" xfId="0" applyFont="1" applyFill="1" applyBorder="1" applyAlignment="1">
      <alignment horizontal="right"/>
    </xf>
    <xf numFmtId="167" fontId="2" fillId="0" borderId="24" xfId="0" applyNumberFormat="1" applyFont="1" applyFill="1" applyBorder="1" applyAlignment="1" applyProtection="1">
      <alignment horizontal="right"/>
    </xf>
    <xf numFmtId="37" fontId="2" fillId="0" borderId="13" xfId="0" applyFont="1" applyFill="1" applyBorder="1" applyAlignment="1">
      <alignment horizontal="right"/>
    </xf>
    <xf numFmtId="37" fontId="0" fillId="0" borderId="0" xfId="0" applyAlignment="1">
      <alignment horizontal="left" indent="1"/>
    </xf>
    <xf numFmtId="0" fontId="0" fillId="0" borderId="0" xfId="0" applyNumberFormat="1"/>
    <xf numFmtId="37" fontId="2" fillId="0" borderId="28" xfId="0" applyFont="1" applyFill="1" applyBorder="1" applyAlignment="1" applyProtection="1">
      <alignment horizontal="right"/>
    </xf>
    <xf numFmtId="166" fontId="2" fillId="0" borderId="21" xfId="28" applyNumberFormat="1" applyFont="1" applyBorder="1"/>
    <xf numFmtId="166" fontId="2" fillId="0" borderId="25" xfId="28" applyNumberFormat="1" applyFont="1" applyBorder="1"/>
    <xf numFmtId="166" fontId="2" fillId="0" borderId="28" xfId="28" applyNumberFormat="1" applyFont="1" applyBorder="1"/>
    <xf numFmtId="1" fontId="0" fillId="0" borderId="0" xfId="0" applyNumberFormat="1"/>
    <xf numFmtId="37" fontId="33" fillId="0" borderId="7" xfId="0" applyFont="1" applyFill="1" applyBorder="1" applyAlignment="1">
      <alignment horizontal="right" wrapText="1"/>
    </xf>
    <xf numFmtId="37" fontId="33" fillId="0" borderId="29" xfId="0" applyFont="1" applyFill="1" applyBorder="1" applyAlignment="1">
      <alignment horizontal="right" wrapText="1"/>
    </xf>
    <xf numFmtId="166" fontId="31" fillId="0" borderId="26" xfId="28" applyNumberFormat="1" applyFont="1" applyBorder="1"/>
    <xf numFmtId="37" fontId="33" fillId="0" borderId="30" xfId="0" applyFont="1" applyFill="1" applyBorder="1" applyAlignment="1">
      <alignment horizontal="right" wrapText="1"/>
    </xf>
    <xf numFmtId="37" fontId="33" fillId="0" borderId="31" xfId="0" applyFont="1" applyFill="1" applyBorder="1" applyAlignment="1">
      <alignment horizontal="right" wrapText="1"/>
    </xf>
    <xf numFmtId="37" fontId="2" fillId="0" borderId="7" xfId="0" applyFont="1" applyFill="1" applyBorder="1" applyAlignment="1">
      <alignment horizontal="right" wrapText="1"/>
    </xf>
    <xf numFmtId="37" fontId="0" fillId="0" borderId="0" xfId="0" applyFont="1"/>
    <xf numFmtId="37" fontId="2" fillId="0" borderId="29" xfId="0" applyFont="1" applyFill="1" applyBorder="1" applyAlignment="1">
      <alignment horizontal="right" wrapText="1"/>
    </xf>
    <xf numFmtId="37" fontId="2" fillId="0" borderId="30" xfId="0" applyFont="1" applyFill="1" applyBorder="1" applyAlignment="1">
      <alignment horizontal="right" wrapText="1"/>
    </xf>
    <xf numFmtId="37" fontId="2" fillId="0" borderId="31" xfId="0" applyFont="1" applyFill="1" applyBorder="1" applyAlignment="1">
      <alignment horizontal="right" wrapText="1"/>
    </xf>
    <xf numFmtId="37" fontId="31" fillId="0" borderId="32" xfId="0" applyNumberFormat="1" applyFont="1" applyFill="1" applyBorder="1"/>
    <xf numFmtId="166" fontId="31" fillId="0" borderId="33" xfId="28" applyNumberFormat="1" applyFont="1" applyBorder="1"/>
    <xf numFmtId="164" fontId="31" fillId="0" borderId="33" xfId="0" applyNumberFormat="1" applyFont="1" applyFill="1" applyBorder="1" applyAlignment="1" applyProtection="1">
      <alignment horizontal="right"/>
    </xf>
    <xf numFmtId="167" fontId="2" fillId="0" borderId="27" xfId="0" applyNumberFormat="1" applyFont="1" applyFill="1" applyBorder="1" applyAlignment="1" applyProtection="1">
      <alignment horizontal="right"/>
    </xf>
    <xf numFmtId="167" fontId="2" fillId="0" borderId="28" xfId="0" applyNumberFormat="1" applyFont="1" applyFill="1" applyBorder="1" applyAlignment="1" applyProtection="1">
      <alignment horizontal="right"/>
    </xf>
    <xf numFmtId="167" fontId="2" fillId="0" borderId="21" xfId="0" applyNumberFormat="1" applyFont="1" applyFill="1" applyBorder="1" applyAlignment="1" applyProtection="1">
      <alignment horizontal="right"/>
    </xf>
    <xf numFmtId="37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24" borderId="14" xfId="0" applyNumberFormat="1" applyFont="1" applyFill="1" applyBorder="1" applyAlignment="1">
      <alignment horizontal="left"/>
    </xf>
    <xf numFmtId="166" fontId="2" fillId="24" borderId="14" xfId="28" applyNumberFormat="1" applyFont="1" applyFill="1" applyBorder="1" applyAlignment="1">
      <alignment horizontal="right"/>
    </xf>
    <xf numFmtId="166" fontId="2" fillId="24" borderId="19" xfId="28" applyNumberFormat="1" applyFont="1" applyFill="1" applyBorder="1" applyAlignment="1">
      <alignment horizontal="right"/>
    </xf>
    <xf numFmtId="167" fontId="2" fillId="24" borderId="19" xfId="0" applyNumberFormat="1" applyFont="1" applyFill="1" applyBorder="1" applyAlignment="1" applyProtection="1">
      <alignment horizontal="right"/>
    </xf>
    <xf numFmtId="167" fontId="2" fillId="24" borderId="28" xfId="0" applyNumberFormat="1" applyFont="1" applyFill="1" applyBorder="1" applyAlignment="1" applyProtection="1">
      <alignment horizontal="right"/>
    </xf>
    <xf numFmtId="167" fontId="2" fillId="24" borderId="21" xfId="0" applyNumberFormat="1" applyFont="1" applyFill="1" applyBorder="1" applyAlignment="1" applyProtection="1">
      <alignment horizontal="right"/>
    </xf>
    <xf numFmtId="166" fontId="2" fillId="0" borderId="19" xfId="28" applyNumberFormat="1" applyFont="1" applyFill="1" applyBorder="1" applyAlignment="1" applyProtection="1">
      <alignment horizontal="right"/>
    </xf>
    <xf numFmtId="167" fontId="2" fillId="0" borderId="19" xfId="0" applyNumberFormat="1" applyFont="1" applyFill="1" applyBorder="1" applyAlignment="1" applyProtection="1">
      <alignment horizontal="right"/>
    </xf>
    <xf numFmtId="0" fontId="2" fillId="0" borderId="14" xfId="0" applyNumberFormat="1" applyFont="1" applyFill="1" applyBorder="1" applyAlignment="1" applyProtection="1">
      <alignment horizontal="left"/>
    </xf>
    <xf numFmtId="166" fontId="2" fillId="0" borderId="14" xfId="28" applyNumberFormat="1" applyFont="1" applyFill="1" applyBorder="1" applyAlignment="1" applyProtection="1">
      <alignment horizontal="left"/>
    </xf>
    <xf numFmtId="167" fontId="2" fillId="0" borderId="14" xfId="0" applyNumberFormat="1" applyFont="1" applyFill="1" applyBorder="1" applyAlignment="1" applyProtection="1">
      <alignment horizontal="right"/>
    </xf>
    <xf numFmtId="37" fontId="2" fillId="24" borderId="0" xfId="0" applyFont="1" applyFill="1" applyBorder="1"/>
    <xf numFmtId="37" fontId="2" fillId="24" borderId="0" xfId="0" applyFont="1" applyFill="1"/>
    <xf numFmtId="166" fontId="2" fillId="24" borderId="19" xfId="28" applyNumberFormat="1" applyFont="1" applyFill="1" applyBorder="1" applyAlignment="1" applyProtection="1">
      <alignment horizontal="right"/>
    </xf>
    <xf numFmtId="167" fontId="2" fillId="24" borderId="14" xfId="0" applyNumberFormat="1" applyFont="1" applyFill="1" applyBorder="1" applyAlignment="1" applyProtection="1">
      <alignment horizontal="right"/>
    </xf>
    <xf numFmtId="0" fontId="2" fillId="0" borderId="26" xfId="0" applyNumberFormat="1" applyFont="1" applyFill="1" applyBorder="1" applyAlignment="1">
      <alignment horizontal="left"/>
    </xf>
    <xf numFmtId="166" fontId="2" fillId="0" borderId="26" xfId="28" applyNumberFormat="1" applyFont="1" applyFill="1" applyBorder="1" applyAlignment="1">
      <alignment horizontal="right"/>
    </xf>
    <xf numFmtId="166" fontId="2" fillId="0" borderId="24" xfId="28" applyNumberFormat="1" applyFont="1" applyFill="1" applyBorder="1" applyAlignment="1" applyProtection="1">
      <alignment horizontal="right"/>
    </xf>
    <xf numFmtId="167" fontId="2" fillId="0" borderId="26" xfId="0" applyNumberFormat="1" applyFont="1" applyFill="1" applyBorder="1" applyAlignment="1" applyProtection="1">
      <alignment horizontal="right"/>
    </xf>
    <xf numFmtId="166" fontId="2" fillId="0" borderId="24" xfId="28" applyNumberFormat="1" applyFont="1" applyFill="1" applyBorder="1" applyAlignment="1">
      <alignment horizontal="right"/>
    </xf>
    <xf numFmtId="166" fontId="2" fillId="0" borderId="26" xfId="28" applyNumberFormat="1" applyFont="1" applyFill="1" applyBorder="1" applyAlignment="1" applyProtection="1">
      <alignment horizontal="right"/>
    </xf>
    <xf numFmtId="0" fontId="2" fillId="0" borderId="26" xfId="0" applyNumberFormat="1" applyFont="1" applyFill="1" applyBorder="1" applyAlignment="1" applyProtection="1">
      <alignment horizontal="left"/>
    </xf>
    <xf numFmtId="166" fontId="31" fillId="0" borderId="34" xfId="28" applyNumberFormat="1" applyFont="1" applyBorder="1"/>
    <xf numFmtId="37" fontId="35" fillId="0" borderId="16" xfId="0" applyFont="1" applyBorder="1" applyAlignment="1" applyProtection="1">
      <alignment horizontal="left"/>
    </xf>
    <xf numFmtId="37" fontId="2" fillId="0" borderId="26" xfId="0" applyFont="1" applyFill="1" applyBorder="1"/>
    <xf numFmtId="37" fontId="2" fillId="0" borderId="7" xfId="0" applyFont="1" applyBorder="1"/>
    <xf numFmtId="37" fontId="2" fillId="0" borderId="7" xfId="0" applyFont="1" applyBorder="1" applyAlignment="1">
      <alignment horizontal="right" wrapText="1"/>
    </xf>
    <xf numFmtId="37" fontId="2" fillId="0" borderId="0" xfId="0" applyFont="1" applyAlignment="1">
      <alignment horizontal="right" wrapText="1"/>
    </xf>
    <xf numFmtId="37" fontId="2" fillId="0" borderId="14" xfId="0" applyFont="1" applyBorder="1" applyAlignment="1">
      <alignment horizontal="right" wrapText="1"/>
    </xf>
    <xf numFmtId="37" fontId="2" fillId="0" borderId="13" xfId="0" applyFont="1" applyFill="1" applyBorder="1" applyAlignment="1"/>
    <xf numFmtId="37" fontId="2" fillId="0" borderId="24" xfId="0" applyFont="1" applyFill="1" applyBorder="1" applyAlignment="1"/>
    <xf numFmtId="37" fontId="2" fillId="0" borderId="0" xfId="0" applyFont="1" applyFill="1" applyBorder="1" applyAlignment="1"/>
    <xf numFmtId="37" fontId="31" fillId="0" borderId="19" xfId="0" applyNumberFormat="1" applyFont="1" applyFill="1" applyBorder="1" applyAlignment="1"/>
    <xf numFmtId="37" fontId="31" fillId="0" borderId="14" xfId="0" applyNumberFormat="1" applyFont="1" applyFill="1" applyBorder="1" applyAlignment="1"/>
    <xf numFmtId="166" fontId="31" fillId="0" borderId="15" xfId="28" applyNumberFormat="1" applyFont="1" applyBorder="1" applyAlignment="1"/>
    <xf numFmtId="166" fontId="31" fillId="0" borderId="0" xfId="28" applyNumberFormat="1" applyFont="1" applyBorder="1" applyAlignment="1"/>
    <xf numFmtId="164" fontId="31" fillId="0" borderId="15" xfId="0" applyNumberFormat="1" applyFont="1" applyFill="1" applyBorder="1" applyAlignment="1" applyProtection="1"/>
    <xf numFmtId="164" fontId="31" fillId="0" borderId="0" xfId="0" applyNumberFormat="1" applyFont="1" applyFill="1" applyBorder="1" applyAlignment="1" applyProtection="1"/>
    <xf numFmtId="37" fontId="2" fillId="0" borderId="15" xfId="0" applyFont="1" applyFill="1" applyBorder="1" applyAlignment="1"/>
    <xf numFmtId="0" fontId="0" fillId="0" borderId="0" xfId="0" applyNumberFormat="1" applyAlignment="1"/>
    <xf numFmtId="37" fontId="2" fillId="0" borderId="18" xfId="0" applyFont="1" applyFill="1" applyBorder="1" applyAlignment="1"/>
    <xf numFmtId="37" fontId="2" fillId="0" borderId="26" xfId="0" applyFont="1" applyFill="1" applyBorder="1" applyProtection="1"/>
    <xf numFmtId="166" fontId="31" fillId="0" borderId="24" xfId="28" applyNumberFormat="1" applyFont="1" applyBorder="1"/>
    <xf numFmtId="166" fontId="31" fillId="0" borderId="24" xfId="28" applyNumberFormat="1" applyFont="1" applyBorder="1" applyAlignment="1"/>
    <xf numFmtId="166" fontId="31" fillId="0" borderId="26" xfId="28" applyNumberFormat="1" applyFont="1" applyBorder="1" applyAlignment="1"/>
    <xf numFmtId="0" fontId="0" fillId="0" borderId="0" xfId="0" applyNumberFormat="1" applyBorder="1"/>
    <xf numFmtId="0" fontId="0" fillId="0" borderId="0" xfId="0" applyNumberFormat="1" applyBorder="1" applyAlignment="1"/>
    <xf numFmtId="37" fontId="2" fillId="0" borderId="26" xfId="0" applyFont="1" applyFill="1" applyBorder="1" applyAlignment="1"/>
    <xf numFmtId="37" fontId="2" fillId="0" borderId="21" xfId="0" applyFont="1" applyFill="1" applyBorder="1" applyAlignment="1"/>
    <xf numFmtId="37" fontId="2" fillId="0" borderId="27" xfId="0" applyFont="1" applyFill="1" applyBorder="1" applyAlignment="1"/>
    <xf numFmtId="37" fontId="31" fillId="0" borderId="28" xfId="0" applyNumberFormat="1" applyFont="1" applyFill="1" applyBorder="1" applyAlignment="1"/>
    <xf numFmtId="166" fontId="31" fillId="0" borderId="21" xfId="28" applyNumberFormat="1" applyFont="1" applyBorder="1" applyAlignment="1"/>
    <xf numFmtId="164" fontId="31" fillId="0" borderId="21" xfId="0" applyNumberFormat="1" applyFont="1" applyFill="1" applyBorder="1" applyAlignment="1" applyProtection="1"/>
    <xf numFmtId="0" fontId="0" fillId="0" borderId="21" xfId="0" applyNumberFormat="1" applyBorder="1" applyAlignment="1"/>
    <xf numFmtId="37" fontId="0" fillId="0" borderId="21" xfId="0" applyBorder="1" applyAlignment="1"/>
    <xf numFmtId="166" fontId="31" fillId="0" borderId="27" xfId="28" applyNumberFormat="1" applyFont="1" applyBorder="1" applyAlignment="1"/>
    <xf numFmtId="37" fontId="2" fillId="0" borderId="25" xfId="0" applyFont="1" applyFill="1" applyBorder="1" applyAlignment="1"/>
    <xf numFmtId="37" fontId="2" fillId="0" borderId="21" xfId="0" applyFont="1" applyFill="1" applyBorder="1" applyAlignment="1">
      <alignment vertical="top" wrapText="1"/>
    </xf>
    <xf numFmtId="37" fontId="2" fillId="0" borderId="20" xfId="0" applyFont="1" applyFill="1" applyBorder="1" applyAlignment="1" applyProtection="1">
      <alignment horizontal="center"/>
    </xf>
    <xf numFmtId="37" fontId="2" fillId="0" borderId="21" xfId="0" applyFont="1" applyFill="1" applyBorder="1" applyAlignment="1" applyProtection="1">
      <alignment horizontal="center"/>
    </xf>
    <xf numFmtId="37" fontId="2" fillId="0" borderId="25" xfId="0" applyFont="1" applyFill="1" applyBorder="1" applyAlignment="1" applyProtection="1">
      <alignment horizontal="centerContinuous"/>
    </xf>
    <xf numFmtId="37" fontId="2" fillId="0" borderId="35" xfId="0" applyFont="1" applyFill="1" applyBorder="1" applyAlignment="1" applyProtection="1">
      <alignment horizontal="centerContinuous"/>
    </xf>
    <xf numFmtId="37" fontId="2" fillId="0" borderId="13" xfId="0" applyFont="1" applyBorder="1"/>
    <xf numFmtId="37" fontId="36" fillId="0" borderId="0" xfId="0" applyFont="1" applyFill="1" applyBorder="1"/>
    <xf numFmtId="37" fontId="36" fillId="0" borderId="0" xfId="0" applyFont="1" applyFill="1"/>
    <xf numFmtId="37" fontId="2" fillId="0" borderId="0" xfId="0" applyFont="1" applyFill="1" applyAlignment="1" applyProtection="1">
      <alignment vertical="top" wrapText="1"/>
    </xf>
    <xf numFmtId="37" fontId="0" fillId="0" borderId="0" xfId="0" applyFill="1" applyAlignment="1">
      <alignment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3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3399"/>
      <color rgb="FF990033"/>
      <color rgb="FF006600"/>
      <color rgb="FF99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M.D. Program Enrollment, 2014-15 to 2019-20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40'!$A$10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40'!$D$10</c:f>
              <c:numCache>
                <c:formatCode>0.0</c:formatCode>
                <c:ptCount val="1"/>
                <c:pt idx="0">
                  <c:v>8.2303077561595241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E-40D1-B419-821A9E6EA589}"/>
            </c:ext>
          </c:extLst>
        </c:ser>
        <c:ser>
          <c:idx val="1"/>
          <c:order val="1"/>
          <c:tx>
            <c:strRef>
              <c:f>'Table 40'!$A$11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40'!$D$11</c:f>
              <c:numCache>
                <c:formatCode>0.0</c:formatCode>
                <c:ptCount val="1"/>
                <c:pt idx="0">
                  <c:v>5.8787813850494661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1E-40D1-B419-821A9E6EA58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40'!$D$16</c:f>
              <c:numCache>
                <c:formatCode>0.0</c:formatCode>
                <c:ptCount val="1"/>
                <c:pt idx="0">
                  <c:v>9.1010608598548295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1E-40D1-B419-821A9E6EA5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4117488"/>
        <c:axId val="194117872"/>
      </c:barChart>
      <c:catAx>
        <c:axId val="194117488"/>
        <c:scaling>
          <c:orientation val="minMax"/>
        </c:scaling>
        <c:delete val="1"/>
        <c:axPos val="b"/>
        <c:majorTickMark val="out"/>
        <c:minorTickMark val="none"/>
        <c:tickLblPos val="none"/>
        <c:crossAx val="194117872"/>
        <c:crosses val="autoZero"/>
        <c:auto val="1"/>
        <c:lblAlgn val="ctr"/>
        <c:lblOffset val="100"/>
        <c:noMultiLvlLbl val="0"/>
      </c:catAx>
      <c:valAx>
        <c:axId val="194117872"/>
        <c:scaling>
          <c:orientation val="minMax"/>
          <c:max val="80"/>
        </c:scaling>
        <c:delete val="1"/>
        <c:axPos val="l"/>
        <c:numFmt formatCode="0.0" sourceLinked="1"/>
        <c:majorTickMark val="out"/>
        <c:minorTickMark val="none"/>
        <c:tickLblPos val="none"/>
        <c:crossAx val="19411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050131233595801"/>
          <c:y val="0.27513020396310367"/>
          <c:w val="0.25005424321959757"/>
          <c:h val="0.6266349371270636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D.O. Program Enrollment, 2014-15 to 2019-20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40'!$A$10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40'!$J$10</c:f>
              <c:numCache>
                <c:formatCode>0.0</c:formatCode>
                <c:ptCount val="1"/>
                <c:pt idx="0">
                  <c:v>28.900016283992834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3-4411-85C4-52F74B9EF57B}"/>
            </c:ext>
          </c:extLst>
        </c:ser>
        <c:ser>
          <c:idx val="1"/>
          <c:order val="1"/>
          <c:tx>
            <c:strRef>
              <c:f>'Table 40'!$A$11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40'!$J$11</c:f>
              <c:numCache>
                <c:formatCode>0.0</c:formatCode>
                <c:ptCount val="1"/>
                <c:pt idx="0">
                  <c:v>36.55772900763359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3-4411-85C4-52F74B9EF57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40'!$J$16</c:f>
              <c:numCache>
                <c:formatCode>0.0</c:formatCode>
                <c:ptCount val="1"/>
                <c:pt idx="0">
                  <c:v>8.0790960451977387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3-4411-85C4-52F74B9EF5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4545880"/>
        <c:axId val="194200216"/>
      </c:barChart>
      <c:catAx>
        <c:axId val="374545880"/>
        <c:scaling>
          <c:orientation val="minMax"/>
        </c:scaling>
        <c:delete val="1"/>
        <c:axPos val="b"/>
        <c:majorTickMark val="out"/>
        <c:minorTickMark val="none"/>
        <c:tickLblPos val="none"/>
        <c:crossAx val="194200216"/>
        <c:crosses val="autoZero"/>
        <c:auto val="1"/>
        <c:lblAlgn val="ctr"/>
        <c:lblOffset val="100"/>
        <c:noMultiLvlLbl val="0"/>
      </c:catAx>
      <c:valAx>
        <c:axId val="19420021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374545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Women Enrolled in M.D. Programs, 2014-15</a:t>
            </a:r>
            <a:r>
              <a:rPr lang="en-US" sz="1400" baseline="0"/>
              <a:t> to 2019-20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238407699037627E-2"/>
          <c:y val="0.1621621227222515"/>
          <c:w val="0.62019356955380589"/>
          <c:h val="0.83296535239343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40'!$A$10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40'!$F$10</c:f>
              <c:numCache>
                <c:formatCode>0.0</c:formatCode>
                <c:ptCount val="1"/>
                <c:pt idx="0">
                  <c:v>16.80853327658669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3-4A60-8F45-DEF3CE52D587}"/>
            </c:ext>
          </c:extLst>
        </c:ser>
        <c:ser>
          <c:idx val="1"/>
          <c:order val="1"/>
          <c:tx>
            <c:strRef>
              <c:f>'Table 40'!$A$11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40'!$F$11</c:f>
              <c:numCache>
                <c:formatCode>0.0</c:formatCode>
                <c:ptCount val="1"/>
                <c:pt idx="0">
                  <c:v>16.807776732518033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3-4A60-8F45-DEF3CE52D58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40'!$F$16</c:f>
              <c:numCache>
                <c:formatCode>0.0</c:formatCode>
                <c:ptCount val="1"/>
                <c:pt idx="0">
                  <c:v>18.48145968216598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23-4A60-8F45-DEF3CE52D5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4233584"/>
        <c:axId val="194233968"/>
      </c:barChart>
      <c:catAx>
        <c:axId val="194233584"/>
        <c:scaling>
          <c:orientation val="maxMin"/>
        </c:scaling>
        <c:delete val="1"/>
        <c:axPos val="l"/>
        <c:majorTickMark val="out"/>
        <c:minorTickMark val="none"/>
        <c:tickLblPos val="none"/>
        <c:crossAx val="194233968"/>
        <c:crosses val="autoZero"/>
        <c:auto val="1"/>
        <c:lblAlgn val="ctr"/>
        <c:lblOffset val="100"/>
        <c:noMultiLvlLbl val="0"/>
      </c:catAx>
      <c:valAx>
        <c:axId val="194233968"/>
        <c:scaling>
          <c:orientation val="minMax"/>
          <c:max val="80"/>
        </c:scaling>
        <c:delete val="1"/>
        <c:axPos val="t"/>
        <c:numFmt formatCode="0.0" sourceLinked="1"/>
        <c:majorTickMark val="out"/>
        <c:minorTickMark val="none"/>
        <c:tickLblPos val="none"/>
        <c:crossAx val="19423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Women Enrolled in D.O. Programs, 2014-15</a:t>
            </a:r>
            <a:r>
              <a:rPr lang="en-US" sz="1400" baseline="0"/>
              <a:t> to 2019-20</a:t>
            </a:r>
            <a:endParaRPr lang="en-US" sz="1400"/>
          </a:p>
        </c:rich>
      </c:tx>
      <c:layout>
        <c:manualLayout>
          <c:xMode val="edge"/>
          <c:yMode val="edge"/>
          <c:x val="0.12245726971755508"/>
          <c:y val="6.04651162790697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238407699037627E-2"/>
          <c:y val="0.1621621227222515"/>
          <c:w val="0.62019356955380611"/>
          <c:h val="0.83296535239343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40'!$A$10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40'!$L$10</c:f>
              <c:numCache>
                <c:formatCode>0.0</c:formatCode>
                <c:ptCount val="1"/>
                <c:pt idx="0">
                  <c:v>38.383931028157384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C-4CEF-BDC4-4A584D438CDB}"/>
            </c:ext>
          </c:extLst>
        </c:ser>
        <c:ser>
          <c:idx val="1"/>
          <c:order val="1"/>
          <c:tx>
            <c:strRef>
              <c:f>'Table 40'!$A$11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40'!$L$11</c:f>
              <c:numCache>
                <c:formatCode>0.0</c:formatCode>
                <c:ptCount val="1"/>
                <c:pt idx="0">
                  <c:v>49.256900212314228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C-4CEF-BDC4-4A584D438CD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40'!$L$16</c:f>
              <c:numCache>
                <c:formatCode>0.0</c:formatCode>
                <c:ptCount val="1"/>
                <c:pt idx="0">
                  <c:v>28.910614525139668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C-4CEF-BDC4-4A584D438C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4254184"/>
        <c:axId val="194299576"/>
      </c:barChart>
      <c:catAx>
        <c:axId val="194254184"/>
        <c:scaling>
          <c:orientation val="maxMin"/>
        </c:scaling>
        <c:delete val="1"/>
        <c:axPos val="l"/>
        <c:majorTickMark val="out"/>
        <c:minorTickMark val="none"/>
        <c:tickLblPos val="none"/>
        <c:crossAx val="194299576"/>
        <c:crosses val="autoZero"/>
        <c:auto val="1"/>
        <c:lblAlgn val="ctr"/>
        <c:lblOffset val="100"/>
        <c:noMultiLvlLbl val="0"/>
      </c:catAx>
      <c:valAx>
        <c:axId val="194299576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94254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275167</xdr:colOff>
      <xdr:row>1</xdr:row>
      <xdr:rowOff>63500</xdr:rowOff>
    </xdr:from>
    <xdr:to>
      <xdr:col>23</xdr:col>
      <xdr:colOff>179917</xdr:colOff>
      <xdr:row>18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381000</xdr:colOff>
      <xdr:row>1</xdr:row>
      <xdr:rowOff>63500</xdr:rowOff>
    </xdr:from>
    <xdr:to>
      <xdr:col>29</xdr:col>
      <xdr:colOff>328084</xdr:colOff>
      <xdr:row>18</xdr:row>
      <xdr:rowOff>10584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285750</xdr:colOff>
      <xdr:row>18</xdr:row>
      <xdr:rowOff>148167</xdr:rowOff>
    </xdr:from>
    <xdr:to>
      <xdr:col>22</xdr:col>
      <xdr:colOff>285750</xdr:colOff>
      <xdr:row>35</xdr:row>
      <xdr:rowOff>21168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338668</xdr:colOff>
      <xdr:row>18</xdr:row>
      <xdr:rowOff>148168</xdr:rowOff>
    </xdr:from>
    <xdr:to>
      <xdr:col>29</xdr:col>
      <xdr:colOff>317501</xdr:colOff>
      <xdr:row>35</xdr:row>
      <xdr:rowOff>10585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10583</xdr:colOff>
      <xdr:row>35</xdr:row>
      <xdr:rowOff>84666</xdr:rowOff>
    </xdr:from>
    <xdr:to>
      <xdr:col>22</xdr:col>
      <xdr:colOff>64558</xdr:colOff>
      <xdr:row>45</xdr:row>
      <xdr:rowOff>32806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40583" y="5905499"/>
          <a:ext cx="1609725" cy="1853140"/>
        </a:xfrm>
        <a:prstGeom prst="wedgeEllipseCallout">
          <a:avLst>
            <a:gd name="adj1" fmla="val -131284"/>
            <a:gd name="adj2" fmla="val -7255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rgb="FFC00000"/>
  </sheetPr>
  <dimension ref="A1:O82"/>
  <sheetViews>
    <sheetView showGridLines="0" tabSelected="1" view="pageBreakPreview" topLeftCell="A19" zoomScale="91" zoomScaleNormal="90" zoomScaleSheetLayoutView="91" workbookViewId="0">
      <selection activeCell="L64" sqref="L64"/>
    </sheetView>
  </sheetViews>
  <sheetFormatPr defaultColWidth="7.7265625" defaultRowHeight="12.5"/>
  <cols>
    <col min="1" max="1" width="9.26953125" style="4" customWidth="1"/>
    <col min="2" max="2" width="10" style="4" customWidth="1"/>
    <col min="3" max="3" width="9.54296875" style="4" customWidth="1"/>
    <col min="4" max="4" width="10.26953125" style="4" customWidth="1"/>
    <col min="5" max="5" width="8.1796875" style="4" customWidth="1"/>
    <col min="6" max="6" width="10" style="4" customWidth="1"/>
    <col min="7" max="7" width="9.1796875" style="4" customWidth="1"/>
    <col min="8" max="8" width="8.81640625" style="4" customWidth="1"/>
    <col min="9" max="9" width="8.1796875" style="4" customWidth="1"/>
    <col min="10" max="10" width="11.26953125" style="4" customWidth="1"/>
    <col min="11" max="11" width="8.1796875" style="4" customWidth="1"/>
    <col min="12" max="12" width="10" style="4" customWidth="1"/>
    <col min="13" max="13" width="9.1796875" style="4" customWidth="1"/>
    <col min="14" max="14" width="10.453125" style="4" customWidth="1"/>
    <col min="15" max="15" width="7.7265625" style="105"/>
    <col min="16" max="16384" width="7.7265625" style="4"/>
  </cols>
  <sheetData>
    <row r="1" spans="1:1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2.75" customHeight="1">
      <c r="A2" s="3" t="s">
        <v>1</v>
      </c>
      <c r="B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3.5" customHeight="1">
      <c r="A3" s="1"/>
      <c r="B3" s="1"/>
      <c r="C3" s="30"/>
      <c r="D3" s="175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19.5" customHeight="1">
      <c r="A4" s="13"/>
      <c r="B4" s="13"/>
      <c r="C4" s="14" t="s">
        <v>2</v>
      </c>
      <c r="D4" s="14"/>
      <c r="E4" s="14"/>
      <c r="F4" s="14"/>
      <c r="G4" s="14"/>
      <c r="H4" s="14"/>
      <c r="I4" s="73" t="s">
        <v>3</v>
      </c>
      <c r="J4" s="14"/>
      <c r="K4" s="14"/>
      <c r="L4" s="14"/>
      <c r="M4" s="14"/>
      <c r="N4" s="14"/>
    </row>
    <row r="5" spans="1:15" s="5" customFormat="1">
      <c r="A5" s="23"/>
      <c r="B5" s="23"/>
      <c r="C5" s="20" t="s">
        <v>4</v>
      </c>
      <c r="D5" s="20"/>
      <c r="E5" s="24" t="s">
        <v>5</v>
      </c>
      <c r="F5" s="25"/>
      <c r="G5" s="25"/>
      <c r="H5" s="18"/>
      <c r="I5" s="92" t="s">
        <v>4</v>
      </c>
      <c r="J5" s="25"/>
      <c r="K5" s="93" t="s">
        <v>5</v>
      </c>
      <c r="L5" s="25"/>
      <c r="M5" s="25"/>
      <c r="N5" s="18"/>
      <c r="O5" s="12"/>
    </row>
    <row r="6" spans="1:15" s="5" customFormat="1">
      <c r="A6" s="23"/>
      <c r="B6" s="23"/>
      <c r="C6" s="26"/>
      <c r="D6" s="27" t="s">
        <v>6</v>
      </c>
      <c r="E6" s="26"/>
      <c r="F6" s="27" t="s">
        <v>6</v>
      </c>
      <c r="G6" s="31"/>
      <c r="H6" s="210"/>
      <c r="I6" s="26"/>
      <c r="J6" s="27" t="s">
        <v>6</v>
      </c>
      <c r="K6" s="26"/>
      <c r="L6" s="27" t="s">
        <v>6</v>
      </c>
      <c r="M6" s="31"/>
      <c r="N6" s="26"/>
      <c r="O6" s="12"/>
    </row>
    <row r="7" spans="1:15" s="5" customFormat="1">
      <c r="A7" s="23"/>
      <c r="B7" s="23"/>
      <c r="C7" s="19"/>
      <c r="D7" s="28" t="s">
        <v>7</v>
      </c>
      <c r="E7" s="19"/>
      <c r="F7" s="28" t="s">
        <v>7</v>
      </c>
      <c r="G7" s="32"/>
      <c r="H7" s="211"/>
      <c r="I7" s="19"/>
      <c r="J7" s="28" t="s">
        <v>7</v>
      </c>
      <c r="K7" s="19"/>
      <c r="L7" s="28" t="s">
        <v>7</v>
      </c>
      <c r="M7" s="32"/>
      <c r="N7" s="19"/>
      <c r="O7" s="12"/>
    </row>
    <row r="8" spans="1:15" s="5" customFormat="1">
      <c r="A8" s="23"/>
      <c r="B8" s="23"/>
      <c r="C8" s="22"/>
      <c r="D8" s="29" t="s">
        <v>8</v>
      </c>
      <c r="E8" s="22"/>
      <c r="F8" s="29" t="s">
        <v>8</v>
      </c>
      <c r="G8" s="36" t="s">
        <v>9</v>
      </c>
      <c r="H8" s="212"/>
      <c r="I8" s="22"/>
      <c r="J8" s="29" t="s">
        <v>8</v>
      </c>
      <c r="K8" s="22"/>
      <c r="L8" s="29" t="s">
        <v>8</v>
      </c>
      <c r="M8" s="36" t="s">
        <v>9</v>
      </c>
      <c r="N8" s="35"/>
      <c r="O8" s="12"/>
    </row>
    <row r="9" spans="1:15" s="12" customFormat="1">
      <c r="A9" s="19"/>
      <c r="B9" s="19"/>
      <c r="C9" s="19" t="s">
        <v>10</v>
      </c>
      <c r="D9" s="29" t="s">
        <v>10</v>
      </c>
      <c r="E9" s="19" t="s">
        <v>10</v>
      </c>
      <c r="F9" s="29" t="s">
        <v>10</v>
      </c>
      <c r="G9" s="32" t="s">
        <v>11</v>
      </c>
      <c r="H9" s="29" t="s">
        <v>10</v>
      </c>
      <c r="I9" s="19" t="s">
        <v>10</v>
      </c>
      <c r="J9" s="29" t="s">
        <v>10</v>
      </c>
      <c r="K9" s="19" t="s">
        <v>10</v>
      </c>
      <c r="L9" s="29" t="s">
        <v>10</v>
      </c>
      <c r="M9" s="32" t="s">
        <v>11</v>
      </c>
      <c r="N9" s="213" t="s">
        <v>10</v>
      </c>
    </row>
    <row r="10" spans="1:15">
      <c r="A10" s="160" t="s">
        <v>12</v>
      </c>
      <c r="B10" s="160"/>
      <c r="C10" s="161">
        <f>All!AN4</f>
        <v>86055</v>
      </c>
      <c r="D10" s="148">
        <f>IF(All!AI4&gt;0,(All!AN4-All!AI4)/(All!AI4)*100,"NA")</f>
        <v>8.2303077561595241</v>
      </c>
      <c r="E10" s="158">
        <f>IF(Women!AN4&gt;0,Women!AN4,"NA")</f>
        <v>43913</v>
      </c>
      <c r="F10" s="148">
        <f>IF(Women!AI4&gt;0,(Women!AN4-Women!AI4)/(Women!AI4)*100,"NA")</f>
        <v>16.80853327658669</v>
      </c>
      <c r="G10" s="159">
        <f>IF(All!AI4&gt;0,(Women!AI4/All!AI4)*100,"NA")</f>
        <v>47.281508218988563</v>
      </c>
      <c r="H10" s="162">
        <f>IF(All!AN4&gt;0,(Women!AN4/All!AN4)*100,"NA")</f>
        <v>51.028993085817206</v>
      </c>
      <c r="I10" s="158">
        <f>IF('Osteo All'!CK3&gt;0,('Osteo All'!CK3),"NA")</f>
        <v>31663</v>
      </c>
      <c r="J10" s="148">
        <f>IF('Osteo All'!BU3&gt;0,(('Osteo All'!CK3-'Osteo All'!BU3)/'Osteo All'!BU3)*100,"NA")</f>
        <v>28.900016283992834</v>
      </c>
      <c r="K10" s="158">
        <f>IF('Osteo All'!CM3&gt;0,('Osteo All'!CM3),"NA")</f>
        <v>15088</v>
      </c>
      <c r="L10" s="148">
        <f>IF('Osteo All'!BW3&gt;0,(('Osteo All'!CM3-'Osteo All'!BW3)/'Osteo All'!BW3)*100,"NA")</f>
        <v>38.383931028157384</v>
      </c>
      <c r="M10" s="159">
        <f>IF('Osteo All'!BU3&gt;0,('Osteo All'!BW3/'Osteo All'!BU3)*100,"NA")</f>
        <v>44.386093470118873</v>
      </c>
      <c r="N10" s="162">
        <f>IF('Osteo All'!CK3&gt;0,('Osteo All'!CM3/'Osteo All'!CK3)*100,"NA")</f>
        <v>47.651833370179702</v>
      </c>
    </row>
    <row r="11" spans="1:15">
      <c r="A11" s="65" t="s">
        <v>13</v>
      </c>
      <c r="B11" s="65"/>
      <c r="C11" s="74">
        <f>All!AN5</f>
        <v>29645</v>
      </c>
      <c r="D11" s="149">
        <f>IF(All!AI5&gt;0,(All!AN5-All!AI5)/(All!AI5)*100,"NA")</f>
        <v>5.8787813850494661</v>
      </c>
      <c r="E11" s="81">
        <f>IF(Women!AN5&gt;0,Women!AN5,"NA")</f>
        <v>14900</v>
      </c>
      <c r="F11" s="149">
        <f>IF(Women!AI5&gt;0,(Women!AN5-Women!AI5)/(Women!AI5)*100,"NA")</f>
        <v>16.807776732518033</v>
      </c>
      <c r="G11" s="85">
        <f>IF(All!AI5&gt;0,(Women!AI5/All!AI5)*100,"NA")</f>
        <v>45.55876995606986</v>
      </c>
      <c r="H11" s="34">
        <f>IF(All!AN5&gt;0,(Women!AN5/All!AN5)*100,"NA")</f>
        <v>50.261426884803505</v>
      </c>
      <c r="I11" s="81">
        <f>IF('Osteo All'!CK4&gt;0,('Osteo All'!CK4),"NA")</f>
        <v>11449</v>
      </c>
      <c r="J11" s="149">
        <f>IF('Osteo All'!BU4&gt;0,(('Osteo All'!CK4-'Osteo All'!BU4)/'Osteo All'!BU4)*100,"NA")</f>
        <v>36.55772900763359</v>
      </c>
      <c r="K11" s="81">
        <f>IF('Osteo All'!CM4&gt;0,('Osteo All'!CM4),"NA")</f>
        <v>5624</v>
      </c>
      <c r="L11" s="149">
        <f>IF('Osteo All'!BW4&gt;0,(('Osteo All'!CM4-'Osteo All'!BW4)/'Osteo All'!BW4)*100,"NA")</f>
        <v>49.256900212314228</v>
      </c>
      <c r="M11" s="85">
        <f>IF('Osteo All'!BU4&gt;0,('Osteo All'!BW4/'Osteo All'!BU4)*100,"NA")</f>
        <v>44.94274809160305</v>
      </c>
      <c r="N11" s="34">
        <f>IF('Osteo All'!CK4&gt;0,('Osteo All'!CM4/'Osteo All'!CK4)*100,"NA")</f>
        <v>49.122194078085421</v>
      </c>
    </row>
    <row r="12" spans="1:15">
      <c r="A12" s="65" t="s">
        <v>14</v>
      </c>
      <c r="B12" s="65"/>
      <c r="C12" s="75">
        <f>(C11/$C$10)*100</f>
        <v>34.448898959967458</v>
      </c>
      <c r="D12" s="149"/>
      <c r="E12" s="75">
        <f>(E11/$E$10)*100</f>
        <v>33.93072666408581</v>
      </c>
      <c r="F12" s="149"/>
      <c r="G12" s="85"/>
      <c r="H12" s="149"/>
      <c r="I12" s="75">
        <f>(I11/$I$10)*100</f>
        <v>36.158923664845403</v>
      </c>
      <c r="J12" s="149"/>
      <c r="K12" s="85">
        <f>(K11/$K$10)*100</f>
        <v>37.274655355249202</v>
      </c>
      <c r="L12" s="149"/>
      <c r="M12" s="85"/>
      <c r="N12" s="34"/>
    </row>
    <row r="13" spans="1:15" s="164" customFormat="1">
      <c r="A13" s="66" t="s">
        <v>15</v>
      </c>
      <c r="B13" s="66"/>
      <c r="C13" s="76">
        <f>IF(All!AN7&gt;0,All!AN7,"NA")</f>
        <v>1093</v>
      </c>
      <c r="D13" s="157">
        <f>IF(All!AI7&gt;0,(All!AN7-All!AI7)/(All!AI7)*100,"NA")</f>
        <v>5.4001928640308581</v>
      </c>
      <c r="E13" s="83">
        <f>IF(Women!AN7&gt;0,Women!AN7,"NA")</f>
        <v>502</v>
      </c>
      <c r="F13" s="157">
        <f>IF(Women!AI7&gt;0,(Women!AN7-Women!AI7)/(Women!AI7)*100,"NA")</f>
        <v>13.318284424379231</v>
      </c>
      <c r="G13" s="86">
        <f>IF(All!AI7&gt;0,(Women!AI7/All!AI7)*100,"NA")</f>
        <v>42.719382835101257</v>
      </c>
      <c r="H13" s="80">
        <f>IF(All!AN7&gt;0,(Women!AN7/All!AN7)*100,"NA")</f>
        <v>45.92863677950595</v>
      </c>
      <c r="I13" s="82">
        <f>IF('Osteo All'!CK6&gt;0,('Osteo All'!CK6),"NA")</f>
        <v>1293</v>
      </c>
      <c r="J13" s="157">
        <f>IF('Osteo All'!BU6&gt;0,(('Osteo All'!CK6-'Osteo All'!BU6)/'Osteo All'!BU6)*100,"NA")</f>
        <v>309.17721518987344</v>
      </c>
      <c r="K13" s="82">
        <f>IF('Osteo All'!CM6&gt;0,('Osteo All'!CM6),"NA")</f>
        <v>627</v>
      </c>
      <c r="L13" s="157">
        <f>IF('Osteo All'!BW6&gt;0,(('Osteo All'!CM6-'Osteo All'!BW6)/'Osteo All'!BW6)*100,"NA")</f>
        <v>422.49999999999994</v>
      </c>
      <c r="M13" s="86">
        <f>IF('Osteo All'!BU6&gt;0,('Osteo All'!BW6/'Osteo All'!BU6)*100,"NA")</f>
        <v>37.974683544303801</v>
      </c>
      <c r="N13" s="80">
        <f>IF('Osteo All'!CK6&gt;0,('Osteo All'!CM6/'Osteo All'!CK6)*100,"NA")</f>
        <v>48.491879350348029</v>
      </c>
      <c r="O13" s="163"/>
    </row>
    <row r="14" spans="1:15" s="164" customFormat="1">
      <c r="A14" s="67" t="s">
        <v>16</v>
      </c>
      <c r="B14" s="67"/>
      <c r="C14" s="76">
        <f>IF(All!AN8&gt;0,All!AN8,"NA")</f>
        <v>715</v>
      </c>
      <c r="D14" s="157">
        <f>IF(All!AI8&gt;0,(All!AN8-All!AI8)/(All!AI8)*100,"NA")</f>
        <v>4.838709677419355</v>
      </c>
      <c r="E14" s="83">
        <f>IF(Women!AN8&gt;0,Women!AN8,"NA")</f>
        <v>382</v>
      </c>
      <c r="F14" s="157">
        <f>IF(Women!AI8&gt;0,(Women!AN8-Women!AI8)/(Women!AI8)*100,"NA")</f>
        <v>59.832635983263593</v>
      </c>
      <c r="G14" s="86">
        <f>IF(All!AI8&gt;0,(Women!AI8/All!AI8)*100,"NA")</f>
        <v>35.043988269794724</v>
      </c>
      <c r="H14" s="80">
        <f>IF(All!AN8&gt;0,(Women!AN8/All!AN8)*100,"NA")</f>
        <v>53.426573426573434</v>
      </c>
      <c r="I14" s="82">
        <f>IF('Osteo All'!CK7&gt;0,('Osteo All'!CK7),"NA")</f>
        <v>473</v>
      </c>
      <c r="J14" s="157" t="str">
        <f>IF('Osteo All'!BU7&gt;0,(('Osteo All'!CK7-'Osteo All'!BU7)/'Osteo All'!BU7)*100,"NA")</f>
        <v>NA</v>
      </c>
      <c r="K14" s="82">
        <f>IF('Osteo All'!CM7&gt;0,('Osteo All'!CM7),"NA")</f>
        <v>235</v>
      </c>
      <c r="L14" s="157" t="str">
        <f>IF('Osteo All'!BW7&gt;0,(('Osteo All'!CM7-'Osteo All'!BW7)/'Osteo All'!BW7)*100,"NA")</f>
        <v>NA</v>
      </c>
      <c r="M14" s="86" t="str">
        <f>IF('Osteo All'!BU7&gt;0,('Osteo All'!BW7/'Osteo All'!BU7)*100,"NA")</f>
        <v>NA</v>
      </c>
      <c r="N14" s="80">
        <f>IF('Osteo All'!CK7&gt;0,('Osteo All'!CM7/'Osteo All'!CK7)*100,"NA")</f>
        <v>49.682875264270614</v>
      </c>
      <c r="O14" s="163"/>
    </row>
    <row r="15" spans="1:15" s="164" customFormat="1">
      <c r="A15" s="67" t="s">
        <v>17</v>
      </c>
      <c r="B15" s="67"/>
      <c r="C15" s="76" t="str">
        <f>IF(All!AN9&gt;0,All!AN9,"NA")</f>
        <v>NA</v>
      </c>
      <c r="D15" s="157" t="str">
        <f>IF(All!AI9&gt;0,(All!AN9-All!AI9)/(All!AI9)*100,"NA")</f>
        <v>NA</v>
      </c>
      <c r="E15" s="83" t="str">
        <f>IF(Women!AN9&gt;0,Women!AN9,"NA")</f>
        <v>NA</v>
      </c>
      <c r="F15" s="157" t="str">
        <f>IF(Women!AI9&gt;0,(Women!AN9-Women!AI9)/(Women!AI9)*100,"NA")</f>
        <v>NA</v>
      </c>
      <c r="G15" s="86" t="str">
        <f>IF(All!AI9&gt;0,(Women!AI9/All!AI9)*100,"NA")</f>
        <v>NA</v>
      </c>
      <c r="H15" s="80" t="str">
        <f>IF(All!AN9&gt;0,(Women!AN9/All!AN9)*100,"NA")</f>
        <v>NA</v>
      </c>
      <c r="I15" s="82" t="str">
        <f>IF('Osteo All'!CK8&gt;0,('Osteo All'!CK8),"NA")</f>
        <v>NA</v>
      </c>
      <c r="J15" s="157" t="str">
        <f>IF('Osteo All'!BU8&gt;0,(('Osteo All'!CK8-'Osteo All'!BU8)/'Osteo All'!BU8)*100,"NA")</f>
        <v>NA</v>
      </c>
      <c r="K15" s="82" t="str">
        <f>IF('Osteo All'!CM8&gt;0,('Osteo All'!CM8),"NA")</f>
        <v>NA</v>
      </c>
      <c r="L15" s="157" t="str">
        <f>IF('Osteo All'!BW8&gt;0,(('Osteo All'!CM8-'Osteo All'!BW8)/'Osteo All'!BW8)*100,"NA")</f>
        <v>NA</v>
      </c>
      <c r="M15" s="86" t="str">
        <f>IF('Osteo All'!BU8&gt;0,('Osteo All'!BW8/'Osteo All'!BU8)*100,"NA")</f>
        <v>NA</v>
      </c>
      <c r="N15" s="80" t="str">
        <f>IF('Osteo All'!CK8&gt;0,('Osteo All'!CM8/'Osteo All'!CK8)*100,"NA")</f>
        <v>NA</v>
      </c>
      <c r="O15" s="163"/>
    </row>
    <row r="16" spans="1:15" s="164" customFormat="1">
      <c r="A16" s="67" t="s">
        <v>18</v>
      </c>
      <c r="B16" s="67"/>
      <c r="C16" s="76">
        <f>IF(All!AN10&gt;0,All!AN10,"NA")</f>
        <v>3908</v>
      </c>
      <c r="D16" s="157">
        <f>IF(All!AI10&gt;0,(All!AN10-All!AI10)/(All!AI10)*100,"NA")</f>
        <v>9.1010608598548295</v>
      </c>
      <c r="E16" s="83">
        <f>IF(Women!AN10&gt;0,Women!AN10,"NA")</f>
        <v>2013</v>
      </c>
      <c r="F16" s="157">
        <f>IF(Women!AI10&gt;0,(Women!AN10-Women!AI10)/(Women!AI10)*100,"NA")</f>
        <v>18.48145968216598</v>
      </c>
      <c r="G16" s="86">
        <f>IF(All!AI10&gt;0,(Women!AI10/All!AI10)*100,"NA")</f>
        <v>47.431602456728086</v>
      </c>
      <c r="H16" s="80">
        <f>IF(All!AN10&gt;0,(Women!AN10/All!AN10)*100,"NA")</f>
        <v>51.509723643807568</v>
      </c>
      <c r="I16" s="82">
        <f>IF('Osteo All'!CK9&gt;0,('Osteo All'!CK9),"NA")</f>
        <v>1913</v>
      </c>
      <c r="J16" s="157">
        <f>IF('Osteo All'!BU9&gt;0,(('Osteo All'!CK9-'Osteo All'!BU9)/'Osteo All'!BU9)*100,"NA")</f>
        <v>8.0790960451977387</v>
      </c>
      <c r="K16" s="82">
        <f>IF('Osteo All'!CM9&gt;0,('Osteo All'!CM9),"NA")</f>
        <v>923</v>
      </c>
      <c r="L16" s="157">
        <f>IF('Osteo All'!BW9&gt;0,(('Osteo All'!CM9-'Osteo All'!BW9)/'Osteo All'!BW9)*100,"NA")</f>
        <v>28.910614525139668</v>
      </c>
      <c r="M16" s="86">
        <f>IF('Osteo All'!BU9&gt;0,('Osteo All'!BW9/'Osteo All'!BU9)*100,"NA")</f>
        <v>40.451977401129945</v>
      </c>
      <c r="N16" s="80">
        <f>IF('Osteo All'!CK9&gt;0,('Osteo All'!CM9/'Osteo All'!CK9)*100,"NA")</f>
        <v>48.248823836905387</v>
      </c>
      <c r="O16" s="163"/>
    </row>
    <row r="17" spans="1:15" s="150" customFormat="1">
      <c r="A17" s="65" t="s">
        <v>19</v>
      </c>
      <c r="B17" s="65"/>
      <c r="C17" s="79">
        <f>IF(All!AN11&gt;0,All!AN11,"NA")</f>
        <v>2393</v>
      </c>
      <c r="D17" s="149">
        <f>IF(All!AI11&gt;0,(All!AN11-All!AI11)/(All!AI11)*100,"NA")</f>
        <v>10.073597056117755</v>
      </c>
      <c r="E17" s="81">
        <f>IF(Women!AN11&gt;0,Women!AN11,"NA")</f>
        <v>1249</v>
      </c>
      <c r="F17" s="149">
        <f>IF(Women!AI11&gt;0,(Women!AN11-Women!AI11)/(Women!AI11)*100,"NA")</f>
        <v>22.571148184494604</v>
      </c>
      <c r="G17" s="85">
        <f>IF(All!AI11&gt;0,(Women!AI11/All!AI11)*100,"NA")</f>
        <v>46.872125114995399</v>
      </c>
      <c r="H17" s="34">
        <f>IF(All!AN11&gt;0,(Women!AN11/All!AN11)*100,"NA")</f>
        <v>52.193898871709152</v>
      </c>
      <c r="I17" s="84">
        <f>IF('Osteo All'!CK10&gt;0,('Osteo All'!CK10),"NA")</f>
        <v>590</v>
      </c>
      <c r="J17" s="149">
        <f>IF('Osteo All'!BU10&gt;0,(('Osteo All'!CK10-'Osteo All'!BU10)/'Osteo All'!BU10)*100,"NA")</f>
        <v>11.742424242424242</v>
      </c>
      <c r="K17" s="84">
        <f>IF('Osteo All'!CM10&gt;0,('Osteo All'!CM10),"NA")</f>
        <v>300</v>
      </c>
      <c r="L17" s="149">
        <f>IF('Osteo All'!BW10&gt;0,(('Osteo All'!CM10-'Osteo All'!BW10)/'Osteo All'!BW10)*100,"NA")</f>
        <v>25</v>
      </c>
      <c r="M17" s="85">
        <f>IF('Osteo All'!BU10&gt;0,('Osteo All'!BW10/'Osteo All'!BU10)*100,"NA")</f>
        <v>45.454545454545453</v>
      </c>
      <c r="N17" s="34">
        <f>IF('Osteo All'!CK10&gt;0,('Osteo All'!CM10/'Osteo All'!CK10)*100,"NA")</f>
        <v>50.847457627118644</v>
      </c>
      <c r="O17" s="63"/>
    </row>
    <row r="18" spans="1:15" s="5" customFormat="1">
      <c r="A18" s="65" t="s">
        <v>20</v>
      </c>
      <c r="B18" s="65"/>
      <c r="C18" s="79">
        <f>IF(All!AN12&gt;0,All!AN12,"NA")</f>
        <v>1279</v>
      </c>
      <c r="D18" s="149">
        <f>IF(All!AI12&gt;0,(All!AN12-All!AI12)/(All!AI12)*100,"NA")</f>
        <v>12.786596119929452</v>
      </c>
      <c r="E18" s="81">
        <f>IF(Women!AN12&gt;0,Women!AN12,"NA")</f>
        <v>660</v>
      </c>
      <c r="F18" s="149">
        <f>IF(Women!AI12&gt;0,(Women!AN12-Women!AI12)/(Women!AI12)*100,"NA")</f>
        <v>37.5</v>
      </c>
      <c r="G18" s="85">
        <f>IF(All!AI12&gt;0,(Women!AI12/All!AI12)*100,"NA")</f>
        <v>42.328042328042329</v>
      </c>
      <c r="H18" s="34">
        <f>IF(All!AN12&gt;0,(Women!AN12/All!AN12)*100,"NA")</f>
        <v>51.602814698983579</v>
      </c>
      <c r="I18" s="84">
        <f>IF('Osteo All'!CK11&gt;0,('Osteo All'!CK11),"NA")</f>
        <v>549</v>
      </c>
      <c r="J18" s="149">
        <f>IF('Osteo All'!BU11&gt;0,(('Osteo All'!CK11-'Osteo All'!BU11)/'Osteo All'!BU11)*100,"NA")</f>
        <v>14.137214137214137</v>
      </c>
      <c r="K18" s="84">
        <f>IF('Osteo All'!CM11&gt;0,('Osteo All'!CM11),"NA")</f>
        <v>266</v>
      </c>
      <c r="L18" s="149">
        <f>IF('Osteo All'!BW11&gt;0,(('Osteo All'!CM11-'Osteo All'!BW11)/'Osteo All'!BW11)*100,"NA")</f>
        <v>32.338308457711449</v>
      </c>
      <c r="M18" s="85">
        <f>IF('Osteo All'!BU11&gt;0,('Osteo All'!BW11/'Osteo All'!BU11)*100,"NA")</f>
        <v>41.78794178794179</v>
      </c>
      <c r="N18" s="34">
        <f>IF('Osteo All'!CK11&gt;0,('Osteo All'!CM11/'Osteo All'!CK11)*100,"NA")</f>
        <v>48.451730418943534</v>
      </c>
      <c r="O18" s="12"/>
    </row>
    <row r="19" spans="1:15" s="5" customFormat="1">
      <c r="A19" s="65" t="s">
        <v>21</v>
      </c>
      <c r="B19" s="65"/>
      <c r="C19" s="79">
        <f>IF(All!AN13&gt;0,All!AN13,"NA")</f>
        <v>2090</v>
      </c>
      <c r="D19" s="149">
        <f>IF(All!AI13&gt;0,(All!AN13-All!AI13)/(All!AI13)*100,"NA")</f>
        <v>3.0064070970921635</v>
      </c>
      <c r="E19" s="81">
        <f>IF(Women!AN13&gt;0,Women!AN13,"NA")</f>
        <v>1037</v>
      </c>
      <c r="F19" s="149">
        <f>IF(Women!AI13&gt;0,(Women!AN13-Women!AI13)/(Women!AI13)*100,"NA")</f>
        <v>15.350389321468297</v>
      </c>
      <c r="G19" s="85">
        <f>IF(All!AI13&gt;0,(Women!AI13/All!AI13)*100,"NA")</f>
        <v>44.307540660423854</v>
      </c>
      <c r="H19" s="34">
        <f>IF(All!AN13&gt;0,(Women!AN13/All!AN13)*100,"NA")</f>
        <v>49.617224880382778</v>
      </c>
      <c r="I19" s="84" t="str">
        <f>IF('Osteo All'!CK12&gt;0,('Osteo All'!CK12),"NA")</f>
        <v>NA</v>
      </c>
      <c r="J19" s="149" t="str">
        <f>IF('Osteo All'!BU12&gt;0,(('Osteo All'!CK12-'Osteo All'!BU12)/'Osteo All'!BU12)*100,"NA")</f>
        <v>NA</v>
      </c>
      <c r="K19" s="84" t="str">
        <f>IF('Osteo All'!CM12&gt;0,('Osteo All'!CM12),"NA")</f>
        <v>NA</v>
      </c>
      <c r="L19" s="149" t="str">
        <f>IF('Osteo All'!BW12&gt;0,(('Osteo All'!CM12-'Osteo All'!BW12)/'Osteo All'!BW12)*100,"NA")</f>
        <v>NA</v>
      </c>
      <c r="M19" s="85" t="str">
        <f>IF('Osteo All'!BU12&gt;0,('Osteo All'!BW12/'Osteo All'!BU12)*100,"NA")</f>
        <v>NA</v>
      </c>
      <c r="N19" s="34" t="str">
        <f>IF('Osteo All'!CK12&gt;0,('Osteo All'!CM12/'Osteo All'!CK12)*100,"NA")</f>
        <v>NA</v>
      </c>
      <c r="O19" s="12"/>
    </row>
    <row r="20" spans="1:15" s="5" customFormat="1" ht="13.5" customHeight="1">
      <c r="A20" s="65" t="s">
        <v>22</v>
      </c>
      <c r="B20" s="65"/>
      <c r="C20" s="79">
        <f>IF(All!AN14&gt;0,All!AN14,"NA")</f>
        <v>1801</v>
      </c>
      <c r="D20" s="149">
        <f>IF(All!AI14&gt;0,(All!AN14-All!AI14)/(All!AI14)*100,"NA")</f>
        <v>0.55834729201563371</v>
      </c>
      <c r="E20" s="81">
        <f>IF(Women!AN14&gt;0,Women!AN14,"NA")</f>
        <v>941</v>
      </c>
      <c r="F20" s="149">
        <f>IF(Women!AI14&gt;0,(Women!AN14-Women!AI14)/(Women!AI14)*100,"NA")</f>
        <v>14.060606060606059</v>
      </c>
      <c r="G20" s="85">
        <f>IF(All!AI14&gt;0,(Women!AI14/All!AI14)*100,"NA")</f>
        <v>46.063651591289783</v>
      </c>
      <c r="H20" s="34">
        <f>IF(All!AN14&gt;0,(Women!AN14/All!AN14)*100,"NA")</f>
        <v>52.248750694058856</v>
      </c>
      <c r="I20" s="84" t="str">
        <f>IF('Osteo All'!CK13&gt;0,('Osteo All'!CK13),"NA")</f>
        <v>NA</v>
      </c>
      <c r="J20" s="149" t="str">
        <f>IF('Osteo All'!BU13&gt;0,(('Osteo All'!CK13-'Osteo All'!BU13)/'Osteo All'!BU13)*100,"NA")</f>
        <v>NA</v>
      </c>
      <c r="K20" s="84" t="str">
        <f>IF('Osteo All'!CM13&gt;0,('Osteo All'!CM13),"NA")</f>
        <v>NA</v>
      </c>
      <c r="L20" s="149" t="str">
        <f>IF('Osteo All'!BW13&gt;0,(('Osteo All'!CM13-'Osteo All'!BW13)/'Osteo All'!BW13)*100,"NA")</f>
        <v>NA</v>
      </c>
      <c r="M20" s="85" t="str">
        <f>IF('Osteo All'!BU13&gt;0,('Osteo All'!BW13/'Osteo All'!BU13)*100,"NA")</f>
        <v>NA</v>
      </c>
      <c r="N20" s="34" t="str">
        <f>IF('Osteo All'!CK13&gt;0,('Osteo All'!CM13/'Osteo All'!CK13)*100,"NA")</f>
        <v>NA</v>
      </c>
      <c r="O20" s="12"/>
    </row>
    <row r="21" spans="1:15" s="164" customFormat="1">
      <c r="A21" s="67" t="s">
        <v>23</v>
      </c>
      <c r="B21" s="67"/>
      <c r="C21" s="76">
        <f>IF(All!AN15&gt;0,All!AN15,"NA")</f>
        <v>620</v>
      </c>
      <c r="D21" s="157">
        <f>IF(All!AI15&gt;0,(All!AN15-All!AI15)/(All!AI15)*100,"NA")</f>
        <v>11.913357400722022</v>
      </c>
      <c r="E21" s="83">
        <f>IF(Women!AN15&gt;0,Women!AN15,"NA")</f>
        <v>302</v>
      </c>
      <c r="F21" s="157">
        <f>IF(Women!AI15&gt;0,(Women!AN15-Women!AI15)/(Women!AI15)*100,"NA")</f>
        <v>37.272727272727273</v>
      </c>
      <c r="G21" s="86">
        <f>IF(All!AI15&gt;0,(Women!AI15/All!AI15)*100,"NA")</f>
        <v>39.711191335740068</v>
      </c>
      <c r="H21" s="80">
        <f>IF(All!AN15&gt;0,(Women!AN15/All!AN15)*100,"NA")</f>
        <v>48.70967741935484</v>
      </c>
      <c r="I21" s="82">
        <f>IF('Osteo All'!CK14&gt;0,('Osteo All'!CK14),"NA")</f>
        <v>407</v>
      </c>
      <c r="J21" s="157">
        <f>IF('Osteo All'!BU14&gt;0,(('Osteo All'!CK14-'Osteo All'!BU14)/'Osteo All'!BU14)*100,"NA")</f>
        <v>-2.3980815347721824</v>
      </c>
      <c r="K21" s="82">
        <f>IF('Osteo All'!CM14&gt;0,('Osteo All'!CM14),"NA")</f>
        <v>158</v>
      </c>
      <c r="L21" s="157">
        <f>IF('Osteo All'!BW14&gt;0,(('Osteo All'!CM14-'Osteo All'!BW14)/'Osteo All'!BW14)*100,"NA")</f>
        <v>-7.0588235294117645</v>
      </c>
      <c r="M21" s="86">
        <f>IF('Osteo All'!BU14&gt;0,('Osteo All'!BW14/'Osteo All'!BU14)*100,"NA")</f>
        <v>40.767386091127101</v>
      </c>
      <c r="N21" s="80">
        <f>IF('Osteo All'!CK14&gt;0,('Osteo All'!CM14/'Osteo All'!CK14)*100,"NA")</f>
        <v>38.82063882063882</v>
      </c>
      <c r="O21" s="163"/>
    </row>
    <row r="22" spans="1:15" s="164" customFormat="1">
      <c r="A22" s="67" t="s">
        <v>24</v>
      </c>
      <c r="B22" s="67"/>
      <c r="C22" s="76">
        <f>IF(All!AN16&gt;0,All!AN16,"NA")</f>
        <v>2131</v>
      </c>
      <c r="D22" s="157">
        <f>IF(All!AI16&gt;0,(All!AN16-All!AI16)/(All!AI16)*100,"NA")</f>
        <v>9.0025575447570336</v>
      </c>
      <c r="E22" s="83">
        <f>IF(Women!AN16&gt;0,Women!AN16,"NA")</f>
        <v>1168</v>
      </c>
      <c r="F22" s="157">
        <f>IF(Women!AI16&gt;0,(Women!AN16-Women!AI16)/(Women!AI16)*100,"NA")</f>
        <v>23.597883597883598</v>
      </c>
      <c r="G22" s="86">
        <f>IF(All!AI16&gt;0,(Women!AI16/All!AI16)*100,"NA")</f>
        <v>48.337595907928389</v>
      </c>
      <c r="H22" s="80">
        <f>IF(All!AN16&gt;0,(Women!AN16/All!AN16)*100,"NA")</f>
        <v>54.809948381041764</v>
      </c>
      <c r="I22" s="82">
        <f>IF('Osteo All'!CK15&gt;0,('Osteo All'!CK15),"NA")</f>
        <v>627</v>
      </c>
      <c r="J22" s="157">
        <f>IF('Osteo All'!BU15&gt;0,(('Osteo All'!CK15-'Osteo All'!BU15)/'Osteo All'!BU15)*100,"NA")</f>
        <v>95.9375</v>
      </c>
      <c r="K22" s="82">
        <f>IF('Osteo All'!CM15&gt;0,('Osteo All'!CM15),"NA")</f>
        <v>303</v>
      </c>
      <c r="L22" s="157">
        <f>IF('Osteo All'!BW15&gt;0,(('Osteo All'!CM15-'Osteo All'!BW15)/'Osteo All'!BW15)*100,"NA")</f>
        <v>104.72972972972974</v>
      </c>
      <c r="M22" s="86">
        <f>IF('Osteo All'!BU15&gt;0,('Osteo All'!BW15/'Osteo All'!BU15)*100,"NA")</f>
        <v>46.25</v>
      </c>
      <c r="N22" s="80">
        <f>IF('Osteo All'!CK15&gt;0,('Osteo All'!CM15/'Osteo All'!CK15)*100,"NA")</f>
        <v>48.325358851674643</v>
      </c>
      <c r="O22" s="163"/>
    </row>
    <row r="23" spans="1:15" s="164" customFormat="1">
      <c r="A23" s="67" t="s">
        <v>25</v>
      </c>
      <c r="B23" s="67"/>
      <c r="C23" s="76">
        <f>IF(All!AN17&gt;0,All!AN17,"NA")</f>
        <v>647</v>
      </c>
      <c r="D23" s="157">
        <f>IF(All!AI17&gt;0,(All!AN17-All!AI17)/(All!AI17)*100,"NA")</f>
        <v>-2.2658610271903323</v>
      </c>
      <c r="E23" s="83">
        <f>IF(Women!AN17&gt;0,Women!AN17,"NA")</f>
        <v>291</v>
      </c>
      <c r="F23" s="157">
        <f>IF(Women!AI17&gt;0,(Women!AN17-Women!AI17)/(Women!AI17)*100,"NA")</f>
        <v>10.646387832699618</v>
      </c>
      <c r="G23" s="86">
        <f>IF(All!AI17&gt;0,(Women!AI17/All!AI17)*100,"NA")</f>
        <v>39.728096676737159</v>
      </c>
      <c r="H23" s="80">
        <f>IF(All!AN17&gt;0,(Women!AN17/All!AN17)*100,"NA")</f>
        <v>44.976816074188562</v>
      </c>
      <c r="I23" s="82">
        <f>IF('Osteo All'!CK16&gt;0,('Osteo All'!CK16),"NA")</f>
        <v>347</v>
      </c>
      <c r="J23" s="157">
        <f>IF('Osteo All'!BU16&gt;0,(('Osteo All'!CK16-'Osteo All'!BU16)/'Osteo All'!BU16)*100,"NA")</f>
        <v>-19.302325581395348</v>
      </c>
      <c r="K23" s="82">
        <f>IF('Osteo All'!CM16&gt;0,('Osteo All'!CM16),"NA")</f>
        <v>154</v>
      </c>
      <c r="L23" s="157">
        <f>IF('Osteo All'!BW16&gt;0,(('Osteo All'!CM16-'Osteo All'!BW16)/'Osteo All'!BW16)*100,"NA")</f>
        <v>-17.647058823529413</v>
      </c>
      <c r="M23" s="86">
        <f>IF('Osteo All'!BU16&gt;0,('Osteo All'!BW16/'Osteo All'!BU16)*100,"NA")</f>
        <v>43.488372093023251</v>
      </c>
      <c r="N23" s="80">
        <f>IF('Osteo All'!CK16&gt;0,('Osteo All'!CM16/'Osteo All'!CK16)*100,"NA")</f>
        <v>44.380403458213259</v>
      </c>
      <c r="O23" s="163"/>
    </row>
    <row r="24" spans="1:15" s="164" customFormat="1">
      <c r="A24" s="67" t="s">
        <v>26</v>
      </c>
      <c r="B24" s="67"/>
      <c r="C24" s="76">
        <f>IF(All!AN18&gt;0,All!AN18,"NA")</f>
        <v>1544</v>
      </c>
      <c r="D24" s="157">
        <f>IF(All!AI18&gt;0,(All!AN18-All!AI18)/(All!AI18)*100,"NA")</f>
        <v>26.040816326530614</v>
      </c>
      <c r="E24" s="83">
        <f>IF(Women!AN18&gt;0,Women!AN18,"NA")</f>
        <v>732</v>
      </c>
      <c r="F24" s="157">
        <f>IF(Women!AI18&gt;0,(Women!AN18-Women!AI18)/(Women!AI18)*100,"NA")</f>
        <v>36.822429906542055</v>
      </c>
      <c r="G24" s="86">
        <f>IF(All!AI18&gt;0,(Women!AI18/All!AI18)*100,"NA")</f>
        <v>43.673469387755105</v>
      </c>
      <c r="H24" s="80">
        <f>IF(All!AN18&gt;0,(Women!AN18/All!AN18)*100,"NA")</f>
        <v>47.409326424870471</v>
      </c>
      <c r="I24" s="82">
        <f>IF('Osteo All'!CK17&gt;0,('Osteo All'!CK17),"NA")</f>
        <v>639</v>
      </c>
      <c r="J24" s="157">
        <f>IF('Osteo All'!BU17&gt;0,(('Osteo All'!CK17-'Osteo All'!BU17)/'Osteo All'!BU17)*100,"NA")</f>
        <v>0.62992125984251968</v>
      </c>
      <c r="K24" s="82">
        <f>IF('Osteo All'!CM17&gt;0,('Osteo All'!CM17),"NA")</f>
        <v>341</v>
      </c>
      <c r="L24" s="157">
        <f>IF('Osteo All'!BW17&gt;0,(('Osteo All'!CM17-'Osteo All'!BW17)/'Osteo All'!BW17)*100,"NA")</f>
        <v>5.5727554179566559</v>
      </c>
      <c r="M24" s="86">
        <f>IF('Osteo All'!BU17&gt;0,('Osteo All'!BW17/'Osteo All'!BU17)*100,"NA")</f>
        <v>50.866141732283467</v>
      </c>
      <c r="N24" s="80">
        <f>IF('Osteo All'!CK17&gt;0,('Osteo All'!CM17/'Osteo All'!CK17)*100,"NA")</f>
        <v>53.364632237871682</v>
      </c>
      <c r="O24" s="163"/>
    </row>
    <row r="25" spans="1:15" s="5" customFormat="1">
      <c r="A25" s="65" t="s">
        <v>27</v>
      </c>
      <c r="B25" s="65"/>
      <c r="C25" s="79">
        <f>IF(All!AN19&gt;0,All!AN19,"NA")</f>
        <v>1810</v>
      </c>
      <c r="D25" s="149">
        <f>IF(All!AI19&gt;0,(All!AN19-All!AI19)/(All!AI19)*100,"NA")</f>
        <v>-11.012782694198624</v>
      </c>
      <c r="E25" s="81">
        <f>IF(Women!AN19&gt;0,Women!AN19,"NA")</f>
        <v>853</v>
      </c>
      <c r="F25" s="149">
        <f>IF(Women!AI19&gt;0,(Women!AN19-Women!AI19)/(Women!AI19)*100,"NA")</f>
        <v>-13.663967611336034</v>
      </c>
      <c r="G25" s="85">
        <f>IF(All!AI19&gt;0,(Women!AI19/All!AI19)*100,"NA")</f>
        <v>48.574237954768925</v>
      </c>
      <c r="H25" s="34">
        <f>IF(All!AN19&gt;0,(Women!AN19/All!AN19)*100,"NA")</f>
        <v>47.127071823204417</v>
      </c>
      <c r="I25" s="84">
        <f>IF('Osteo All'!CK18&gt;0,('Osteo All'!CK18),"NA")</f>
        <v>1083</v>
      </c>
      <c r="J25" s="149">
        <f>IF('Osteo All'!BU18&gt;0,(('Osteo All'!CK18-'Osteo All'!BU18)/'Osteo All'!BU18)*100,"NA")</f>
        <v>29.390681003584231</v>
      </c>
      <c r="K25" s="84">
        <f>IF('Osteo All'!CM18&gt;0,('Osteo All'!CM18),"NA")</f>
        <v>503</v>
      </c>
      <c r="L25" s="149">
        <f>IF('Osteo All'!BW18&gt;0,(('Osteo All'!CM18-'Osteo All'!BW18)/'Osteo All'!BW18)*100,"NA")</f>
        <v>37.057220708446863</v>
      </c>
      <c r="M25" s="85">
        <f>IF('Osteo All'!BU18&gt;0,('Osteo All'!BW18/'Osteo All'!BU18)*100,"NA")</f>
        <v>43.847072879330945</v>
      </c>
      <c r="N25" s="34">
        <f>IF('Osteo All'!CK18&gt;0,('Osteo All'!CM18/'Osteo All'!CK18)*100,"NA")</f>
        <v>46.445060018467224</v>
      </c>
      <c r="O25" s="12"/>
    </row>
    <row r="26" spans="1:15" s="5" customFormat="1">
      <c r="A26" s="68" t="s">
        <v>28</v>
      </c>
      <c r="B26" s="68"/>
      <c r="C26" s="79">
        <f>IF(All!AN20&gt;0,All!AN20,"NA")</f>
        <v>6669</v>
      </c>
      <c r="D26" s="149">
        <f>IF(All!AI20&gt;0,(All!AN20-All!AI20)/(All!AI20)*100,"NA")</f>
        <v>6.9778633301251194</v>
      </c>
      <c r="E26" s="81">
        <f>IF(Women!AN20&gt;0,Women!AN20,"NA")</f>
        <v>3365</v>
      </c>
      <c r="F26" s="149">
        <f>IF(Women!AI20&gt;0,(Women!AN20-Women!AI20)/(Women!AI20)*100,"NA")</f>
        <v>16.315243691669547</v>
      </c>
      <c r="G26" s="85">
        <f>IF(All!AI20&gt;0,(Women!AI20/All!AI20)*100,"NA")</f>
        <v>46.406801411613728</v>
      </c>
      <c r="H26" s="34">
        <f>IF(All!AN20&gt;0,(Women!AN20/All!AN20)*100,"NA")</f>
        <v>50.457339931024137</v>
      </c>
      <c r="I26" s="84">
        <f>IF('Osteo All'!CK19&gt;0,('Osteo All'!CK19),"NA")</f>
        <v>1382</v>
      </c>
      <c r="J26" s="149">
        <f>IF('Osteo All'!BU19&gt;0,(('Osteo All'!CK19-'Osteo All'!BU19)/'Osteo All'!BU19)*100,"NA")</f>
        <v>49.083063646170444</v>
      </c>
      <c r="K26" s="84">
        <f>IF('Osteo All'!CM19&gt;0,('Osteo All'!CM19),"NA")</f>
        <v>751</v>
      </c>
      <c r="L26" s="149">
        <f>IF('Osteo All'!BW19&gt;0,(('Osteo All'!CM19-'Osteo All'!BW19)/'Osteo All'!BW19)*100,"NA")</f>
        <v>65.783664459161145</v>
      </c>
      <c r="M26" s="85">
        <f>IF('Osteo All'!BU19&gt;0,('Osteo All'!BW19/'Osteo All'!BU19)*100,"NA")</f>
        <v>48.867313915857608</v>
      </c>
      <c r="N26" s="34">
        <f>IF('Osteo All'!CK19&gt;0,('Osteo All'!CM19/'Osteo All'!CK19)*100,"NA")</f>
        <v>54.34153400868307</v>
      </c>
      <c r="O26" s="12"/>
    </row>
    <row r="27" spans="1:15" s="5" customFormat="1">
      <c r="A27" s="68" t="s">
        <v>29</v>
      </c>
      <c r="B27" s="68"/>
      <c r="C27" s="79">
        <f>IF(All!AN21&gt;0,All!AN21,"NA")</f>
        <v>2161</v>
      </c>
      <c r="D27" s="149">
        <f>IF(All!AI21&gt;0,(All!AN21-All!AI21)/(All!AI21)*100,"NA")</f>
        <v>-1.5489749430523918</v>
      </c>
      <c r="E27" s="81">
        <f>IF(Women!AN21&gt;0,Women!AN21,"NA")</f>
        <v>1038</v>
      </c>
      <c r="F27" s="149">
        <f>IF(Women!AI21&gt;0,(Women!AN21-Women!AI21)/(Women!AI21)*100,"NA")</f>
        <v>2.9761904761904758</v>
      </c>
      <c r="G27" s="85">
        <f>IF(All!AI21&gt;0,(Women!AI21/All!AI21)*100,"NA")</f>
        <v>45.922551252847384</v>
      </c>
      <c r="H27" s="34">
        <f>IF(All!AN21&gt;0,(Women!AN21/All!AN21)*100,"NA")</f>
        <v>48.03331790837575</v>
      </c>
      <c r="I27" s="84">
        <f>IF('Osteo All'!CK20&gt;0,('Osteo All'!CK20),"NA")</f>
        <v>1340</v>
      </c>
      <c r="J27" s="149">
        <f>IF('Osteo All'!BU20&gt;0,(('Osteo All'!CK20-'Osteo All'!BU20)/'Osteo All'!BU20)*100,"NA")</f>
        <v>47.577092511013213</v>
      </c>
      <c r="K27" s="84">
        <f>IF('Osteo All'!CM20&gt;0,('Osteo All'!CM20),"NA")</f>
        <v>672</v>
      </c>
      <c r="L27" s="149">
        <f>IF('Osteo All'!BW20&gt;0,(('Osteo All'!CM20-'Osteo All'!BW20)/'Osteo All'!BW20)*100,"NA")</f>
        <v>47.045951859956233</v>
      </c>
      <c r="M27" s="85">
        <f>IF('Osteo All'!BU20&gt;0,('Osteo All'!BW20/'Osteo All'!BU20)*100,"NA")</f>
        <v>50.330396475770925</v>
      </c>
      <c r="N27" s="34">
        <f>IF('Osteo All'!CK20&gt;0,('Osteo All'!CM20/'Osteo All'!CK20)*100,"NA")</f>
        <v>50.149253731343279</v>
      </c>
      <c r="O27" s="12"/>
    </row>
    <row r="28" spans="1:15" s="5" customFormat="1">
      <c r="A28" s="68" t="s">
        <v>30</v>
      </c>
      <c r="B28" s="68"/>
      <c r="C28" s="79">
        <f>IF(All!AN22&gt;0,All!AN22,"NA")</f>
        <v>784</v>
      </c>
      <c r="D28" s="149">
        <f>IF(All!AI22&gt;0,(All!AN22-All!AI22)/(All!AI22)*100,"NA")</f>
        <v>10.267229254571026</v>
      </c>
      <c r="E28" s="81">
        <f>IF(Women!AN22&gt;0,Women!AN22,"NA")</f>
        <v>367</v>
      </c>
      <c r="F28" s="149">
        <f>IF(Women!AI22&gt;0,(Women!AN22-Women!AI22)/(Women!AI22)*100,"NA")</f>
        <v>22.333333333333332</v>
      </c>
      <c r="G28" s="85">
        <f>IF(All!AI22&gt;0,(Women!AI22/All!AI22)*100,"NA")</f>
        <v>42.194092827004219</v>
      </c>
      <c r="H28" s="34">
        <f>IF(All!AN22&gt;0,(Women!AN22/All!AN22)*100,"NA")</f>
        <v>46.811224489795919</v>
      </c>
      <c r="I28" s="84">
        <f>IF('Osteo All'!CK21&gt;0,('Osteo All'!CK21),"NA")</f>
        <v>806</v>
      </c>
      <c r="J28" s="149">
        <f>IF('Osteo All'!BU21&gt;0,(('Osteo All'!CK21-'Osteo All'!BU21)/'Osteo All'!BU21)*100,"NA")</f>
        <v>-1.1042944785276074</v>
      </c>
      <c r="K28" s="84">
        <f>IF('Osteo All'!CM21&gt;0,('Osteo All'!CM21),"NA")</f>
        <v>391</v>
      </c>
      <c r="L28" s="149">
        <f>IF('Osteo All'!BW21&gt;0,(('Osteo All'!CM21-'Osteo All'!BW21)/'Osteo All'!BW21)*100,"NA")</f>
        <v>1.2953367875647668</v>
      </c>
      <c r="M28" s="85">
        <f>IF('Osteo All'!BU21&gt;0,('Osteo All'!BW21/'Osteo All'!BU21)*100,"NA")</f>
        <v>47.361963190184049</v>
      </c>
      <c r="N28" s="34">
        <f>IF('Osteo All'!CK21&gt;0,('Osteo All'!CM21/'Osteo All'!CK21)*100,"NA")</f>
        <v>48.511166253101742</v>
      </c>
      <c r="O28" s="12"/>
    </row>
    <row r="29" spans="1:15" s="5" customFormat="1">
      <c r="A29" s="173" t="s">
        <v>31</v>
      </c>
      <c r="B29" s="173"/>
      <c r="C29" s="168">
        <f>IF(All!AN23&gt;0,All!AN23,"NA")</f>
        <v>10812</v>
      </c>
      <c r="D29" s="147">
        <f>IF(All!AI23&gt;0,(All!AN23-All!AI23)/(All!AI23)*100,"NA")</f>
        <v>19.747480341123048</v>
      </c>
      <c r="E29" s="169">
        <f>IF(Women!AN23&gt;0,Women!AN23,"NA")</f>
        <v>5665</v>
      </c>
      <c r="F29" s="147">
        <f>IF(Women!AI23&gt;0,(Women!AN23-Women!AI23)/(Women!AI23)*100,"NA")</f>
        <v>26.592178770949719</v>
      </c>
      <c r="G29" s="125">
        <f>IF(All!AI23&gt;0,(Women!AI23/All!AI23)*100,"NA")</f>
        <v>49.562520766419318</v>
      </c>
      <c r="H29" s="170">
        <f>IF(All!AN23&gt;0,(Women!AN23/All!AN23)*100,"NA")</f>
        <v>52.39548649648539</v>
      </c>
      <c r="I29" s="171">
        <f>IF('Osteo All'!CK22&gt;0,('Osteo All'!CK22),"NA")</f>
        <v>6561</v>
      </c>
      <c r="J29" s="147">
        <f>IF('Osteo All'!BU22&gt;0,(('Osteo All'!CK22-'Osteo All'!BU22)/'Osteo All'!BU22)*100,"NA")</f>
        <v>33.00222988039733</v>
      </c>
      <c r="K29" s="171">
        <f>IF('Osteo All'!CM22&gt;0,('Osteo All'!CM22),"NA")</f>
        <v>2992</v>
      </c>
      <c r="L29" s="147">
        <f>IF('Osteo All'!BW22&gt;0,(('Osteo All'!CM22-'Osteo All'!BW22)/'Osteo All'!BW22)*100,"NA")</f>
        <v>42.748091603053432</v>
      </c>
      <c r="M29" s="125">
        <f>IF('Osteo All'!BU22&gt;0,('Osteo All'!BW22/'Osteo All'!BU22)*100,"NA")</f>
        <v>42.489357389012774</v>
      </c>
      <c r="N29" s="170">
        <f>IF('Osteo All'!CK22&gt;0,('Osteo All'!CM22/'Osteo All'!CK22)*100,"NA")</f>
        <v>45.602804450541072</v>
      </c>
      <c r="O29" s="12"/>
    </row>
    <row r="30" spans="1:15" s="5" customFormat="1">
      <c r="A30" s="68" t="s">
        <v>14</v>
      </c>
      <c r="B30" s="68"/>
      <c r="C30" s="75">
        <f>(C29/$C$10)*100</f>
        <v>12.564057869966883</v>
      </c>
      <c r="D30" s="149"/>
      <c r="E30" s="75">
        <f>(E29/$E$10)*100</f>
        <v>12.900507822284974</v>
      </c>
      <c r="F30" s="149"/>
      <c r="G30" s="85"/>
      <c r="H30" s="34"/>
      <c r="I30" s="85">
        <f>(I29/$I$10)*100</f>
        <v>20.721346682247418</v>
      </c>
      <c r="J30" s="149"/>
      <c r="K30" s="85">
        <f>(K29/$K$10)*100</f>
        <v>19.830328738069987</v>
      </c>
      <c r="L30" s="149"/>
      <c r="M30" s="85"/>
      <c r="N30" s="34"/>
      <c r="O30" s="12"/>
    </row>
    <row r="31" spans="1:15" s="164" customFormat="1" ht="15" customHeight="1">
      <c r="A31" s="69" t="s">
        <v>32</v>
      </c>
      <c r="B31" s="69"/>
      <c r="C31" s="78" t="str">
        <f>IF(All!AN25&gt;0,All!AN25,"NA")</f>
        <v>NA</v>
      </c>
      <c r="D31" s="157" t="str">
        <f>IF(All!AI25&gt;0,(All!AN25-All!AI25)/(All!AI25)*100,"NA")</f>
        <v>NA</v>
      </c>
      <c r="E31" s="83" t="str">
        <f>IF(Women!AN25&gt;0,Women!AN25,"NA")</f>
        <v>NA</v>
      </c>
      <c r="F31" s="157" t="str">
        <f>IF(Women!AI25&gt;0,(Women!AN25-Women!AI25)/(Women!AI25)*100,"NA")</f>
        <v>NA</v>
      </c>
      <c r="G31" s="86" t="str">
        <f>IF(All!AI25&gt;0,(Women!AI25/All!AI25)*100,"NA")</f>
        <v>NA</v>
      </c>
      <c r="H31" s="80" t="str">
        <f>IF(All!AN25&gt;0,(Women!AN25/All!AN25)*100,"NA")</f>
        <v>NA</v>
      </c>
      <c r="I31" s="82" t="str">
        <f>IF('Osteo All'!CK24&gt;0,('Osteo All'!CK24),"NA")</f>
        <v>NA</v>
      </c>
      <c r="J31" s="157" t="str">
        <f>IF('Osteo All'!BU24&gt;0,(('Osteo All'!CK24-'Osteo All'!BU24)/'Osteo All'!BU24)*100,"NA")</f>
        <v>NA</v>
      </c>
      <c r="K31" s="82" t="str">
        <f>IF('Osteo All'!CM24&gt;0,('Osteo All'!CM24),"NA")</f>
        <v>NA</v>
      </c>
      <c r="L31" s="157" t="str">
        <f>IF('Osteo All'!BW24&gt;0,(('Osteo All'!CM24-'Osteo All'!BW24)/'Osteo All'!BW24)*100,"NA")</f>
        <v>NA</v>
      </c>
      <c r="M31" s="86" t="str">
        <f>IF('Osteo All'!BU24&gt;0,('Osteo All'!BW24/'Osteo All'!BU24)*100,"NA")</f>
        <v>NA</v>
      </c>
      <c r="N31" s="80" t="str">
        <f>IF('Osteo All'!CK24&gt;0,('Osteo All'!CM24/'Osteo All'!CK24)*100,"NA")</f>
        <v>NA</v>
      </c>
      <c r="O31" s="163"/>
    </row>
    <row r="32" spans="1:15" s="164" customFormat="1" ht="15" customHeight="1">
      <c r="A32" s="70" t="s">
        <v>33</v>
      </c>
      <c r="B32" s="70"/>
      <c r="C32" s="78">
        <f>IF(All!AN26&gt;0,All!AN26,"NA")</f>
        <v>837</v>
      </c>
      <c r="D32" s="157">
        <f>IF(All!AI26&gt;0,(All!AN26-All!AI26)/(All!AI26)*100,"NA")</f>
        <v>10.860927152317881</v>
      </c>
      <c r="E32" s="83">
        <f>IF(Women!AN26&gt;0,Women!AN26,"NA")</f>
        <v>446</v>
      </c>
      <c r="F32" s="157">
        <f>IF(Women!AI26&gt;0,(Women!AN26-Women!AI26)/(Women!AI26)*100,"NA")</f>
        <v>13.197969543147209</v>
      </c>
      <c r="G32" s="86">
        <f>IF(All!AI26&gt;0,(Women!AI26/All!AI26)*100,"NA")</f>
        <v>52.185430463576154</v>
      </c>
      <c r="H32" s="80">
        <f>IF(All!AN26&gt;0,(Women!AN26/All!AN26)*100,"NA")</f>
        <v>53.28554360812425</v>
      </c>
      <c r="I32" s="82">
        <f>IF('Osteo All'!CK25&gt;0,('Osteo All'!CK25),"NA")</f>
        <v>1499</v>
      </c>
      <c r="J32" s="157">
        <f>IF('Osteo All'!BU25&gt;0,(('Osteo All'!CK25-'Osteo All'!BU25)/'Osteo All'!BU25)*100,"NA")</f>
        <v>2.7416038382453736</v>
      </c>
      <c r="K32" s="82">
        <f>IF('Osteo All'!CM25&gt;0,('Osteo All'!CM25),"NA")</f>
        <v>679</v>
      </c>
      <c r="L32" s="157">
        <f>IF('Osteo All'!BW25&gt;0,(('Osteo All'!CM25-'Osteo All'!BW25)/'Osteo All'!BW25)*100,"NA")</f>
        <v>22.122302158273381</v>
      </c>
      <c r="M32" s="86">
        <f>IF('Osteo All'!BU25&gt;0,('Osteo All'!BW25/'Osteo All'!BU25)*100,"NA")</f>
        <v>38.108293351610698</v>
      </c>
      <c r="N32" s="80">
        <f>IF('Osteo All'!CK25&gt;0,('Osteo All'!CM25/'Osteo All'!CK25)*100,"NA")</f>
        <v>45.296864576384252</v>
      </c>
      <c r="O32" s="163"/>
    </row>
    <row r="33" spans="1:15" s="164" customFormat="1" ht="15" customHeight="1">
      <c r="A33" s="70" t="s">
        <v>34</v>
      </c>
      <c r="B33" s="70"/>
      <c r="C33" s="78">
        <f>IF(All!AN27&gt;0,All!AN27,"NA")</f>
        <v>5633</v>
      </c>
      <c r="D33" s="157">
        <f>IF(All!AI27&gt;0,(All!AN27-All!AI27)/(All!AI27)*100,"NA")</f>
        <v>17.771273259460589</v>
      </c>
      <c r="E33" s="83">
        <f>IF(Women!AN27&gt;0,Women!AN27,"NA")</f>
        <v>2923</v>
      </c>
      <c r="F33" s="157">
        <f>IF(Women!AI27&gt;0,(Women!AN27-Women!AI27)/(Women!AI27)*100,"NA")</f>
        <v>24.807856532877882</v>
      </c>
      <c r="G33" s="86">
        <f>IF(All!AI27&gt;0,(Women!AI27/All!AI27)*100,"NA")</f>
        <v>48.965084674890235</v>
      </c>
      <c r="H33" s="80">
        <f>IF(All!AN27&gt;0,(Women!AN27/All!AN27)*100,"NA")</f>
        <v>51.890644416829403</v>
      </c>
      <c r="I33" s="82">
        <f>IF('Osteo All'!CK26&gt;0,('Osteo All'!CK26),"NA")</f>
        <v>1876</v>
      </c>
      <c r="J33" s="157">
        <f>IF('Osteo All'!BU26&gt;0,(('Osteo All'!CK26-'Osteo All'!BU26)/'Osteo All'!BU26)*100,"NA")</f>
        <v>-0.42462845010615713</v>
      </c>
      <c r="K33" s="82">
        <f>IF('Osteo All'!CM26&gt;0,('Osteo All'!CM26),"NA")</f>
        <v>899</v>
      </c>
      <c r="L33" s="157">
        <f>IF('Osteo All'!BW26&gt;0,(('Osteo All'!CM26-'Osteo All'!BW26)/'Osteo All'!BW26)*100,"NA")</f>
        <v>4.0509259259259256</v>
      </c>
      <c r="M33" s="86">
        <f>IF('Osteo All'!BU26&gt;0,('Osteo All'!BW26/'Osteo All'!BU26)*100,"NA")</f>
        <v>45.859872611464972</v>
      </c>
      <c r="N33" s="80">
        <f>IF('Osteo All'!CK26&gt;0,('Osteo All'!CM26/'Osteo All'!CK26)*100,"NA")</f>
        <v>47.921108742004265</v>
      </c>
      <c r="O33" s="163"/>
    </row>
    <row r="34" spans="1:15" s="164" customFormat="1" ht="15" customHeight="1">
      <c r="A34" s="70" t="s">
        <v>35</v>
      </c>
      <c r="B34" s="70"/>
      <c r="C34" s="78">
        <f>IF(All!AN28&gt;0,All!AN28,"NA")</f>
        <v>736</v>
      </c>
      <c r="D34" s="157">
        <f>IF(All!AI28&gt;0,(All!AN28-All!AI28)/(All!AI28)*100,"NA")</f>
        <v>9.6870342771982116</v>
      </c>
      <c r="E34" s="83">
        <f>IF(Women!AN28&gt;0,Women!AN28,"NA")</f>
        <v>378</v>
      </c>
      <c r="F34" s="157">
        <f>IF(Women!AI28&gt;0,(Women!AN28-Women!AI28)/(Women!AI28)*100,"NA")</f>
        <v>17.391304347826086</v>
      </c>
      <c r="G34" s="86">
        <f>IF(All!AI28&gt;0,(Women!AI28/All!AI28)*100,"NA")</f>
        <v>47.988077496274215</v>
      </c>
      <c r="H34" s="80">
        <f>IF(All!AN28&gt;0,(Women!AN28/All!AN28)*100,"NA")</f>
        <v>51.358695652173914</v>
      </c>
      <c r="I34" s="82">
        <f>IF('Osteo All'!CK27&gt;0,('Osteo All'!CK27),"NA")</f>
        <v>1024</v>
      </c>
      <c r="J34" s="157">
        <f>IF('Osteo All'!BU27&gt;0,(('Osteo All'!CK27-'Osteo All'!BU27)/'Osteo All'!BU27)*100,"NA")</f>
        <v>64.365971107544141</v>
      </c>
      <c r="K34" s="82">
        <f>IF('Osteo All'!CM27&gt;0,('Osteo All'!CM27),"NA")</f>
        <v>405</v>
      </c>
      <c r="L34" s="157">
        <f>IF('Osteo All'!BW27&gt;0,(('Osteo All'!CM27-'Osteo All'!BW27)/'Osteo All'!BW27)*100,"NA")</f>
        <v>50.557620817843862</v>
      </c>
      <c r="M34" s="86">
        <f>IF('Osteo All'!BU27&gt;0,('Osteo All'!BW27/'Osteo All'!BU27)*100,"NA")</f>
        <v>43.178170144462278</v>
      </c>
      <c r="N34" s="80">
        <f>IF('Osteo All'!CK27&gt;0,('Osteo All'!CM27/'Osteo All'!CK27)*100,"NA")</f>
        <v>39.55078125</v>
      </c>
      <c r="O34" s="163"/>
    </row>
    <row r="35" spans="1:15" s="5" customFormat="1" ht="15" customHeight="1">
      <c r="A35" s="71" t="s">
        <v>36</v>
      </c>
      <c r="B35" s="71"/>
      <c r="C35" s="77">
        <f>IF(All!AN29&gt;0,All!AN29,"NA")</f>
        <v>293</v>
      </c>
      <c r="D35" s="149">
        <f>IF(All!AI29&gt;0,(All!AN29-All!AI29)/(All!AI29)*100,"NA")</f>
        <v>8.518518518518519</v>
      </c>
      <c r="E35" s="81">
        <f>IF(Women!AN29&gt;0,Women!AN29,"NA")</f>
        <v>139</v>
      </c>
      <c r="F35" s="149">
        <f>IF(Women!AI29&gt;0,(Women!AN29-Women!AI29)/(Women!AI29)*100,"NA")</f>
        <v>-2.7972027972027971</v>
      </c>
      <c r="G35" s="85">
        <f>IF(All!AI29&gt;0,(Women!AI29/All!AI29)*100,"NA")</f>
        <v>52.962962962962969</v>
      </c>
      <c r="H35" s="34">
        <f>IF(All!AN29&gt;0,(Women!AN29/All!AN29)*100,"NA")</f>
        <v>47.44027303754266</v>
      </c>
      <c r="I35" s="84" t="str">
        <f>IF('Osteo All'!CK28&gt;0,('Osteo All'!CK28),"NA")</f>
        <v>NA</v>
      </c>
      <c r="J35" s="149" t="str">
        <f>IF('Osteo All'!BU28&gt;0,(('Osteo All'!CK28-'Osteo All'!BU28)/'Osteo All'!BU28)*100,"NA")</f>
        <v>NA</v>
      </c>
      <c r="K35" s="84" t="str">
        <f>IF('Osteo All'!CM28&gt;0,('Osteo All'!CM28),"NA")</f>
        <v>NA</v>
      </c>
      <c r="L35" s="149" t="str">
        <f>IF('Osteo All'!BW28&gt;0,(('Osteo All'!CM28-'Osteo All'!BW28)/'Osteo All'!BW28)*100,"NA")</f>
        <v>NA</v>
      </c>
      <c r="M35" s="85" t="str">
        <f>IF('Osteo All'!BU28&gt;0,('Osteo All'!BW28/'Osteo All'!BU28)*100,"NA")</f>
        <v>NA</v>
      </c>
      <c r="N35" s="34" t="str">
        <f>IF('Osteo All'!CK28&gt;0,('Osteo All'!CM28/'Osteo All'!CK28)*100,"NA")</f>
        <v>NA</v>
      </c>
      <c r="O35" s="12"/>
    </row>
    <row r="36" spans="1:15" s="5" customFormat="1" ht="15" customHeight="1">
      <c r="A36" s="71" t="s">
        <v>37</v>
      </c>
      <c r="B36" s="71"/>
      <c r="C36" s="77" t="str">
        <f>IF(All!AN30&gt;0,All!AN30,"NA")</f>
        <v>NA</v>
      </c>
      <c r="D36" s="149" t="str">
        <f>IF(All!AI30&gt;0,(All!AN30-All!AI30)/(All!AI30)*100,"NA")</f>
        <v>NA</v>
      </c>
      <c r="E36" s="81" t="str">
        <f>IF(Women!AN30&gt;0,Women!AN30,"NA")</f>
        <v>NA</v>
      </c>
      <c r="F36" s="149" t="str">
        <f>IF(Women!AI30&gt;0,(Women!AN30-Women!AI30)/(Women!AI30)*100,"NA")</f>
        <v>NA</v>
      </c>
      <c r="G36" s="85" t="str">
        <f>IF(All!AI30&gt;0,(Women!AI30/All!AI30)*100,"NA")</f>
        <v>NA</v>
      </c>
      <c r="H36" s="34" t="str">
        <f>IF(All!AN30&gt;0,(Women!AN30/All!AN30)*100,"NA")</f>
        <v>NA</v>
      </c>
      <c r="I36" s="84">
        <f>IF('Osteo All'!CK29&gt;0,('Osteo All'!CK29),"NA")</f>
        <v>330</v>
      </c>
      <c r="J36" s="149" t="str">
        <f>IF('Osteo All'!BU29&gt;0,(('Osteo All'!CK29-'Osteo All'!BU29)/'Osteo All'!BU29)*100,"NA")</f>
        <v>NA</v>
      </c>
      <c r="K36" s="84">
        <f>IF('Osteo All'!CM29&gt;0,('Osteo All'!CM29),"NA")</f>
        <v>120</v>
      </c>
      <c r="L36" s="149" t="str">
        <f>IF('Osteo All'!BW29&gt;0,(('Osteo All'!CM29-'Osteo All'!BW29)/'Osteo All'!BW29)*100,"NA")</f>
        <v>NA</v>
      </c>
      <c r="M36" s="85" t="str">
        <f>IF('Osteo All'!BU29&gt;0,('Osteo All'!BW29/'Osteo All'!BU29)*100,"NA")</f>
        <v>NA</v>
      </c>
      <c r="N36" s="34">
        <f>IF('Osteo All'!CK29&gt;0,('Osteo All'!CM29/'Osteo All'!CK29)*100,"NA")</f>
        <v>36.363636363636367</v>
      </c>
      <c r="O36" s="12"/>
    </row>
    <row r="37" spans="1:15" s="5" customFormat="1" ht="15" customHeight="1">
      <c r="A37" s="71" t="s">
        <v>38</v>
      </c>
      <c r="B37" s="71"/>
      <c r="C37" s="77" t="str">
        <f>IF(All!AN31&gt;0,All!AN31,"NA")</f>
        <v>NA</v>
      </c>
      <c r="D37" s="149" t="str">
        <f>IF(All!AI31&gt;0,(All!AN31-All!AI31)/(All!AI31)*100,"NA")</f>
        <v>NA</v>
      </c>
      <c r="E37" s="81" t="str">
        <f>IF(Women!AN31&gt;0,Women!AN31,"NA")</f>
        <v>NA</v>
      </c>
      <c r="F37" s="149" t="str">
        <f>IF(Women!AI31&gt;0,(Women!AN31-Women!AI31)/(Women!AI31)*100,"NA")</f>
        <v>NA</v>
      </c>
      <c r="G37" s="85" t="str">
        <f>IF(All!AI31&gt;0,(Women!AI31/All!AI31)*100,"NA")</f>
        <v>NA</v>
      </c>
      <c r="H37" s="34" t="str">
        <f>IF(All!AN31&gt;0,(Women!AN31/All!AN31)*100,"NA")</f>
        <v>NA</v>
      </c>
      <c r="I37" s="84" t="str">
        <f>IF('Osteo All'!CK30&gt;0,('Osteo All'!CK30),"NA")</f>
        <v>NA</v>
      </c>
      <c r="J37" s="149" t="str">
        <f>IF('Osteo All'!BU30&gt;0,(('Osteo All'!CK30-'Osteo All'!BU30)/'Osteo All'!BU30)*100,"NA")</f>
        <v>NA</v>
      </c>
      <c r="K37" s="84" t="str">
        <f>IF('Osteo All'!CM30&gt;0,('Osteo All'!CM30),"NA")</f>
        <v>NA</v>
      </c>
      <c r="L37" s="149" t="str">
        <f>IF('Osteo All'!BW30&gt;0,(('Osteo All'!CM30-'Osteo All'!BW30)/'Osteo All'!BW30)*100,"NA")</f>
        <v>NA</v>
      </c>
      <c r="M37" s="85" t="str">
        <f>IF('Osteo All'!BU30&gt;0,('Osteo All'!BW30/'Osteo All'!BU30)*100,"NA")</f>
        <v>NA</v>
      </c>
      <c r="N37" s="34" t="str">
        <f>IF('Osteo All'!CK30&gt;0,('Osteo All'!CM30/'Osteo All'!CK30)*100,"NA")</f>
        <v>NA</v>
      </c>
      <c r="O37" s="12"/>
    </row>
    <row r="38" spans="1:15" s="5" customFormat="1" ht="15" customHeight="1">
      <c r="A38" s="71" t="s">
        <v>39</v>
      </c>
      <c r="B38" s="71"/>
      <c r="C38" s="77">
        <f>IF(All!AN32&gt;0,All!AN32,"NA")</f>
        <v>449</v>
      </c>
      <c r="D38" s="149">
        <f>IF(All!AI32&gt;0,(All!AN32-All!AI32)/(All!AI32)*100,"NA")</f>
        <v>60.357142857142854</v>
      </c>
      <c r="E38" s="81">
        <f>IF(Women!AN32&gt;0,Women!AN32,"NA")</f>
        <v>214</v>
      </c>
      <c r="F38" s="149">
        <f>IF(Women!AI32&gt;0,(Women!AN32-Women!AI32)/(Women!AI32)*100,"NA")</f>
        <v>84.482758620689651</v>
      </c>
      <c r="G38" s="85">
        <f>IF(All!AI32&gt;0,(Women!AI32/All!AI32)*100,"NA")</f>
        <v>41.428571428571431</v>
      </c>
      <c r="H38" s="34">
        <f>IF(All!AN32&gt;0,(Women!AN32/All!AN32)*100,"NA")</f>
        <v>47.661469933184861</v>
      </c>
      <c r="I38" s="84">
        <f>IF('Osteo All'!CK31&gt;0,('Osteo All'!CK31),"NA")</f>
        <v>631</v>
      </c>
      <c r="J38" s="149">
        <f>IF('Osteo All'!BU31&gt;0,(('Osteo All'!CK31-'Osteo All'!BU31)/'Osteo All'!BU31)*100,"NA")</f>
        <v>17.723880597014926</v>
      </c>
      <c r="K38" s="84">
        <f>IF('Osteo All'!CM31&gt;0,('Osteo All'!CM31),"NA")</f>
        <v>267</v>
      </c>
      <c r="L38" s="149">
        <f>IF('Osteo All'!BW31&gt;0,(('Osteo All'!CM31-'Osteo All'!BW31)/'Osteo All'!BW31)*100,"NA")</f>
        <v>27.142857142857142</v>
      </c>
      <c r="M38" s="85">
        <f>IF('Osteo All'!BU31&gt;0,('Osteo All'!BW31/'Osteo All'!BU31)*100,"NA")</f>
        <v>39.179104477611943</v>
      </c>
      <c r="N38" s="34">
        <f>IF('Osteo All'!CK31&gt;0,('Osteo All'!CM31/'Osteo All'!CK31)*100,"NA")</f>
        <v>42.313787638668785</v>
      </c>
      <c r="O38" s="12"/>
    </row>
    <row r="39" spans="1:15" s="164" customFormat="1" ht="15" customHeight="1">
      <c r="A39" s="72" t="s">
        <v>40</v>
      </c>
      <c r="B39" s="72"/>
      <c r="C39" s="78">
        <f>IF(All!AN33&gt;0,All!AN33,"NA")</f>
        <v>426</v>
      </c>
      <c r="D39" s="157">
        <f>IF(All!AI33&gt;0,(All!AN33-All!AI33)/(All!AI33)*100,"NA")</f>
        <v>-2.7397260273972601</v>
      </c>
      <c r="E39" s="83">
        <f>IF(Women!AN33&gt;0,Women!AN33,"NA")</f>
        <v>242</v>
      </c>
      <c r="F39" s="157">
        <f>IF(Women!AI33&gt;0,(Women!AN33-Women!AI33)/(Women!AI33)*100,"NA")</f>
        <v>5.2173913043478262</v>
      </c>
      <c r="G39" s="86">
        <f>IF(All!AI33&gt;0,(Women!AI33/All!AI33)*100,"NA")</f>
        <v>52.51141552511416</v>
      </c>
      <c r="H39" s="80">
        <f>IF(All!AN33&gt;0,(Women!AN33/All!AN33)*100,"NA")</f>
        <v>56.8075117370892</v>
      </c>
      <c r="I39" s="82">
        <f>IF('Osteo All'!CK32&gt;0,('Osteo All'!CK32),"NA")</f>
        <v>621</v>
      </c>
      <c r="J39" s="157" t="str">
        <f>IF('Osteo All'!BU32&gt;0,(('Osteo All'!CK32-'Osteo All'!BU32)/'Osteo All'!BU32)*100,"NA")</f>
        <v>NA</v>
      </c>
      <c r="K39" s="82">
        <f>IF('Osteo All'!CM32&gt;0,('Osteo All'!CM32),"NA")</f>
        <v>309</v>
      </c>
      <c r="L39" s="157" t="str">
        <f>IF('Osteo All'!BW32&gt;0,(('Osteo All'!CM32-'Osteo All'!BW32)/'Osteo All'!BW32)*100,"NA")</f>
        <v>NA</v>
      </c>
      <c r="M39" s="86" t="str">
        <f>IF('Osteo All'!BU32&gt;0,('Osteo All'!BW32/'Osteo All'!BU32)*100,"NA")</f>
        <v>NA</v>
      </c>
      <c r="N39" s="80">
        <f>IF('Osteo All'!CK32&gt;0,('Osteo All'!CM32/'Osteo All'!CK32)*100,"NA")</f>
        <v>49.75845410628019</v>
      </c>
      <c r="O39" s="163"/>
    </row>
    <row r="40" spans="1:15" s="164" customFormat="1" ht="15" customHeight="1">
      <c r="A40" s="72" t="s">
        <v>41</v>
      </c>
      <c r="B40" s="72"/>
      <c r="C40" s="78">
        <f>IF(All!AN34&gt;0,All!AN34,"NA")</f>
        <v>630</v>
      </c>
      <c r="D40" s="157">
        <f>IF(All!AI34&gt;0,(All!AN34-All!AI34)/(All!AI34)*100,"NA")</f>
        <v>19.771863117870723</v>
      </c>
      <c r="E40" s="83">
        <f>IF(Women!AN34&gt;0,Women!AN34,"NA")</f>
        <v>365</v>
      </c>
      <c r="F40" s="157">
        <f>IF(Women!AI34&gt;0,(Women!AN34-Women!AI34)/(Women!AI34)*100,"NA")</f>
        <v>42.578125</v>
      </c>
      <c r="G40" s="86">
        <f>IF(All!AI34&gt;0,(Women!AI34/All!AI34)*100,"NA")</f>
        <v>48.669201520912544</v>
      </c>
      <c r="H40" s="80">
        <f>IF(All!AN34&gt;0,(Women!AN34/All!AN34)*100,"NA")</f>
        <v>57.936507936507944</v>
      </c>
      <c r="I40" s="82" t="str">
        <f>IF('Osteo All'!CK33&gt;0,('Osteo All'!CK33),"NA")</f>
        <v>NA</v>
      </c>
      <c r="J40" s="157" t="str">
        <f>IF('Osteo All'!BU33&gt;0,(('Osteo All'!CK33-'Osteo All'!BU33)/'Osteo All'!BU33)*100,"NA")</f>
        <v>NA</v>
      </c>
      <c r="K40" s="82" t="str">
        <f>IF('Osteo All'!CM33&gt;0,('Osteo All'!CM33),"NA")</f>
        <v>NA</v>
      </c>
      <c r="L40" s="157" t="str">
        <f>IF('Osteo All'!BW33&gt;0,(('Osteo All'!CM33-'Osteo All'!BW33)/'Osteo All'!BW33)*100,"NA")</f>
        <v>NA</v>
      </c>
      <c r="M40" s="86" t="str">
        <f>IF('Osteo All'!BU33&gt;0,('Osteo All'!BW33/'Osteo All'!BU33)*100,"NA")</f>
        <v>NA</v>
      </c>
      <c r="N40" s="80" t="str">
        <f>IF('Osteo All'!CK33&gt;0,('Osteo All'!CM33/'Osteo All'!CK33)*100,"NA")</f>
        <v>NA</v>
      </c>
      <c r="O40" s="163"/>
    </row>
    <row r="41" spans="1:15" s="164" customFormat="1" ht="15" customHeight="1">
      <c r="A41" s="72" t="s">
        <v>42</v>
      </c>
      <c r="B41" s="72"/>
      <c r="C41" s="78">
        <f>IF(All!AN35&gt;0,All!AN35,"NA")</f>
        <v>499</v>
      </c>
      <c r="D41" s="157">
        <f>IF(All!AI35&gt;0,(All!AN35-All!AI35)/(All!AI35)*100,"NA")</f>
        <v>35.597826086956523</v>
      </c>
      <c r="E41" s="83">
        <f>IF(Women!AN35&gt;0,Women!AN35,"NA")</f>
        <v>219</v>
      </c>
      <c r="F41" s="157">
        <f>IF(Women!AI35&gt;0,(Women!AN35-Women!AI35)/(Women!AI35)*100,"NA")</f>
        <v>34.355828220858896</v>
      </c>
      <c r="G41" s="86">
        <f>IF(All!AI35&gt;0,(Women!AI35/All!AI35)*100,"NA")</f>
        <v>44.29347826086957</v>
      </c>
      <c r="H41" s="80">
        <f>IF(All!AN35&gt;0,(Women!AN35/All!AN35)*100,"NA")</f>
        <v>43.887775551102202</v>
      </c>
      <c r="I41" s="82" t="str">
        <f>IF('Osteo All'!CK34&gt;0,('Osteo All'!CK34),"NA")</f>
        <v>NA</v>
      </c>
      <c r="J41" s="157" t="str">
        <f>IF('Osteo All'!BU34&gt;0,(('Osteo All'!CK34-'Osteo All'!BU34)/'Osteo All'!BU34)*100,"NA")</f>
        <v>NA</v>
      </c>
      <c r="K41" s="82" t="str">
        <f>IF('Osteo All'!CM34&gt;0,('Osteo All'!CM34),"NA")</f>
        <v>NA</v>
      </c>
      <c r="L41" s="157" t="str">
        <f>IF('Osteo All'!BW34&gt;0,(('Osteo All'!CM34-'Osteo All'!BW34)/'Osteo All'!BW34)*100,"NA")</f>
        <v>NA</v>
      </c>
      <c r="M41" s="86" t="str">
        <f>IF('Osteo All'!BU34&gt;0,('Osteo All'!BW34/'Osteo All'!BU34)*100,"NA")</f>
        <v>NA</v>
      </c>
      <c r="N41" s="80" t="str">
        <f>IF('Osteo All'!CK34&gt;0,('Osteo All'!CM34/'Osteo All'!CK34)*100,"NA")</f>
        <v>NA</v>
      </c>
      <c r="O41" s="163"/>
    </row>
    <row r="42" spans="1:15" s="164" customFormat="1" ht="15" customHeight="1">
      <c r="A42" s="72" t="s">
        <v>43</v>
      </c>
      <c r="B42" s="72"/>
      <c r="C42" s="78">
        <f>IF(All!AN36&gt;0,All!AN36,"NA")</f>
        <v>1309</v>
      </c>
      <c r="D42" s="157">
        <f>IF(All!AI36&gt;0,(All!AN36-All!AI36)/(All!AI36)*100,"NA")</f>
        <v>39.552238805970148</v>
      </c>
      <c r="E42" s="83">
        <f>IF(Women!AN36&gt;0,Women!AN36,"NA")</f>
        <v>739</v>
      </c>
      <c r="F42" s="157">
        <f>IF(Women!AI36&gt;0,(Women!AN36-Women!AI36)/(Women!AI36)*100,"NA")</f>
        <v>45.186640471512767</v>
      </c>
      <c r="G42" s="86">
        <f>IF(All!AI36&gt;0,(Women!AI36/All!AI36)*100,"NA")</f>
        <v>54.264392324093812</v>
      </c>
      <c r="H42" s="80">
        <f>IF(All!AN36&gt;0,(Women!AN36/All!AN36)*100,"NA")</f>
        <v>56.455309396485866</v>
      </c>
      <c r="I42" s="82">
        <f>IF('Osteo All'!CK35&gt;0,('Osteo All'!CK35),"NA")</f>
        <v>580</v>
      </c>
      <c r="J42" s="157">
        <f>IF('Osteo All'!BU35&gt;0,(('Osteo All'!CK35-'Osteo All'!BU35)/'Osteo All'!BU35)*100,"NA")</f>
        <v>34.570765661252899</v>
      </c>
      <c r="K42" s="82">
        <f>IF('Osteo All'!CM35&gt;0,('Osteo All'!CM35),"NA")</f>
        <v>313</v>
      </c>
      <c r="L42" s="157">
        <f>IF('Osteo All'!BW35&gt;0,(('Osteo All'!CM35-'Osteo All'!BW35)/'Osteo All'!BW35)*100,"NA")</f>
        <v>58.883248730964468</v>
      </c>
      <c r="M42" s="86">
        <f>IF('Osteo All'!BU35&gt;0,('Osteo All'!BW35/'Osteo All'!BU35)*100,"NA")</f>
        <v>45.707656612529</v>
      </c>
      <c r="N42" s="80">
        <f>IF('Osteo All'!CK35&gt;0,('Osteo All'!CM35/'Osteo All'!CK35)*100,"NA")</f>
        <v>53.96551724137931</v>
      </c>
      <c r="O42" s="163"/>
    </row>
    <row r="43" spans="1:15" s="164" customFormat="1" ht="15" customHeight="1">
      <c r="A43" s="72" t="s">
        <v>44</v>
      </c>
      <c r="B43" s="72"/>
      <c r="C43" s="78" t="str">
        <f>IF(All!AN37&gt;0,All!AN37,"NA")</f>
        <v>NA</v>
      </c>
      <c r="D43" s="157" t="str">
        <f>IF(All!AI37&gt;0,(All!AN37-All!AI37)/(All!AI37)*100,"NA")</f>
        <v>NA</v>
      </c>
      <c r="E43" s="83" t="str">
        <f>IF(Women!AN37&gt;0,Women!AN37,"NA")</f>
        <v>NA</v>
      </c>
      <c r="F43" s="157" t="str">
        <f>IF(Women!AI37&gt;0,(Women!AN37-Women!AI37)/(Women!AI37)*100,"NA")</f>
        <v>NA</v>
      </c>
      <c r="G43" s="86" t="str">
        <f>IF(All!AI37&gt;0,(Women!AI37/All!AI37)*100,"NA")</f>
        <v>NA</v>
      </c>
      <c r="H43" s="80" t="str">
        <f>IF(All!AN37&gt;0,(Women!AN37/All!AN37)*100,"NA")</f>
        <v>NA</v>
      </c>
      <c r="I43" s="82" t="str">
        <f>IF('Osteo All'!CK36&gt;0,('Osteo All'!CK36),"NA")</f>
        <v>NA</v>
      </c>
      <c r="J43" s="157" t="str">
        <f>IF('Osteo All'!BU36&gt;0,(('Osteo All'!CK36-'Osteo All'!BU36)/'Osteo All'!BU36)*100,"NA")</f>
        <v>NA</v>
      </c>
      <c r="K43" s="82" t="str">
        <f>IF('Osteo All'!CM36&gt;0,('Osteo All'!CM36),"NA")</f>
        <v>NA</v>
      </c>
      <c r="L43" s="157" t="str">
        <f>IF('Osteo All'!BW36&gt;0,(('Osteo All'!CM36-'Osteo All'!BW36)/'Osteo All'!BW36)*100,"NA")</f>
        <v>NA</v>
      </c>
      <c r="M43" s="86" t="str">
        <f>IF('Osteo All'!BU36&gt;0,('Osteo All'!BW36/'Osteo All'!BU36)*100,"NA")</f>
        <v>NA</v>
      </c>
      <c r="N43" s="80" t="str">
        <f>IF('Osteo All'!CK36&gt;0,('Osteo All'!CM36/'Osteo All'!CK36)*100,"NA")</f>
        <v>NA</v>
      </c>
      <c r="O43" s="163"/>
    </row>
    <row r="44" spans="1:15" s="5" customFormat="1" ht="15" customHeight="1">
      <c r="A44" s="167" t="s">
        <v>45</v>
      </c>
      <c r="B44" s="167"/>
      <c r="C44" s="172">
        <f>IF(All!AN38&gt;0,All!AN38,"NA")</f>
        <v>22692</v>
      </c>
      <c r="D44" s="147">
        <f>IF(All!AI38&gt;0,(All!AN38-All!AI38)/(All!AI38)*100,"NA")</f>
        <v>7.4380947871786365</v>
      </c>
      <c r="E44" s="169">
        <f>IF(Women!AN38&gt;0,Women!AN38,"NA")</f>
        <v>11405</v>
      </c>
      <c r="F44" s="147">
        <f>IF(Women!AI38&gt;0,(Women!AN38-Women!AI38)/(Women!AI38)*100,"NA")</f>
        <v>14.657685734392278</v>
      </c>
      <c r="G44" s="125">
        <f>IF(All!AI38&gt;0,(Women!AI38/All!AI38)*100,"NA")</f>
        <v>47.095307987311209</v>
      </c>
      <c r="H44" s="170">
        <f>IF(All!AN38&gt;0,(Women!AN38/All!AN38)*100,"NA")</f>
        <v>50.260003525471532</v>
      </c>
      <c r="I44" s="171">
        <f>IF('Osteo All'!CK37&gt;0,('Osteo All'!CK37),"NA")</f>
        <v>6794</v>
      </c>
      <c r="J44" s="147">
        <f>IF('Osteo All'!BU37&gt;0,(('Osteo All'!CK37-'Osteo All'!BU37)/'Osteo All'!BU37)*100,"NA")</f>
        <v>22.062522457779373</v>
      </c>
      <c r="K44" s="171">
        <f>IF('Osteo All'!CM37&gt;0,('Osteo All'!CM37),"NA")</f>
        <v>3103</v>
      </c>
      <c r="L44" s="147">
        <f>IF('Osteo All'!BW37&gt;0,(('Osteo All'!CM37-'Osteo All'!BW37)/'Osteo All'!BW37)*100,"NA")</f>
        <v>28.541839270919635</v>
      </c>
      <c r="M44" s="125">
        <f>IF('Osteo All'!BU37&gt;0,('Osteo All'!BW37/'Osteo All'!BU37)*100,"NA")</f>
        <v>43.370463528566297</v>
      </c>
      <c r="N44" s="170">
        <f>IF('Osteo All'!CK37&gt;0,('Osteo All'!CM37/'Osteo All'!CK37)*100,"NA")</f>
        <v>45.67265234030026</v>
      </c>
      <c r="O44" s="12"/>
    </row>
    <row r="45" spans="1:15" s="5" customFormat="1" ht="15" customHeight="1">
      <c r="A45" s="151" t="s">
        <v>14</v>
      </c>
      <c r="B45" s="151"/>
      <c r="C45" s="34">
        <f>(C44/$C$10)*100</f>
        <v>26.369182499564232</v>
      </c>
      <c r="D45" s="149"/>
      <c r="E45" s="75">
        <f>(E44/$E$10)*100</f>
        <v>25.971807892879102</v>
      </c>
      <c r="F45" s="149"/>
      <c r="G45" s="85"/>
      <c r="H45" s="34"/>
      <c r="I45" s="85">
        <f>(I44/$I$10)*100</f>
        <v>21.45722136247355</v>
      </c>
      <c r="J45" s="149"/>
      <c r="K45" s="85">
        <f>(K44/$K$10)*100</f>
        <v>20.566012725344645</v>
      </c>
      <c r="L45" s="149"/>
      <c r="M45" s="85"/>
      <c r="N45" s="34"/>
      <c r="O45" s="12"/>
    </row>
    <row r="46" spans="1:15" s="164" customFormat="1" ht="15" customHeight="1">
      <c r="A46" s="70" t="s">
        <v>46</v>
      </c>
      <c r="B46" s="70"/>
      <c r="C46" s="76">
        <f>IF(All!AN40&gt;0,All!AN40,"NA")</f>
        <v>4621</v>
      </c>
      <c r="D46" s="157">
        <f>IF(All!AI40&gt;0,(All!AN40-All!AI40)/(All!AI40)*100,"NA")</f>
        <v>1.3155009866257399</v>
      </c>
      <c r="E46" s="83">
        <f>IF(Women!AN40&gt;0,Women!AN40,"NA")</f>
        <v>2299</v>
      </c>
      <c r="F46" s="157">
        <f>IF(Women!AI40&gt;0,(Women!AN40-Women!AI40)/(Women!AI40)*100,"NA")</f>
        <v>6.9302325581395348</v>
      </c>
      <c r="G46" s="86">
        <f>IF(All!AI40&gt;0,(Women!AI40/All!AI40)*100,"NA")</f>
        <v>47.138785354089016</v>
      </c>
      <c r="H46" s="80">
        <f>IF(All!AN40&gt;0,(Women!AN40/All!AN40)*100,"NA")</f>
        <v>49.751136117723441</v>
      </c>
      <c r="I46" s="82">
        <f>IF('Osteo All'!CK39&gt;0,('Osteo All'!CK39),"NA")</f>
        <v>809</v>
      </c>
      <c r="J46" s="157">
        <f>IF('Osteo All'!BU39&gt;0,(('Osteo All'!CK39-'Osteo All'!BU39)/'Osteo All'!BU39)*100,"NA")</f>
        <v>-0.24660912453760789</v>
      </c>
      <c r="K46" s="83">
        <f>IF('Osteo All'!CM39&gt;0,('Osteo All'!CM39),"NA")</f>
        <v>371</v>
      </c>
      <c r="L46" s="157">
        <f>IF('Osteo All'!BW39&gt;0,(('Osteo All'!CM39-'Osteo All'!BW39)/'Osteo All'!BW39)*100,"NA")</f>
        <v>7.8488372093023253</v>
      </c>
      <c r="M46" s="86">
        <f>IF('Osteo All'!BU39&gt;0,('Osteo All'!BW39/'Osteo All'!BU39)*100,"NA")</f>
        <v>42.416769420468562</v>
      </c>
      <c r="N46" s="80">
        <f>IF('Osteo All'!CK39&gt;0,('Osteo All'!CM39/'Osteo All'!CK39)*100,"NA")</f>
        <v>45.859085290482078</v>
      </c>
      <c r="O46" s="163"/>
    </row>
    <row r="47" spans="1:15" s="164" customFormat="1" ht="15" customHeight="1">
      <c r="A47" s="70" t="s">
        <v>47</v>
      </c>
      <c r="B47" s="70"/>
      <c r="C47" s="76">
        <f>IF(All!AN41&gt;0,All!AN41,"NA")</f>
        <v>1436</v>
      </c>
      <c r="D47" s="157">
        <f>IF(All!AI41&gt;0,(All!AN41-All!AI41)/(All!AI41)*100,"NA")</f>
        <v>3.8322487346348515</v>
      </c>
      <c r="E47" s="83">
        <f>IF(Women!AN41&gt;0,Women!AN41,"NA")</f>
        <v>658</v>
      </c>
      <c r="F47" s="157">
        <f>IF(Women!AI41&gt;0,(Women!AN41-Women!AI41)/(Women!AI41)*100,"NA")</f>
        <v>5.4487179487179489</v>
      </c>
      <c r="G47" s="86">
        <f>IF(All!AI41&gt;0,(Women!AI41/All!AI41)*100,"NA")</f>
        <v>45.119305856832966</v>
      </c>
      <c r="H47" s="80">
        <f>IF(All!AN41&gt;0,(Women!AN41/All!AN41)*100,"NA")</f>
        <v>45.82172701949861</v>
      </c>
      <c r="I47" s="82">
        <f>IF('Osteo All'!CK40&gt;0,('Osteo All'!CK40),"NA")</f>
        <v>636</v>
      </c>
      <c r="J47" s="157">
        <f>IF('Osteo All'!BU40&gt;0,(('Osteo All'!CK40-'Osteo All'!BU40)/'Osteo All'!BU40)*100,"NA")</f>
        <v>98.75</v>
      </c>
      <c r="K47" s="83">
        <f>IF('Osteo All'!CM40&gt;0,('Osteo All'!CM40),"NA")</f>
        <v>313</v>
      </c>
      <c r="L47" s="157">
        <f>IF('Osteo All'!BW40&gt;0,(('Osteo All'!CM40-'Osteo All'!BW40)/'Osteo All'!BW40)*100,"NA")</f>
        <v>100.64102564102564</v>
      </c>
      <c r="M47" s="86">
        <f>IF('Osteo All'!BU40&gt;0,('Osteo All'!BW40/'Osteo All'!BU40)*100,"NA")</f>
        <v>48.75</v>
      </c>
      <c r="N47" s="80">
        <f>IF('Osteo All'!CK40&gt;0,('Osteo All'!CM40/'Osteo All'!CK40)*100,"NA")</f>
        <v>49.213836477987421</v>
      </c>
      <c r="O47" s="163"/>
    </row>
    <row r="48" spans="1:15" s="164" customFormat="1" ht="15" customHeight="1">
      <c r="A48" s="70" t="s">
        <v>48</v>
      </c>
      <c r="B48" s="70"/>
      <c r="C48" s="76">
        <f>IF(All!AN42&gt;0,All!AN42,"NA")</f>
        <v>609</v>
      </c>
      <c r="D48" s="157">
        <f>IF(All!AI42&gt;0,(All!AN42-All!AI42)/(All!AI42)*100,"NA")</f>
        <v>0.1644736842105263</v>
      </c>
      <c r="E48" s="83">
        <f>IF(Women!AN42&gt;0,Women!AN42,"NA")</f>
        <v>293</v>
      </c>
      <c r="F48" s="157">
        <f>IF(Women!AI42&gt;0,(Women!AN42-Women!AI42)/(Women!AI42)*100,"NA")</f>
        <v>13.127413127413126</v>
      </c>
      <c r="G48" s="86">
        <f>IF(All!AI42&gt;0,(Women!AI42/All!AI42)*100,"NA")</f>
        <v>42.598684210526315</v>
      </c>
      <c r="H48" s="80">
        <f>IF(All!AN42&gt;0,(Women!AN42/All!AN42)*100,"NA")</f>
        <v>48.111658456486047</v>
      </c>
      <c r="I48" s="82">
        <f>IF('Osteo All'!CK41&gt;0,('Osteo All'!CK41),"NA")</f>
        <v>879</v>
      </c>
      <c r="J48" s="157">
        <f>IF('Osteo All'!BU41&gt;0,(('Osteo All'!CK41-'Osteo All'!BU41)/'Osteo All'!BU41)*100,"NA")</f>
        <v>0.45714285714285718</v>
      </c>
      <c r="K48" s="83">
        <f>IF('Osteo All'!CM41&gt;0,('Osteo All'!CM41),"NA")</f>
        <v>370</v>
      </c>
      <c r="L48" s="157">
        <f>IF('Osteo All'!BW41&gt;0,(('Osteo All'!CM41-'Osteo All'!BW41)/'Osteo All'!BW41)*100,"NA")</f>
        <v>3.0640668523676879</v>
      </c>
      <c r="M48" s="86">
        <f>IF('Osteo All'!BU41&gt;0,('Osteo All'!BW41/'Osteo All'!BU41)*100,"NA")</f>
        <v>41.028571428571432</v>
      </c>
      <c r="N48" s="80">
        <f>IF('Osteo All'!CK41&gt;0,('Osteo All'!CM41/'Osteo All'!CK41)*100,"NA")</f>
        <v>42.093287827076225</v>
      </c>
      <c r="O48" s="163"/>
    </row>
    <row r="49" spans="1:15" s="164" customFormat="1" ht="15" customHeight="1">
      <c r="A49" s="70" t="s">
        <v>49</v>
      </c>
      <c r="B49" s="70"/>
      <c r="C49" s="76">
        <f>IF(All!AN43&gt;0,All!AN43,"NA")</f>
        <v>835</v>
      </c>
      <c r="D49" s="157">
        <f>IF(All!AI43&gt;0,(All!AN43-All!AI43)/(All!AI43)*100,"NA")</f>
        <v>1.4580801944106925</v>
      </c>
      <c r="E49" s="83">
        <f>IF(Women!AN43&gt;0,Women!AN43,"NA")</f>
        <v>400</v>
      </c>
      <c r="F49" s="157">
        <f>IF(Women!AI43&gt;0,(Women!AN43-Women!AI43)/(Women!AI43)*100,"NA")</f>
        <v>10.803324099722991</v>
      </c>
      <c r="G49" s="86">
        <f>IF(All!AI43&gt;0,(Women!AI43/All!AI43)*100,"NA")</f>
        <v>43.863912515188339</v>
      </c>
      <c r="H49" s="80">
        <f>IF(All!AN43&gt;0,(Women!AN43/All!AN43)*100,"NA")</f>
        <v>47.904191616766468</v>
      </c>
      <c r="I49" s="82" t="str">
        <f>IF('Osteo All'!CK42&gt;0,('Osteo All'!CK42),"NA")</f>
        <v>NA</v>
      </c>
      <c r="J49" s="157" t="str">
        <f>IF('Osteo All'!BU42&gt;0,(('Osteo All'!CK42-'Osteo All'!BU42)/'Osteo All'!BU42)*100,"NA")</f>
        <v>NA</v>
      </c>
      <c r="K49" s="83" t="str">
        <f>IF('Osteo All'!CM42&gt;0,('Osteo All'!CM42),"NA")</f>
        <v>NA</v>
      </c>
      <c r="L49" s="157" t="str">
        <f>IF('Osteo All'!BW42&gt;0,(('Osteo All'!CM42-'Osteo All'!BW42)/'Osteo All'!BW42)*100,"NA")</f>
        <v>NA</v>
      </c>
      <c r="M49" s="86" t="str">
        <f>IF('Osteo All'!BU42&gt;0,('Osteo All'!BW42/'Osteo All'!BU42)*100,"NA")</f>
        <v>NA</v>
      </c>
      <c r="N49" s="80" t="str">
        <f>IF('Osteo All'!CK42&gt;0,('Osteo All'!CM42/'Osteo All'!CK42)*100,"NA")</f>
        <v>NA</v>
      </c>
      <c r="O49" s="163"/>
    </row>
    <row r="50" spans="1:15" s="5" customFormat="1" ht="15" customHeight="1">
      <c r="A50" s="71" t="s">
        <v>50</v>
      </c>
      <c r="B50" s="71"/>
      <c r="C50" s="79">
        <f>IF(All!AN44&gt;0,All!AN44,"NA")</f>
        <v>3956</v>
      </c>
      <c r="D50" s="149">
        <f>IF(All!AI44&gt;0,(All!AN44-All!AI44)/(All!AI44)*100,"NA")</f>
        <v>19.084888621312462</v>
      </c>
      <c r="E50" s="81">
        <f>IF(Women!AN44&gt;0,Women!AN44,"NA")</f>
        <v>2093</v>
      </c>
      <c r="F50" s="149">
        <f>IF(Women!AI44&gt;0,(Women!AN44-Women!AI44)/(Women!AI44)*100,"NA")</f>
        <v>30</v>
      </c>
      <c r="G50" s="85">
        <f>IF(All!AI44&gt;0,(Women!AI44/All!AI44)*100,"NA")</f>
        <v>48.464780252859725</v>
      </c>
      <c r="H50" s="34">
        <f>IF(All!AN44&gt;0,(Women!AN44/All!AN44)*100,"NA")</f>
        <v>52.906976744186053</v>
      </c>
      <c r="I50" s="84">
        <f>IF('Osteo All'!CK43&gt;0,('Osteo All'!CK43),"NA")</f>
        <v>1251</v>
      </c>
      <c r="J50" s="149">
        <f>IF('Osteo All'!BU43&gt;0,(('Osteo All'!CK43-'Osteo All'!BU43)/'Osteo All'!BU43)*100,"NA")</f>
        <v>1.2955465587044535</v>
      </c>
      <c r="K50" s="81">
        <f>IF('Osteo All'!CM43&gt;0,('Osteo All'!CM43),"NA")</f>
        <v>610</v>
      </c>
      <c r="L50" s="149">
        <f>IF('Osteo All'!BW43&gt;0,(('Osteo All'!CM43-'Osteo All'!BW43)/'Osteo All'!BW43)*100,"NA")</f>
        <v>14.232209737827715</v>
      </c>
      <c r="M50" s="85">
        <f>IF('Osteo All'!BU43&gt;0,('Osteo All'!BW43/'Osteo All'!BU43)*100,"NA")</f>
        <v>43.238866396761132</v>
      </c>
      <c r="N50" s="34">
        <f>IF('Osteo All'!CK43&gt;0,('Osteo All'!CM43/'Osteo All'!CK43)*100,"NA")</f>
        <v>48.760991207034373</v>
      </c>
      <c r="O50" s="12"/>
    </row>
    <row r="51" spans="1:15" s="5" customFormat="1" ht="15" customHeight="1">
      <c r="A51" s="71" t="s">
        <v>51</v>
      </c>
      <c r="B51" s="71"/>
      <c r="C51" s="79">
        <f>IF(All!AN45&gt;0,All!AN45,"NA")</f>
        <v>1413</v>
      </c>
      <c r="D51" s="149">
        <f>IF(All!AI45&gt;0,(All!AN45-All!AI45)/(All!AI45)*100,"NA")</f>
        <v>18.341708542713565</v>
      </c>
      <c r="E51" s="81">
        <f>IF(Women!AN45&gt;0,Women!AN45,"NA")</f>
        <v>747</v>
      </c>
      <c r="F51" s="149">
        <f>IF(Women!AI45&gt;0,(Women!AN45-Women!AI45)/(Women!AI45)*100,"NA")</f>
        <v>28.350515463917525</v>
      </c>
      <c r="G51" s="85">
        <f>IF(All!AI45&gt;0,(Women!AI45/All!AI45)*100,"NA")</f>
        <v>48.743718592964825</v>
      </c>
      <c r="H51" s="34">
        <f>IF(All!AN45&gt;0,(Women!AN45/All!AN45)*100,"NA")</f>
        <v>52.866242038216562</v>
      </c>
      <c r="I51" s="84" t="str">
        <f>IF('Osteo All'!CK44&gt;0,('Osteo All'!CK44),"NA")</f>
        <v>NA</v>
      </c>
      <c r="J51" s="149" t="str">
        <f>IF('Osteo All'!BU44&gt;0,(('Osteo All'!CK44-'Osteo All'!BU44)/'Osteo All'!BU44)*100,"NA")</f>
        <v>NA</v>
      </c>
      <c r="K51" s="81" t="str">
        <f>IF('Osteo All'!CM44&gt;0,('Osteo All'!CM44),"NA")</f>
        <v>NA</v>
      </c>
      <c r="L51" s="149" t="str">
        <f>IF('Osteo All'!BW44&gt;0,(('Osteo All'!CM44-'Osteo All'!BW44)/'Osteo All'!BW44)*100,"NA")</f>
        <v>NA</v>
      </c>
      <c r="M51" s="85" t="str">
        <f>IF('Osteo All'!BU44&gt;0,('Osteo All'!BW44/'Osteo All'!BU44)*100,"NA")</f>
        <v>NA</v>
      </c>
      <c r="N51" s="34" t="str">
        <f>IF('Osteo All'!CK44&gt;0,('Osteo All'!CM44/'Osteo All'!CK44)*100,"NA")</f>
        <v>NA</v>
      </c>
      <c r="O51" s="12"/>
    </row>
    <row r="52" spans="1:15" s="5" customFormat="1" ht="15" customHeight="1">
      <c r="A52" s="71" t="s">
        <v>52</v>
      </c>
      <c r="B52" s="71"/>
      <c r="C52" s="79">
        <f>IF(All!AN46&gt;0,All!AN46,"NA")</f>
        <v>2133</v>
      </c>
      <c r="D52" s="149">
        <f>IF(All!AI46&gt;0,(All!AN46-All!AI46)/(All!AI46)*100,"NA")</f>
        <v>5.3853754940711465</v>
      </c>
      <c r="E52" s="81">
        <f>IF(Women!AN46&gt;0,Women!AN46,"NA")</f>
        <v>1065</v>
      </c>
      <c r="F52" s="149">
        <f>IF(Women!AI46&gt;0,(Women!AN46-Women!AI46)/(Women!AI46)*100,"NA")</f>
        <v>7.1428571428571423</v>
      </c>
      <c r="G52" s="85">
        <f>IF(All!AI46&gt;0,(Women!AI46/All!AI46)*100,"NA")</f>
        <v>49.110671936758891</v>
      </c>
      <c r="H52" s="34">
        <f>IF(All!AN46&gt;0,(Women!AN46/All!AN46)*100,"NA")</f>
        <v>49.929676511954995</v>
      </c>
      <c r="I52" s="84">
        <f>IF('Osteo All'!CK45&gt;0,('Osteo All'!CK45),"NA")</f>
        <v>2258</v>
      </c>
      <c r="J52" s="149">
        <f>IF('Osteo All'!BU45&gt;0,(('Osteo All'!CK45-'Osteo All'!BU45)/'Osteo All'!BU45)*100,"NA")</f>
        <v>31.661807580174926</v>
      </c>
      <c r="K52" s="81">
        <f>IF('Osteo All'!CM45&gt;0,('Osteo All'!CM45),"NA")</f>
        <v>967</v>
      </c>
      <c r="L52" s="149">
        <f>IF('Osteo All'!BW45&gt;0,(('Osteo All'!CM45-'Osteo All'!BW45)/'Osteo All'!BW45)*100,"NA")</f>
        <v>31.029810298102984</v>
      </c>
      <c r="M52" s="85">
        <f>IF('Osteo All'!BU45&gt;0,('Osteo All'!BW45/'Osteo All'!BU45)*100,"NA")</f>
        <v>43.032069970845484</v>
      </c>
      <c r="N52" s="34">
        <f>IF('Osteo All'!CK45&gt;0,('Osteo All'!CM45/'Osteo All'!CK45)*100,"NA")</f>
        <v>42.825509300265722</v>
      </c>
      <c r="O52" s="12"/>
    </row>
    <row r="53" spans="1:15" s="5" customFormat="1" ht="15" customHeight="1">
      <c r="A53" s="71" t="s">
        <v>53</v>
      </c>
      <c r="B53" s="71"/>
      <c r="C53" s="79">
        <f>IF(All!AN47&gt;0,All!AN47,"NA")</f>
        <v>1162</v>
      </c>
      <c r="D53" s="149">
        <f>IF(All!AI47&gt;0,(All!AN47-All!AI47)/(All!AI47)*100,"NA")</f>
        <v>3.4728406055209264</v>
      </c>
      <c r="E53" s="81">
        <f>IF(Women!AN47&gt;0,Women!AN47,"NA")</f>
        <v>544</v>
      </c>
      <c r="F53" s="149">
        <f>IF(Women!AI47&gt;0,(Women!AN47-Women!AI47)/(Women!AI47)*100,"NA")</f>
        <v>4.4145873320537428</v>
      </c>
      <c r="G53" s="85">
        <f>IF(All!AI47&gt;0,(Women!AI47/All!AI47)*100,"NA")</f>
        <v>46.393588601959038</v>
      </c>
      <c r="H53" s="34">
        <f>IF(All!AN47&gt;0,(Women!AN47/All!AN47)*100,"NA")</f>
        <v>46.815834767641995</v>
      </c>
      <c r="I53" s="84" t="str">
        <f>IF('Osteo All'!CK46&gt;0,('Osteo All'!CK46),"NA")</f>
        <v>NA</v>
      </c>
      <c r="J53" s="149" t="str">
        <f>IF('Osteo All'!BU46&gt;0,(('Osteo All'!CK46-'Osteo All'!BU46)/'Osteo All'!BU46)*100,"NA")</f>
        <v>NA</v>
      </c>
      <c r="K53" s="81" t="str">
        <f>IF('Osteo All'!CM46&gt;0,('Osteo All'!CM46),"NA")</f>
        <v>NA</v>
      </c>
      <c r="L53" s="149" t="str">
        <f>IF('Osteo All'!BW46&gt;0,(('Osteo All'!CM46-'Osteo All'!BW46)/'Osteo All'!BW46)*100,"NA")</f>
        <v>NA</v>
      </c>
      <c r="M53" s="85" t="str">
        <f>IF('Osteo All'!BU46&gt;0,('Osteo All'!BW46/'Osteo All'!BU46)*100,"NA")</f>
        <v>NA</v>
      </c>
      <c r="N53" s="34" t="str">
        <f>IF('Osteo All'!CK46&gt;0,('Osteo All'!CM46/'Osteo All'!CK46)*100,"NA")</f>
        <v>NA</v>
      </c>
      <c r="O53" s="12"/>
    </row>
    <row r="54" spans="1:15" s="164" customFormat="1" ht="15" customHeight="1">
      <c r="A54" s="72" t="s">
        <v>54</v>
      </c>
      <c r="B54" s="72"/>
      <c r="C54" s="76">
        <f>IF(All!AN48&gt;0,All!AN48,"NA")</f>
        <v>304</v>
      </c>
      <c r="D54" s="157">
        <f>IF(All!AI48&gt;0,(All!AN48-All!AI48)/(All!AI48)*100,"NA")</f>
        <v>10.545454545454545</v>
      </c>
      <c r="E54" s="83">
        <f>IF(Women!AN48&gt;0,Women!AN48,"NA")</f>
        <v>145</v>
      </c>
      <c r="F54" s="157">
        <f>IF(Women!AI48&gt;0,(Women!AN48-Women!AI48)/(Women!AI48)*100,"NA")</f>
        <v>23.931623931623932</v>
      </c>
      <c r="G54" s="86">
        <f>IF(All!AI48&gt;0,(Women!AI48/All!AI48)*100,"NA")</f>
        <v>42.545454545454547</v>
      </c>
      <c r="H54" s="80">
        <f>IF(All!AN48&gt;0,(Women!AN48/All!AN48)*100,"NA")</f>
        <v>47.69736842105263</v>
      </c>
      <c r="I54" s="82" t="str">
        <f>IF('Osteo All'!CK47&gt;0,('Osteo All'!CK47),"NA")</f>
        <v>NA</v>
      </c>
      <c r="J54" s="157" t="str">
        <f>IF('Osteo All'!BU47&gt;0,(('Osteo All'!CK47-'Osteo All'!BU47)/'Osteo All'!BU47)*100,"NA")</f>
        <v>NA</v>
      </c>
      <c r="K54" s="83" t="str">
        <f>IF('Osteo All'!CM47&gt;0,('Osteo All'!CM47),"NA")</f>
        <v>NA</v>
      </c>
      <c r="L54" s="157" t="str">
        <f>IF('Osteo All'!BW47&gt;0,(('Osteo All'!CM47-'Osteo All'!BW47)/'Osteo All'!BW47)*100,"NA")</f>
        <v>NA</v>
      </c>
      <c r="M54" s="86" t="str">
        <f>IF('Osteo All'!BU47&gt;0,('Osteo All'!BW47/'Osteo All'!BU47)*100,"NA")</f>
        <v>NA</v>
      </c>
      <c r="N54" s="80" t="str">
        <f>IF('Osteo All'!CK47&gt;0,('Osteo All'!CM47/'Osteo All'!CK47)*100,"NA")</f>
        <v>NA</v>
      </c>
      <c r="O54" s="163"/>
    </row>
    <row r="55" spans="1:15" s="164" customFormat="1" ht="15" customHeight="1">
      <c r="A55" s="72" t="s">
        <v>55</v>
      </c>
      <c r="B55" s="72"/>
      <c r="C55" s="76">
        <f>IF(All!AN49&gt;0,All!AN49,"NA")</f>
        <v>4224</v>
      </c>
      <c r="D55" s="157">
        <f>IF(All!AI49&gt;0,(All!AN49-All!AI49)/(All!AI49)*100,"NA")</f>
        <v>4.0394088669950738</v>
      </c>
      <c r="E55" s="83">
        <f>IF(Women!AN49&gt;0,Women!AN49,"NA")</f>
        <v>2203</v>
      </c>
      <c r="F55" s="157">
        <f>IF(Women!AI49&gt;0,(Women!AN49-Women!AI49)/(Women!AI49)*100,"NA")</f>
        <v>14.799374674309536</v>
      </c>
      <c r="G55" s="86">
        <f>IF(All!AI49&gt;0,(Women!AI49/All!AI49)*100,"NA")</f>
        <v>47.266009852216747</v>
      </c>
      <c r="H55" s="80">
        <f>IF(All!AN49&gt;0,(Women!AN49/All!AN49)*100,"NA")</f>
        <v>52.154356060606055</v>
      </c>
      <c r="I55" s="82">
        <f>IF('Osteo All'!CK48&gt;0,('Osteo All'!CK48),"NA")</f>
        <v>961</v>
      </c>
      <c r="J55" s="157">
        <f>IF('Osteo All'!BU48&gt;0,(('Osteo All'!CK48-'Osteo All'!BU48)/'Osteo All'!BU48)*100,"NA")</f>
        <v>57.540983606557376</v>
      </c>
      <c r="K55" s="83">
        <f>IF('Osteo All'!CM48&gt;0,('Osteo All'!CM48),"NA")</f>
        <v>472</v>
      </c>
      <c r="L55" s="157">
        <f>IF('Osteo All'!BW48&gt;0,(('Osteo All'!CM48-'Osteo All'!BW48)/'Osteo All'!BW48)*100,"NA")</f>
        <v>66.784452296819779</v>
      </c>
      <c r="M55" s="86">
        <f>IF('Osteo All'!BU48&gt;0,('Osteo All'!BW48/'Osteo All'!BU48)*100,"NA")</f>
        <v>46.393442622950822</v>
      </c>
      <c r="N55" s="80">
        <f>IF('Osteo All'!CK48&gt;0,('Osteo All'!CM48/'Osteo All'!CK48)*100,"NA")</f>
        <v>49.115504682622266</v>
      </c>
      <c r="O55" s="163"/>
    </row>
    <row r="56" spans="1:15" s="164" customFormat="1" ht="15" customHeight="1">
      <c r="A56" s="72" t="s">
        <v>56</v>
      </c>
      <c r="B56" s="72"/>
      <c r="C56" s="76">
        <f>IF(All!AN50&gt;0,All!AN50,"NA")</f>
        <v>288</v>
      </c>
      <c r="D56" s="157">
        <f>IF(All!AI50&gt;0,(All!AN50-All!AI50)/(All!AI50)*100,"NA")</f>
        <v>23.076923076923077</v>
      </c>
      <c r="E56" s="83">
        <f>IF(Women!AN50&gt;0,Women!AN50,"NA")</f>
        <v>119</v>
      </c>
      <c r="F56" s="157">
        <f>IF(Women!AI50&gt;0,(Women!AN50-Women!AI50)/(Women!AI50)*100,"NA")</f>
        <v>8.1818181818181817</v>
      </c>
      <c r="G56" s="86">
        <f>IF(All!AI50&gt;0,(Women!AI50/All!AI50)*100,"NA")</f>
        <v>47.008547008547005</v>
      </c>
      <c r="H56" s="80">
        <f>IF(All!AN50&gt;0,(Women!AN50/All!AN50)*100,"NA")</f>
        <v>41.319444444444443</v>
      </c>
      <c r="I56" s="82" t="str">
        <f>IF('Osteo All'!CK49&gt;0,('Osteo All'!CK49),"NA")</f>
        <v>NA</v>
      </c>
      <c r="J56" s="157" t="str">
        <f>IF('Osteo All'!BU49&gt;0,(('Osteo All'!CK49-'Osteo All'!BU49)/'Osteo All'!BU49)*100,"NA")</f>
        <v>NA</v>
      </c>
      <c r="K56" s="83" t="str">
        <f>IF('Osteo All'!CM49&gt;0,('Osteo All'!CM49),"NA")</f>
        <v>NA</v>
      </c>
      <c r="L56" s="157" t="str">
        <f>IF('Osteo All'!BW49&gt;0,(('Osteo All'!CM49-'Osteo All'!BW49)/'Osteo All'!BW49)*100,"NA")</f>
        <v>NA</v>
      </c>
      <c r="M56" s="86" t="str">
        <f>IF('Osteo All'!BU49&gt;0,('Osteo All'!BW49/'Osteo All'!BU49)*100,"NA")</f>
        <v>NA</v>
      </c>
      <c r="N56" s="80" t="str">
        <f>IF('Osteo All'!CK49&gt;0,('Osteo All'!CM49/'Osteo All'!CK49)*100,"NA")</f>
        <v>NA</v>
      </c>
      <c r="O56" s="163"/>
    </row>
    <row r="57" spans="1:15" s="164" customFormat="1" ht="15" customHeight="1">
      <c r="A57" s="72" t="s">
        <v>57</v>
      </c>
      <c r="B57" s="72"/>
      <c r="C57" s="76">
        <f>IF(All!AN51&gt;0,All!AN51,"NA")</f>
        <v>1711</v>
      </c>
      <c r="D57" s="157">
        <f>IF(All!AI51&gt;0,(All!AN51-All!AI51)/(All!AI51)*100,"NA")</f>
        <v>13.011889035667107</v>
      </c>
      <c r="E57" s="83">
        <f>IF(Women!AN51&gt;0,Women!AN51,"NA")</f>
        <v>839</v>
      </c>
      <c r="F57" s="157">
        <f>IF(Women!AI51&gt;0,(Women!AN51-Women!AI51)/(Women!AI51)*100,"NA")</f>
        <v>19.857142857142858</v>
      </c>
      <c r="G57" s="86">
        <f>IF(All!AI51&gt;0,(Women!AI51/All!AI51)*100,"NA")</f>
        <v>46.235138705416119</v>
      </c>
      <c r="H57" s="80">
        <f>IF(All!AN51&gt;0,(Women!AN51/All!AN51)*100,"NA")</f>
        <v>49.035651665692576</v>
      </c>
      <c r="I57" s="82" t="str">
        <f>IF('Osteo All'!CK50&gt;0,('Osteo All'!CK50),"NA")</f>
        <v>NA</v>
      </c>
      <c r="J57" s="157" t="str">
        <f>IF('Osteo All'!BU50&gt;0,(('Osteo All'!CK50-'Osteo All'!BU50)/'Osteo All'!BU50)*100,"NA")</f>
        <v>NA</v>
      </c>
      <c r="K57" s="83" t="str">
        <f>IF('Osteo All'!CM50&gt;0,('Osteo All'!CM50),"NA")</f>
        <v>NA</v>
      </c>
      <c r="L57" s="157" t="str">
        <f>IF('Osteo All'!BW50&gt;0,(('Osteo All'!CM50-'Osteo All'!BW50)/'Osteo All'!BW50)*100,"NA")</f>
        <v>NA</v>
      </c>
      <c r="M57" s="86" t="str">
        <f>IF('Osteo All'!BU50&gt;0,('Osteo All'!BW50/'Osteo All'!BU50)*100,"NA")</f>
        <v>NA</v>
      </c>
      <c r="N57" s="80" t="str">
        <f>IF('Osteo All'!CK50&gt;0,('Osteo All'!CM50/'Osteo All'!CK50)*100,"NA")</f>
        <v>NA</v>
      </c>
      <c r="O57" s="163"/>
    </row>
    <row r="58" spans="1:15" s="5" customFormat="1" ht="15" customHeight="1">
      <c r="A58" s="167" t="s">
        <v>58</v>
      </c>
      <c r="B58" s="167"/>
      <c r="C58" s="168">
        <f>IF(All!AN52&gt;0,All!AN52,"NA")</f>
        <v>20881</v>
      </c>
      <c r="D58" s="147">
        <f>IF(All!AI52&gt;0,(All!AN52-All!AI52)/(All!AI52)*100,"NA")</f>
        <v>7.639569049951028</v>
      </c>
      <c r="E58" s="169">
        <f>IF(Women!AN52&gt;0,Women!AN52,"NA")</f>
        <v>10838</v>
      </c>
      <c r="F58" s="147">
        <f>IF(Women!AI52&gt;0,(Women!AN52-Women!AI52)/(Women!AI52)*100,"NA")</f>
        <v>15.236576289207868</v>
      </c>
      <c r="G58" s="125">
        <f>IF(All!AI52&gt;0,(Women!AI52/All!AI52)*100,"NA")</f>
        <v>48.481880509304602</v>
      </c>
      <c r="H58" s="170">
        <f>IF(All!AN52&gt;0,(Women!AN52/All!AN52)*100,"NA")</f>
        <v>51.903644461472155</v>
      </c>
      <c r="I58" s="171">
        <f>IF('Osteo All'!CK51&gt;0,('Osteo All'!CK51),"NA")</f>
        <v>6859</v>
      </c>
      <c r="J58" s="147">
        <f>IF('Osteo All'!BU51&gt;0,(('Osteo All'!CK51-'Osteo All'!BU51)/'Osteo All'!BU51)*100,"NA")</f>
        <v>20.735785953177256</v>
      </c>
      <c r="K58" s="169">
        <f>IF('Osteo All'!CM51&gt;0,('Osteo All'!CM51),"NA")</f>
        <v>3369</v>
      </c>
      <c r="L58" s="147">
        <f>IF('Osteo All'!BW51&gt;0,(('Osteo All'!CM51-'Osteo All'!BW51)/'Osteo All'!BW51)*100,"NA")</f>
        <v>28.342857142857142</v>
      </c>
      <c r="M58" s="125">
        <f>IF('Osteo All'!BU51&gt;0,('Osteo All'!BW51/'Osteo All'!BU51)*100,"NA")</f>
        <v>46.206653758141172</v>
      </c>
      <c r="N58" s="170">
        <f>IF('Osteo All'!CK51&gt;0,('Osteo All'!CM51/'Osteo All'!CK51)*100,"NA")</f>
        <v>49.117947222627208</v>
      </c>
      <c r="O58" s="12"/>
    </row>
    <row r="59" spans="1:15" s="5" customFormat="1" ht="15" customHeight="1">
      <c r="A59" s="71" t="s">
        <v>14</v>
      </c>
      <c r="B59" s="71"/>
      <c r="C59" s="75">
        <f>(C58/$C$10)*100</f>
        <v>24.26471442682006</v>
      </c>
      <c r="D59" s="149"/>
      <c r="E59" s="75">
        <f>(E58/$E$10)*100</f>
        <v>24.680618495661875</v>
      </c>
      <c r="F59" s="149"/>
      <c r="G59" s="85"/>
      <c r="H59" s="34"/>
      <c r="I59" s="85">
        <f>(I58/$I$10)*100</f>
        <v>21.662508290433628</v>
      </c>
      <c r="J59" s="149"/>
      <c r="K59" s="85">
        <f>(K58/$K$10)*100</f>
        <v>22.329003181336159</v>
      </c>
      <c r="L59" s="149"/>
      <c r="M59" s="85"/>
      <c r="N59" s="34"/>
      <c r="O59" s="12"/>
    </row>
    <row r="60" spans="1:15" s="164" customFormat="1" ht="15" customHeight="1">
      <c r="A60" s="70" t="s">
        <v>59</v>
      </c>
      <c r="B60" s="70"/>
      <c r="C60" s="76">
        <f>IF(All!AN54&gt;0,All!AN54,"NA")</f>
        <v>1258</v>
      </c>
      <c r="D60" s="157">
        <f>IF(All!AI54&gt;0,(All!AN54-All!AI54)/(All!AI54)*100,"NA")</f>
        <v>32.56059009483667</v>
      </c>
      <c r="E60" s="83">
        <f>IF(Women!AN54&gt;0,Women!AN54,"NA")</f>
        <v>677</v>
      </c>
      <c r="F60" s="157">
        <f>IF(Women!AI54&gt;0,(Women!AN54-Women!AI54)/(Women!AI54)*100,"NA")</f>
        <v>44.349680170575695</v>
      </c>
      <c r="G60" s="86">
        <f>IF(All!AI54&gt;0,(Women!AI54/All!AI54)*100,"NA")</f>
        <v>49.420442571127502</v>
      </c>
      <c r="H60" s="80">
        <f>IF(All!AN54&gt;0,(Women!AN54/All!AN54)*100,"NA")</f>
        <v>53.815580286168519</v>
      </c>
      <c r="I60" s="82" t="str">
        <f>IF('Osteo All'!CK53&gt;0,('Osteo All'!CK53),"NA")</f>
        <v>NA</v>
      </c>
      <c r="J60" s="157" t="str">
        <f>IF('Osteo All'!BU53&gt;0,(('Osteo All'!CK53-'Osteo All'!BU53)/'Osteo All'!BU53)*100,"NA")</f>
        <v>NA</v>
      </c>
      <c r="K60" s="82" t="str">
        <f>IF('Osteo All'!CM53&gt;0,('Osteo All'!CM53),"NA")</f>
        <v>NA</v>
      </c>
      <c r="L60" s="157" t="str">
        <f>IF('Osteo All'!BW53&gt;0,(('Osteo All'!CM53-'Osteo All'!BW53)/'Osteo All'!BW53)*100,"NA")</f>
        <v>NA</v>
      </c>
      <c r="M60" s="86" t="str">
        <f>IF('Osteo All'!BU53&gt;0,('Osteo All'!BW53/'Osteo All'!BU53)*100,"NA")</f>
        <v>NA</v>
      </c>
      <c r="N60" s="80" t="str">
        <f>IF('Osteo All'!CK53&gt;0,('Osteo All'!CM53/'Osteo All'!CK53)*100,"NA")</f>
        <v>NA</v>
      </c>
      <c r="O60" s="163"/>
    </row>
    <row r="61" spans="1:15" s="164" customFormat="1" ht="15" customHeight="1">
      <c r="A61" s="70" t="s">
        <v>60</v>
      </c>
      <c r="B61" s="70"/>
      <c r="C61" s="76" t="str">
        <f>IF(All!AN55&gt;0,All!AN55,"NA")</f>
        <v>NA</v>
      </c>
      <c r="D61" s="157" t="str">
        <f>IF(All!AI55&gt;0,(All!AN55-All!AI55)/(All!AI55)*100,"NA")</f>
        <v>NA</v>
      </c>
      <c r="E61" s="83" t="str">
        <f>IF(Women!AN55&gt;0,Women!AN55,"NA")</f>
        <v>NA</v>
      </c>
      <c r="F61" s="157" t="str">
        <f>IF(Women!AI55&gt;0,(Women!AN55-Women!AI55)/(Women!AI55)*100,"NA")</f>
        <v>NA</v>
      </c>
      <c r="G61" s="86" t="str">
        <f>IF(All!AI55&gt;0,(Women!AI55/All!AI55)*100,"NA")</f>
        <v>NA</v>
      </c>
      <c r="H61" s="80" t="str">
        <f>IF(All!AN55&gt;0,(Women!AN55/All!AN55)*100,"NA")</f>
        <v>NA</v>
      </c>
      <c r="I61" s="82">
        <f>IF('Osteo All'!CK54&gt;0,('Osteo All'!CK54),"NA")</f>
        <v>699</v>
      </c>
      <c r="J61" s="157">
        <f>IF('Osteo All'!BU54&gt;0,(('Osteo All'!CK54-'Osteo All'!BU54)/'Osteo All'!BU54)*100,"NA")</f>
        <v>18.074324324324326</v>
      </c>
      <c r="K61" s="82">
        <f>IF('Osteo All'!CM54&gt;0,('Osteo All'!CM54),"NA")</f>
        <v>373</v>
      </c>
      <c r="L61" s="157">
        <f>IF('Osteo All'!BW54&gt;0,(('Osteo All'!CM54-'Osteo All'!BW54)/'Osteo All'!BW54)*100,"NA")</f>
        <v>26.013513513513516</v>
      </c>
      <c r="M61" s="86">
        <f>IF('Osteo All'!BU54&gt;0,('Osteo All'!BW54/'Osteo All'!BU54)*100,"NA")</f>
        <v>50</v>
      </c>
      <c r="N61" s="80">
        <f>IF('Osteo All'!CK54&gt;0,('Osteo All'!CM54/'Osteo All'!CK54)*100,"NA")</f>
        <v>53.361945636623751</v>
      </c>
      <c r="O61" s="163"/>
    </row>
    <row r="62" spans="1:15" s="164" customFormat="1" ht="15" customHeight="1">
      <c r="A62" s="70" t="s">
        <v>61</v>
      </c>
      <c r="B62" s="70"/>
      <c r="C62" s="76">
        <f>IF(All!AN56&gt;0,All!AN56,"NA")</f>
        <v>2902</v>
      </c>
      <c r="D62" s="157">
        <f>IF(All!AI56&gt;0,(All!AN56-All!AI56)/(All!AI56)*100,"NA")</f>
        <v>6.3003663003663002</v>
      </c>
      <c r="E62" s="83">
        <f>IF(Women!AN56&gt;0,Women!AN56,"NA")</f>
        <v>1541</v>
      </c>
      <c r="F62" s="157">
        <f>IF(Women!AI56&gt;0,(Women!AN56-Women!AI56)/(Women!AI56)*100,"NA")</f>
        <v>10.071428571428571</v>
      </c>
      <c r="G62" s="86">
        <f>IF(All!AI56&gt;0,(Women!AI56/All!AI56)*100,"NA")</f>
        <v>51.282051282051277</v>
      </c>
      <c r="H62" s="80">
        <f>IF(All!AN56&gt;0,(Women!AN56/All!AN56)*100,"NA")</f>
        <v>53.1013094417643</v>
      </c>
      <c r="I62" s="82" t="str">
        <f>IF('Osteo All'!CK55&gt;0,('Osteo All'!CK55),"NA")</f>
        <v>NA</v>
      </c>
      <c r="J62" s="157" t="str">
        <f>IF('Osteo All'!BU55&gt;0,(('Osteo All'!CK55-'Osteo All'!BU55)/'Osteo All'!BU55)*100,"NA")</f>
        <v>NA</v>
      </c>
      <c r="K62" s="82" t="str">
        <f>IF('Osteo All'!CM55&gt;0,('Osteo All'!CM55),"NA")</f>
        <v>NA</v>
      </c>
      <c r="L62" s="157" t="str">
        <f>IF('Osteo All'!BW55&gt;0,(('Osteo All'!CM55-'Osteo All'!BW55)/'Osteo All'!BW55)*100,"NA")</f>
        <v>NA</v>
      </c>
      <c r="M62" s="86" t="str">
        <f>IF('Osteo All'!BU55&gt;0,('Osteo All'!BW55/'Osteo All'!BU55)*100,"NA")</f>
        <v>NA</v>
      </c>
      <c r="N62" s="80" t="str">
        <f>IF('Osteo All'!CK55&gt;0,('Osteo All'!CM55/'Osteo All'!CK55)*100,"NA")</f>
        <v>NA</v>
      </c>
      <c r="O62" s="163"/>
    </row>
    <row r="63" spans="1:15" s="164" customFormat="1" ht="15" customHeight="1">
      <c r="A63" s="70" t="s">
        <v>62</v>
      </c>
      <c r="B63" s="70"/>
      <c r="C63" s="76">
        <f>IF(All!AN57&gt;0,All!AN57,"NA")</f>
        <v>400</v>
      </c>
      <c r="D63" s="157">
        <f>IF(All!AI57&gt;0,(All!AN57-All!AI57)/(All!AI57)*100,"NA")</f>
        <v>8.9918256130790191</v>
      </c>
      <c r="E63" s="83">
        <f>IF(Women!AN57&gt;0,Women!AN57,"NA")</f>
        <v>230</v>
      </c>
      <c r="F63" s="157">
        <f>IF(Women!AI57&gt;0,(Women!AN57-Women!AI57)/(Women!AI57)*100,"NA")</f>
        <v>12.745098039215685</v>
      </c>
      <c r="G63" s="86">
        <f>IF(All!AI57&gt;0,(Women!AI57/All!AI57)*100,"NA")</f>
        <v>55.585831062670302</v>
      </c>
      <c r="H63" s="80">
        <f>IF(All!AN57&gt;0,(Women!AN57/All!AN57)*100,"NA")</f>
        <v>57.499999999999993</v>
      </c>
      <c r="I63" s="82" t="str">
        <f>IF('Osteo All'!CK56&gt;0,('Osteo All'!CK56),"NA")</f>
        <v>NA</v>
      </c>
      <c r="J63" s="157" t="str">
        <f>IF('Osteo All'!BU56&gt;0,(('Osteo All'!CK56-'Osteo All'!BU56)/'Osteo All'!BU56)*100,"NA")</f>
        <v>NA</v>
      </c>
      <c r="K63" s="82" t="str">
        <f>IF('Osteo All'!CM56&gt;0,('Osteo All'!CM56),"NA")</f>
        <v>NA</v>
      </c>
      <c r="L63" s="157" t="str">
        <f>IF('Osteo All'!BW56&gt;0,(('Osteo All'!CM56-'Osteo All'!BW56)/'Osteo All'!BW56)*100,"NA")</f>
        <v>NA</v>
      </c>
      <c r="M63" s="86" t="str">
        <f>IF('Osteo All'!BU56&gt;0,('Osteo All'!BW56/'Osteo All'!BU56)*100,"NA")</f>
        <v>NA</v>
      </c>
      <c r="N63" s="80" t="str">
        <f>IF('Osteo All'!CK56&gt;0,('Osteo All'!CM56/'Osteo All'!CK56)*100,"NA")</f>
        <v>NA</v>
      </c>
      <c r="O63" s="163"/>
    </row>
    <row r="64" spans="1:15" s="5" customFormat="1" ht="15" customHeight="1">
      <c r="A64" s="71" t="s">
        <v>63</v>
      </c>
      <c r="B64" s="71"/>
      <c r="C64" s="79">
        <f>IF(All!AN58&gt;0,All!AN58,"NA")</f>
        <v>2063</v>
      </c>
      <c r="D64" s="149">
        <f>IF(All!AI58&gt;0,(All!AN58-All!AI58)/(All!AI58)*100,"NA")</f>
        <v>36.622516556291387</v>
      </c>
      <c r="E64" s="81">
        <f>IF(Women!AN58&gt;0,Women!AN58,"NA")</f>
        <v>1051</v>
      </c>
      <c r="F64" s="149">
        <f>IF(Women!AI58&gt;0,(Women!AN58-Women!AI58)/(Women!AI58)*100,"NA")</f>
        <v>47.405329593267879</v>
      </c>
      <c r="G64" s="85">
        <f>IF(All!AI58&gt;0,(Women!AI58/All!AI58)*100,"NA")</f>
        <v>47.218543046357617</v>
      </c>
      <c r="H64" s="34">
        <f>IF(All!AN58&gt;0,(Women!AN58/All!AN58)*100,"NA")</f>
        <v>50.945225399903052</v>
      </c>
      <c r="I64" s="84">
        <f>IF('Osteo All'!CK57&gt;0,('Osteo All'!CK57),"NA")</f>
        <v>781</v>
      </c>
      <c r="J64" s="149">
        <f>IF('Osteo All'!BU57&gt;0,(('Osteo All'!CK57-'Osteo All'!BU57)/'Osteo All'!BU57)*100,"NA")</f>
        <v>21.461897356143076</v>
      </c>
      <c r="K64" s="84">
        <f>IF('Osteo All'!CM57&gt;0,('Osteo All'!CM57),"NA")</f>
        <v>373</v>
      </c>
      <c r="L64" s="149">
        <f>IF('Osteo All'!BW57&gt;0,(('Osteo All'!CM57-'Osteo All'!BW57)/'Osteo All'!BW57)*100,"NA")</f>
        <v>23.509933774834437</v>
      </c>
      <c r="M64" s="85">
        <f>IF('Osteo All'!BU57&gt;0,('Osteo All'!BW57/'Osteo All'!BU57)*100,"NA")</f>
        <v>46.967340590979781</v>
      </c>
      <c r="N64" s="34">
        <f>IF('Osteo All'!CK57&gt;0,('Osteo All'!CM57/'Osteo All'!CK57)*100,"NA")</f>
        <v>47.759282970550579</v>
      </c>
      <c r="O64" s="12"/>
    </row>
    <row r="65" spans="1:15" s="5" customFormat="1" ht="15" customHeight="1">
      <c r="A65" s="71" t="s">
        <v>64</v>
      </c>
      <c r="B65" s="71"/>
      <c r="C65" s="79">
        <f>IF(All!AN59&gt;0,All!AN59,"NA")</f>
        <v>7895</v>
      </c>
      <c r="D65" s="149">
        <f>IF(All!AI59&gt;0,(All!AN59-All!AI59)/(All!AI59)*100,"NA")</f>
        <v>2.9603547209181014</v>
      </c>
      <c r="E65" s="81">
        <f>IF(Women!AN59&gt;0,Women!AN59,"NA")</f>
        <v>4015</v>
      </c>
      <c r="F65" s="149">
        <f>IF(Women!AI59&gt;0,(Women!AN59-Women!AI59)/(Women!AI59)*100,"NA")</f>
        <v>11.249653643668605</v>
      </c>
      <c r="G65" s="85">
        <f>IF(All!AI59&gt;0,(Women!AI59/All!AI59)*100,"NA")</f>
        <v>47.06572769953052</v>
      </c>
      <c r="H65" s="34">
        <f>IF(All!AN59&gt;0,(Women!AN59/All!AN59)*100,"NA")</f>
        <v>50.854971500949965</v>
      </c>
      <c r="I65" s="84">
        <f>IF('Osteo All'!CK58&gt;0,('Osteo All'!CK58),"NA")</f>
        <v>2807</v>
      </c>
      <c r="J65" s="149">
        <f>IF('Osteo All'!BU58&gt;0,(('Osteo All'!CK58-'Osteo All'!BU58)/'Osteo All'!BU58)*100,"NA")</f>
        <v>47.97047970479705</v>
      </c>
      <c r="K65" s="84">
        <f>IF('Osteo All'!CM58&gt;0,('Osteo All'!CM58),"NA")</f>
        <v>1397</v>
      </c>
      <c r="L65" s="149">
        <f>IF('Osteo All'!BW58&gt;0,(('Osteo All'!CM58-'Osteo All'!BW58)/'Osteo All'!BW58)*100,"NA")</f>
        <v>53.685368536853687</v>
      </c>
      <c r="M65" s="85">
        <f>IF('Osteo All'!BU58&gt;0,('Osteo All'!BW58/'Osteo All'!BU58)*100,"NA")</f>
        <v>47.917764891934631</v>
      </c>
      <c r="N65" s="34">
        <f>IF('Osteo All'!CK58&gt;0,('Osteo All'!CM58/'Osteo All'!CK58)*100,"NA")</f>
        <v>49.768436052725328</v>
      </c>
      <c r="O65" s="12"/>
    </row>
    <row r="66" spans="1:15" s="5" customFormat="1" ht="15" customHeight="1">
      <c r="A66" s="71" t="s">
        <v>65</v>
      </c>
      <c r="B66" s="71"/>
      <c r="C66" s="79">
        <f>IF(All!AN60&gt;0,All!AN60,"NA")</f>
        <v>5280</v>
      </c>
      <c r="D66" s="149">
        <f>IF(All!AI60&gt;0,(All!AN60-All!AI60)/(All!AI60)*100,"NA")</f>
        <v>1.4604150653343582</v>
      </c>
      <c r="E66" s="81">
        <f>IF(Women!AN60&gt;0,Women!AN60,"NA")</f>
        <v>2740</v>
      </c>
      <c r="F66" s="149">
        <f>IF(Women!AI60&gt;0,(Women!AN60-Women!AI60)/(Women!AI60)*100,"NA")</f>
        <v>9.0330282530839625</v>
      </c>
      <c r="G66" s="85">
        <f>IF(All!AI60&gt;0,(Women!AI60/All!AI60)*100,"NA")</f>
        <v>48.289777094542657</v>
      </c>
      <c r="H66" s="34">
        <f>IF(All!AN60&gt;0,(Women!AN60/All!AN60)*100,"NA")</f>
        <v>51.893939393939391</v>
      </c>
      <c r="I66" s="84">
        <f>IF('Osteo All'!CK59&gt;0,('Osteo All'!CK59),"NA")</f>
        <v>2572</v>
      </c>
      <c r="J66" s="149">
        <f>IF('Osteo All'!BU59&gt;0,(('Osteo All'!CK59-'Osteo All'!BU59)/'Osteo All'!BU59)*100,"NA")</f>
        <v>0.90231463318948613</v>
      </c>
      <c r="K66" s="84">
        <f>IF('Osteo All'!CM59&gt;0,('Osteo All'!CM59),"NA")</f>
        <v>1226</v>
      </c>
      <c r="L66" s="149">
        <f>IF('Osteo All'!BW59&gt;0,(('Osteo All'!CM59-'Osteo All'!BW59)/'Osteo All'!BW59)*100,"NA")</f>
        <v>9.6601073345259394</v>
      </c>
      <c r="M66" s="85">
        <f>IF('Osteo All'!BU59&gt;0,('Osteo All'!BW59/'Osteo All'!BU59)*100,"NA")</f>
        <v>43.86033738721067</v>
      </c>
      <c r="N66" s="34">
        <f>IF('Osteo All'!CK59&gt;0,('Osteo All'!CM59/'Osteo All'!CK59)*100,"NA")</f>
        <v>47.667185069984448</v>
      </c>
      <c r="O66" s="12"/>
    </row>
    <row r="67" spans="1:15" s="5" customFormat="1" ht="15" customHeight="1">
      <c r="A67" s="71" t="s">
        <v>66</v>
      </c>
      <c r="B67" s="71"/>
      <c r="C67" s="79">
        <f>IF(All!AN61&gt;0,All!AN61,"NA")</f>
        <v>597</v>
      </c>
      <c r="D67" s="149">
        <f>IF(All!AI61&gt;0,(All!AN61-All!AI61)/(All!AI61)*100,"NA")</f>
        <v>18.217821782178216</v>
      </c>
      <c r="E67" s="81">
        <f>IF(Women!AN61&gt;0,Women!AN61,"NA")</f>
        <v>317</v>
      </c>
      <c r="F67" s="149">
        <f>IF(Women!AI61&gt;0,(Women!AN61-Women!AI61)/(Women!AI61)*100,"NA")</f>
        <v>20.532319391634982</v>
      </c>
      <c r="G67" s="85">
        <f>IF(All!AI61&gt;0,(Women!AI61/All!AI61)*100,"NA")</f>
        <v>52.079207920792079</v>
      </c>
      <c r="H67" s="34">
        <f>IF(All!AN61&gt;0,(Women!AN61/All!AN61)*100,"NA")</f>
        <v>53.098827470686771</v>
      </c>
      <c r="I67" s="84" t="str">
        <f>IF('Osteo All'!CK60&gt;0,('Osteo All'!CK60),"NA")</f>
        <v>NA</v>
      </c>
      <c r="J67" s="149" t="str">
        <f>IF('Osteo All'!BU60&gt;0,(('Osteo All'!CK60-'Osteo All'!BU60)/'Osteo All'!BU60)*100,"NA")</f>
        <v>NA</v>
      </c>
      <c r="K67" s="84" t="str">
        <f>IF('Osteo All'!CM60&gt;0,('Osteo All'!CM60),"NA")</f>
        <v>NA</v>
      </c>
      <c r="L67" s="149" t="str">
        <f>IF('Osteo All'!BW60&gt;0,(('Osteo All'!CM60-'Osteo All'!BW60)/'Osteo All'!BW60)*100,"NA")</f>
        <v>NA</v>
      </c>
      <c r="M67" s="85" t="str">
        <f>IF('Osteo All'!BU60&gt;0,('Osteo All'!BW60/'Osteo All'!BU60)*100,"NA")</f>
        <v>NA</v>
      </c>
      <c r="N67" s="34" t="str">
        <f>IF('Osteo All'!CK60&gt;0,('Osteo All'!CM60/'Osteo All'!CK60)*100,"NA")</f>
        <v>NA</v>
      </c>
      <c r="O67" s="12"/>
    </row>
    <row r="68" spans="1:15" s="5" customFormat="1" ht="15" customHeight="1">
      <c r="A68" s="151" t="s">
        <v>67</v>
      </c>
      <c r="B68" s="151"/>
      <c r="C68" s="79">
        <f>IF(All!AN62&gt;0,All!AN62,"NA")</f>
        <v>486</v>
      </c>
      <c r="D68" s="149">
        <f>IF(All!AI62&gt;0,(All!AN62-All!AI62)/(All!AI62)*100,"NA")</f>
        <v>4.2918454935622314</v>
      </c>
      <c r="E68" s="81">
        <f>IF(Women!AN62&gt;0,Women!AN62,"NA")</f>
        <v>267</v>
      </c>
      <c r="F68" s="149">
        <f>IF(Women!AI62&gt;0,(Women!AN62-Women!AI62)/(Women!AI62)*100,"NA")</f>
        <v>14.102564102564102</v>
      </c>
      <c r="G68" s="85">
        <f>IF(All!AI62&gt;0,(Women!AI62/All!AI62)*100,"NA")</f>
        <v>50.214592274678118</v>
      </c>
      <c r="H68" s="34">
        <f>IF(All!AN62&gt;0,(Women!AN62/All!AN62)*100,"NA")</f>
        <v>54.938271604938272</v>
      </c>
      <c r="I68" s="84" t="str">
        <f>IF('Osteo All'!CK61&gt;0,('Osteo All'!CK61),"NA")</f>
        <v>NA</v>
      </c>
      <c r="J68" s="149" t="str">
        <f>IF('Osteo All'!BU61&gt;0,(('Osteo All'!CK61-'Osteo All'!BU61)/'Osteo All'!BU61)*100,"NA")</f>
        <v>NA</v>
      </c>
      <c r="K68" s="84" t="str">
        <f>IF('Osteo All'!CM61&gt;0,('Osteo All'!CM61),"NA")</f>
        <v>NA</v>
      </c>
      <c r="L68" s="149" t="str">
        <f>IF('Osteo All'!BW61&gt;0,(('Osteo All'!CM61-'Osteo All'!BW61)/'Osteo All'!BW61)*100,"NA")</f>
        <v>NA</v>
      </c>
      <c r="M68" s="85" t="str">
        <f>IF('Osteo All'!BU61&gt;0,('Osteo All'!BW61/'Osteo All'!BU61)*100,"NA")</f>
        <v>NA</v>
      </c>
      <c r="N68" s="34" t="str">
        <f>IF('Osteo All'!CK61&gt;0,('Osteo All'!CM61/'Osteo All'!CK61)*100,"NA")</f>
        <v>NA</v>
      </c>
      <c r="O68" s="12"/>
    </row>
    <row r="69" spans="1:15" s="164" customFormat="1" ht="15" customHeight="1">
      <c r="A69" s="152" t="s">
        <v>68</v>
      </c>
      <c r="B69" s="152"/>
      <c r="C69" s="153">
        <f>IF(All!AN63&gt;0,All!AN63,"NA")</f>
        <v>2025</v>
      </c>
      <c r="D69" s="156">
        <f>IF(All!AI63&gt;0,(All!AN63-All!AI63)/(All!AI63)*100,"NA")</f>
        <v>3.1584309730005096</v>
      </c>
      <c r="E69" s="165">
        <f>IF(Women!AN63&gt;0,Women!AN63,"NA")</f>
        <v>1105</v>
      </c>
      <c r="F69" s="156">
        <f>IF(Women!AI63&gt;0,(Women!AN63-Women!AI63)/(Women!AI63)*100,"NA")</f>
        <v>9.2977250247279919</v>
      </c>
      <c r="G69" s="155">
        <f>IF(All!AI63&gt;0,(Women!AI63/All!AI63)*100,"NA")</f>
        <v>51.502801833927656</v>
      </c>
      <c r="H69" s="166">
        <f>IF(All!AN63&gt;0,(Women!AN63/All!AN63)*100,"NA")</f>
        <v>54.567901234567906</v>
      </c>
      <c r="I69" s="154" t="str">
        <f>IF('Osteo All'!CK62&gt;0,('Osteo All'!CK62),"NA")</f>
        <v>NA</v>
      </c>
      <c r="J69" s="156" t="str">
        <f>IF('Osteo All'!BU62&gt;0,(('Osteo All'!CK62-'Osteo All'!BU62)/'Osteo All'!BU62)*100,"NA")</f>
        <v>NA</v>
      </c>
      <c r="K69" s="154" t="str">
        <f>IF('Osteo All'!CM62&gt;0,('Osteo All'!CM62),"NA")</f>
        <v>NA</v>
      </c>
      <c r="L69" s="156" t="str">
        <f>IF('Osteo All'!BW62&gt;0,(('Osteo All'!CM62-'Osteo All'!BW62)/'Osteo All'!BW62)*100,"NA")</f>
        <v>NA</v>
      </c>
      <c r="M69" s="155" t="str">
        <f>IF('Osteo All'!BU62&gt;0,('Osteo All'!BW62/'Osteo All'!BU62)*100,"NA")</f>
        <v>NA</v>
      </c>
      <c r="N69" s="166" t="str">
        <f>IF('Osteo All'!CK62&gt;0,('Osteo All'!CM62/'Osteo All'!CK62)*100,"NA")</f>
        <v>NA</v>
      </c>
      <c r="O69" s="163"/>
    </row>
    <row r="70" spans="1:15" s="11" customFormat="1" ht="21" customHeight="1">
      <c r="A70" s="10" t="s">
        <v>428</v>
      </c>
      <c r="I70" s="94"/>
      <c r="J70" s="94"/>
      <c r="K70" s="94"/>
      <c r="L70" s="94"/>
      <c r="M70" s="94"/>
      <c r="N70" s="94"/>
      <c r="O70" s="106"/>
    </row>
    <row r="71" spans="1:15" s="11" customFormat="1" ht="32.25" customHeight="1">
      <c r="A71" s="10" t="s">
        <v>69</v>
      </c>
      <c r="B71" s="217" t="s">
        <v>70</v>
      </c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106"/>
    </row>
    <row r="72" spans="1:15" s="11" customFormat="1" ht="31.5" customHeight="1">
      <c r="A72" s="10"/>
      <c r="B72" s="217" t="s">
        <v>71</v>
      </c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106"/>
    </row>
    <row r="73" spans="1:15" s="11" customFormat="1" ht="16.5" customHeight="1">
      <c r="A73" s="10"/>
      <c r="B73" s="95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7" t="s">
        <v>72</v>
      </c>
      <c r="O73" s="106"/>
    </row>
    <row r="76" spans="1:1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5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1"/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1"/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</sheetData>
  <mergeCells count="2">
    <mergeCell ref="B71:N71"/>
    <mergeCell ref="B72:N72"/>
  </mergeCells>
  <pageMargins left="0.5" right="0.5" top="0.75" bottom="0.55000000000000004" header="0.5" footer="0.5"/>
  <pageSetup scale="64" orientation="portrait" verticalDpi="300" r:id="rId1"/>
  <headerFooter alignWithMargins="0">
    <oddFooter>&amp;L&amp;"Arial,Regular"&amp;9SREB Fact Book&amp;R&amp;"Arial,Regular"&amp;9&amp;D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93366"/>
  </sheetPr>
  <dimension ref="A1:BL67"/>
  <sheetViews>
    <sheetView workbookViewId="0">
      <selection activeCell="A2" sqref="A2"/>
    </sheetView>
  </sheetViews>
  <sheetFormatPr defaultRowHeight="12.5"/>
  <cols>
    <col min="1" max="1" width="13" style="4" customWidth="1"/>
    <col min="2" max="2" width="80" style="4" customWidth="1"/>
  </cols>
  <sheetData>
    <row r="1" spans="1:64">
      <c r="A1" s="214" t="s">
        <v>361</v>
      </c>
      <c r="B1" s="214" t="s">
        <v>362</v>
      </c>
    </row>
    <row r="2" spans="1:64">
      <c r="A2" s="105" t="s">
        <v>363</v>
      </c>
      <c r="B2" s="105"/>
    </row>
    <row r="3" spans="1:64" s="12" customFormat="1" ht="13">
      <c r="A3" s="8" t="s">
        <v>15</v>
      </c>
      <c r="B3" s="21" t="s">
        <v>364</v>
      </c>
      <c r="C3" s="21"/>
      <c r="D3" s="21"/>
      <c r="E3" s="8"/>
      <c r="F3" s="8"/>
      <c r="G3" s="8"/>
      <c r="H3" s="8"/>
      <c r="I3" s="8"/>
      <c r="J3" s="8"/>
      <c r="K3" s="8"/>
      <c r="L3" s="15"/>
      <c r="M3" s="17"/>
      <c r="N3" s="17"/>
      <c r="O3" s="17"/>
      <c r="P3" s="15"/>
      <c r="Q3" s="17"/>
      <c r="R3" s="17"/>
      <c r="S3" s="15"/>
      <c r="T3" s="17"/>
      <c r="U3" s="17"/>
      <c r="V3" s="15"/>
      <c r="W3" s="17"/>
      <c r="X3" s="17"/>
      <c r="Y3" s="15"/>
      <c r="Z3" s="17"/>
      <c r="AA3" s="17"/>
      <c r="AB3" s="15"/>
      <c r="AC3" s="17"/>
      <c r="AD3" s="17"/>
      <c r="AE3" s="15"/>
      <c r="AF3" s="17"/>
      <c r="AG3" s="17"/>
      <c r="AH3" s="15"/>
      <c r="AI3" s="17"/>
      <c r="AJ3" s="17"/>
      <c r="AK3" s="15"/>
      <c r="AL3" s="17"/>
      <c r="AM3" s="17"/>
      <c r="AN3" s="15"/>
      <c r="AO3" s="17"/>
      <c r="AP3" s="17"/>
      <c r="AQ3" s="15"/>
      <c r="AR3" s="17"/>
      <c r="AS3" s="17"/>
      <c r="AT3" s="15"/>
      <c r="AU3" s="17"/>
      <c r="AV3" s="17"/>
      <c r="AW3" s="15"/>
      <c r="AX3" s="17"/>
      <c r="AY3" s="17"/>
      <c r="AZ3" s="15"/>
      <c r="BA3" s="17"/>
      <c r="BB3" s="17"/>
      <c r="BC3" s="15"/>
      <c r="BD3" s="17"/>
      <c r="BE3" s="17"/>
      <c r="BF3" s="15"/>
      <c r="BG3" s="17"/>
      <c r="BH3" s="17"/>
      <c r="BI3" s="15"/>
      <c r="BJ3" s="17"/>
      <c r="BK3" s="17"/>
      <c r="BL3" s="100"/>
    </row>
    <row r="4" spans="1:64" s="12" customFormat="1" ht="13">
      <c r="A4" s="8" t="s">
        <v>365</v>
      </c>
      <c r="B4" s="21" t="s">
        <v>366</v>
      </c>
      <c r="C4" s="21"/>
      <c r="D4" s="21"/>
      <c r="E4" s="8"/>
      <c r="F4" s="8"/>
      <c r="G4" s="8"/>
      <c r="H4" s="8"/>
      <c r="I4" s="8"/>
      <c r="J4" s="8"/>
      <c r="K4" s="8"/>
      <c r="L4" s="15"/>
      <c r="M4" s="17"/>
      <c r="N4" s="17"/>
      <c r="O4" s="17"/>
      <c r="P4" s="15"/>
      <c r="Q4" s="17"/>
      <c r="R4" s="17"/>
      <c r="S4" s="15"/>
      <c r="T4" s="17"/>
      <c r="U4" s="17"/>
      <c r="V4" s="15"/>
      <c r="W4" s="17"/>
      <c r="X4" s="17"/>
      <c r="Y4" s="15"/>
      <c r="Z4" s="17"/>
      <c r="AA4" s="17"/>
      <c r="AB4" s="15"/>
      <c r="AC4" s="17"/>
      <c r="AD4" s="17"/>
      <c r="AE4" s="15"/>
      <c r="AF4" s="17"/>
      <c r="AG4" s="17"/>
      <c r="AH4" s="15"/>
      <c r="AI4" s="17"/>
      <c r="AJ4" s="17"/>
      <c r="AK4" s="15"/>
      <c r="AL4" s="17"/>
      <c r="AM4" s="17"/>
      <c r="AN4" s="15"/>
      <c r="AO4" s="17"/>
      <c r="AP4" s="17"/>
      <c r="AQ4" s="15"/>
      <c r="AR4" s="17"/>
      <c r="AS4" s="17"/>
      <c r="AT4" s="15"/>
      <c r="AU4" s="17"/>
      <c r="AV4" s="17"/>
      <c r="AW4" s="15"/>
      <c r="AX4" s="17"/>
      <c r="AY4" s="17"/>
      <c r="AZ4" s="15"/>
      <c r="BA4" s="17"/>
      <c r="BB4" s="17"/>
      <c r="BC4" s="15"/>
      <c r="BD4" s="17"/>
      <c r="BE4" s="17"/>
      <c r="BF4" s="15"/>
      <c r="BG4" s="17"/>
      <c r="BH4" s="17"/>
      <c r="BI4" s="15"/>
      <c r="BJ4" s="17"/>
      <c r="BK4" s="17"/>
      <c r="BL4" s="100"/>
    </row>
    <row r="5" spans="1:64" s="12" customFormat="1" ht="13">
      <c r="A5" s="8" t="s">
        <v>16</v>
      </c>
      <c r="B5" s="21" t="s">
        <v>367</v>
      </c>
      <c r="C5" s="21"/>
      <c r="D5" s="21"/>
      <c r="E5" s="8"/>
      <c r="F5" s="8"/>
      <c r="G5" s="8"/>
      <c r="H5" s="8"/>
      <c r="I5" s="8"/>
      <c r="J5" s="8"/>
      <c r="K5" s="8"/>
      <c r="L5" s="15"/>
      <c r="M5" s="17"/>
      <c r="N5" s="17"/>
      <c r="O5" s="17"/>
      <c r="P5" s="15"/>
      <c r="Q5" s="17"/>
      <c r="R5" s="17"/>
      <c r="S5" s="15"/>
      <c r="T5" s="17"/>
      <c r="U5" s="17"/>
      <c r="V5" s="15"/>
      <c r="W5" s="17"/>
      <c r="X5" s="17"/>
      <c r="Y5" s="15"/>
      <c r="Z5" s="17"/>
      <c r="AA5" s="17"/>
      <c r="AB5" s="15"/>
      <c r="AC5" s="17"/>
      <c r="AD5" s="17"/>
      <c r="AE5" s="15"/>
      <c r="AF5" s="17"/>
      <c r="AG5" s="17"/>
      <c r="AH5" s="15"/>
      <c r="AI5" s="17"/>
      <c r="AJ5" s="17"/>
      <c r="AK5" s="15"/>
      <c r="AL5" s="17"/>
      <c r="AM5" s="17"/>
      <c r="AN5" s="15"/>
      <c r="AO5" s="17"/>
      <c r="AP5" s="17"/>
      <c r="AQ5" s="15"/>
      <c r="AR5" s="17"/>
      <c r="AS5" s="17"/>
      <c r="AT5" s="15"/>
      <c r="AU5" s="17"/>
      <c r="AV5" s="17"/>
      <c r="AW5" s="15"/>
      <c r="AX5" s="17"/>
      <c r="AY5" s="17"/>
      <c r="AZ5" s="15"/>
      <c r="BA5" s="17"/>
      <c r="BB5" s="17"/>
      <c r="BC5" s="15"/>
      <c r="BD5" s="17"/>
      <c r="BE5" s="17"/>
      <c r="BF5" s="15"/>
      <c r="BG5" s="17"/>
      <c r="BH5" s="17"/>
      <c r="BI5" s="15"/>
      <c r="BJ5" s="17"/>
      <c r="BK5" s="17"/>
      <c r="BL5" s="100"/>
    </row>
    <row r="6" spans="1:64" s="12" customFormat="1">
      <c r="A6" s="8" t="s">
        <v>17</v>
      </c>
      <c r="B6" s="21"/>
      <c r="C6" s="21"/>
      <c r="D6" s="21"/>
      <c r="E6" s="8"/>
      <c r="F6" s="8"/>
      <c r="G6" s="8"/>
      <c r="H6" s="8"/>
      <c r="I6" s="8"/>
      <c r="J6" s="8"/>
      <c r="K6" s="8"/>
      <c r="L6" s="15"/>
      <c r="M6" s="17"/>
      <c r="N6" s="17"/>
      <c r="O6" s="17"/>
      <c r="P6" s="15"/>
      <c r="Q6" s="17"/>
      <c r="R6" s="17"/>
      <c r="S6" s="15"/>
      <c r="T6" s="17"/>
      <c r="U6" s="17"/>
      <c r="V6" s="15"/>
      <c r="W6" s="17"/>
      <c r="X6" s="17"/>
      <c r="Y6" s="15"/>
      <c r="Z6" s="17"/>
      <c r="AA6" s="17"/>
      <c r="AB6" s="15"/>
      <c r="AC6" s="17"/>
      <c r="AD6" s="17"/>
      <c r="AE6" s="15"/>
      <c r="AF6" s="17"/>
      <c r="AG6" s="17"/>
      <c r="AH6" s="15"/>
      <c r="AI6" s="17"/>
      <c r="AJ6" s="17"/>
      <c r="AK6" s="15"/>
      <c r="AL6" s="17"/>
      <c r="AM6" s="17"/>
      <c r="AN6" s="15"/>
      <c r="AO6" s="17"/>
      <c r="AP6" s="17"/>
      <c r="AQ6" s="15"/>
      <c r="AR6" s="17"/>
      <c r="AS6" s="17"/>
      <c r="AT6" s="15"/>
      <c r="AU6" s="17"/>
      <c r="AV6" s="17"/>
      <c r="AW6" s="15"/>
      <c r="AX6" s="17"/>
      <c r="AY6" s="17"/>
      <c r="AZ6" s="15"/>
      <c r="BA6" s="17"/>
      <c r="BB6" s="17"/>
      <c r="BC6" s="15"/>
      <c r="BD6" s="17"/>
      <c r="BE6" s="17"/>
      <c r="BF6" s="15"/>
      <c r="BG6" s="17"/>
      <c r="BH6" s="17"/>
      <c r="BI6" s="15"/>
      <c r="BJ6" s="17"/>
      <c r="BK6" s="17"/>
      <c r="BL6" s="100"/>
    </row>
    <row r="7" spans="1:64" s="98" customFormat="1" ht="11.25" customHeight="1">
      <c r="A7" s="5" t="s">
        <v>368</v>
      </c>
      <c r="B7" s="5" t="s">
        <v>369</v>
      </c>
    </row>
    <row r="8" spans="1:64" s="98" customFormat="1" ht="13">
      <c r="A8" s="5" t="s">
        <v>368</v>
      </c>
      <c r="B8" s="5" t="s">
        <v>370</v>
      </c>
    </row>
    <row r="9" spans="1:64" ht="13">
      <c r="A9" s="5" t="s">
        <v>371</v>
      </c>
      <c r="B9" s="5" t="s">
        <v>372</v>
      </c>
    </row>
    <row r="10" spans="1:64" s="98" customFormat="1" ht="13">
      <c r="A10" s="5" t="s">
        <v>373</v>
      </c>
      <c r="B10" s="5" t="s">
        <v>374</v>
      </c>
    </row>
    <row r="11" spans="1:64" s="98" customFormat="1">
      <c r="A11" s="8" t="s">
        <v>21</v>
      </c>
      <c r="B11" s="5"/>
    </row>
    <row r="12" spans="1:64" s="98" customFormat="1">
      <c r="A12" s="8" t="s">
        <v>22</v>
      </c>
      <c r="B12" s="5"/>
    </row>
    <row r="13" spans="1:64" s="98" customFormat="1" ht="13">
      <c r="A13" s="5" t="s">
        <v>375</v>
      </c>
      <c r="B13" s="5" t="s">
        <v>376</v>
      </c>
    </row>
    <row r="14" spans="1:64" s="98" customFormat="1">
      <c r="A14" s="8" t="s">
        <v>24</v>
      </c>
      <c r="B14" s="5"/>
    </row>
    <row r="15" spans="1:64" s="98" customFormat="1" ht="13">
      <c r="A15" s="5" t="s">
        <v>377</v>
      </c>
      <c r="B15" s="5" t="s">
        <v>378</v>
      </c>
    </row>
    <row r="16" spans="1:64" s="98" customFormat="1" ht="13">
      <c r="A16" s="5" t="s">
        <v>379</v>
      </c>
      <c r="B16" s="5" t="s">
        <v>380</v>
      </c>
    </row>
    <row r="17" spans="1:63" s="98" customFormat="1" ht="11.25" customHeight="1">
      <c r="A17" s="5" t="s">
        <v>381</v>
      </c>
      <c r="B17" s="5" t="s">
        <v>382</v>
      </c>
    </row>
    <row r="18" spans="1:63" s="98" customFormat="1" ht="13">
      <c r="A18" s="5" t="s">
        <v>383</v>
      </c>
      <c r="B18" s="5" t="s">
        <v>384</v>
      </c>
    </row>
    <row r="19" spans="1:63" s="98" customFormat="1" ht="13">
      <c r="A19" s="12" t="s">
        <v>385</v>
      </c>
      <c r="B19" s="12" t="s">
        <v>386</v>
      </c>
    </row>
    <row r="20" spans="1:63" s="98" customFormat="1" ht="13">
      <c r="A20" s="110" t="s">
        <v>387</v>
      </c>
      <c r="B20" s="110" t="s">
        <v>388</v>
      </c>
    </row>
    <row r="21" spans="1:63" s="98" customFormat="1">
      <c r="A21" s="12" t="s">
        <v>31</v>
      </c>
      <c r="B21" s="12"/>
    </row>
    <row r="22" spans="1:63" s="98" customFormat="1">
      <c r="A22" s="8" t="s">
        <v>32</v>
      </c>
      <c r="B22" s="12"/>
    </row>
    <row r="23" spans="1:63" ht="13">
      <c r="A23" s="5" t="s">
        <v>389</v>
      </c>
      <c r="B23" s="5" t="s">
        <v>390</v>
      </c>
    </row>
    <row r="24" spans="1:63" ht="13">
      <c r="A24" s="5" t="s">
        <v>389</v>
      </c>
      <c r="B24" s="5" t="s">
        <v>391</v>
      </c>
    </row>
    <row r="25" spans="1:63" s="98" customFormat="1" ht="13">
      <c r="A25" s="5" t="s">
        <v>392</v>
      </c>
      <c r="B25" s="5" t="s">
        <v>393</v>
      </c>
    </row>
    <row r="26" spans="1:63" s="98" customFormat="1" ht="13">
      <c r="A26" s="5" t="s">
        <v>392</v>
      </c>
      <c r="B26" s="5" t="s">
        <v>394</v>
      </c>
    </row>
    <row r="27" spans="1:63" s="98" customFormat="1" ht="13">
      <c r="A27" s="5" t="s">
        <v>395</v>
      </c>
      <c r="B27" s="5" t="s">
        <v>396</v>
      </c>
    </row>
    <row r="28" spans="1:63" s="12" customFormat="1">
      <c r="A28" s="8" t="s">
        <v>36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15"/>
      <c r="M28" s="17"/>
      <c r="N28" s="17"/>
      <c r="O28" s="17"/>
      <c r="P28" s="15"/>
      <c r="Q28" s="17"/>
      <c r="R28" s="17"/>
      <c r="S28" s="15"/>
      <c r="T28" s="17"/>
      <c r="U28" s="17"/>
      <c r="V28" s="15"/>
      <c r="W28" s="17"/>
      <c r="X28" s="17"/>
      <c r="Y28" s="15"/>
      <c r="Z28" s="17"/>
      <c r="AA28" s="17"/>
      <c r="AB28" s="15"/>
      <c r="AC28" s="17"/>
      <c r="AD28" s="17"/>
      <c r="AE28" s="15"/>
      <c r="AF28" s="17"/>
      <c r="AG28" s="17"/>
      <c r="AH28" s="15"/>
      <c r="AI28" s="17"/>
      <c r="AJ28" s="17"/>
      <c r="AK28" s="15"/>
      <c r="AL28" s="17"/>
      <c r="AM28" s="17"/>
      <c r="AN28" s="15"/>
      <c r="AO28" s="17"/>
      <c r="AP28" s="17"/>
      <c r="AQ28" s="15"/>
      <c r="AR28" s="17"/>
      <c r="AS28" s="17"/>
      <c r="AT28" s="15"/>
      <c r="AU28" s="17"/>
      <c r="AV28" s="17"/>
      <c r="AW28" s="15"/>
      <c r="AX28" s="17"/>
      <c r="AY28" s="17"/>
      <c r="AZ28" s="15"/>
      <c r="BA28" s="17"/>
      <c r="BB28" s="17"/>
      <c r="BC28" s="15"/>
      <c r="BD28" s="17"/>
      <c r="BE28" s="17"/>
      <c r="BF28" s="15"/>
      <c r="BG28" s="17"/>
      <c r="BH28" s="17"/>
      <c r="BI28" s="15"/>
      <c r="BJ28" s="17"/>
      <c r="BK28" s="17"/>
    </row>
    <row r="29" spans="1:63" s="12" customFormat="1">
      <c r="A29" s="8" t="s">
        <v>37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15"/>
      <c r="M29" s="17"/>
      <c r="N29" s="17"/>
      <c r="O29" s="17"/>
      <c r="P29" s="15"/>
      <c r="Q29" s="17"/>
      <c r="R29" s="17"/>
      <c r="S29" s="15"/>
      <c r="T29" s="17"/>
      <c r="U29" s="17"/>
      <c r="V29" s="15"/>
      <c r="W29" s="17"/>
      <c r="X29" s="17"/>
      <c r="Y29" s="15"/>
      <c r="Z29" s="17"/>
      <c r="AA29" s="17"/>
      <c r="AB29" s="15"/>
      <c r="AC29" s="17"/>
      <c r="AD29" s="17"/>
      <c r="AE29" s="15"/>
      <c r="AF29" s="17"/>
      <c r="AG29" s="17"/>
      <c r="AH29" s="15"/>
      <c r="AI29" s="17"/>
      <c r="AJ29" s="17"/>
      <c r="AK29" s="15"/>
      <c r="AL29" s="17"/>
      <c r="AM29" s="17"/>
      <c r="AN29" s="15"/>
      <c r="AO29" s="17"/>
      <c r="AP29" s="17"/>
      <c r="AQ29" s="15"/>
      <c r="AR29" s="17"/>
      <c r="AS29" s="17"/>
      <c r="AT29" s="15"/>
      <c r="AU29" s="17"/>
      <c r="AV29" s="17"/>
      <c r="AW29" s="15"/>
      <c r="AX29" s="17"/>
      <c r="AY29" s="17"/>
      <c r="AZ29" s="15"/>
      <c r="BA29" s="17"/>
      <c r="BB29" s="17"/>
      <c r="BC29" s="15"/>
      <c r="BD29" s="17"/>
      <c r="BE29" s="17"/>
      <c r="BF29" s="15"/>
      <c r="BG29" s="17"/>
      <c r="BH29" s="17"/>
      <c r="BI29" s="15"/>
      <c r="BJ29" s="17"/>
      <c r="BK29" s="17"/>
    </row>
    <row r="30" spans="1:63" s="12" customFormat="1">
      <c r="A30" s="8" t="s">
        <v>38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15"/>
      <c r="M30" s="17"/>
      <c r="N30" s="17"/>
      <c r="O30" s="17"/>
      <c r="P30" s="15"/>
      <c r="Q30" s="17"/>
      <c r="R30" s="17"/>
      <c r="S30" s="15"/>
      <c r="T30" s="17"/>
      <c r="U30" s="17"/>
      <c r="V30" s="15"/>
      <c r="W30" s="17"/>
      <c r="X30" s="17"/>
      <c r="Y30" s="15"/>
      <c r="Z30" s="17"/>
      <c r="AA30" s="17"/>
      <c r="AB30" s="15"/>
      <c r="AC30" s="17"/>
      <c r="AD30" s="17"/>
      <c r="AE30" s="15"/>
      <c r="AF30" s="17"/>
      <c r="AG30" s="17"/>
      <c r="AH30" s="15"/>
      <c r="AI30" s="17"/>
      <c r="AJ30" s="17"/>
      <c r="AK30" s="15"/>
      <c r="AL30" s="17"/>
      <c r="AM30" s="17"/>
      <c r="AN30" s="15"/>
      <c r="AO30" s="17"/>
      <c r="AP30" s="17"/>
      <c r="AQ30" s="15"/>
      <c r="AR30" s="17"/>
      <c r="AS30" s="17"/>
      <c r="AT30" s="15"/>
      <c r="AU30" s="17"/>
      <c r="AV30" s="17"/>
      <c r="AW30" s="15"/>
      <c r="AX30" s="17"/>
      <c r="AY30" s="17"/>
      <c r="AZ30" s="15"/>
      <c r="BA30" s="17"/>
      <c r="BB30" s="17"/>
      <c r="BC30" s="15"/>
      <c r="BD30" s="17"/>
      <c r="BE30" s="17"/>
      <c r="BF30" s="15"/>
      <c r="BG30" s="17"/>
      <c r="BH30" s="17"/>
      <c r="BI30" s="15"/>
      <c r="BJ30" s="17"/>
      <c r="BK30" s="17"/>
    </row>
    <row r="31" spans="1:63" s="98" customFormat="1" ht="13">
      <c r="A31" s="5" t="s">
        <v>397</v>
      </c>
      <c r="B31" s="5" t="s">
        <v>398</v>
      </c>
    </row>
    <row r="32" spans="1:63" s="12" customFormat="1" ht="13">
      <c r="A32" s="8" t="s">
        <v>40</v>
      </c>
      <c r="B32" s="21" t="s">
        <v>399</v>
      </c>
      <c r="C32" s="21"/>
      <c r="D32" s="21"/>
      <c r="E32" s="8"/>
      <c r="F32" s="8"/>
      <c r="G32" s="8"/>
      <c r="H32" s="8"/>
      <c r="I32" s="8"/>
      <c r="J32" s="8"/>
      <c r="K32" s="8"/>
      <c r="L32" s="15"/>
      <c r="M32" s="17"/>
      <c r="N32" s="17"/>
      <c r="O32" s="17"/>
      <c r="P32" s="15"/>
      <c r="Q32" s="17"/>
      <c r="R32" s="17"/>
      <c r="S32" s="15"/>
      <c r="T32" s="17"/>
      <c r="U32" s="17"/>
      <c r="V32" s="15"/>
      <c r="W32" s="17"/>
      <c r="X32" s="17"/>
      <c r="Y32" s="15"/>
      <c r="Z32" s="17"/>
      <c r="AA32" s="17"/>
      <c r="AB32" s="15"/>
      <c r="AC32" s="17"/>
      <c r="AD32" s="17"/>
      <c r="AE32" s="15"/>
      <c r="AF32" s="17"/>
      <c r="AG32" s="17"/>
      <c r="AH32" s="15"/>
      <c r="AI32" s="17"/>
      <c r="AJ32" s="17"/>
      <c r="AK32" s="15"/>
      <c r="AL32" s="17"/>
      <c r="AM32" s="17"/>
      <c r="AN32" s="15"/>
      <c r="AO32" s="17"/>
      <c r="AP32" s="17"/>
      <c r="AQ32" s="15"/>
      <c r="AR32" s="17"/>
      <c r="AS32" s="17"/>
      <c r="AT32" s="15"/>
      <c r="AU32" s="17"/>
      <c r="AV32" s="17"/>
      <c r="AW32" s="15"/>
      <c r="AX32" s="17"/>
      <c r="AY32" s="17"/>
      <c r="AZ32" s="15"/>
      <c r="BA32" s="17"/>
      <c r="BB32" s="17"/>
      <c r="BC32" s="15"/>
      <c r="BD32" s="17"/>
      <c r="BE32" s="17"/>
      <c r="BF32" s="15"/>
      <c r="BG32" s="17"/>
      <c r="BH32" s="17"/>
      <c r="BI32" s="15"/>
      <c r="BJ32" s="17"/>
      <c r="BK32" s="17"/>
    </row>
    <row r="33" spans="1:63" s="12" customFormat="1">
      <c r="A33" s="8" t="s">
        <v>41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15"/>
      <c r="M33" s="17"/>
      <c r="N33" s="17"/>
      <c r="O33" s="17"/>
      <c r="P33" s="15"/>
      <c r="Q33" s="17"/>
      <c r="R33" s="17"/>
      <c r="S33" s="15"/>
      <c r="T33" s="17"/>
      <c r="U33" s="17"/>
      <c r="V33" s="15"/>
      <c r="W33" s="17"/>
      <c r="X33" s="17"/>
      <c r="Y33" s="15"/>
      <c r="Z33" s="17"/>
      <c r="AA33" s="17"/>
      <c r="AB33" s="15"/>
      <c r="AC33" s="17"/>
      <c r="AD33" s="17"/>
      <c r="AE33" s="15"/>
      <c r="AF33" s="17"/>
      <c r="AG33" s="17"/>
      <c r="AH33" s="15"/>
      <c r="AI33" s="17"/>
      <c r="AJ33" s="17"/>
      <c r="AK33" s="15"/>
      <c r="AL33" s="17"/>
      <c r="AM33" s="17"/>
      <c r="AN33" s="15"/>
      <c r="AO33" s="17"/>
      <c r="AP33" s="17"/>
      <c r="AQ33" s="15"/>
      <c r="AR33" s="17"/>
      <c r="AS33" s="17"/>
      <c r="AT33" s="15"/>
      <c r="AU33" s="17"/>
      <c r="AV33" s="17"/>
      <c r="AW33" s="15"/>
      <c r="AX33" s="17"/>
      <c r="AY33" s="17"/>
      <c r="AZ33" s="15"/>
      <c r="BA33" s="17"/>
      <c r="BB33" s="17"/>
      <c r="BC33" s="15"/>
      <c r="BD33" s="17"/>
      <c r="BE33" s="17"/>
      <c r="BF33" s="15"/>
      <c r="BG33" s="17"/>
      <c r="BH33" s="17"/>
      <c r="BI33" s="15"/>
      <c r="BJ33" s="17"/>
      <c r="BK33" s="17"/>
    </row>
    <row r="34" spans="1:63" s="12" customFormat="1">
      <c r="A34" s="8" t="s">
        <v>42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15"/>
      <c r="M34" s="17"/>
      <c r="N34" s="17"/>
      <c r="O34" s="17"/>
      <c r="P34" s="15"/>
      <c r="Q34" s="17"/>
      <c r="R34" s="17"/>
      <c r="S34" s="15"/>
      <c r="T34" s="17"/>
      <c r="U34" s="17"/>
      <c r="V34" s="15"/>
      <c r="W34" s="17"/>
      <c r="X34" s="17"/>
      <c r="Y34" s="15"/>
      <c r="Z34" s="17"/>
      <c r="AA34" s="17"/>
      <c r="AB34" s="15"/>
      <c r="AC34" s="17"/>
      <c r="AD34" s="17"/>
      <c r="AE34" s="15"/>
      <c r="AF34" s="17"/>
      <c r="AG34" s="17"/>
      <c r="AH34" s="15"/>
      <c r="AI34" s="17"/>
      <c r="AJ34" s="17"/>
      <c r="AK34" s="15"/>
      <c r="AL34" s="17"/>
      <c r="AM34" s="17"/>
      <c r="AN34" s="15"/>
      <c r="AO34" s="17"/>
      <c r="AP34" s="17"/>
      <c r="AQ34" s="15"/>
      <c r="AR34" s="17"/>
      <c r="AS34" s="17"/>
      <c r="AT34" s="15"/>
      <c r="AU34" s="17"/>
      <c r="AV34" s="17"/>
      <c r="AW34" s="15"/>
      <c r="AX34" s="17"/>
      <c r="AY34" s="17"/>
      <c r="AZ34" s="15"/>
      <c r="BA34" s="17"/>
      <c r="BB34" s="17"/>
      <c r="BC34" s="15"/>
      <c r="BD34" s="17"/>
      <c r="BE34" s="17"/>
      <c r="BF34" s="15"/>
      <c r="BG34" s="17"/>
      <c r="BH34" s="17"/>
      <c r="BI34" s="15"/>
      <c r="BJ34" s="17"/>
      <c r="BK34" s="17"/>
    </row>
    <row r="35" spans="1:63" s="101" customFormat="1" ht="13">
      <c r="A35" s="12" t="s">
        <v>400</v>
      </c>
      <c r="B35" s="12" t="s">
        <v>401</v>
      </c>
    </row>
    <row r="36" spans="1:63" s="12" customFormat="1">
      <c r="A36" s="9" t="s">
        <v>44</v>
      </c>
      <c r="B36" s="7"/>
      <c r="C36" s="7"/>
      <c r="D36" s="7"/>
      <c r="E36" s="9"/>
      <c r="F36" s="9"/>
      <c r="G36" s="9"/>
      <c r="H36" s="9"/>
      <c r="I36" s="9"/>
      <c r="J36" s="9"/>
      <c r="K36" s="9"/>
      <c r="L36" s="16"/>
      <c r="M36" s="9"/>
      <c r="N36" s="9"/>
      <c r="O36" s="9"/>
      <c r="P36" s="16"/>
      <c r="Q36" s="9"/>
      <c r="R36" s="9"/>
      <c r="S36" s="16"/>
      <c r="T36" s="9"/>
      <c r="U36" s="9"/>
      <c r="V36" s="16"/>
      <c r="W36" s="9"/>
      <c r="X36" s="9"/>
      <c r="Y36" s="16"/>
      <c r="Z36" s="9"/>
      <c r="AA36" s="9"/>
      <c r="AB36" s="16"/>
      <c r="AC36" s="9"/>
      <c r="AD36" s="9"/>
      <c r="AE36" s="16"/>
      <c r="AF36" s="9"/>
      <c r="AG36" s="9"/>
      <c r="AH36" s="16"/>
      <c r="AI36" s="9"/>
      <c r="AJ36" s="9"/>
      <c r="AK36" s="16"/>
      <c r="AL36" s="9"/>
      <c r="AM36" s="9"/>
      <c r="AN36" s="16"/>
      <c r="AO36" s="9"/>
      <c r="AP36" s="9"/>
      <c r="AQ36" s="16"/>
      <c r="AR36" s="9"/>
      <c r="AS36" s="9"/>
      <c r="AT36" s="16"/>
      <c r="AU36" s="9"/>
      <c r="AV36" s="9"/>
      <c r="AW36" s="16"/>
      <c r="AX36" s="9"/>
      <c r="AY36" s="9"/>
      <c r="AZ36" s="16"/>
      <c r="BA36" s="9"/>
      <c r="BB36" s="9"/>
      <c r="BC36" s="16"/>
      <c r="BD36" s="9"/>
      <c r="BE36" s="9"/>
      <c r="BF36" s="16"/>
      <c r="BG36" s="9"/>
      <c r="BH36" s="9"/>
      <c r="BI36" s="16"/>
      <c r="BJ36" s="9"/>
      <c r="BK36" s="9"/>
    </row>
    <row r="37" spans="1:63" s="98" customFormat="1">
      <c r="A37" s="12" t="s">
        <v>45</v>
      </c>
      <c r="B37" s="12"/>
    </row>
    <row r="38" spans="1:63" ht="13">
      <c r="A38" s="5" t="s">
        <v>402</v>
      </c>
      <c r="B38" s="5" t="s">
        <v>403</v>
      </c>
    </row>
    <row r="39" spans="1:63" s="12" customFormat="1">
      <c r="A39" s="8" t="s">
        <v>47</v>
      </c>
      <c r="B39" s="21"/>
      <c r="C39" s="21"/>
      <c r="D39" s="21"/>
      <c r="E39" s="8"/>
      <c r="F39" s="8"/>
      <c r="G39" s="8"/>
      <c r="H39" s="8"/>
      <c r="I39" s="8"/>
      <c r="J39" s="8"/>
      <c r="K39" s="8"/>
      <c r="L39" s="15"/>
      <c r="M39" s="17"/>
      <c r="N39" s="17"/>
      <c r="O39" s="17"/>
      <c r="P39" s="15"/>
      <c r="Q39" s="17"/>
      <c r="R39" s="17"/>
      <c r="S39" s="15"/>
      <c r="T39" s="17"/>
      <c r="U39" s="17"/>
      <c r="V39" s="15"/>
      <c r="W39" s="17"/>
      <c r="X39" s="17"/>
      <c r="Y39" s="15"/>
      <c r="Z39" s="17"/>
      <c r="AA39" s="17"/>
      <c r="AB39" s="15"/>
      <c r="AC39" s="17"/>
      <c r="AD39" s="17"/>
      <c r="AE39" s="15"/>
      <c r="AF39" s="17"/>
      <c r="AG39" s="17"/>
      <c r="AH39" s="15"/>
      <c r="AI39" s="17"/>
      <c r="AJ39" s="17"/>
      <c r="AK39" s="15"/>
      <c r="AL39" s="17"/>
      <c r="AM39" s="17"/>
      <c r="AN39" s="15"/>
      <c r="AO39" s="17"/>
      <c r="AP39" s="17"/>
      <c r="AQ39" s="15"/>
      <c r="AR39" s="17"/>
      <c r="AS39" s="17"/>
      <c r="AT39" s="15"/>
      <c r="AU39" s="17"/>
      <c r="AV39" s="17"/>
      <c r="AW39" s="15"/>
      <c r="AX39" s="17"/>
      <c r="AY39" s="17"/>
      <c r="AZ39" s="15"/>
      <c r="BA39" s="17"/>
      <c r="BB39" s="17"/>
      <c r="BC39" s="15"/>
      <c r="BD39" s="17"/>
      <c r="BE39" s="17"/>
      <c r="BF39" s="15"/>
      <c r="BG39" s="17"/>
      <c r="BH39" s="17"/>
      <c r="BI39" s="15"/>
      <c r="BJ39" s="17"/>
      <c r="BK39" s="17"/>
    </row>
    <row r="40" spans="1:63" ht="13">
      <c r="A40" s="5" t="s">
        <v>404</v>
      </c>
      <c r="B40" s="5" t="s">
        <v>405</v>
      </c>
    </row>
    <row r="41" spans="1:63" s="12" customFormat="1">
      <c r="A41" s="8" t="s">
        <v>49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15"/>
      <c r="M41" s="17"/>
      <c r="N41" s="17"/>
      <c r="O41" s="17"/>
      <c r="P41" s="15"/>
      <c r="Q41" s="17"/>
      <c r="R41" s="17"/>
      <c r="S41" s="15"/>
      <c r="T41" s="17"/>
      <c r="U41" s="17"/>
      <c r="V41" s="15"/>
      <c r="W41" s="17"/>
      <c r="X41" s="17"/>
      <c r="Y41" s="15"/>
      <c r="Z41" s="17"/>
      <c r="AA41" s="17"/>
      <c r="AB41" s="15"/>
      <c r="AC41" s="17"/>
      <c r="AD41" s="17"/>
      <c r="AE41" s="15"/>
      <c r="AF41" s="17"/>
      <c r="AG41" s="17"/>
      <c r="AH41" s="15"/>
      <c r="AI41" s="17"/>
      <c r="AJ41" s="17"/>
      <c r="AK41" s="15"/>
      <c r="AL41" s="17"/>
      <c r="AM41" s="17"/>
      <c r="AN41" s="15"/>
      <c r="AO41" s="17"/>
      <c r="AP41" s="17"/>
      <c r="AQ41" s="15"/>
      <c r="AR41" s="17"/>
      <c r="AS41" s="17"/>
      <c r="AT41" s="15"/>
      <c r="AU41" s="17"/>
      <c r="AV41" s="17"/>
      <c r="AW41" s="15"/>
      <c r="AX41" s="17"/>
      <c r="AY41" s="17"/>
      <c r="AZ41" s="15"/>
      <c r="BA41" s="17"/>
      <c r="BB41" s="17"/>
      <c r="BC41" s="15"/>
      <c r="BD41" s="17"/>
      <c r="BE41" s="17"/>
      <c r="BF41" s="15"/>
      <c r="BG41" s="17"/>
      <c r="BH41" s="17"/>
      <c r="BI41" s="15"/>
      <c r="BJ41" s="17"/>
      <c r="BK41" s="17"/>
    </row>
    <row r="42" spans="1:63" s="98" customFormat="1" ht="13">
      <c r="A42" s="5" t="s">
        <v>406</v>
      </c>
      <c r="B42" s="5" t="s">
        <v>407</v>
      </c>
    </row>
    <row r="43" spans="1:63" s="12" customFormat="1">
      <c r="A43" s="8" t="s">
        <v>51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15"/>
      <c r="M43" s="17"/>
      <c r="N43" s="17"/>
      <c r="O43" s="17"/>
      <c r="P43" s="15"/>
      <c r="Q43" s="17"/>
      <c r="R43" s="17"/>
      <c r="S43" s="15"/>
      <c r="T43" s="17"/>
      <c r="U43" s="17"/>
      <c r="V43" s="15"/>
      <c r="W43" s="17"/>
      <c r="X43" s="17"/>
      <c r="Y43" s="15"/>
      <c r="Z43" s="17"/>
      <c r="AA43" s="17"/>
      <c r="AB43" s="15"/>
      <c r="AC43" s="17"/>
      <c r="AD43" s="17"/>
      <c r="AE43" s="15"/>
      <c r="AF43" s="17"/>
      <c r="AG43" s="17"/>
      <c r="AH43" s="15"/>
      <c r="AI43" s="17"/>
      <c r="AJ43" s="17"/>
      <c r="AK43" s="15"/>
      <c r="AL43" s="17"/>
      <c r="AM43" s="17"/>
      <c r="AN43" s="15"/>
      <c r="AO43" s="17"/>
      <c r="AP43" s="17"/>
      <c r="AQ43" s="15"/>
      <c r="AR43" s="17"/>
      <c r="AS43" s="17"/>
      <c r="AT43" s="15"/>
      <c r="AU43" s="17"/>
      <c r="AV43" s="17"/>
      <c r="AW43" s="15"/>
      <c r="AX43" s="17"/>
      <c r="AY43" s="17"/>
      <c r="AZ43" s="15"/>
      <c r="BA43" s="17"/>
      <c r="BB43" s="17"/>
      <c r="BC43" s="15"/>
      <c r="BD43" s="17"/>
      <c r="BE43" s="17"/>
      <c r="BF43" s="15"/>
      <c r="BG43" s="17"/>
      <c r="BH43" s="17"/>
      <c r="BI43" s="15"/>
      <c r="BJ43" s="17"/>
      <c r="BK43" s="17"/>
    </row>
    <row r="44" spans="1:63" s="98" customFormat="1" ht="13">
      <c r="A44" s="5" t="s">
        <v>408</v>
      </c>
      <c r="B44" s="5" t="s">
        <v>409</v>
      </c>
    </row>
    <row r="45" spans="1:63" ht="13">
      <c r="A45" s="5" t="s">
        <v>408</v>
      </c>
      <c r="B45" s="5" t="s">
        <v>410</v>
      </c>
    </row>
    <row r="46" spans="1:63" s="12" customFormat="1">
      <c r="A46" s="8" t="s">
        <v>53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15"/>
      <c r="M46" s="17"/>
      <c r="N46" s="17"/>
      <c r="O46" s="17"/>
      <c r="P46" s="15"/>
      <c r="Q46" s="17"/>
      <c r="R46" s="17"/>
      <c r="S46" s="15"/>
      <c r="T46" s="17"/>
      <c r="U46" s="17"/>
      <c r="V46" s="15"/>
      <c r="W46" s="17"/>
      <c r="X46" s="17"/>
      <c r="Y46" s="15"/>
      <c r="Z46" s="17"/>
      <c r="AA46" s="17"/>
      <c r="AB46" s="15"/>
      <c r="AC46" s="17"/>
      <c r="AD46" s="17"/>
      <c r="AE46" s="15"/>
      <c r="AF46" s="17"/>
      <c r="AG46" s="17"/>
      <c r="AH46" s="15"/>
      <c r="AI46" s="17"/>
      <c r="AJ46" s="17"/>
      <c r="AK46" s="15"/>
      <c r="AL46" s="17"/>
      <c r="AM46" s="17"/>
      <c r="AN46" s="15"/>
      <c r="AO46" s="17"/>
      <c r="AP46" s="17"/>
      <c r="AQ46" s="15"/>
      <c r="AR46" s="17"/>
      <c r="AS46" s="17"/>
      <c r="AT46" s="15"/>
      <c r="AU46" s="17"/>
      <c r="AV46" s="17"/>
      <c r="AW46" s="15"/>
      <c r="AX46" s="17"/>
      <c r="AY46" s="17"/>
      <c r="AZ46" s="15"/>
      <c r="BA46" s="17"/>
      <c r="BB46" s="17"/>
      <c r="BC46" s="15"/>
      <c r="BD46" s="17"/>
      <c r="BE46" s="17"/>
      <c r="BF46" s="15"/>
      <c r="BG46" s="17"/>
      <c r="BH46" s="17"/>
      <c r="BI46" s="15"/>
      <c r="BJ46" s="17"/>
      <c r="BK46" s="17"/>
    </row>
    <row r="47" spans="1:63" s="12" customFormat="1">
      <c r="A47" s="8" t="s">
        <v>54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15"/>
      <c r="M47" s="17"/>
      <c r="N47" s="17"/>
      <c r="O47" s="17"/>
      <c r="P47" s="15"/>
      <c r="Q47" s="17"/>
      <c r="R47" s="17"/>
      <c r="S47" s="15"/>
      <c r="T47" s="17"/>
      <c r="U47" s="17"/>
      <c r="V47" s="15"/>
      <c r="W47" s="17"/>
      <c r="X47" s="17"/>
      <c r="Y47" s="15"/>
      <c r="Z47" s="17"/>
      <c r="AA47" s="17"/>
      <c r="AB47" s="15"/>
      <c r="AC47" s="17"/>
      <c r="AD47" s="17"/>
      <c r="AE47" s="15"/>
      <c r="AF47" s="17"/>
      <c r="AG47" s="17"/>
      <c r="AH47" s="15"/>
      <c r="AI47" s="17"/>
      <c r="AJ47" s="17"/>
      <c r="AK47" s="15"/>
      <c r="AL47" s="17"/>
      <c r="AM47" s="17"/>
      <c r="AN47" s="15"/>
      <c r="AO47" s="17"/>
      <c r="AP47" s="17"/>
      <c r="AQ47" s="15"/>
      <c r="AR47" s="17"/>
      <c r="AS47" s="17"/>
      <c r="AT47" s="15"/>
      <c r="AU47" s="17"/>
      <c r="AV47" s="17"/>
      <c r="AW47" s="15"/>
      <c r="AX47" s="17"/>
      <c r="AY47" s="17"/>
      <c r="AZ47" s="15"/>
      <c r="BA47" s="17"/>
      <c r="BB47" s="17"/>
      <c r="BC47" s="15"/>
      <c r="BD47" s="17"/>
      <c r="BE47" s="17"/>
      <c r="BF47" s="15"/>
      <c r="BG47" s="17"/>
      <c r="BH47" s="17"/>
      <c r="BI47" s="15"/>
      <c r="BJ47" s="17"/>
      <c r="BK47" s="17"/>
    </row>
    <row r="48" spans="1:63" s="98" customFormat="1" ht="13">
      <c r="A48" s="5" t="s">
        <v>411</v>
      </c>
      <c r="B48" s="5" t="s">
        <v>412</v>
      </c>
    </row>
    <row r="49" spans="1:63" s="12" customFormat="1">
      <c r="A49" s="8" t="s">
        <v>56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15"/>
      <c r="M49" s="17"/>
      <c r="N49" s="17"/>
      <c r="O49" s="17"/>
      <c r="P49" s="15"/>
      <c r="Q49" s="17"/>
      <c r="R49" s="17"/>
      <c r="S49" s="15"/>
      <c r="T49" s="17"/>
      <c r="U49" s="17"/>
      <c r="V49" s="15"/>
      <c r="W49" s="17"/>
      <c r="X49" s="17"/>
      <c r="Y49" s="15"/>
      <c r="Z49" s="17"/>
      <c r="AA49" s="17"/>
      <c r="AB49" s="15"/>
      <c r="AC49" s="17"/>
      <c r="AD49" s="17"/>
      <c r="AE49" s="15"/>
      <c r="AF49" s="17"/>
      <c r="AG49" s="17"/>
      <c r="AH49" s="15"/>
      <c r="AI49" s="17"/>
      <c r="AJ49" s="17"/>
      <c r="AK49" s="15"/>
      <c r="AL49" s="17"/>
      <c r="AM49" s="17"/>
      <c r="AN49" s="15"/>
      <c r="AO49" s="17"/>
      <c r="AP49" s="17"/>
      <c r="AQ49" s="15"/>
      <c r="AR49" s="17"/>
      <c r="AS49" s="17"/>
      <c r="AT49" s="15"/>
      <c r="AU49" s="17"/>
      <c r="AV49" s="17"/>
      <c r="AW49" s="15"/>
      <c r="AX49" s="17"/>
      <c r="AY49" s="17"/>
      <c r="AZ49" s="15"/>
      <c r="BA49" s="17"/>
      <c r="BB49" s="17"/>
      <c r="BC49" s="15"/>
      <c r="BD49" s="17"/>
      <c r="BE49" s="17"/>
      <c r="BF49" s="15"/>
      <c r="BG49" s="17"/>
      <c r="BH49" s="17"/>
      <c r="BI49" s="15"/>
      <c r="BJ49" s="17"/>
      <c r="BK49" s="17"/>
    </row>
    <row r="50" spans="1:63" s="12" customFormat="1">
      <c r="A50" s="9" t="s">
        <v>57</v>
      </c>
      <c r="B50" s="7"/>
      <c r="C50" s="7"/>
      <c r="D50" s="7"/>
      <c r="E50" s="9"/>
      <c r="F50" s="9"/>
      <c r="G50" s="9"/>
      <c r="H50" s="9"/>
      <c r="I50" s="9"/>
      <c r="J50" s="9"/>
      <c r="K50" s="9"/>
      <c r="L50" s="16"/>
      <c r="M50" s="9"/>
      <c r="N50" s="9"/>
      <c r="O50" s="9"/>
      <c r="P50" s="16"/>
      <c r="Q50" s="9"/>
      <c r="R50" s="9"/>
      <c r="S50" s="16"/>
      <c r="T50" s="9"/>
      <c r="U50" s="9"/>
      <c r="V50" s="16"/>
      <c r="W50" s="9"/>
      <c r="X50" s="9"/>
      <c r="Y50" s="16"/>
      <c r="Z50" s="9"/>
      <c r="AA50" s="9"/>
      <c r="AB50" s="16"/>
      <c r="AC50" s="9"/>
      <c r="AD50" s="9"/>
      <c r="AE50" s="16"/>
      <c r="AF50" s="9"/>
      <c r="AG50" s="9"/>
      <c r="AH50" s="16"/>
      <c r="AI50" s="9"/>
      <c r="AJ50" s="9"/>
      <c r="AK50" s="16"/>
      <c r="AL50" s="9"/>
      <c r="AM50" s="9"/>
      <c r="AN50" s="16"/>
      <c r="AO50" s="9"/>
      <c r="AP50" s="9"/>
      <c r="AQ50" s="16"/>
      <c r="AR50" s="9"/>
      <c r="AS50" s="9"/>
      <c r="AT50" s="16"/>
      <c r="AU50" s="9"/>
      <c r="AV50" s="9"/>
      <c r="AW50" s="16"/>
      <c r="AX50" s="9"/>
      <c r="AY50" s="9"/>
      <c r="AZ50" s="16"/>
      <c r="BA50" s="9"/>
      <c r="BB50" s="9"/>
      <c r="BC50" s="16"/>
      <c r="BD50" s="9"/>
      <c r="BE50" s="9"/>
      <c r="BF50" s="16"/>
      <c r="BG50" s="9"/>
      <c r="BH50" s="9"/>
      <c r="BI50" s="16"/>
      <c r="BJ50" s="9"/>
      <c r="BK50" s="9"/>
    </row>
    <row r="51" spans="1:63">
      <c r="A51" s="5" t="s">
        <v>58</v>
      </c>
    </row>
    <row r="52" spans="1:63" s="12" customFormat="1">
      <c r="A52" s="8" t="s">
        <v>59</v>
      </c>
      <c r="B52" s="21"/>
      <c r="C52" s="21"/>
      <c r="D52" s="21"/>
      <c r="E52" s="8"/>
      <c r="F52" s="8"/>
      <c r="G52" s="8"/>
      <c r="H52" s="8"/>
      <c r="I52" s="8"/>
      <c r="J52" s="8"/>
      <c r="K52" s="8"/>
      <c r="L52" s="15"/>
      <c r="M52" s="17"/>
      <c r="N52" s="17"/>
      <c r="O52" s="17"/>
      <c r="P52" s="15"/>
      <c r="Q52" s="17"/>
      <c r="R52" s="17"/>
      <c r="S52" s="15"/>
      <c r="T52" s="17"/>
      <c r="U52" s="17"/>
      <c r="V52" s="15"/>
      <c r="W52" s="17"/>
      <c r="X52" s="17"/>
      <c r="Y52" s="15"/>
      <c r="Z52" s="17"/>
      <c r="AA52" s="17"/>
      <c r="AB52" s="15"/>
      <c r="AC52" s="17"/>
      <c r="AD52" s="17"/>
      <c r="AE52" s="15"/>
      <c r="AF52" s="17"/>
      <c r="AG52" s="17"/>
      <c r="AH52" s="15"/>
      <c r="AI52" s="17"/>
      <c r="AJ52" s="17"/>
      <c r="AK52" s="15"/>
      <c r="AL52" s="17"/>
      <c r="AM52" s="17"/>
      <c r="AN52" s="15"/>
      <c r="AO52" s="17"/>
      <c r="AP52" s="17"/>
      <c r="AQ52" s="15"/>
      <c r="AR52" s="17"/>
      <c r="AS52" s="17"/>
      <c r="AT52" s="15"/>
      <c r="AU52" s="17"/>
      <c r="AV52" s="17"/>
      <c r="AW52" s="15"/>
      <c r="AX52" s="17"/>
      <c r="AY52" s="17"/>
      <c r="AZ52" s="15"/>
      <c r="BA52" s="17"/>
      <c r="BB52" s="17"/>
      <c r="BC52" s="15"/>
      <c r="BD52" s="17"/>
      <c r="BE52" s="17"/>
      <c r="BF52" s="15"/>
      <c r="BG52" s="17"/>
      <c r="BH52" s="17"/>
      <c r="BI52" s="15"/>
      <c r="BJ52" s="17"/>
      <c r="BK52" s="17"/>
    </row>
    <row r="53" spans="1:63" s="98" customFormat="1" ht="13">
      <c r="A53" s="5" t="s">
        <v>413</v>
      </c>
      <c r="B53" s="5" t="s">
        <v>414</v>
      </c>
    </row>
    <row r="54" spans="1:63" s="12" customFormat="1">
      <c r="A54" s="8" t="s">
        <v>61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15"/>
      <c r="M54" s="17"/>
      <c r="N54" s="17"/>
      <c r="O54" s="17"/>
      <c r="P54" s="15"/>
      <c r="Q54" s="17"/>
      <c r="R54" s="17"/>
      <c r="S54" s="15"/>
      <c r="T54" s="17"/>
      <c r="U54" s="17"/>
      <c r="V54" s="15"/>
      <c r="W54" s="17"/>
      <c r="X54" s="17"/>
      <c r="Y54" s="15"/>
      <c r="Z54" s="17"/>
      <c r="AA54" s="17"/>
      <c r="AB54" s="15"/>
      <c r="AC54" s="17"/>
      <c r="AD54" s="17"/>
      <c r="AE54" s="15"/>
      <c r="AF54" s="17"/>
      <c r="AG54" s="17"/>
      <c r="AH54" s="15"/>
      <c r="AI54" s="17"/>
      <c r="AJ54" s="17"/>
      <c r="AK54" s="15"/>
      <c r="AL54" s="17"/>
      <c r="AM54" s="17"/>
      <c r="AN54" s="15"/>
      <c r="AO54" s="17"/>
      <c r="AP54" s="17"/>
      <c r="AQ54" s="15"/>
      <c r="AR54" s="17"/>
      <c r="AS54" s="17"/>
      <c r="AT54" s="15"/>
      <c r="AU54" s="17"/>
      <c r="AV54" s="17"/>
      <c r="AW54" s="15"/>
      <c r="AX54" s="17"/>
      <c r="AY54" s="17"/>
      <c r="AZ54" s="15"/>
      <c r="BA54" s="17"/>
      <c r="BB54" s="17"/>
      <c r="BC54" s="15"/>
      <c r="BD54" s="17"/>
      <c r="BE54" s="17"/>
      <c r="BF54" s="15"/>
      <c r="BG54" s="17"/>
      <c r="BH54" s="17"/>
      <c r="BI54" s="15"/>
      <c r="BJ54" s="17"/>
      <c r="BK54" s="17"/>
    </row>
    <row r="55" spans="1:63" s="12" customFormat="1">
      <c r="A55" s="8" t="s">
        <v>62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15"/>
      <c r="M55" s="17"/>
      <c r="N55" s="17"/>
      <c r="O55" s="17"/>
      <c r="P55" s="15"/>
      <c r="Q55" s="17"/>
      <c r="R55" s="17"/>
      <c r="S55" s="15"/>
      <c r="T55" s="17"/>
      <c r="U55" s="17"/>
      <c r="V55" s="15"/>
      <c r="W55" s="17"/>
      <c r="X55" s="17"/>
      <c r="Y55" s="15"/>
      <c r="Z55" s="17"/>
      <c r="AA55" s="17"/>
      <c r="AB55" s="15"/>
      <c r="AC55" s="17"/>
      <c r="AD55" s="17"/>
      <c r="AE55" s="15"/>
      <c r="AF55" s="17"/>
      <c r="AG55" s="17"/>
      <c r="AH55" s="15"/>
      <c r="AI55" s="17"/>
      <c r="AJ55" s="17"/>
      <c r="AK55" s="15"/>
      <c r="AL55" s="17"/>
      <c r="AM55" s="17"/>
      <c r="AN55" s="15"/>
      <c r="AO55" s="17"/>
      <c r="AP55" s="17"/>
      <c r="AQ55" s="15"/>
      <c r="AR55" s="17"/>
      <c r="AS55" s="17"/>
      <c r="AT55" s="15"/>
      <c r="AU55" s="17"/>
      <c r="AV55" s="17"/>
      <c r="AW55" s="15"/>
      <c r="AX55" s="17"/>
      <c r="AY55" s="17"/>
      <c r="AZ55" s="15"/>
      <c r="BA55" s="17"/>
      <c r="BB55" s="17"/>
      <c r="BC55" s="15"/>
      <c r="BD55" s="17"/>
      <c r="BE55" s="17"/>
      <c r="BF55" s="15"/>
      <c r="BG55" s="17"/>
      <c r="BH55" s="17"/>
      <c r="BI55" s="15"/>
      <c r="BJ55" s="17"/>
      <c r="BK55" s="17"/>
    </row>
    <row r="56" spans="1:63" s="98" customFormat="1" ht="13">
      <c r="A56" s="5" t="s">
        <v>415</v>
      </c>
      <c r="B56" s="5" t="s">
        <v>416</v>
      </c>
    </row>
    <row r="57" spans="1:63" s="98" customFormat="1" ht="13">
      <c r="A57" s="5" t="s">
        <v>417</v>
      </c>
      <c r="B57" s="5" t="s">
        <v>418</v>
      </c>
    </row>
    <row r="58" spans="1:63" s="98" customFormat="1" ht="13">
      <c r="A58" s="5" t="s">
        <v>417</v>
      </c>
      <c r="B58" s="5" t="s">
        <v>419</v>
      </c>
    </row>
    <row r="59" spans="1:63" s="98" customFormat="1" ht="13">
      <c r="A59" s="5" t="s">
        <v>420</v>
      </c>
      <c r="B59" s="5" t="s">
        <v>421</v>
      </c>
    </row>
    <row r="60" spans="1:63" s="98" customFormat="1" ht="13">
      <c r="A60" s="5" t="s">
        <v>420</v>
      </c>
      <c r="B60" s="5" t="s">
        <v>422</v>
      </c>
    </row>
    <row r="61" spans="1:63" s="12" customFormat="1">
      <c r="A61" s="8" t="s">
        <v>66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15"/>
      <c r="M61" s="17"/>
      <c r="N61" s="17"/>
      <c r="O61" s="17"/>
      <c r="P61" s="15"/>
      <c r="Q61" s="17"/>
      <c r="R61" s="17"/>
      <c r="S61" s="15"/>
      <c r="T61" s="17"/>
      <c r="U61" s="17"/>
      <c r="V61" s="15"/>
      <c r="W61" s="17"/>
      <c r="X61" s="17"/>
      <c r="Y61" s="15"/>
      <c r="Z61" s="17"/>
      <c r="AA61" s="17"/>
      <c r="AB61" s="15"/>
      <c r="AC61" s="17"/>
      <c r="AD61" s="17"/>
      <c r="AE61" s="15"/>
      <c r="AF61" s="17"/>
      <c r="AG61" s="17"/>
      <c r="AH61" s="15"/>
      <c r="AI61" s="17"/>
      <c r="AJ61" s="17"/>
      <c r="AK61" s="15"/>
      <c r="AL61" s="17"/>
      <c r="AM61" s="17"/>
      <c r="AN61" s="15"/>
      <c r="AO61" s="17"/>
      <c r="AP61" s="17"/>
      <c r="AQ61" s="15"/>
      <c r="AR61" s="17"/>
      <c r="AS61" s="17"/>
      <c r="AT61" s="15"/>
      <c r="AU61" s="17"/>
      <c r="AV61" s="17"/>
      <c r="AW61" s="15"/>
      <c r="AX61" s="17"/>
      <c r="AY61" s="17"/>
      <c r="AZ61" s="15"/>
      <c r="BA61" s="17"/>
      <c r="BB61" s="17"/>
      <c r="BC61" s="15"/>
      <c r="BD61" s="17"/>
      <c r="BE61" s="17"/>
      <c r="BF61" s="15"/>
      <c r="BG61" s="17"/>
      <c r="BH61" s="17"/>
      <c r="BI61" s="15"/>
      <c r="BJ61" s="17"/>
      <c r="BK61" s="17"/>
    </row>
    <row r="62" spans="1:63" s="12" customFormat="1">
      <c r="A62" s="9" t="s">
        <v>67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16"/>
      <c r="M62" s="9"/>
      <c r="N62" s="9"/>
      <c r="O62" s="9"/>
      <c r="P62" s="16"/>
      <c r="Q62" s="9"/>
      <c r="R62" s="9"/>
      <c r="S62" s="16"/>
      <c r="T62" s="9"/>
      <c r="U62" s="9"/>
      <c r="V62" s="16"/>
      <c r="W62" s="9"/>
      <c r="X62" s="9"/>
      <c r="Y62" s="16"/>
      <c r="Z62" s="9"/>
      <c r="AA62" s="9"/>
      <c r="AB62" s="16"/>
      <c r="AC62" s="9"/>
      <c r="AD62" s="9"/>
      <c r="AE62" s="16"/>
      <c r="AF62" s="9"/>
      <c r="AG62" s="9"/>
      <c r="AH62" s="16"/>
      <c r="AI62" s="9"/>
      <c r="AJ62" s="9"/>
      <c r="AK62" s="16"/>
      <c r="AL62" s="9"/>
      <c r="AM62" s="9"/>
      <c r="AN62" s="16"/>
      <c r="AO62" s="9"/>
      <c r="AP62" s="9"/>
      <c r="AQ62" s="16"/>
      <c r="AR62" s="9"/>
      <c r="AS62" s="9"/>
      <c r="AT62" s="16"/>
      <c r="AU62" s="9"/>
      <c r="AV62" s="9"/>
      <c r="AW62" s="16"/>
      <c r="AX62" s="9"/>
      <c r="AY62" s="9"/>
      <c r="AZ62" s="16"/>
      <c r="BA62" s="9"/>
      <c r="BB62" s="9"/>
      <c r="BC62" s="16"/>
      <c r="BD62" s="9"/>
      <c r="BE62" s="9"/>
      <c r="BF62" s="16"/>
      <c r="BG62" s="9"/>
      <c r="BH62" s="9"/>
      <c r="BI62" s="16"/>
      <c r="BJ62" s="9"/>
      <c r="BK62" s="9"/>
    </row>
    <row r="63" spans="1:63">
      <c r="A63" s="51" t="s">
        <v>68</v>
      </c>
    </row>
    <row r="64" spans="1:63">
      <c r="A64" s="17"/>
    </row>
    <row r="65" spans="1:2" ht="13">
      <c r="A65" s="215" t="s">
        <v>365</v>
      </c>
      <c r="B65" s="215" t="s">
        <v>423</v>
      </c>
    </row>
    <row r="66" spans="1:2" ht="13">
      <c r="A66" s="216" t="s">
        <v>424</v>
      </c>
      <c r="B66" s="216" t="s">
        <v>425</v>
      </c>
    </row>
    <row r="67" spans="1:2" s="98" customFormat="1" ht="13">
      <c r="A67" s="216" t="s">
        <v>426</v>
      </c>
      <c r="B67" s="216" t="s">
        <v>427</v>
      </c>
    </row>
  </sheetData>
  <sortState xmlns:xlrd2="http://schemas.microsoft.com/office/spreadsheetml/2017/richdata2" ref="A2:XFD35">
    <sortCondition ref="B2:B35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62"/>
  </sheetPr>
  <dimension ref="A1:AN145"/>
  <sheetViews>
    <sheetView zoomScale="90" zoomScaleNormal="90" workbookViewId="0">
      <pane xSplit="1" ySplit="3" topLeftCell="AA4" activePane="bottomRight" state="frozen"/>
      <selection pane="topRight" activeCell="B1" sqref="B1"/>
      <selection pane="bottomLeft" activeCell="A5" sqref="A5"/>
      <selection pane="bottomRight" activeCell="AM27" sqref="AM27"/>
    </sheetView>
  </sheetViews>
  <sheetFormatPr defaultColWidth="9.1796875" defaultRowHeight="12.5"/>
  <cols>
    <col min="1" max="1" width="20.54296875" style="12" customWidth="1"/>
    <col min="2" max="16" width="8.7265625" style="12" customWidth="1"/>
    <col min="17" max="16384" width="9.1796875" style="12"/>
  </cols>
  <sheetData>
    <row r="1" spans="1:40" ht="13">
      <c r="A1" s="39"/>
      <c r="B1" s="39" t="s">
        <v>73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0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40" ht="13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1" t="s">
        <v>74</v>
      </c>
      <c r="O2" s="6"/>
      <c r="P2" s="6"/>
      <c r="Q2" s="6"/>
      <c r="R2" s="6"/>
      <c r="AG2" s="110"/>
      <c r="AH2" s="110"/>
      <c r="AI2" s="110"/>
      <c r="AJ2" s="110"/>
      <c r="AK2" s="110"/>
      <c r="AL2" s="110"/>
    </row>
    <row r="3" spans="1:40" s="63" customFormat="1">
      <c r="A3" s="42"/>
      <c r="B3" s="37" t="s">
        <v>75</v>
      </c>
      <c r="C3" s="37" t="s">
        <v>76</v>
      </c>
      <c r="D3" s="37" t="s">
        <v>77</v>
      </c>
      <c r="E3" s="37" t="s">
        <v>78</v>
      </c>
      <c r="F3" s="37" t="s">
        <v>79</v>
      </c>
      <c r="G3" s="37" t="s">
        <v>80</v>
      </c>
      <c r="H3" s="37" t="s">
        <v>81</v>
      </c>
      <c r="I3" s="37" t="s">
        <v>82</v>
      </c>
      <c r="J3" s="37" t="s">
        <v>83</v>
      </c>
      <c r="K3" s="37" t="s">
        <v>84</v>
      </c>
      <c r="L3" s="37" t="s">
        <v>85</v>
      </c>
      <c r="M3" s="37" t="s">
        <v>86</v>
      </c>
      <c r="N3" s="43" t="s">
        <v>87</v>
      </c>
      <c r="O3" s="37" t="s">
        <v>88</v>
      </c>
      <c r="P3" s="37" t="s">
        <v>89</v>
      </c>
      <c r="Q3" s="37" t="s">
        <v>90</v>
      </c>
      <c r="R3" s="37" t="s">
        <v>91</v>
      </c>
      <c r="S3" s="37" t="s">
        <v>92</v>
      </c>
      <c r="T3" s="37" t="s">
        <v>93</v>
      </c>
      <c r="U3" s="37" t="s">
        <v>94</v>
      </c>
      <c r="V3" s="37" t="s">
        <v>95</v>
      </c>
      <c r="W3" s="37" t="s">
        <v>96</v>
      </c>
      <c r="X3" s="37" t="s">
        <v>97</v>
      </c>
      <c r="Y3" s="42" t="s">
        <v>98</v>
      </c>
      <c r="Z3" s="42" t="s">
        <v>99</v>
      </c>
      <c r="AA3" s="42" t="s">
        <v>100</v>
      </c>
      <c r="AB3" s="42" t="s">
        <v>101</v>
      </c>
      <c r="AC3" s="42" t="s">
        <v>102</v>
      </c>
      <c r="AD3" s="42" t="s">
        <v>103</v>
      </c>
      <c r="AE3" s="42" t="s">
        <v>104</v>
      </c>
      <c r="AF3" s="42" t="s">
        <v>105</v>
      </c>
      <c r="AG3" s="63" t="s">
        <v>106</v>
      </c>
      <c r="AH3" s="63" t="s">
        <v>107</v>
      </c>
      <c r="AI3" s="63" t="s">
        <v>11</v>
      </c>
      <c r="AJ3" s="63" t="s">
        <v>108</v>
      </c>
      <c r="AK3" s="63" t="s">
        <v>109</v>
      </c>
      <c r="AL3" s="63" t="s">
        <v>110</v>
      </c>
      <c r="AM3" s="113" t="s">
        <v>111</v>
      </c>
      <c r="AN3" s="113" t="s">
        <v>10</v>
      </c>
    </row>
    <row r="4" spans="1:40">
      <c r="A4" s="52" t="s">
        <v>112</v>
      </c>
      <c r="B4" s="7">
        <f>Men!B4+Women!B4</f>
        <v>64195</v>
      </c>
      <c r="C4" s="7">
        <f>Men!C4+Women!C4</f>
        <v>66886</v>
      </c>
      <c r="D4" s="7">
        <f>Men!D4+Women!D4</f>
        <v>67443</v>
      </c>
      <c r="E4" s="52">
        <f>Men!E4+Women!E4</f>
        <v>67090</v>
      </c>
      <c r="F4" s="52">
        <f>Men!F4+Women!F4</f>
        <v>66604</v>
      </c>
      <c r="G4" s="52">
        <f>Men!G4+Women!G4</f>
        <v>66142</v>
      </c>
      <c r="H4" s="52">
        <f>Men!H4+Women!H4</f>
        <v>65742</v>
      </c>
      <c r="I4" s="52">
        <f>Men!I4+Women!I4</f>
        <v>65150</v>
      </c>
      <c r="J4" s="52">
        <f>Men!J4+Women!J4</f>
        <v>65081</v>
      </c>
      <c r="K4" s="52">
        <f>Men!K4+Women!K4</f>
        <v>64986</v>
      </c>
      <c r="L4" s="52">
        <f>Men!L4+Women!L4</f>
        <v>65539</v>
      </c>
      <c r="M4" s="52">
        <f>Men!M4+Women!M4</f>
        <v>65969</v>
      </c>
      <c r="N4" s="55">
        <f>(Men!N4+Women!N4)-254-246-416</f>
        <v>64621</v>
      </c>
      <c r="O4" s="52">
        <f>(Men!O4+Women!O4)-246-258-423</f>
        <v>65176</v>
      </c>
      <c r="P4" s="52">
        <f>(Men!P4+Women!P4)-257-255-438</f>
        <v>64666</v>
      </c>
      <c r="Q4" s="52">
        <f>66712-257-246-439</f>
        <v>65770</v>
      </c>
      <c r="R4" s="52">
        <f>66748-259-252-451</f>
        <v>65786</v>
      </c>
      <c r="S4" s="52">
        <f>66489-264-250-452</f>
        <v>65523</v>
      </c>
      <c r="T4" s="52">
        <f>66500-268-241-432</f>
        <v>65559</v>
      </c>
      <c r="U4" s="52">
        <f>66295-249-238-440</f>
        <v>65368</v>
      </c>
      <c r="V4" s="52">
        <f>66219-240-228-447</f>
        <v>65304</v>
      </c>
      <c r="W4" s="52">
        <f>66677-239-251-449</f>
        <v>65738</v>
      </c>
      <c r="X4" s="52">
        <f>67166-240-248-449</f>
        <v>66229</v>
      </c>
      <c r="Y4" s="49">
        <f>+Y5+Y23+Y38+Y52+Y63</f>
        <v>66330</v>
      </c>
      <c r="Z4" s="49">
        <f t="shared" ref="Z4:AD4" si="0">+Z5+Z23+Z38+Z52+Z63</f>
        <v>67315</v>
      </c>
      <c r="AA4" s="49">
        <f t="shared" si="0"/>
        <v>68059</v>
      </c>
      <c r="AB4" s="49">
        <f t="shared" si="0"/>
        <v>69146</v>
      </c>
      <c r="AC4" s="49">
        <f t="shared" si="0"/>
        <v>70402</v>
      </c>
      <c r="AD4" s="49">
        <f t="shared" si="0"/>
        <v>72343</v>
      </c>
      <c r="AE4" s="49">
        <f t="shared" ref="AE4:AF4" si="1">+AE5+AE23+AE38+AE52+AE63</f>
        <v>73160</v>
      </c>
      <c r="AF4" s="49">
        <f t="shared" si="1"/>
        <v>74679</v>
      </c>
      <c r="AG4" s="49">
        <f t="shared" ref="AG4:AI4" si="2">+AG5+AG23+AG38+AG52+AG63</f>
        <v>76207</v>
      </c>
      <c r="AH4" s="49">
        <f t="shared" si="2"/>
        <v>77740</v>
      </c>
      <c r="AI4" s="49">
        <f t="shared" si="2"/>
        <v>79511</v>
      </c>
      <c r="AJ4" s="49">
        <f t="shared" ref="AJ4:AK4" si="3">+AJ5+AJ23+AJ38+AJ52+AJ63</f>
        <v>80464</v>
      </c>
      <c r="AK4" s="49">
        <f t="shared" si="3"/>
        <v>81781</v>
      </c>
      <c r="AL4" s="49">
        <f t="shared" ref="AL4:AM4" si="4">+AL5+AL23+AL38+AL52+AL63</f>
        <v>83297</v>
      </c>
      <c r="AM4" s="49">
        <f t="shared" si="4"/>
        <v>84660</v>
      </c>
      <c r="AN4" s="49">
        <f t="shared" ref="AN4" si="5">+AN5+AN23+AN38+AN52+AN63</f>
        <v>86055</v>
      </c>
    </row>
    <row r="5" spans="1:40">
      <c r="A5" s="53" t="s">
        <v>113</v>
      </c>
      <c r="B5" s="44">
        <f t="shared" ref="B5:P5" si="6">SUM(B7:B22)</f>
        <v>19523</v>
      </c>
      <c r="C5" s="44">
        <f t="shared" si="6"/>
        <v>20886</v>
      </c>
      <c r="D5" s="44">
        <f t="shared" si="6"/>
        <v>21150</v>
      </c>
      <c r="E5" s="53">
        <f t="shared" si="6"/>
        <v>21008</v>
      </c>
      <c r="F5" s="53">
        <f t="shared" si="6"/>
        <v>20800</v>
      </c>
      <c r="G5" s="53">
        <f t="shared" si="6"/>
        <v>20638</v>
      </c>
      <c r="H5" s="53">
        <f t="shared" si="6"/>
        <v>20500</v>
      </c>
      <c r="I5" s="53">
        <f t="shared" si="6"/>
        <v>20331</v>
      </c>
      <c r="J5" s="53">
        <f t="shared" si="6"/>
        <v>20271</v>
      </c>
      <c r="K5" s="53">
        <f t="shared" si="6"/>
        <v>20105</v>
      </c>
      <c r="L5" s="53">
        <f t="shared" si="6"/>
        <v>20351</v>
      </c>
      <c r="M5" s="53">
        <f t="shared" si="6"/>
        <v>20442</v>
      </c>
      <c r="N5" s="56">
        <f t="shared" si="6"/>
        <v>20634</v>
      </c>
      <c r="O5" s="53">
        <f t="shared" si="6"/>
        <v>21019</v>
      </c>
      <c r="P5" s="53">
        <f t="shared" si="6"/>
        <v>21084</v>
      </c>
      <c r="Q5" s="53">
        <f>SUM(Q7:Q22)</f>
        <v>21177</v>
      </c>
      <c r="R5" s="53">
        <f t="shared" ref="R5:AD5" si="7">SUM(R7:R22)</f>
        <v>21431</v>
      </c>
      <c r="S5" s="53">
        <f t="shared" si="7"/>
        <v>21114</v>
      </c>
      <c r="T5" s="53">
        <f t="shared" si="7"/>
        <v>21173</v>
      </c>
      <c r="U5" s="53">
        <f t="shared" si="7"/>
        <v>21008</v>
      </c>
      <c r="V5" s="53">
        <f t="shared" si="7"/>
        <v>21091</v>
      </c>
      <c r="W5" s="53">
        <f t="shared" si="7"/>
        <v>21239</v>
      </c>
      <c r="X5" s="53">
        <f t="shared" si="7"/>
        <v>21526</v>
      </c>
      <c r="Y5" s="53">
        <f t="shared" si="7"/>
        <v>21612</v>
      </c>
      <c r="Z5" s="53">
        <f t="shared" si="7"/>
        <v>22136</v>
      </c>
      <c r="AA5" s="53">
        <f t="shared" si="7"/>
        <v>22449</v>
      </c>
      <c r="AB5" s="53">
        <f t="shared" si="7"/>
        <v>22811</v>
      </c>
      <c r="AC5" s="53">
        <f t="shared" si="7"/>
        <v>23384</v>
      </c>
      <c r="AD5" s="53">
        <f t="shared" si="7"/>
        <v>24126</v>
      </c>
      <c r="AE5" s="53">
        <f t="shared" ref="AE5:AF5" si="8">SUM(AE7:AE22)</f>
        <v>24773</v>
      </c>
      <c r="AF5" s="53">
        <f t="shared" si="8"/>
        <v>25563</v>
      </c>
      <c r="AG5" s="53">
        <f t="shared" ref="AG5:AI5" si="9">SUM(AG7:AG22)</f>
        <v>26470</v>
      </c>
      <c r="AH5" s="53">
        <f t="shared" si="9"/>
        <v>27210</v>
      </c>
      <c r="AI5" s="53">
        <f t="shared" si="9"/>
        <v>27999</v>
      </c>
      <c r="AJ5" s="53">
        <f t="shared" ref="AJ5:AK5" si="10">SUM(AJ7:AJ22)</f>
        <v>28182</v>
      </c>
      <c r="AK5" s="53">
        <f t="shared" si="10"/>
        <v>29019</v>
      </c>
      <c r="AL5" s="53">
        <f t="shared" ref="AL5:AM5" si="11">SUM(AL7:AL22)</f>
        <v>29382</v>
      </c>
      <c r="AM5" s="53">
        <f t="shared" si="11"/>
        <v>29256</v>
      </c>
      <c r="AN5" s="53">
        <f t="shared" ref="AN5" si="12">SUM(AN7:AN22)</f>
        <v>29645</v>
      </c>
    </row>
    <row r="6" spans="1:40">
      <c r="A6" s="50" t="s">
        <v>14</v>
      </c>
      <c r="B6" s="45">
        <f>(B5/B$4)*100</f>
        <v>30.41202585871174</v>
      </c>
      <c r="C6" s="45">
        <f t="shared" ref="C6:AD6" si="13">(C5/C$4)*100</f>
        <v>31.226265586221331</v>
      </c>
      <c r="D6" s="45">
        <f t="shared" si="13"/>
        <v>31.359814954850762</v>
      </c>
      <c r="E6" s="54">
        <f t="shared" si="13"/>
        <v>31.313161424951559</v>
      </c>
      <c r="F6" s="54">
        <f t="shared" si="13"/>
        <v>31.2293555942586</v>
      </c>
      <c r="G6" s="54">
        <f t="shared" si="13"/>
        <v>31.202564180097365</v>
      </c>
      <c r="H6" s="54">
        <f t="shared" si="13"/>
        <v>31.182501292932979</v>
      </c>
      <c r="I6" s="54">
        <f t="shared" si="13"/>
        <v>31.20644666155027</v>
      </c>
      <c r="J6" s="54">
        <f t="shared" si="13"/>
        <v>31.147339469276748</v>
      </c>
      <c r="K6" s="54">
        <f t="shared" si="13"/>
        <v>30.937432677807529</v>
      </c>
      <c r="L6" s="54">
        <f t="shared" si="13"/>
        <v>31.051740185233218</v>
      </c>
      <c r="M6" s="54">
        <f t="shared" si="13"/>
        <v>30.987281905137259</v>
      </c>
      <c r="N6" s="57">
        <f t="shared" si="13"/>
        <v>31.930796490305006</v>
      </c>
      <c r="O6" s="54">
        <f t="shared" si="13"/>
        <v>32.249601080152203</v>
      </c>
      <c r="P6" s="54">
        <f t="shared" si="13"/>
        <v>32.604459839792163</v>
      </c>
      <c r="Q6" s="54">
        <f t="shared" si="13"/>
        <v>32.198570776949978</v>
      </c>
      <c r="R6" s="54">
        <f t="shared" si="13"/>
        <v>32.576840057155017</v>
      </c>
      <c r="S6" s="54">
        <f t="shared" si="13"/>
        <v>32.223799276589901</v>
      </c>
      <c r="T6" s="54">
        <f t="shared" si="13"/>
        <v>32.296099696456629</v>
      </c>
      <c r="U6" s="54">
        <f t="shared" si="13"/>
        <v>32.138049198384536</v>
      </c>
      <c r="V6" s="54">
        <f t="shared" si="13"/>
        <v>32.296643390910205</v>
      </c>
      <c r="W6" s="54">
        <f t="shared" si="13"/>
        <v>32.30855821594816</v>
      </c>
      <c r="X6" s="54">
        <f t="shared" si="13"/>
        <v>32.502378112307298</v>
      </c>
      <c r="Y6" s="54">
        <f t="shared" si="13"/>
        <v>32.58254183627318</v>
      </c>
      <c r="Z6" s="54">
        <f t="shared" si="13"/>
        <v>32.884201143875806</v>
      </c>
      <c r="AA6" s="54">
        <f t="shared" si="13"/>
        <v>32.98461628880824</v>
      </c>
      <c r="AB6" s="54">
        <f t="shared" si="13"/>
        <v>32.989616174471408</v>
      </c>
      <c r="AC6" s="54">
        <f t="shared" si="13"/>
        <v>33.214965483935117</v>
      </c>
      <c r="AD6" s="54">
        <f t="shared" si="13"/>
        <v>33.349460210386624</v>
      </c>
      <c r="AE6" s="54">
        <f t="shared" ref="AE6:AF6" si="14">(AE5/AE$4)*100</f>
        <v>33.861399671951887</v>
      </c>
      <c r="AF6" s="54">
        <f t="shared" si="14"/>
        <v>34.230506568111515</v>
      </c>
      <c r="AG6" s="54">
        <f t="shared" ref="AG6:AI6" si="15">(AG5/AG$4)*100</f>
        <v>34.734341989581011</v>
      </c>
      <c r="AH6" s="54">
        <f t="shared" si="15"/>
        <v>35.00128633907898</v>
      </c>
      <c r="AI6" s="54">
        <f t="shared" si="15"/>
        <v>35.213995547785842</v>
      </c>
      <c r="AJ6" s="54">
        <f t="shared" ref="AJ6:AK6" si="16">(AJ5/AJ$4)*100</f>
        <v>35.024358719427326</v>
      </c>
      <c r="AK6" s="54">
        <f t="shared" si="16"/>
        <v>35.483792078844715</v>
      </c>
      <c r="AL6" s="54">
        <f t="shared" ref="AL6:AM6" si="17">(AL5/AL$4)*100</f>
        <v>35.273779367804366</v>
      </c>
      <c r="AM6" s="54">
        <f t="shared" si="17"/>
        <v>34.557051736357195</v>
      </c>
      <c r="AN6" s="54">
        <f t="shared" ref="AN6" si="18">(AN5/AN$4)*100</f>
        <v>34.448898959967458</v>
      </c>
    </row>
    <row r="7" spans="1:40">
      <c r="A7" s="8" t="s">
        <v>15</v>
      </c>
      <c r="B7" s="21">
        <f>Men!B7+Women!B7</f>
        <v>954</v>
      </c>
      <c r="C7" s="21">
        <f>Men!C7+Women!C7</f>
        <v>930</v>
      </c>
      <c r="D7" s="21">
        <f>Men!D7+Women!D7</f>
        <v>908</v>
      </c>
      <c r="E7" s="8">
        <f>Men!E7+Women!E7</f>
        <v>895</v>
      </c>
      <c r="F7" s="8">
        <f>Men!F7+Women!F7</f>
        <v>881</v>
      </c>
      <c r="G7" s="8">
        <f>Men!G7+Women!G7</f>
        <v>883</v>
      </c>
      <c r="H7" s="8">
        <f>Men!H7+Women!H7</f>
        <v>893</v>
      </c>
      <c r="I7" s="8">
        <f>Men!I7+Women!I7</f>
        <v>896</v>
      </c>
      <c r="J7" s="8">
        <f>Men!J7+Women!J7</f>
        <v>924</v>
      </c>
      <c r="K7" s="8">
        <f>Men!K7+Women!K7</f>
        <v>922</v>
      </c>
      <c r="L7" s="8">
        <f>Men!L7+Women!L7</f>
        <v>919</v>
      </c>
      <c r="M7" s="8">
        <f>Men!M7+Women!M7</f>
        <v>963</v>
      </c>
      <c r="N7" s="15">
        <f>Men!N7+Women!N7</f>
        <v>956</v>
      </c>
      <c r="O7" s="8">
        <f>Men!O7+Women!O7</f>
        <v>961</v>
      </c>
      <c r="P7" s="8">
        <f>Men!P7+Women!P7</f>
        <v>960</v>
      </c>
      <c r="Q7" s="8">
        <f>698+263</f>
        <v>961</v>
      </c>
      <c r="R7" s="8">
        <f>696+252</f>
        <v>948</v>
      </c>
      <c r="S7" s="8">
        <f>706+254</f>
        <v>960</v>
      </c>
      <c r="T7" s="8">
        <f>703+260</f>
        <v>963</v>
      </c>
      <c r="U7" s="8">
        <f>695+262</f>
        <v>957</v>
      </c>
      <c r="V7" s="8">
        <f>694+252</f>
        <v>946</v>
      </c>
      <c r="W7" s="8">
        <f>695+256</f>
        <v>951</v>
      </c>
      <c r="X7" s="8">
        <f>692+254</f>
        <v>946</v>
      </c>
      <c r="Y7" s="8">
        <v>947</v>
      </c>
      <c r="Z7" s="8">
        <v>954</v>
      </c>
      <c r="AA7" s="8">
        <v>974</v>
      </c>
      <c r="AB7" s="8">
        <v>999</v>
      </c>
      <c r="AC7" s="8">
        <v>1009</v>
      </c>
      <c r="AD7" s="8">
        <v>1032</v>
      </c>
      <c r="AE7" s="8">
        <f>755+297</f>
        <v>1052</v>
      </c>
      <c r="AF7" s="8">
        <v>1066</v>
      </c>
      <c r="AG7" s="12">
        <v>1009</v>
      </c>
      <c r="AH7" s="12">
        <v>1015</v>
      </c>
      <c r="AI7" s="134">
        <v>1037</v>
      </c>
      <c r="AJ7" s="12">
        <v>1030</v>
      </c>
      <c r="AK7" s="12">
        <v>1049</v>
      </c>
      <c r="AL7" s="12">
        <v>1055</v>
      </c>
      <c r="AM7" s="12">
        <v>1065</v>
      </c>
      <c r="AN7" s="12">
        <v>1093</v>
      </c>
    </row>
    <row r="8" spans="1:40">
      <c r="A8" s="8" t="s">
        <v>16</v>
      </c>
      <c r="B8" s="21">
        <f>Men!B8+Women!B8</f>
        <v>538</v>
      </c>
      <c r="C8" s="21">
        <f>Men!C8+Women!C8</f>
        <v>546</v>
      </c>
      <c r="D8" s="21">
        <f>Men!D8+Women!D8</f>
        <v>543</v>
      </c>
      <c r="E8" s="8">
        <f>Men!E8+Women!E8</f>
        <v>527</v>
      </c>
      <c r="F8" s="8">
        <f>Men!F8+Women!F8</f>
        <v>534</v>
      </c>
      <c r="G8" s="8">
        <f>Men!G8+Women!G8</f>
        <v>536</v>
      </c>
      <c r="H8" s="8">
        <f>Men!H8+Women!H8</f>
        <v>531</v>
      </c>
      <c r="I8" s="8">
        <f>Men!I8+Women!I8</f>
        <v>538</v>
      </c>
      <c r="J8" s="8">
        <f>Men!J8+Women!J8</f>
        <v>539</v>
      </c>
      <c r="K8" s="8">
        <f>Men!K8+Women!K8</f>
        <v>537</v>
      </c>
      <c r="L8" s="8">
        <f>Men!L8+Women!L8</f>
        <v>545</v>
      </c>
      <c r="M8" s="8">
        <f>Men!M8+Women!M8</f>
        <v>568</v>
      </c>
      <c r="N8" s="15">
        <f>Men!N8+Women!N8</f>
        <v>566</v>
      </c>
      <c r="O8" s="8">
        <f>Men!O8+Women!O8</f>
        <v>559</v>
      </c>
      <c r="P8" s="8">
        <f>Men!P8+Women!P8</f>
        <v>571</v>
      </c>
      <c r="Q8" s="8">
        <v>556</v>
      </c>
      <c r="R8" s="8">
        <v>569</v>
      </c>
      <c r="S8" s="8">
        <v>571</v>
      </c>
      <c r="T8" s="8">
        <v>572</v>
      </c>
      <c r="U8" s="8">
        <v>574</v>
      </c>
      <c r="V8" s="8">
        <v>577</v>
      </c>
      <c r="W8" s="8">
        <v>565</v>
      </c>
      <c r="X8" s="8">
        <v>564</v>
      </c>
      <c r="Y8" s="8">
        <v>561</v>
      </c>
      <c r="Z8" s="8">
        <v>581</v>
      </c>
      <c r="AA8" s="8">
        <v>596</v>
      </c>
      <c r="AB8" s="8">
        <v>604</v>
      </c>
      <c r="AC8" s="8">
        <v>612</v>
      </c>
      <c r="AD8" s="8">
        <v>618</v>
      </c>
      <c r="AE8" s="8">
        <v>634</v>
      </c>
      <c r="AF8" s="8">
        <v>652</v>
      </c>
      <c r="AG8" s="12">
        <v>681</v>
      </c>
      <c r="AH8" s="12">
        <v>677</v>
      </c>
      <c r="AI8" s="134">
        <v>682</v>
      </c>
      <c r="AJ8" s="12">
        <v>696</v>
      </c>
      <c r="AK8" s="12">
        <v>689</v>
      </c>
      <c r="AL8" s="12">
        <v>686</v>
      </c>
      <c r="AM8" s="12">
        <v>702</v>
      </c>
      <c r="AN8" s="12">
        <v>715</v>
      </c>
    </row>
    <row r="9" spans="1:40">
      <c r="A9" s="8" t="s">
        <v>17</v>
      </c>
      <c r="B9" s="21">
        <f>Men!B9+Women!B9</f>
        <v>0</v>
      </c>
      <c r="C9" s="21">
        <f>Men!C9+Women!C9</f>
        <v>0</v>
      </c>
      <c r="D9" s="21">
        <f>Men!D9+Women!D9</f>
        <v>0</v>
      </c>
      <c r="E9" s="8">
        <f>Men!E9+Women!E9</f>
        <v>0</v>
      </c>
      <c r="F9" s="8">
        <f>Men!F9+Women!F9</f>
        <v>0</v>
      </c>
      <c r="G9" s="8">
        <f>Men!G9+Women!G9</f>
        <v>0</v>
      </c>
      <c r="H9" s="8">
        <f>Men!H9+Women!H9</f>
        <v>0</v>
      </c>
      <c r="I9" s="8">
        <f>Men!I9+Women!I9</f>
        <v>0</v>
      </c>
      <c r="J9" s="8">
        <f>Men!J9+Women!J9</f>
        <v>0</v>
      </c>
      <c r="K9" s="8">
        <f>Men!K9+Women!K9</f>
        <v>0</v>
      </c>
      <c r="L9" s="8">
        <f>Men!L9+Women!L9</f>
        <v>0</v>
      </c>
      <c r="M9" s="8">
        <f>Men!M9+Women!M9</f>
        <v>0</v>
      </c>
      <c r="N9" s="15">
        <f>Men!N9+Women!N9</f>
        <v>0</v>
      </c>
      <c r="O9" s="8">
        <f>Men!O9+Women!O9</f>
        <v>0</v>
      </c>
      <c r="P9" s="8">
        <f>Men!P9+Women!P9</f>
        <v>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I9" s="134"/>
    </row>
    <row r="10" spans="1:40">
      <c r="A10" s="8" t="s">
        <v>18</v>
      </c>
      <c r="B10" s="21">
        <f>Men!B10+Women!B10</f>
        <v>1398</v>
      </c>
      <c r="C10" s="21">
        <f>Men!C10+Women!C10</f>
        <v>1391</v>
      </c>
      <c r="D10" s="21">
        <f>Men!D10+Women!D10</f>
        <v>1487</v>
      </c>
      <c r="E10" s="8">
        <f>Men!E10+Women!E10</f>
        <v>1487</v>
      </c>
      <c r="F10" s="8">
        <f>Men!F10+Women!F10</f>
        <v>1494</v>
      </c>
      <c r="G10" s="8">
        <f>Men!G10+Women!G10</f>
        <v>1494</v>
      </c>
      <c r="H10" s="8">
        <f>Men!H10+Women!H10</f>
        <v>1474</v>
      </c>
      <c r="I10" s="8">
        <f>Men!I10+Women!I10</f>
        <v>1465</v>
      </c>
      <c r="J10" s="8">
        <f>Men!J10+Women!J10</f>
        <v>1425</v>
      </c>
      <c r="K10" s="8">
        <f>Men!K10+Women!K10</f>
        <v>1389</v>
      </c>
      <c r="L10" s="8">
        <f>Men!L10+Women!L10</f>
        <v>1388</v>
      </c>
      <c r="M10" s="8">
        <f>Men!M10+Women!M10</f>
        <v>1413</v>
      </c>
      <c r="N10" s="15">
        <f>Men!N10+Women!N10</f>
        <v>1430</v>
      </c>
      <c r="O10" s="8">
        <f>Men!O10+Women!O10</f>
        <v>1439</v>
      </c>
      <c r="P10" s="8">
        <f>Men!P10+Women!P10</f>
        <v>1446</v>
      </c>
      <c r="Q10" s="8">
        <f>470+588+386</f>
        <v>1444</v>
      </c>
      <c r="R10" s="8">
        <f>472+609+391</f>
        <v>1472</v>
      </c>
      <c r="S10" s="8">
        <f>471+610+387</f>
        <v>1468</v>
      </c>
      <c r="T10" s="8">
        <f>472+603+392</f>
        <v>1467</v>
      </c>
      <c r="U10" s="8">
        <f>459+595+395</f>
        <v>1449</v>
      </c>
      <c r="V10" s="8">
        <f>446+584+401</f>
        <v>1431</v>
      </c>
      <c r="W10" s="8">
        <f>70+450+579+398</f>
        <v>1497</v>
      </c>
      <c r="X10" s="8">
        <f>115+453+578+417</f>
        <v>1563</v>
      </c>
      <c r="Y10" s="8">
        <v>1666</v>
      </c>
      <c r="Z10" s="8">
        <v>1808</v>
      </c>
      <c r="AA10" s="8">
        <v>1916</v>
      </c>
      <c r="AB10" s="8">
        <v>2029</v>
      </c>
      <c r="AC10" s="8">
        <v>2135</v>
      </c>
      <c r="AD10" s="8">
        <v>2281</v>
      </c>
      <c r="AE10" s="8">
        <v>2401</v>
      </c>
      <c r="AF10" s="8">
        <v>2685</v>
      </c>
      <c r="AG10" s="12">
        <v>3030</v>
      </c>
      <c r="AH10" s="12">
        <v>3323</v>
      </c>
      <c r="AI10" s="134">
        <v>3582</v>
      </c>
      <c r="AJ10" s="12">
        <v>3727</v>
      </c>
      <c r="AK10" s="12">
        <v>3785</v>
      </c>
      <c r="AL10" s="12">
        <v>3770</v>
      </c>
      <c r="AM10" s="12">
        <v>3838</v>
      </c>
      <c r="AN10" s="12">
        <v>3908</v>
      </c>
    </row>
    <row r="11" spans="1:40">
      <c r="A11" s="8" t="s">
        <v>19</v>
      </c>
      <c r="B11" s="21">
        <f>Men!B11+Women!B11</f>
        <v>1200</v>
      </c>
      <c r="C11" s="21">
        <f>Men!C11+Women!C11</f>
        <v>1307</v>
      </c>
      <c r="D11" s="21">
        <f>Men!D11+Women!D11</f>
        <v>1351</v>
      </c>
      <c r="E11" s="8">
        <f>Men!E11+Women!E11</f>
        <v>1374</v>
      </c>
      <c r="F11" s="8">
        <f>Men!F11+Women!F11</f>
        <v>1404</v>
      </c>
      <c r="G11" s="8">
        <f>Men!G11+Women!G11</f>
        <v>1400</v>
      </c>
      <c r="H11" s="8">
        <f>Men!H11+Women!H11</f>
        <v>1413</v>
      </c>
      <c r="I11" s="8">
        <f>Men!I11+Women!I11</f>
        <v>1427</v>
      </c>
      <c r="J11" s="8">
        <f>Men!J11+Women!J11</f>
        <v>1452</v>
      </c>
      <c r="K11" s="8">
        <f>Men!K11+Women!K11</f>
        <v>1483</v>
      </c>
      <c r="L11" s="8">
        <f>Men!L11+Women!L11</f>
        <v>1485</v>
      </c>
      <c r="M11" s="8">
        <f>Men!M11+Women!M11</f>
        <v>1507</v>
      </c>
      <c r="N11" s="15">
        <f>Men!N11+Women!N11</f>
        <v>1518</v>
      </c>
      <c r="O11" s="8">
        <f>Men!O11+Women!O11</f>
        <v>1537</v>
      </c>
      <c r="P11" s="8">
        <f>Men!P11+Women!P11</f>
        <v>1540</v>
      </c>
      <c r="Q11" s="8">
        <f>441+732+215+145</f>
        <v>1533</v>
      </c>
      <c r="R11" s="8">
        <f>452+721+221+149</f>
        <v>1543</v>
      </c>
      <c r="S11" s="8">
        <f>455+733+216+136</f>
        <v>1540</v>
      </c>
      <c r="T11" s="8">
        <f>456+712+208+148</f>
        <v>1524</v>
      </c>
      <c r="U11" s="8">
        <f>439+719+211+154</f>
        <v>1523</v>
      </c>
      <c r="V11" s="8">
        <f>446+719+207+161</f>
        <v>1533</v>
      </c>
      <c r="W11" s="8">
        <f>450+731+217+169</f>
        <v>1567</v>
      </c>
      <c r="X11" s="8">
        <f>454+716+225+185</f>
        <v>1580</v>
      </c>
      <c r="Y11" s="8">
        <v>1588</v>
      </c>
      <c r="Z11" s="8">
        <v>1623</v>
      </c>
      <c r="AA11" s="8">
        <v>1644</v>
      </c>
      <c r="AB11" s="8">
        <v>1678</v>
      </c>
      <c r="AC11" s="8">
        <v>1742</v>
      </c>
      <c r="AD11" s="8">
        <v>1799</v>
      </c>
      <c r="AE11" s="8">
        <v>1897</v>
      </c>
      <c r="AF11" s="8">
        <v>1997</v>
      </c>
      <c r="AG11" s="12">
        <v>2042</v>
      </c>
      <c r="AH11" s="12">
        <v>2127</v>
      </c>
      <c r="AI11" s="134">
        <v>2174</v>
      </c>
      <c r="AJ11" s="12">
        <v>2218</v>
      </c>
      <c r="AK11" s="12">
        <v>2261</v>
      </c>
      <c r="AL11" s="12">
        <v>2312</v>
      </c>
      <c r="AM11" s="12">
        <v>2371</v>
      </c>
      <c r="AN11" s="12">
        <v>2393</v>
      </c>
    </row>
    <row r="12" spans="1:40">
      <c r="A12" s="8" t="s">
        <v>20</v>
      </c>
      <c r="B12" s="21">
        <f>Men!B12+Women!B12</f>
        <v>1008</v>
      </c>
      <c r="C12" s="21">
        <f>Men!C12+Women!C12</f>
        <v>966</v>
      </c>
      <c r="D12" s="21">
        <f>Men!D12+Women!D12</f>
        <v>953</v>
      </c>
      <c r="E12" s="8">
        <f>Men!E12+Women!E12</f>
        <v>916</v>
      </c>
      <c r="F12" s="8">
        <f>Men!F12+Women!F12</f>
        <v>883</v>
      </c>
      <c r="G12" s="8">
        <f>Men!G12+Women!G12</f>
        <v>871</v>
      </c>
      <c r="H12" s="8">
        <f>Men!H12+Women!H12</f>
        <v>861</v>
      </c>
      <c r="I12" s="8">
        <f>Men!I12+Women!I12</f>
        <v>852</v>
      </c>
      <c r="J12" s="8">
        <f>Men!J12+Women!J12</f>
        <v>851</v>
      </c>
      <c r="K12" s="8">
        <f>Men!K12+Women!K12</f>
        <v>839</v>
      </c>
      <c r="L12" s="8">
        <f>Men!L12+Women!L12</f>
        <v>867</v>
      </c>
      <c r="M12" s="8">
        <f>Men!M12+Women!M12</f>
        <v>903</v>
      </c>
      <c r="N12" s="15">
        <f>Men!N12+Women!N12</f>
        <v>911</v>
      </c>
      <c r="O12" s="8">
        <f>Men!O12+Women!O12</f>
        <v>913</v>
      </c>
      <c r="P12" s="8">
        <f>Men!P12+Women!P12</f>
        <v>925</v>
      </c>
      <c r="Q12" s="8">
        <f>378+562</f>
        <v>940</v>
      </c>
      <c r="R12" s="8">
        <f>391+566</f>
        <v>957</v>
      </c>
      <c r="S12" s="8">
        <f>391+563</f>
        <v>954</v>
      </c>
      <c r="T12" s="8">
        <f>389+567</f>
        <v>956</v>
      </c>
      <c r="U12" s="8">
        <f>383+584</f>
        <v>967</v>
      </c>
      <c r="V12" s="8">
        <f>376+580</f>
        <v>956</v>
      </c>
      <c r="W12" s="8">
        <f>372+568</f>
        <v>940</v>
      </c>
      <c r="X12" s="8">
        <f>382+595</f>
        <v>977</v>
      </c>
      <c r="Y12" s="8">
        <v>973</v>
      </c>
      <c r="Z12" s="8">
        <v>993</v>
      </c>
      <c r="AA12" s="8">
        <v>1000</v>
      </c>
      <c r="AB12" s="8">
        <v>1010</v>
      </c>
      <c r="AC12" s="8">
        <v>1015</v>
      </c>
      <c r="AD12" s="8">
        <v>1043</v>
      </c>
      <c r="AE12" s="8">
        <v>1082</v>
      </c>
      <c r="AF12" s="8">
        <v>1108</v>
      </c>
      <c r="AG12" s="12">
        <v>1134</v>
      </c>
      <c r="AH12" s="12">
        <v>1134</v>
      </c>
      <c r="AI12" s="134">
        <v>1134</v>
      </c>
      <c r="AJ12" s="12">
        <v>1154</v>
      </c>
      <c r="AK12" s="12">
        <v>1162</v>
      </c>
      <c r="AL12" s="12">
        <v>1183</v>
      </c>
      <c r="AM12" s="12">
        <v>1222</v>
      </c>
      <c r="AN12" s="12">
        <v>1279</v>
      </c>
    </row>
    <row r="13" spans="1:40">
      <c r="A13" s="8" t="s">
        <v>21</v>
      </c>
      <c r="B13" s="21">
        <f>Men!B13+Women!B13</f>
        <v>1721</v>
      </c>
      <c r="C13" s="21">
        <f>Men!C13+Women!C13</f>
        <v>1732</v>
      </c>
      <c r="D13" s="21">
        <f>Men!D13+Women!D13</f>
        <v>1725</v>
      </c>
      <c r="E13" s="8">
        <f>Men!E13+Women!E13</f>
        <v>1714</v>
      </c>
      <c r="F13" s="8">
        <f>Men!F13+Women!F13</f>
        <v>1704</v>
      </c>
      <c r="G13" s="8">
        <f>Men!G13+Women!G13</f>
        <v>1674</v>
      </c>
      <c r="H13" s="8">
        <f>Men!H13+Women!H13</f>
        <v>1689</v>
      </c>
      <c r="I13" s="8">
        <f>Men!I13+Women!I13</f>
        <v>1675</v>
      </c>
      <c r="J13" s="8">
        <f>Men!J13+Women!J13</f>
        <v>1649</v>
      </c>
      <c r="K13" s="8">
        <f>Men!K13+Women!K13</f>
        <v>1663</v>
      </c>
      <c r="L13" s="8">
        <f>Men!L13+Women!L13</f>
        <v>1688</v>
      </c>
      <c r="M13" s="8">
        <f>Men!M13+Women!M13</f>
        <v>1702</v>
      </c>
      <c r="N13" s="15">
        <f>Men!N13+Women!N13</f>
        <v>1704</v>
      </c>
      <c r="O13" s="8">
        <f>Men!O13+Women!O13</f>
        <v>1732</v>
      </c>
      <c r="P13" s="8">
        <f>Men!P13+Women!P13</f>
        <v>1713</v>
      </c>
      <c r="Q13" s="8">
        <f>720+399+587</f>
        <v>1706</v>
      </c>
      <c r="R13" s="8">
        <f>712+391+605</f>
        <v>1708</v>
      </c>
      <c r="S13" s="8">
        <f>703+392+603</f>
        <v>1698</v>
      </c>
      <c r="T13" s="8">
        <f>707+395+611</f>
        <v>1713</v>
      </c>
      <c r="U13" s="8">
        <f>700+399+609</f>
        <v>1708</v>
      </c>
      <c r="V13" s="8">
        <f>696+398+608</f>
        <v>1702</v>
      </c>
      <c r="W13" s="8">
        <f>683+403+620</f>
        <v>1706</v>
      </c>
      <c r="X13" s="8">
        <f>692+405+632</f>
        <v>1729</v>
      </c>
      <c r="Y13" s="8">
        <v>1705</v>
      </c>
      <c r="Z13" s="8">
        <v>1712</v>
      </c>
      <c r="AA13" s="8">
        <v>1727</v>
      </c>
      <c r="AB13" s="8">
        <v>1797</v>
      </c>
      <c r="AC13" s="8">
        <v>1832</v>
      </c>
      <c r="AD13" s="8">
        <v>1910</v>
      </c>
      <c r="AE13" s="8">
        <v>1950</v>
      </c>
      <c r="AF13" s="8">
        <v>1942</v>
      </c>
      <c r="AG13" s="12">
        <v>1973</v>
      </c>
      <c r="AH13" s="12">
        <v>2000</v>
      </c>
      <c r="AI13" s="134">
        <v>2029</v>
      </c>
      <c r="AJ13" s="12">
        <v>2036</v>
      </c>
      <c r="AK13" s="12">
        <v>2059</v>
      </c>
      <c r="AL13" s="12">
        <v>2061</v>
      </c>
      <c r="AM13" s="12">
        <v>2043</v>
      </c>
      <c r="AN13" s="12">
        <v>2090</v>
      </c>
    </row>
    <row r="14" spans="1:40">
      <c r="A14" s="8" t="s">
        <v>22</v>
      </c>
      <c r="B14" s="21">
        <f>Men!B14+Women!B14</f>
        <v>1521</v>
      </c>
      <c r="C14" s="21">
        <f>Men!C14+Women!C14</f>
        <v>1762</v>
      </c>
      <c r="D14" s="21">
        <f>Men!D14+Women!D14</f>
        <v>1743</v>
      </c>
      <c r="E14" s="8">
        <f>Men!E14+Women!E14</f>
        <v>1758</v>
      </c>
      <c r="F14" s="8">
        <f>Men!F14+Women!F14</f>
        <v>1747</v>
      </c>
      <c r="G14" s="8">
        <f>Men!G14+Women!G14</f>
        <v>1717</v>
      </c>
      <c r="H14" s="8">
        <f>Men!H14+Women!H14</f>
        <v>1706</v>
      </c>
      <c r="I14" s="8">
        <f>Men!I14+Women!I14</f>
        <v>1753</v>
      </c>
      <c r="J14" s="8">
        <f>Men!J14+Women!J14</f>
        <v>1727</v>
      </c>
      <c r="K14" s="8">
        <f>Men!K14+Women!K14</f>
        <v>1736</v>
      </c>
      <c r="L14" s="8">
        <f>Men!L14+Women!L14</f>
        <v>1743</v>
      </c>
      <c r="M14" s="8">
        <f>Men!M14+Women!M14</f>
        <v>1734</v>
      </c>
      <c r="N14" s="15">
        <f>Men!N14+Women!N14</f>
        <v>1728</v>
      </c>
      <c r="O14" s="8">
        <f>Men!O14+Women!O14</f>
        <v>1772</v>
      </c>
      <c r="P14" s="8">
        <f>Men!P14+Women!P14</f>
        <v>1780</v>
      </c>
      <c r="Q14" s="8">
        <f>484+673+603</f>
        <v>1760</v>
      </c>
      <c r="R14" s="8">
        <f>482+666+589</f>
        <v>1737</v>
      </c>
      <c r="S14" s="8">
        <f>471+659+581</f>
        <v>1711</v>
      </c>
      <c r="T14" s="8">
        <f>478+677+572</f>
        <v>1727</v>
      </c>
      <c r="U14" s="8">
        <f>470+662+553</f>
        <v>1685</v>
      </c>
      <c r="V14" s="8">
        <f>474+686+579</f>
        <v>1739</v>
      </c>
      <c r="W14" s="8">
        <f>478+684+582</f>
        <v>1744</v>
      </c>
      <c r="X14" s="8">
        <f>476+683+585</f>
        <v>1744</v>
      </c>
      <c r="Y14" s="8">
        <v>1763</v>
      </c>
      <c r="Z14" s="8">
        <v>1745</v>
      </c>
      <c r="AA14" s="8">
        <v>1770</v>
      </c>
      <c r="AB14" s="8">
        <v>1751</v>
      </c>
      <c r="AC14" s="8">
        <v>1777</v>
      </c>
      <c r="AD14" s="8">
        <v>1798</v>
      </c>
      <c r="AE14" s="8">
        <v>1767</v>
      </c>
      <c r="AF14" s="8">
        <v>1779</v>
      </c>
      <c r="AG14" s="12">
        <v>1827</v>
      </c>
      <c r="AH14" s="12">
        <v>1836</v>
      </c>
      <c r="AI14" s="134">
        <v>1791</v>
      </c>
      <c r="AJ14" s="12">
        <v>1805</v>
      </c>
      <c r="AK14" s="12">
        <v>1783</v>
      </c>
      <c r="AL14" s="12">
        <v>1809</v>
      </c>
      <c r="AM14" s="12">
        <v>1808</v>
      </c>
      <c r="AN14" s="12">
        <v>1801</v>
      </c>
    </row>
    <row r="15" spans="1:40">
      <c r="A15" s="8" t="s">
        <v>23</v>
      </c>
      <c r="B15" s="21">
        <f>Men!B15+Women!B15</f>
        <v>600</v>
      </c>
      <c r="C15" s="21">
        <f>Men!C15+Women!C15</f>
        <v>594</v>
      </c>
      <c r="D15" s="21">
        <f>Men!D15+Women!D15</f>
        <v>580</v>
      </c>
      <c r="E15" s="8">
        <f>Men!E15+Women!E15</f>
        <v>525</v>
      </c>
      <c r="F15" s="8">
        <f>Men!F15+Women!F15</f>
        <v>483</v>
      </c>
      <c r="G15" s="8">
        <f>Men!G15+Women!G15</f>
        <v>441</v>
      </c>
      <c r="H15" s="8">
        <f>Men!H15+Women!H15</f>
        <v>414</v>
      </c>
      <c r="I15" s="8">
        <f>Men!I15+Women!I15</f>
        <v>399</v>
      </c>
      <c r="J15" s="8">
        <f>Men!J15+Women!J15</f>
        <v>389</v>
      </c>
      <c r="K15" s="8">
        <f>Men!K15+Women!K15</f>
        <v>389</v>
      </c>
      <c r="L15" s="8">
        <f>Men!L15+Women!L15</f>
        <v>398</v>
      </c>
      <c r="M15" s="8">
        <f>Men!M15+Women!M15</f>
        <v>392</v>
      </c>
      <c r="N15" s="15">
        <f>Men!N15+Women!N15</f>
        <v>390</v>
      </c>
      <c r="O15" s="8">
        <f>Men!O15+Women!O15</f>
        <v>389</v>
      </c>
      <c r="P15" s="8">
        <f>Men!P15+Women!P15</f>
        <v>383</v>
      </c>
      <c r="Q15" s="8">
        <v>386</v>
      </c>
      <c r="R15" s="8">
        <v>390</v>
      </c>
      <c r="S15" s="8">
        <v>387</v>
      </c>
      <c r="T15" s="8">
        <v>378</v>
      </c>
      <c r="U15" s="8">
        <v>386</v>
      </c>
      <c r="V15" s="8">
        <v>397</v>
      </c>
      <c r="W15" s="8">
        <v>390</v>
      </c>
      <c r="X15" s="8">
        <v>397</v>
      </c>
      <c r="Y15" s="8">
        <v>404</v>
      </c>
      <c r="Z15" s="8">
        <v>400</v>
      </c>
      <c r="AA15" s="8">
        <v>402</v>
      </c>
      <c r="AB15" s="8">
        <v>420</v>
      </c>
      <c r="AC15" s="8">
        <v>438</v>
      </c>
      <c r="AD15" s="8">
        <v>466</v>
      </c>
      <c r="AE15" s="8">
        <v>484</v>
      </c>
      <c r="AF15" s="8">
        <v>497</v>
      </c>
      <c r="AG15" s="12">
        <v>521</v>
      </c>
      <c r="AH15" s="12">
        <v>547</v>
      </c>
      <c r="AI15" s="134">
        <v>554</v>
      </c>
      <c r="AJ15" s="12">
        <v>570</v>
      </c>
      <c r="AK15" s="12">
        <v>577</v>
      </c>
      <c r="AL15" s="12">
        <v>598</v>
      </c>
      <c r="AM15" s="12">
        <v>618</v>
      </c>
      <c r="AN15" s="12">
        <v>620</v>
      </c>
    </row>
    <row r="16" spans="1:40">
      <c r="A16" s="8" t="s">
        <v>24</v>
      </c>
      <c r="B16" s="21">
        <f>Men!B16+Women!B16</f>
        <v>1676</v>
      </c>
      <c r="C16" s="21">
        <f>Men!C16+Women!C16</f>
        <v>1763</v>
      </c>
      <c r="D16" s="21">
        <f>Men!D16+Women!D16</f>
        <v>1779</v>
      </c>
      <c r="E16" s="8">
        <f>Men!E16+Women!E16</f>
        <v>1805</v>
      </c>
      <c r="F16" s="8">
        <f>Men!F16+Women!F16</f>
        <v>1813</v>
      </c>
      <c r="G16" s="8">
        <f>Men!G16+Women!G16</f>
        <v>1813</v>
      </c>
      <c r="H16" s="8">
        <f>Men!H16+Women!H16</f>
        <v>1804</v>
      </c>
      <c r="I16" s="8">
        <f>Men!I16+Women!I16</f>
        <v>1785</v>
      </c>
      <c r="J16" s="8">
        <f>Men!J16+Women!J16</f>
        <v>1809</v>
      </c>
      <c r="K16" s="8">
        <f>Men!K16+Women!K16</f>
        <v>1829</v>
      </c>
      <c r="L16" s="8">
        <f>Men!L16+Women!L16</f>
        <v>1848</v>
      </c>
      <c r="M16" s="8">
        <f>Men!M16+Women!M16</f>
        <v>1845</v>
      </c>
      <c r="N16" s="15">
        <f>Men!N16+Women!N16</f>
        <v>1802</v>
      </c>
      <c r="O16" s="8">
        <f>Men!O16+Women!O16</f>
        <v>1820</v>
      </c>
      <c r="P16" s="8">
        <f>Men!P16+Women!P16</f>
        <v>1785</v>
      </c>
      <c r="Q16" s="8">
        <f>449+397+302+674</f>
        <v>1822</v>
      </c>
      <c r="R16" s="8">
        <f>452+392+297+895</f>
        <v>2036</v>
      </c>
      <c r="S16" s="8">
        <f>447+429+305+608</f>
        <v>1789</v>
      </c>
      <c r="T16" s="8">
        <f>441+379+307+664</f>
        <v>1791</v>
      </c>
      <c r="U16" s="8">
        <f>441+347+298+643</f>
        <v>1729</v>
      </c>
      <c r="V16" s="8">
        <f>302+379+637+424</f>
        <v>1742</v>
      </c>
      <c r="W16" s="8">
        <f>293+456+641+431</f>
        <v>1821</v>
      </c>
      <c r="X16" s="8">
        <f>308+468+642+438</f>
        <v>1856</v>
      </c>
      <c r="Y16" s="8">
        <v>1833</v>
      </c>
      <c r="Z16" s="8">
        <v>1902</v>
      </c>
      <c r="AA16" s="8">
        <v>1861</v>
      </c>
      <c r="AB16" s="8">
        <v>1816</v>
      </c>
      <c r="AC16" s="8">
        <v>1836</v>
      </c>
      <c r="AD16" s="8">
        <v>1861</v>
      </c>
      <c r="AE16" s="8">
        <v>1861</v>
      </c>
      <c r="AF16" s="8">
        <v>1889</v>
      </c>
      <c r="AG16" s="12">
        <v>1921</v>
      </c>
      <c r="AH16" s="12">
        <v>1946</v>
      </c>
      <c r="AI16" s="134">
        <v>1955</v>
      </c>
      <c r="AJ16" s="12">
        <v>1936</v>
      </c>
      <c r="AK16" s="12">
        <v>2051</v>
      </c>
      <c r="AL16" s="12">
        <v>2147</v>
      </c>
      <c r="AM16" s="12">
        <v>2131</v>
      </c>
      <c r="AN16" s="12">
        <v>2131</v>
      </c>
    </row>
    <row r="17" spans="1:40">
      <c r="A17" s="8" t="s">
        <v>25</v>
      </c>
      <c r="B17" s="21">
        <f>Men!B17+Women!B17</f>
        <v>753</v>
      </c>
      <c r="C17" s="21">
        <f>Men!C17+Women!C17</f>
        <v>858</v>
      </c>
      <c r="D17" s="21">
        <f>Men!D17+Women!D17</f>
        <v>885</v>
      </c>
      <c r="E17" s="8">
        <f>Men!E17+Women!E17</f>
        <v>891</v>
      </c>
      <c r="F17" s="8">
        <f>Men!F17+Women!F17</f>
        <v>848</v>
      </c>
      <c r="G17" s="8">
        <f>Men!G17+Women!G17</f>
        <v>815</v>
      </c>
      <c r="H17" s="8">
        <f>Men!H17+Women!H17</f>
        <v>769</v>
      </c>
      <c r="I17" s="8">
        <f>Men!I17+Women!I17</f>
        <v>711</v>
      </c>
      <c r="J17" s="8">
        <f>Men!J17+Women!J17</f>
        <v>684</v>
      </c>
      <c r="K17" s="8">
        <f>Men!K17+Women!K17</f>
        <v>539</v>
      </c>
      <c r="L17" s="8">
        <f>Men!L17+Women!L17</f>
        <v>559</v>
      </c>
      <c r="M17" s="8">
        <f>Men!M17+Women!M17</f>
        <v>562</v>
      </c>
      <c r="N17" s="15">
        <f>Men!N17+Women!N17</f>
        <v>586</v>
      </c>
      <c r="O17" s="8">
        <f>Men!O17+Women!O17</f>
        <v>592</v>
      </c>
      <c r="P17" s="8">
        <f>Men!P17+Women!P17</f>
        <v>592</v>
      </c>
      <c r="Q17" s="8">
        <v>581</v>
      </c>
      <c r="R17" s="8">
        <v>589</v>
      </c>
      <c r="S17" s="8">
        <v>589</v>
      </c>
      <c r="T17" s="8">
        <v>581</v>
      </c>
      <c r="U17" s="8">
        <v>584</v>
      </c>
      <c r="V17" s="8">
        <v>591</v>
      </c>
      <c r="W17" s="8">
        <v>610</v>
      </c>
      <c r="X17" s="8">
        <v>579</v>
      </c>
      <c r="Y17" s="8">
        <v>582</v>
      </c>
      <c r="Z17" s="8">
        <v>593</v>
      </c>
      <c r="AA17" s="8">
        <v>595</v>
      </c>
      <c r="AB17" s="8">
        <v>618</v>
      </c>
      <c r="AC17" s="8">
        <v>644</v>
      </c>
      <c r="AD17" s="8">
        <v>655</v>
      </c>
      <c r="AE17" s="8">
        <v>658</v>
      </c>
      <c r="AF17" s="8">
        <v>657</v>
      </c>
      <c r="AG17" s="12">
        <v>647</v>
      </c>
      <c r="AH17" s="12">
        <v>661</v>
      </c>
      <c r="AI17" s="134">
        <v>662</v>
      </c>
      <c r="AJ17" s="12">
        <v>656</v>
      </c>
      <c r="AK17" s="12">
        <v>435</v>
      </c>
      <c r="AL17" s="12">
        <v>438</v>
      </c>
      <c r="AM17" s="12">
        <v>655</v>
      </c>
      <c r="AN17" s="12">
        <v>647</v>
      </c>
    </row>
    <row r="18" spans="1:40">
      <c r="A18" s="8" t="s">
        <v>26</v>
      </c>
      <c r="B18" s="21">
        <f>Men!B18+Women!B18</f>
        <v>751</v>
      </c>
      <c r="C18" s="21">
        <f>Men!C18+Women!C18</f>
        <v>810</v>
      </c>
      <c r="D18" s="21">
        <f>Men!D18+Women!D18</f>
        <v>833</v>
      </c>
      <c r="E18" s="8">
        <f>Men!E18+Women!E18</f>
        <v>851</v>
      </c>
      <c r="F18" s="8">
        <f>Men!F18+Women!F18</f>
        <v>856</v>
      </c>
      <c r="G18" s="8">
        <f>Men!G18+Women!G18</f>
        <v>864</v>
      </c>
      <c r="H18" s="8">
        <f>Men!H18+Women!H18</f>
        <v>849</v>
      </c>
      <c r="I18" s="8">
        <f>Men!I18+Women!I18</f>
        <v>826</v>
      </c>
      <c r="J18" s="8">
        <f>Men!J18+Women!J18</f>
        <v>822</v>
      </c>
      <c r="K18" s="8">
        <f>Men!K18+Women!K18</f>
        <v>816</v>
      </c>
      <c r="L18" s="8">
        <f>Men!L18+Women!L18</f>
        <v>818</v>
      </c>
      <c r="M18" s="8">
        <f>Men!M18+Women!M18</f>
        <v>829</v>
      </c>
      <c r="N18" s="15">
        <f>Men!N18+Women!N18</f>
        <v>825</v>
      </c>
      <c r="O18" s="8">
        <f>Men!O18+Women!O18</f>
        <v>874</v>
      </c>
      <c r="P18" s="8">
        <f>Men!P18+Women!P18</f>
        <v>862</v>
      </c>
      <c r="Q18" s="8">
        <f>584+285</f>
        <v>869</v>
      </c>
      <c r="R18" s="8">
        <f>572+282</f>
        <v>854</v>
      </c>
      <c r="S18" s="8">
        <f>558+290</f>
        <v>848</v>
      </c>
      <c r="T18" s="8">
        <f>560+295</f>
        <v>855</v>
      </c>
      <c r="U18" s="8">
        <f>548+290</f>
        <v>838</v>
      </c>
      <c r="V18" s="8">
        <f>560+288</f>
        <v>848</v>
      </c>
      <c r="W18" s="8">
        <f>569+292</f>
        <v>861</v>
      </c>
      <c r="X18" s="8">
        <f>583+297</f>
        <v>880</v>
      </c>
      <c r="Y18" s="8">
        <v>885</v>
      </c>
      <c r="Z18" s="8">
        <v>897</v>
      </c>
      <c r="AA18" s="8">
        <v>894</v>
      </c>
      <c r="AB18" s="8">
        <v>906</v>
      </c>
      <c r="AC18" s="8">
        <v>929</v>
      </c>
      <c r="AD18" s="8">
        <v>967</v>
      </c>
      <c r="AE18" s="8">
        <v>1005</v>
      </c>
      <c r="AF18" s="8">
        <v>1007</v>
      </c>
      <c r="AG18" s="12">
        <v>1090</v>
      </c>
      <c r="AH18" s="12">
        <v>1135</v>
      </c>
      <c r="AI18" s="134">
        <v>1225</v>
      </c>
      <c r="AJ18" s="12">
        <v>1335</v>
      </c>
      <c r="AK18" s="12">
        <v>1953</v>
      </c>
      <c r="AL18" s="12">
        <v>2019</v>
      </c>
      <c r="AM18" s="12">
        <v>1508</v>
      </c>
      <c r="AN18" s="12">
        <v>1544</v>
      </c>
    </row>
    <row r="19" spans="1:40">
      <c r="A19" s="8" t="s">
        <v>27</v>
      </c>
      <c r="B19" s="21">
        <f>Men!B19+Women!B19</f>
        <v>1688</v>
      </c>
      <c r="C19" s="21">
        <f>Men!C19+Women!C19</f>
        <v>1807</v>
      </c>
      <c r="D19" s="21">
        <f>Men!D19+Women!D19</f>
        <v>1815</v>
      </c>
      <c r="E19" s="8">
        <f>Men!E19+Women!E19</f>
        <v>1770</v>
      </c>
      <c r="F19" s="8">
        <f>Men!F19+Women!F19</f>
        <v>1643</v>
      </c>
      <c r="G19" s="8">
        <f>Men!G19+Women!G19</f>
        <v>1576</v>
      </c>
      <c r="H19" s="8">
        <f>Men!H19+Women!H19</f>
        <v>1551</v>
      </c>
      <c r="I19" s="8">
        <f>Men!I19+Women!I19</f>
        <v>1514</v>
      </c>
      <c r="J19" s="8">
        <f>Men!J19+Women!J19</f>
        <v>1523</v>
      </c>
      <c r="K19" s="8">
        <f>Men!K19+Women!K19</f>
        <v>1498</v>
      </c>
      <c r="L19" s="8">
        <f>Men!L19+Women!L19</f>
        <v>1557</v>
      </c>
      <c r="M19" s="8">
        <f>Men!M19+Women!M19</f>
        <v>1580</v>
      </c>
      <c r="N19" s="15">
        <f>Men!N19+Women!N19</f>
        <v>1523</v>
      </c>
      <c r="O19" s="8">
        <f>Men!O19+Women!O19</f>
        <v>1692</v>
      </c>
      <c r="P19" s="8">
        <f>Men!P19+Women!P19</f>
        <v>1711</v>
      </c>
      <c r="Q19" s="8">
        <f>245+385+683+413</f>
        <v>1726</v>
      </c>
      <c r="R19" s="8">
        <f>243+384+683+413</f>
        <v>1723</v>
      </c>
      <c r="S19" s="8">
        <f>244+361+683+418</f>
        <v>1706</v>
      </c>
      <c r="T19" s="8">
        <f>239+370+677+427</f>
        <v>1713</v>
      </c>
      <c r="U19" s="8">
        <f>242+352+671+418</f>
        <v>1683</v>
      </c>
      <c r="V19" s="8">
        <f>240+343+664+427</f>
        <v>1674</v>
      </c>
      <c r="W19" s="8">
        <f>234+345+644+411</f>
        <v>1634</v>
      </c>
      <c r="X19" s="8">
        <f>235+351+621+416</f>
        <v>1623</v>
      </c>
      <c r="Y19" s="8">
        <v>1596</v>
      </c>
      <c r="Z19" s="8">
        <v>1630</v>
      </c>
      <c r="AA19" s="8">
        <v>1654</v>
      </c>
      <c r="AB19" s="8">
        <v>1655</v>
      </c>
      <c r="AC19" s="8">
        <v>1680</v>
      </c>
      <c r="AD19" s="8">
        <v>1749</v>
      </c>
      <c r="AE19" s="8">
        <v>1763</v>
      </c>
      <c r="AF19" s="8">
        <v>1776</v>
      </c>
      <c r="AG19" s="12">
        <v>1814</v>
      </c>
      <c r="AH19" s="12">
        <v>1831</v>
      </c>
      <c r="AI19" s="134">
        <v>2034</v>
      </c>
      <c r="AJ19" s="12">
        <v>1802</v>
      </c>
      <c r="AK19" s="12">
        <v>1793</v>
      </c>
      <c r="AL19" s="12">
        <v>1788</v>
      </c>
      <c r="AM19" s="12">
        <v>1807</v>
      </c>
      <c r="AN19" s="12">
        <v>1810</v>
      </c>
    </row>
    <row r="20" spans="1:40">
      <c r="A20" s="8" t="s">
        <v>28</v>
      </c>
      <c r="B20" s="21">
        <f>Men!B20+Women!B20</f>
        <v>3811</v>
      </c>
      <c r="C20" s="21">
        <f>Men!C20+Women!C20</f>
        <v>4397</v>
      </c>
      <c r="D20" s="21">
        <f>Men!D20+Women!D20</f>
        <v>4511</v>
      </c>
      <c r="E20" s="8">
        <f>Men!E20+Women!E20</f>
        <v>4450</v>
      </c>
      <c r="F20" s="8">
        <f>Men!F20+Women!F20</f>
        <v>4451</v>
      </c>
      <c r="G20" s="8">
        <f>Men!G20+Women!G20</f>
        <v>4461</v>
      </c>
      <c r="H20" s="8">
        <f>Men!H20+Women!H20</f>
        <v>4432</v>
      </c>
      <c r="I20" s="8">
        <f>Men!I20+Women!I20</f>
        <v>4381</v>
      </c>
      <c r="J20" s="8">
        <f>Men!J20+Women!J20</f>
        <v>4375</v>
      </c>
      <c r="K20" s="8">
        <f>Men!K20+Women!K20</f>
        <v>4368</v>
      </c>
      <c r="L20" s="8">
        <f>Men!L20+Women!L20</f>
        <v>4414</v>
      </c>
      <c r="M20" s="8">
        <f>Men!M20+Women!M20</f>
        <v>4500</v>
      </c>
      <c r="N20" s="15">
        <f>Men!N20+Women!N20</f>
        <v>4522</v>
      </c>
      <c r="O20" s="8">
        <f>Men!O20+Women!O20</f>
        <v>4541</v>
      </c>
      <c r="P20" s="8">
        <f>Men!P20+Women!P20</f>
        <v>4609</v>
      </c>
      <c r="Q20" s="8">
        <f>677+226+467+820+831+830+830</f>
        <v>4681</v>
      </c>
      <c r="R20" s="8">
        <f>687+241+490+821+836+814+812</f>
        <v>4701</v>
      </c>
      <c r="S20" s="8">
        <f>669+256+497+829+834+815+794</f>
        <v>4694</v>
      </c>
      <c r="T20" s="8">
        <f>666+272+488+820+831+824+812</f>
        <v>4713</v>
      </c>
      <c r="U20" s="8">
        <f>668+271+482+810+817+824+825</f>
        <v>4697</v>
      </c>
      <c r="V20" s="8">
        <f>667+273+487+832+829+832+814</f>
        <v>4734</v>
      </c>
      <c r="W20" s="8">
        <f>669+270+490+821+810+822+838</f>
        <v>4720</v>
      </c>
      <c r="X20" s="8">
        <f>682+279+515+835+816+816+870</f>
        <v>4813</v>
      </c>
      <c r="Y20" s="8">
        <v>4834</v>
      </c>
      <c r="Z20" s="8">
        <v>4929</v>
      </c>
      <c r="AA20" s="8">
        <v>5051</v>
      </c>
      <c r="AB20" s="8">
        <v>5136</v>
      </c>
      <c r="AC20" s="8">
        <v>5270</v>
      </c>
      <c r="AD20" s="8">
        <v>5437</v>
      </c>
      <c r="AE20" s="8">
        <v>5635</v>
      </c>
      <c r="AF20" s="8">
        <v>5809</v>
      </c>
      <c r="AG20" s="12">
        <v>6004</v>
      </c>
      <c r="AH20" s="12">
        <v>6141</v>
      </c>
      <c r="AI20" s="134">
        <v>6234</v>
      </c>
      <c r="AJ20" s="12">
        <v>6327</v>
      </c>
      <c r="AK20" s="12">
        <v>6441</v>
      </c>
      <c r="AL20" s="12">
        <v>6533</v>
      </c>
      <c r="AM20" s="12">
        <v>6537</v>
      </c>
      <c r="AN20" s="12">
        <v>6669</v>
      </c>
    </row>
    <row r="21" spans="1:40">
      <c r="A21" s="8" t="s">
        <v>29</v>
      </c>
      <c r="B21" s="21">
        <f>Men!B21+Women!B21</f>
        <v>1470</v>
      </c>
      <c r="C21" s="21">
        <f>Men!C21+Women!C21</f>
        <v>1522</v>
      </c>
      <c r="D21" s="21">
        <f>Men!D21+Women!D21</f>
        <v>1520</v>
      </c>
      <c r="E21" s="8">
        <f>Men!E21+Women!E21</f>
        <v>1515</v>
      </c>
      <c r="F21" s="8">
        <f>Men!F21+Women!F21</f>
        <v>1521</v>
      </c>
      <c r="G21" s="8">
        <f>Men!G21+Women!G21</f>
        <v>1562</v>
      </c>
      <c r="H21" s="8">
        <f>Men!H21+Women!H21</f>
        <v>1586</v>
      </c>
      <c r="I21" s="8">
        <f>Men!I21+Women!I21</f>
        <v>1591</v>
      </c>
      <c r="J21" s="8">
        <f>Men!J21+Women!J21</f>
        <v>1589</v>
      </c>
      <c r="K21" s="8">
        <f>Men!K21+Women!K21</f>
        <v>1584</v>
      </c>
      <c r="L21" s="8">
        <f>Men!L21+Women!L21</f>
        <v>1604</v>
      </c>
      <c r="M21" s="8">
        <f>Men!M21+Women!M21</f>
        <v>1407</v>
      </c>
      <c r="N21" s="15">
        <f>Men!N21+Women!N21</f>
        <v>1619</v>
      </c>
      <c r="O21" s="8">
        <f>Men!O21+Women!O21</f>
        <v>1643</v>
      </c>
      <c r="P21" s="8">
        <f>Men!P21+Women!P21</f>
        <v>1654</v>
      </c>
      <c r="Q21" s="8">
        <f>416+559+683</f>
        <v>1658</v>
      </c>
      <c r="R21" s="8">
        <f>409+563+675</f>
        <v>1647</v>
      </c>
      <c r="S21" s="8">
        <f>410+557+672</f>
        <v>1639</v>
      </c>
      <c r="T21" s="8">
        <f>406+564+685</f>
        <v>1655</v>
      </c>
      <c r="U21" s="8">
        <f>((V21-T21)/2)+T21</f>
        <v>1663</v>
      </c>
      <c r="V21" s="8">
        <f>419+563+689</f>
        <v>1671</v>
      </c>
      <c r="W21" s="8">
        <f>419+547+698</f>
        <v>1664</v>
      </c>
      <c r="X21" s="8">
        <f>432+552+716</f>
        <v>1700</v>
      </c>
      <c r="Y21" s="8">
        <v>1706</v>
      </c>
      <c r="Z21" s="8">
        <v>1741</v>
      </c>
      <c r="AA21" s="8">
        <v>1726</v>
      </c>
      <c r="AB21" s="8">
        <v>1725</v>
      </c>
      <c r="AC21" s="8">
        <v>1752</v>
      </c>
      <c r="AD21" s="8">
        <v>1781</v>
      </c>
      <c r="AE21" s="8">
        <v>1863</v>
      </c>
      <c r="AF21" s="8">
        <v>1973</v>
      </c>
      <c r="AG21" s="12">
        <v>2064</v>
      </c>
      <c r="AH21" s="12">
        <v>2150</v>
      </c>
      <c r="AI21" s="134">
        <v>2195</v>
      </c>
      <c r="AJ21" s="12">
        <v>2163</v>
      </c>
      <c r="AK21" s="12">
        <v>2231</v>
      </c>
      <c r="AL21" s="12">
        <v>2245</v>
      </c>
      <c r="AM21" s="12">
        <v>2200</v>
      </c>
      <c r="AN21" s="12">
        <v>2161</v>
      </c>
    </row>
    <row r="22" spans="1:40">
      <c r="A22" s="9" t="s">
        <v>30</v>
      </c>
      <c r="B22" s="7">
        <f>Men!B22+Women!B22</f>
        <v>434</v>
      </c>
      <c r="C22" s="7">
        <f>Men!C22+Women!C22</f>
        <v>501</v>
      </c>
      <c r="D22" s="7">
        <f>Men!D22+Women!D22</f>
        <v>517</v>
      </c>
      <c r="E22" s="9">
        <f>Men!E22+Women!E22</f>
        <v>530</v>
      </c>
      <c r="F22" s="9">
        <f>Men!F22+Women!F22</f>
        <v>538</v>
      </c>
      <c r="G22" s="9">
        <f>Men!G22+Women!G22</f>
        <v>531</v>
      </c>
      <c r="H22" s="9">
        <f>Men!H22+Women!H22</f>
        <v>528</v>
      </c>
      <c r="I22" s="9">
        <f>Men!I22+Women!I22</f>
        <v>518</v>
      </c>
      <c r="J22" s="9">
        <f>Men!J22+Women!J22</f>
        <v>513</v>
      </c>
      <c r="K22" s="9">
        <f>Men!K22+Women!K22</f>
        <v>513</v>
      </c>
      <c r="L22" s="9">
        <f>Men!L22+Women!L22</f>
        <v>518</v>
      </c>
      <c r="M22" s="9">
        <f>Men!M22+Women!M22</f>
        <v>537</v>
      </c>
      <c r="N22" s="16">
        <f>Men!N22+Women!N22</f>
        <v>554</v>
      </c>
      <c r="O22" s="9">
        <f>Men!O22+Women!O22</f>
        <v>555</v>
      </c>
      <c r="P22" s="9">
        <f>Men!P22+Women!P22</f>
        <v>553</v>
      </c>
      <c r="Q22" s="9">
        <f>204+350</f>
        <v>554</v>
      </c>
      <c r="R22" s="9">
        <f>201+356</f>
        <v>557</v>
      </c>
      <c r="S22" s="9">
        <f>204+356</f>
        <v>560</v>
      </c>
      <c r="T22" s="9">
        <f>209+356</f>
        <v>565</v>
      </c>
      <c r="U22" s="9">
        <f>207+358</f>
        <v>565</v>
      </c>
      <c r="V22" s="9">
        <f>198+352</f>
        <v>550</v>
      </c>
      <c r="W22" s="9">
        <f>194+375</f>
        <v>569</v>
      </c>
      <c r="X22" s="9">
        <f>199+376</f>
        <v>575</v>
      </c>
      <c r="Y22" s="9">
        <v>569</v>
      </c>
      <c r="Z22" s="9">
        <v>628</v>
      </c>
      <c r="AA22" s="9">
        <v>639</v>
      </c>
      <c r="AB22" s="9">
        <v>667</v>
      </c>
      <c r="AC22" s="9">
        <v>713</v>
      </c>
      <c r="AD22" s="9">
        <v>729</v>
      </c>
      <c r="AE22" s="9">
        <v>721</v>
      </c>
      <c r="AF22" s="9">
        <v>726</v>
      </c>
      <c r="AG22" s="110">
        <v>713</v>
      </c>
      <c r="AH22" s="110">
        <v>687</v>
      </c>
      <c r="AI22" s="138">
        <v>711</v>
      </c>
      <c r="AJ22" s="110">
        <v>727</v>
      </c>
      <c r="AK22" s="110">
        <v>750</v>
      </c>
      <c r="AL22" s="110">
        <v>738</v>
      </c>
      <c r="AM22" s="12">
        <v>751</v>
      </c>
      <c r="AN22" s="12">
        <v>784</v>
      </c>
    </row>
    <row r="23" spans="1:40">
      <c r="A23" s="53" t="s">
        <v>31</v>
      </c>
      <c r="B23" s="21"/>
      <c r="C23" s="21"/>
      <c r="D23" s="21"/>
      <c r="E23" s="53"/>
      <c r="F23" s="53"/>
      <c r="G23" s="53"/>
      <c r="H23" s="53"/>
      <c r="I23" s="53"/>
      <c r="J23" s="53"/>
      <c r="K23" s="53"/>
      <c r="L23" s="53"/>
      <c r="M23" s="53"/>
      <c r="N23" s="56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>
        <f>SUM(Y25:Y37)</f>
        <v>8061</v>
      </c>
      <c r="Z23" s="53">
        <f t="shared" ref="Z23:AD23" si="19">SUM(Z25:Z37)</f>
        <v>7859</v>
      </c>
      <c r="AA23" s="53">
        <f t="shared" si="19"/>
        <v>7973</v>
      </c>
      <c r="AB23" s="53">
        <f t="shared" si="19"/>
        <v>8030</v>
      </c>
      <c r="AC23" s="53">
        <f t="shared" si="19"/>
        <v>8156</v>
      </c>
      <c r="AD23" s="53">
        <f t="shared" si="19"/>
        <v>8230</v>
      </c>
      <c r="AE23" s="53">
        <f t="shared" ref="AE23:AF23" si="20">SUM(AE25:AE37)</f>
        <v>8433</v>
      </c>
      <c r="AF23" s="53">
        <f t="shared" si="20"/>
        <v>8516</v>
      </c>
      <c r="AG23" s="53">
        <f t="shared" ref="AG23:AH23" si="21">SUM(AG25:AG37)</f>
        <v>8601</v>
      </c>
      <c r="AH23" s="53">
        <f t="shared" si="21"/>
        <v>8753</v>
      </c>
      <c r="AI23" s="53">
        <f t="shared" ref="AI23:AJ23" si="22">SUM(AI25:AI37)</f>
        <v>9029</v>
      </c>
      <c r="AJ23" s="53">
        <f t="shared" si="22"/>
        <v>9291</v>
      </c>
      <c r="AK23" s="53">
        <f t="shared" ref="AK23" si="23">SUM(AK25:AK37)</f>
        <v>9636</v>
      </c>
      <c r="AL23" s="53">
        <f t="shared" ref="AL23:AM23" si="24">SUM(AL25:AL37)</f>
        <v>9929</v>
      </c>
      <c r="AM23" s="53">
        <f t="shared" si="24"/>
        <v>10356</v>
      </c>
      <c r="AN23" s="53">
        <f t="shared" ref="AN23" si="25">SUM(AN25:AN37)</f>
        <v>10812</v>
      </c>
    </row>
    <row r="24" spans="1:40">
      <c r="A24" s="50" t="s">
        <v>14</v>
      </c>
      <c r="B24" s="45"/>
      <c r="C24" s="45"/>
      <c r="D24" s="45"/>
      <c r="E24" s="54"/>
      <c r="F24" s="54"/>
      <c r="G24" s="54"/>
      <c r="H24" s="54"/>
      <c r="I24" s="54"/>
      <c r="J24" s="54"/>
      <c r="K24" s="54"/>
      <c r="L24" s="54"/>
      <c r="M24" s="54"/>
      <c r="N24" s="57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>
        <f t="shared" ref="Y24" si="26">(Y23/Y$4)*100</f>
        <v>12.152872003618272</v>
      </c>
      <c r="Z24" s="54">
        <f t="shared" ref="Z24" si="27">(Z23/Z$4)*100</f>
        <v>11.674961004233825</v>
      </c>
      <c r="AA24" s="54">
        <f t="shared" ref="AA24" si="28">(AA23/AA$4)*100</f>
        <v>11.714835657297346</v>
      </c>
      <c r="AB24" s="54">
        <f t="shared" ref="AB24" si="29">(AB23/AB$4)*100</f>
        <v>11.613108495068406</v>
      </c>
      <c r="AC24" s="54">
        <f t="shared" ref="AC24" si="30">(AC23/AC$4)*100</f>
        <v>11.584898156302378</v>
      </c>
      <c r="AD24" s="54">
        <f t="shared" ref="AD24:AE24" si="31">(AD23/AD$4)*100</f>
        <v>11.37635984131153</v>
      </c>
      <c r="AE24" s="54">
        <f t="shared" si="31"/>
        <v>11.526790595954072</v>
      </c>
      <c r="AF24" s="54">
        <f t="shared" ref="AF24:AG24" si="32">(AF23/AF$4)*100</f>
        <v>11.403473533389574</v>
      </c>
      <c r="AG24" s="54">
        <f t="shared" si="32"/>
        <v>11.286364769640585</v>
      </c>
      <c r="AH24" s="54">
        <f t="shared" ref="AH24:AI24" si="33">(AH23/AH$4)*100</f>
        <v>11.259325958322613</v>
      </c>
      <c r="AI24" s="54">
        <f t="shared" si="33"/>
        <v>11.355661480801398</v>
      </c>
      <c r="AJ24" s="54">
        <f t="shared" ref="AJ24:AK24" si="34">(AJ23/AJ$4)*100</f>
        <v>11.546778683634917</v>
      </c>
      <c r="AK24" s="54">
        <f t="shared" si="34"/>
        <v>11.782687910394834</v>
      </c>
      <c r="AL24" s="54">
        <f t="shared" ref="AL24:AM24" si="35">(AL23/AL$4)*100</f>
        <v>11.919997118743773</v>
      </c>
      <c r="AM24" s="54">
        <f t="shared" si="35"/>
        <v>12.232459248759744</v>
      </c>
      <c r="AN24" s="54">
        <f t="shared" ref="AN24" si="36">(AN23/AN$4)*100</f>
        <v>12.564057869966883</v>
      </c>
    </row>
    <row r="25" spans="1:40">
      <c r="A25" s="8" t="s">
        <v>32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3"/>
      <c r="Z25" s="53"/>
      <c r="AA25" s="53"/>
      <c r="AB25" s="8"/>
      <c r="AC25" s="8"/>
      <c r="AD25" s="8"/>
      <c r="AE25" s="8"/>
      <c r="AF25" s="8"/>
      <c r="AI25" s="134"/>
    </row>
    <row r="26" spans="1:40">
      <c r="A26" s="8" t="s">
        <v>33</v>
      </c>
      <c r="B26" s="21"/>
      <c r="C26" s="46"/>
      <c r="D26" s="46"/>
      <c r="E26" s="8"/>
      <c r="F26" s="8"/>
      <c r="G26" s="8"/>
      <c r="H26" s="8"/>
      <c r="I26" s="8"/>
      <c r="J26" s="8"/>
      <c r="K26" s="8"/>
      <c r="L26" s="8"/>
      <c r="M26" s="8"/>
      <c r="N26" s="15"/>
      <c r="O26" s="8"/>
      <c r="P26" s="8"/>
      <c r="Q26" s="8"/>
      <c r="R26" s="8"/>
      <c r="S26" s="8"/>
      <c r="T26" s="8"/>
      <c r="U26" s="8"/>
      <c r="V26" s="8"/>
      <c r="W26" s="8"/>
      <c r="X26" s="8"/>
      <c r="Y26" s="8">
        <v>422</v>
      </c>
      <c r="Z26" s="8">
        <v>449</v>
      </c>
      <c r="AA26" s="8">
        <v>461</v>
      </c>
      <c r="AB26" s="8">
        <v>488</v>
      </c>
      <c r="AC26" s="8">
        <v>541</v>
      </c>
      <c r="AD26" s="8">
        <v>575</v>
      </c>
      <c r="AE26" s="8">
        <v>629</v>
      </c>
      <c r="AF26" s="8">
        <v>651</v>
      </c>
      <c r="AG26" s="12">
        <v>686</v>
      </c>
      <c r="AH26" s="12">
        <v>716</v>
      </c>
      <c r="AI26" s="134">
        <v>755</v>
      </c>
      <c r="AJ26" s="12">
        <v>788</v>
      </c>
      <c r="AK26" s="12">
        <v>819</v>
      </c>
      <c r="AL26" s="12">
        <v>839</v>
      </c>
      <c r="AM26" s="12">
        <v>831</v>
      </c>
      <c r="AN26" s="12">
        <v>837</v>
      </c>
    </row>
    <row r="27" spans="1:40">
      <c r="A27" s="8" t="s">
        <v>34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4348</v>
      </c>
      <c r="Z27" s="8">
        <v>4407</v>
      </c>
      <c r="AA27" s="8">
        <v>4448</v>
      </c>
      <c r="AB27" s="8">
        <v>4503</v>
      </c>
      <c r="AC27" s="8">
        <v>4479</v>
      </c>
      <c r="AD27" s="8">
        <v>4507</v>
      </c>
      <c r="AE27" s="8">
        <v>4623</v>
      </c>
      <c r="AF27" s="8">
        <v>4595</v>
      </c>
      <c r="AG27" s="12">
        <v>4620</v>
      </c>
      <c r="AH27" s="12">
        <v>4656</v>
      </c>
      <c r="AI27" s="134">
        <v>4783</v>
      </c>
      <c r="AJ27" s="12">
        <v>4934</v>
      </c>
      <c r="AK27" s="12">
        <v>5068</v>
      </c>
      <c r="AL27" s="12">
        <v>5111</v>
      </c>
      <c r="AM27" s="12">
        <v>5304</v>
      </c>
      <c r="AN27" s="12">
        <v>5633</v>
      </c>
    </row>
    <row r="28" spans="1:40">
      <c r="A28" s="8" t="s">
        <v>35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533</v>
      </c>
      <c r="Z28" s="8">
        <v>540</v>
      </c>
      <c r="AA28" s="8">
        <v>577</v>
      </c>
      <c r="AB28" s="8">
        <v>590</v>
      </c>
      <c r="AC28" s="8">
        <v>612</v>
      </c>
      <c r="AD28" s="8">
        <v>614</v>
      </c>
      <c r="AE28" s="8">
        <v>623</v>
      </c>
      <c r="AF28" s="8">
        <v>628</v>
      </c>
      <c r="AG28" s="12">
        <v>644</v>
      </c>
      <c r="AH28" s="12">
        <v>634</v>
      </c>
      <c r="AI28" s="134">
        <v>671</v>
      </c>
      <c r="AJ28" s="12">
        <v>665</v>
      </c>
      <c r="AK28" s="12">
        <v>700</v>
      </c>
      <c r="AL28" s="12">
        <v>695</v>
      </c>
      <c r="AM28" s="12">
        <v>802</v>
      </c>
      <c r="AN28" s="12">
        <v>736</v>
      </c>
    </row>
    <row r="29" spans="1:40">
      <c r="A29" s="8" t="s">
        <v>36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>
        <v>259</v>
      </c>
      <c r="Z29" s="8">
        <v>260</v>
      </c>
      <c r="AA29" s="8">
        <v>257</v>
      </c>
      <c r="AB29" s="8">
        <v>254</v>
      </c>
      <c r="AC29" s="8">
        <v>253</v>
      </c>
      <c r="AD29" s="8">
        <v>253</v>
      </c>
      <c r="AE29" s="8">
        <v>257</v>
      </c>
      <c r="AF29" s="8">
        <v>259</v>
      </c>
      <c r="AG29" s="12">
        <v>253</v>
      </c>
      <c r="AH29" s="12">
        <v>269</v>
      </c>
      <c r="AI29" s="134">
        <v>270</v>
      </c>
      <c r="AJ29" s="12">
        <v>267</v>
      </c>
      <c r="AK29" s="12">
        <v>270</v>
      </c>
      <c r="AL29" s="12">
        <v>282</v>
      </c>
      <c r="AM29" s="12">
        <v>290</v>
      </c>
      <c r="AN29" s="12">
        <v>293</v>
      </c>
    </row>
    <row r="30" spans="1:40">
      <c r="A30" s="8" t="s">
        <v>37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I30" s="134"/>
    </row>
    <row r="31" spans="1:40">
      <c r="A31" s="8" t="s">
        <v>38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I31" s="134"/>
    </row>
    <row r="32" spans="1:40">
      <c r="A32" s="8" t="s">
        <v>39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v>517</v>
      </c>
      <c r="Z32" s="8">
        <v>213</v>
      </c>
      <c r="AA32" s="8">
        <v>213</v>
      </c>
      <c r="AB32" s="8">
        <v>224</v>
      </c>
      <c r="AC32" s="8">
        <v>235</v>
      </c>
      <c r="AD32" s="8">
        <v>236</v>
      </c>
      <c r="AE32" s="8">
        <v>246</v>
      </c>
      <c r="AF32" s="8">
        <v>248</v>
      </c>
      <c r="AG32" s="12">
        <v>259</v>
      </c>
      <c r="AH32" s="12">
        <v>261</v>
      </c>
      <c r="AI32" s="134">
        <v>280</v>
      </c>
      <c r="AJ32" s="12">
        <v>276</v>
      </c>
      <c r="AK32" s="12">
        <v>273</v>
      </c>
      <c r="AL32" s="12">
        <v>341</v>
      </c>
      <c r="AM32" s="12">
        <v>393</v>
      </c>
      <c r="AN32" s="12">
        <v>449</v>
      </c>
    </row>
    <row r="33" spans="1:40">
      <c r="A33" s="8" t="s">
        <v>40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311</v>
      </c>
      <c r="Z33" s="8">
        <v>324</v>
      </c>
      <c r="AA33" s="8">
        <v>326</v>
      </c>
      <c r="AB33" s="8">
        <v>316</v>
      </c>
      <c r="AC33" s="8">
        <v>315</v>
      </c>
      <c r="AD33" s="8">
        <v>312</v>
      </c>
      <c r="AE33" s="8">
        <v>334</v>
      </c>
      <c r="AF33" s="8">
        <v>340</v>
      </c>
      <c r="AG33" s="12">
        <v>374</v>
      </c>
      <c r="AH33" s="12">
        <v>420</v>
      </c>
      <c r="AI33" s="134">
        <v>438</v>
      </c>
      <c r="AJ33" s="12">
        <v>438</v>
      </c>
      <c r="AK33" s="12">
        <v>402</v>
      </c>
      <c r="AL33" s="12">
        <v>420</v>
      </c>
      <c r="AM33" s="12">
        <v>423</v>
      </c>
      <c r="AN33" s="12">
        <v>426</v>
      </c>
    </row>
    <row r="34" spans="1:40">
      <c r="A34" s="8" t="s">
        <v>41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480</v>
      </c>
      <c r="Z34" s="8">
        <v>452</v>
      </c>
      <c r="AA34" s="8">
        <v>483</v>
      </c>
      <c r="AB34" s="8">
        <v>470</v>
      </c>
      <c r="AC34" s="8">
        <v>488</v>
      </c>
      <c r="AD34" s="8">
        <v>488</v>
      </c>
      <c r="AE34" s="8">
        <v>470</v>
      </c>
      <c r="AF34" s="8">
        <v>498</v>
      </c>
      <c r="AG34" s="12">
        <v>524</v>
      </c>
      <c r="AH34" s="12">
        <v>528</v>
      </c>
      <c r="AI34" s="134">
        <v>526</v>
      </c>
      <c r="AJ34" s="12">
        <v>556</v>
      </c>
      <c r="AK34" s="12">
        <v>643</v>
      </c>
      <c r="AL34" s="12">
        <v>657</v>
      </c>
      <c r="AM34" s="12">
        <v>603</v>
      </c>
      <c r="AN34" s="12">
        <v>630</v>
      </c>
    </row>
    <row r="35" spans="1:40">
      <c r="A35" s="8" t="s">
        <v>42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409</v>
      </c>
      <c r="Z35" s="8">
        <v>404</v>
      </c>
      <c r="AA35" s="8">
        <v>405</v>
      </c>
      <c r="AB35" s="8">
        <v>412</v>
      </c>
      <c r="AC35" s="8">
        <v>411</v>
      </c>
      <c r="AD35" s="8">
        <v>398</v>
      </c>
      <c r="AE35" s="8">
        <v>374</v>
      </c>
      <c r="AF35" s="8">
        <v>343</v>
      </c>
      <c r="AG35" s="12">
        <v>323</v>
      </c>
      <c r="AH35" s="12">
        <v>346</v>
      </c>
      <c r="AI35" s="134">
        <v>368</v>
      </c>
      <c r="AJ35" s="12">
        <v>408</v>
      </c>
      <c r="AK35" s="12">
        <v>440</v>
      </c>
      <c r="AL35" s="12">
        <v>482</v>
      </c>
      <c r="AM35" s="12">
        <v>501</v>
      </c>
      <c r="AN35" s="12">
        <v>499</v>
      </c>
    </row>
    <row r="36" spans="1:40">
      <c r="A36" s="8" t="s">
        <v>43</v>
      </c>
      <c r="B36" s="6"/>
      <c r="C36" s="6"/>
      <c r="D36" s="6"/>
      <c r="E36" s="17"/>
      <c r="F36" s="8"/>
      <c r="G36" s="8"/>
      <c r="H36" s="8"/>
      <c r="I36" s="8"/>
      <c r="J36" s="8"/>
      <c r="K36" s="8"/>
      <c r="L36" s="8"/>
      <c r="M36" s="8"/>
      <c r="N36" s="15"/>
      <c r="O36" s="8"/>
      <c r="P36" s="8"/>
      <c r="Q36" s="8"/>
      <c r="R36" s="8"/>
      <c r="S36" s="8"/>
      <c r="T36" s="8"/>
      <c r="U36" s="8"/>
      <c r="V36" s="8"/>
      <c r="W36" s="8"/>
      <c r="X36" s="8"/>
      <c r="Y36" s="8">
        <v>782</v>
      </c>
      <c r="Z36" s="8">
        <v>810</v>
      </c>
      <c r="AA36" s="8">
        <v>803</v>
      </c>
      <c r="AB36" s="8">
        <v>773</v>
      </c>
      <c r="AC36" s="8">
        <v>822</v>
      </c>
      <c r="AD36" s="8">
        <v>847</v>
      </c>
      <c r="AE36" s="8">
        <v>877</v>
      </c>
      <c r="AF36" s="8">
        <v>954</v>
      </c>
      <c r="AG36" s="12">
        <v>918</v>
      </c>
      <c r="AH36" s="12">
        <v>923</v>
      </c>
      <c r="AI36" s="134">
        <v>938</v>
      </c>
      <c r="AJ36" s="12">
        <v>959</v>
      </c>
      <c r="AK36" s="12">
        <v>1021</v>
      </c>
      <c r="AL36" s="12">
        <v>1102</v>
      </c>
      <c r="AM36" s="12">
        <v>1209</v>
      </c>
      <c r="AN36" s="12">
        <v>1309</v>
      </c>
    </row>
    <row r="37" spans="1:40">
      <c r="A37" s="9" t="s">
        <v>44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0"/>
      <c r="AH37" s="110"/>
      <c r="AI37" s="135"/>
      <c r="AJ37" s="110"/>
      <c r="AK37" s="110"/>
      <c r="AL37" s="110"/>
    </row>
    <row r="38" spans="1:40">
      <c r="A38" s="53" t="s">
        <v>45</v>
      </c>
      <c r="B38" s="21"/>
      <c r="C38" s="21"/>
      <c r="D38" s="21"/>
      <c r="E38" s="53"/>
      <c r="F38" s="53"/>
      <c r="G38" s="53"/>
      <c r="H38" s="53"/>
      <c r="I38" s="53"/>
      <c r="J38" s="53"/>
      <c r="K38" s="53"/>
      <c r="L38" s="53"/>
      <c r="M38" s="53"/>
      <c r="N38" s="56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>
        <f>SUM(Y40:Y51)</f>
        <v>18264</v>
      </c>
      <c r="Z38" s="53">
        <f t="shared" ref="Z38:AD38" si="37">SUM(Z40:Z51)</f>
        <v>18477</v>
      </c>
      <c r="AA38" s="53">
        <f t="shared" si="37"/>
        <v>18612</v>
      </c>
      <c r="AB38" s="53">
        <f t="shared" si="37"/>
        <v>18937</v>
      </c>
      <c r="AC38" s="53">
        <f t="shared" si="37"/>
        <v>19220</v>
      </c>
      <c r="AD38" s="53">
        <f t="shared" si="37"/>
        <v>20038</v>
      </c>
      <c r="AE38" s="53">
        <f t="shared" ref="AE38:AF38" si="38">SUM(AE40:AE51)</f>
        <v>19829</v>
      </c>
      <c r="AF38" s="53">
        <f t="shared" si="38"/>
        <v>20137</v>
      </c>
      <c r="AG38" s="53">
        <f t="shared" ref="AG38:AH38" si="39">SUM(AG40:AG51)</f>
        <v>20405</v>
      </c>
      <c r="AH38" s="53">
        <f t="shared" si="39"/>
        <v>20797</v>
      </c>
      <c r="AI38" s="136">
        <f t="shared" ref="AI38:AJ38" si="40">SUM(AI40:AI51)</f>
        <v>21121</v>
      </c>
      <c r="AJ38" s="136">
        <f t="shared" si="40"/>
        <v>21441</v>
      </c>
      <c r="AK38" s="136">
        <f t="shared" ref="AK38:AL38" si="41">SUM(AK40:AK51)</f>
        <v>21524</v>
      </c>
      <c r="AL38" s="136">
        <f t="shared" si="41"/>
        <v>22054</v>
      </c>
      <c r="AM38" s="136">
        <f t="shared" ref="AM38:AN38" si="42">SUM(AM40:AM51)</f>
        <v>22343</v>
      </c>
      <c r="AN38" s="136">
        <f t="shared" si="42"/>
        <v>22692</v>
      </c>
    </row>
    <row r="39" spans="1:40">
      <c r="A39" s="50" t="s">
        <v>14</v>
      </c>
      <c r="B39" s="45"/>
      <c r="C39" s="45"/>
      <c r="D39" s="45"/>
      <c r="E39" s="54"/>
      <c r="F39" s="54"/>
      <c r="G39" s="54"/>
      <c r="H39" s="54"/>
      <c r="I39" s="54"/>
      <c r="J39" s="54"/>
      <c r="K39" s="54"/>
      <c r="L39" s="54"/>
      <c r="M39" s="54"/>
      <c r="N39" s="57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>
        <f t="shared" ref="Y39" si="43">(Y38/Y$4)*100</f>
        <v>27.535052012663954</v>
      </c>
      <c r="Z39" s="54">
        <f t="shared" ref="Z39" si="44">(Z38/Z$4)*100</f>
        <v>27.448562727475302</v>
      </c>
      <c r="AA39" s="54">
        <f t="shared" ref="AA39" si="45">(AA38/AA$4)*100</f>
        <v>27.34686081194258</v>
      </c>
      <c r="AB39" s="54">
        <f t="shared" ref="AB39" si="46">(AB38/AB$4)*100</f>
        <v>27.386978277846875</v>
      </c>
      <c r="AC39" s="54">
        <f t="shared" ref="AC39" si="47">(AC38/AC$4)*100</f>
        <v>27.300360785204962</v>
      </c>
      <c r="AD39" s="54">
        <f t="shared" ref="AD39:AE39" si="48">(AD38/AD$4)*100</f>
        <v>27.698602490911352</v>
      </c>
      <c r="AE39" s="54">
        <f t="shared" si="48"/>
        <v>27.103608529250955</v>
      </c>
      <c r="AF39" s="54">
        <f t="shared" ref="AF39:AG39" si="49">(AF38/AF$4)*100</f>
        <v>26.964742430937751</v>
      </c>
      <c r="AG39" s="54">
        <f t="shared" si="49"/>
        <v>26.775755508024197</v>
      </c>
      <c r="AH39" s="54">
        <f t="shared" ref="AH39:AI39" si="50">(AH38/AH$4)*100</f>
        <v>26.751993825572423</v>
      </c>
      <c r="AI39" s="54">
        <f t="shared" si="50"/>
        <v>26.5636201280326</v>
      </c>
      <c r="AJ39" s="54">
        <f t="shared" ref="AJ39" si="51">(AJ38/AJ$4)*100</f>
        <v>26.646699144959236</v>
      </c>
      <c r="AK39" s="54">
        <f t="shared" ref="AK39:AL39" si="52">(AK38/AK$4)*100</f>
        <v>26.319071667013123</v>
      </c>
      <c r="AL39" s="54">
        <f t="shared" si="52"/>
        <v>26.476343685847031</v>
      </c>
      <c r="AM39" s="54">
        <f t="shared" ref="AM39:AN39" si="53">(AM38/AM$4)*100</f>
        <v>26.39144814552327</v>
      </c>
      <c r="AN39" s="54">
        <f t="shared" si="53"/>
        <v>26.369182499564232</v>
      </c>
    </row>
    <row r="40" spans="1:40">
      <c r="A40" s="8" t="s">
        <v>46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4511</v>
      </c>
      <c r="Z40" s="8">
        <v>4530</v>
      </c>
      <c r="AA40" s="8">
        <v>4564</v>
      </c>
      <c r="AB40" s="8">
        <v>4643</v>
      </c>
      <c r="AC40" s="8">
        <v>4580</v>
      </c>
      <c r="AD40" s="8">
        <v>4608</v>
      </c>
      <c r="AE40" s="8">
        <v>4574</v>
      </c>
      <c r="AF40" s="8">
        <v>4617</v>
      </c>
      <c r="AG40" s="12">
        <v>4640</v>
      </c>
      <c r="AH40" s="12">
        <v>4599</v>
      </c>
      <c r="AI40" s="134">
        <v>4561</v>
      </c>
      <c r="AJ40" s="12">
        <v>4558</v>
      </c>
      <c r="AK40" s="12">
        <v>4511</v>
      </c>
      <c r="AL40" s="12">
        <v>4596</v>
      </c>
      <c r="AM40" s="12">
        <v>4609</v>
      </c>
      <c r="AN40" s="12">
        <v>4621</v>
      </c>
    </row>
    <row r="41" spans="1:40">
      <c r="A41" s="8" t="s">
        <v>47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1146</v>
      </c>
      <c r="Z41" s="8">
        <v>1159</v>
      </c>
      <c r="AA41" s="8">
        <v>1172</v>
      </c>
      <c r="AB41" s="8">
        <v>1175</v>
      </c>
      <c r="AC41" s="8">
        <v>1206</v>
      </c>
      <c r="AD41" s="8">
        <v>1225</v>
      </c>
      <c r="AE41" s="8">
        <v>1267</v>
      </c>
      <c r="AF41" s="8">
        <v>1280</v>
      </c>
      <c r="AG41" s="12">
        <v>1311</v>
      </c>
      <c r="AH41" s="12">
        <v>1334</v>
      </c>
      <c r="AI41" s="134">
        <v>1383</v>
      </c>
      <c r="AJ41" s="12">
        <v>1404</v>
      </c>
      <c r="AK41" s="12">
        <v>1395</v>
      </c>
      <c r="AL41" s="12">
        <v>1409</v>
      </c>
      <c r="AM41" s="12">
        <v>1426</v>
      </c>
      <c r="AN41" s="12">
        <v>1436</v>
      </c>
    </row>
    <row r="42" spans="1:40">
      <c r="A42" s="8" t="s">
        <v>48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581</v>
      </c>
      <c r="Z42" s="8">
        <v>562</v>
      </c>
      <c r="AA42" s="8">
        <v>572</v>
      </c>
      <c r="AB42" s="8">
        <v>576</v>
      </c>
      <c r="AC42" s="8">
        <v>583</v>
      </c>
      <c r="AD42" s="8">
        <v>576</v>
      </c>
      <c r="AE42" s="8">
        <v>587</v>
      </c>
      <c r="AF42" s="8">
        <v>586</v>
      </c>
      <c r="AG42" s="12">
        <v>588</v>
      </c>
      <c r="AH42" s="12">
        <v>605</v>
      </c>
      <c r="AI42" s="134">
        <v>608</v>
      </c>
      <c r="AJ42" s="12">
        <v>600</v>
      </c>
      <c r="AK42" s="12">
        <v>603</v>
      </c>
      <c r="AL42" s="12">
        <v>611</v>
      </c>
      <c r="AM42" s="12">
        <v>597</v>
      </c>
      <c r="AN42" s="12">
        <v>609</v>
      </c>
    </row>
    <row r="43" spans="1:40">
      <c r="A43" s="8" t="s">
        <v>49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8"/>
      <c r="M43" s="8"/>
      <c r="N43" s="15"/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703</v>
      </c>
      <c r="Z43" s="8">
        <v>709</v>
      </c>
      <c r="AA43" s="8">
        <v>701</v>
      </c>
      <c r="AB43" s="8">
        <v>686</v>
      </c>
      <c r="AC43" s="8">
        <v>696</v>
      </c>
      <c r="AD43" s="8">
        <v>705</v>
      </c>
      <c r="AE43" s="8">
        <v>697</v>
      </c>
      <c r="AF43" s="8">
        <v>723</v>
      </c>
      <c r="AG43" s="12">
        <v>768</v>
      </c>
      <c r="AH43" s="12">
        <v>809</v>
      </c>
      <c r="AI43" s="134">
        <v>823</v>
      </c>
      <c r="AJ43" s="12">
        <v>834</v>
      </c>
      <c r="AK43" s="12">
        <v>835</v>
      </c>
      <c r="AL43" s="12">
        <v>850</v>
      </c>
      <c r="AM43" s="12">
        <v>866</v>
      </c>
      <c r="AN43" s="12">
        <v>835</v>
      </c>
    </row>
    <row r="44" spans="1:40">
      <c r="A44" s="8" t="s">
        <v>50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2185</v>
      </c>
      <c r="Z44" s="8">
        <v>2234</v>
      </c>
      <c r="AA44" s="8">
        <v>2247</v>
      </c>
      <c r="AB44" s="8">
        <v>2333</v>
      </c>
      <c r="AC44" s="8">
        <v>2434</v>
      </c>
      <c r="AD44" s="8">
        <v>2528</v>
      </c>
      <c r="AE44" s="8">
        <v>2601</v>
      </c>
      <c r="AF44" s="8">
        <v>2686</v>
      </c>
      <c r="AG44" s="12">
        <v>2814</v>
      </c>
      <c r="AH44" s="12">
        <v>3100</v>
      </c>
      <c r="AI44" s="134">
        <v>3322</v>
      </c>
      <c r="AJ44" s="12">
        <v>3524</v>
      </c>
      <c r="AK44" s="12">
        <v>3647</v>
      </c>
      <c r="AL44" s="12">
        <v>3897</v>
      </c>
      <c r="AM44" s="12">
        <v>3872</v>
      </c>
      <c r="AN44" s="12">
        <v>3956</v>
      </c>
    </row>
    <row r="45" spans="1:40">
      <c r="A45" s="8" t="s">
        <v>51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8"/>
      <c r="M45" s="8"/>
      <c r="N45" s="15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1108</v>
      </c>
      <c r="Z45" s="8">
        <v>1103</v>
      </c>
      <c r="AA45" s="8">
        <v>1093</v>
      </c>
      <c r="AB45" s="8">
        <v>1100</v>
      </c>
      <c r="AC45" s="8">
        <v>1134</v>
      </c>
      <c r="AD45" s="8">
        <v>1160</v>
      </c>
      <c r="AE45" s="8">
        <v>1187</v>
      </c>
      <c r="AF45" s="8">
        <v>1180</v>
      </c>
      <c r="AG45" s="12">
        <v>1147</v>
      </c>
      <c r="AH45" s="12">
        <v>1187</v>
      </c>
      <c r="AI45" s="134">
        <v>1194</v>
      </c>
      <c r="AJ45" s="12">
        <v>1196</v>
      </c>
      <c r="AK45" s="12">
        <v>1138</v>
      </c>
      <c r="AL45" s="12">
        <v>1224</v>
      </c>
      <c r="AM45" s="12">
        <v>1320</v>
      </c>
      <c r="AN45" s="12">
        <v>1413</v>
      </c>
    </row>
    <row r="46" spans="1:40">
      <c r="A46" s="8" t="s">
        <v>52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1805</v>
      </c>
      <c r="Z46" s="8">
        <v>1840</v>
      </c>
      <c r="AA46" s="8">
        <v>1864</v>
      </c>
      <c r="AB46" s="8">
        <v>1928</v>
      </c>
      <c r="AC46" s="8">
        <v>1948</v>
      </c>
      <c r="AD46" s="8">
        <v>1975</v>
      </c>
      <c r="AE46" s="8">
        <v>2006</v>
      </c>
      <c r="AF46" s="8">
        <v>2023</v>
      </c>
      <c r="AG46" s="12">
        <v>2053</v>
      </c>
      <c r="AH46" s="12">
        <v>2033</v>
      </c>
      <c r="AI46" s="134">
        <v>2024</v>
      </c>
      <c r="AJ46" s="12">
        <v>2057</v>
      </c>
      <c r="AK46" s="12">
        <v>2114</v>
      </c>
      <c r="AL46" s="12">
        <v>2111</v>
      </c>
      <c r="AM46" s="12">
        <v>2108</v>
      </c>
      <c r="AN46" s="12">
        <v>2133</v>
      </c>
    </row>
    <row r="47" spans="1:40">
      <c r="A47" s="8" t="s">
        <v>53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935</v>
      </c>
      <c r="Z47" s="8">
        <v>951</v>
      </c>
      <c r="AA47" s="8">
        <v>972</v>
      </c>
      <c r="AB47" s="8">
        <v>976</v>
      </c>
      <c r="AC47" s="8">
        <v>980</v>
      </c>
      <c r="AD47" s="8">
        <v>981</v>
      </c>
      <c r="AE47" s="8">
        <v>1020</v>
      </c>
      <c r="AF47" s="8">
        <v>1041</v>
      </c>
      <c r="AG47" s="12">
        <v>1099</v>
      </c>
      <c r="AH47" s="12">
        <v>1109</v>
      </c>
      <c r="AI47" s="134">
        <v>1123</v>
      </c>
      <c r="AJ47" s="12">
        <v>1112</v>
      </c>
      <c r="AK47" s="12">
        <v>1126</v>
      </c>
      <c r="AL47" s="12">
        <v>1124</v>
      </c>
      <c r="AM47" s="12">
        <v>1159</v>
      </c>
      <c r="AN47" s="12">
        <v>1162</v>
      </c>
    </row>
    <row r="48" spans="1:40">
      <c r="A48" s="8" t="s">
        <v>54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231</v>
      </c>
      <c r="Z48" s="8">
        <v>236</v>
      </c>
      <c r="AA48" s="8">
        <v>242</v>
      </c>
      <c r="AB48" s="8">
        <v>245</v>
      </c>
      <c r="AC48" s="8">
        <v>242</v>
      </c>
      <c r="AD48" s="8">
        <v>241</v>
      </c>
      <c r="AE48" s="8">
        <v>241</v>
      </c>
      <c r="AF48" s="8">
        <v>252</v>
      </c>
      <c r="AG48" s="12">
        <v>257</v>
      </c>
      <c r="AH48" s="12">
        <v>265</v>
      </c>
      <c r="AI48" s="134">
        <v>275</v>
      </c>
      <c r="AJ48" s="12">
        <v>286</v>
      </c>
      <c r="AK48" s="12">
        <v>317</v>
      </c>
      <c r="AL48" s="12">
        <v>324</v>
      </c>
      <c r="AM48" s="12">
        <v>307</v>
      </c>
      <c r="AN48" s="12">
        <v>304</v>
      </c>
    </row>
    <row r="49" spans="1:40">
      <c r="A49" s="8" t="s">
        <v>55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8"/>
      <c r="M49" s="8"/>
      <c r="N49" s="15"/>
      <c r="O49" s="8"/>
      <c r="P49" s="8"/>
      <c r="Q49" s="8"/>
      <c r="R49" s="8"/>
      <c r="S49" s="8"/>
      <c r="T49" s="8"/>
      <c r="U49" s="8"/>
      <c r="V49" s="8"/>
      <c r="W49" s="8"/>
      <c r="X49" s="8"/>
      <c r="Y49" s="8">
        <v>3448</v>
      </c>
      <c r="Z49" s="8">
        <v>3519</v>
      </c>
      <c r="AA49" s="8">
        <v>3554</v>
      </c>
      <c r="AB49" s="8">
        <v>3653</v>
      </c>
      <c r="AC49" s="8">
        <v>3742</v>
      </c>
      <c r="AD49" s="8">
        <v>3866</v>
      </c>
      <c r="AE49" s="8">
        <v>3959</v>
      </c>
      <c r="AF49" s="8">
        <v>4036</v>
      </c>
      <c r="AG49" s="12">
        <v>4014</v>
      </c>
      <c r="AH49" s="12">
        <v>4025</v>
      </c>
      <c r="AI49" s="134">
        <v>4060</v>
      </c>
      <c r="AJ49" s="12">
        <v>4074</v>
      </c>
      <c r="AK49" s="12">
        <v>3929</v>
      </c>
      <c r="AL49" s="12">
        <v>3966</v>
      </c>
      <c r="AM49" s="12">
        <v>4093</v>
      </c>
      <c r="AN49" s="12">
        <v>4224</v>
      </c>
    </row>
    <row r="50" spans="1:40">
      <c r="A50" s="8" t="s">
        <v>56</v>
      </c>
      <c r="B50" s="21"/>
      <c r="C50" s="21"/>
      <c r="D50" s="21"/>
      <c r="E50" s="8"/>
      <c r="F50" s="8"/>
      <c r="G50" s="8"/>
      <c r="H50" s="8"/>
      <c r="I50" s="8"/>
      <c r="J50" s="8"/>
      <c r="K50" s="8"/>
      <c r="L50" s="8"/>
      <c r="M50" s="8"/>
      <c r="N50" s="15"/>
      <c r="O50" s="8"/>
      <c r="P50" s="8"/>
      <c r="Q50" s="8"/>
      <c r="R50" s="8"/>
      <c r="S50" s="8"/>
      <c r="T50" s="8"/>
      <c r="U50" s="8"/>
      <c r="V50" s="8"/>
      <c r="W50" s="8"/>
      <c r="X50" s="8"/>
      <c r="Y50" s="8">
        <v>203</v>
      </c>
      <c r="Z50" s="8">
        <v>205</v>
      </c>
      <c r="AA50" s="8">
        <v>207</v>
      </c>
      <c r="AB50" s="8">
        <v>210</v>
      </c>
      <c r="AC50" s="8">
        <v>209</v>
      </c>
      <c r="AD50" s="8">
        <v>212</v>
      </c>
      <c r="AE50" s="8">
        <v>216</v>
      </c>
      <c r="AF50" s="8">
        <v>213</v>
      </c>
      <c r="AG50" s="12">
        <v>217</v>
      </c>
      <c r="AH50" s="12">
        <v>228</v>
      </c>
      <c r="AI50" s="134">
        <v>234</v>
      </c>
      <c r="AJ50" s="12">
        <v>243</v>
      </c>
      <c r="AK50" s="12">
        <v>249</v>
      </c>
      <c r="AL50" s="12">
        <v>268</v>
      </c>
      <c r="AM50" s="12">
        <v>274</v>
      </c>
      <c r="AN50" s="12">
        <v>288</v>
      </c>
    </row>
    <row r="51" spans="1:40">
      <c r="A51" s="9" t="s">
        <v>57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1408</v>
      </c>
      <c r="Z51" s="9">
        <v>1429</v>
      </c>
      <c r="AA51" s="9">
        <v>1424</v>
      </c>
      <c r="AB51" s="9">
        <v>1412</v>
      </c>
      <c r="AC51" s="9">
        <v>1466</v>
      </c>
      <c r="AD51" s="9">
        <v>1961</v>
      </c>
      <c r="AE51" s="9">
        <v>1474</v>
      </c>
      <c r="AF51" s="9">
        <v>1500</v>
      </c>
      <c r="AG51" s="110">
        <v>1497</v>
      </c>
      <c r="AH51" s="110">
        <v>1503</v>
      </c>
      <c r="AI51" s="135">
        <v>1514</v>
      </c>
      <c r="AJ51" s="110">
        <v>1553</v>
      </c>
      <c r="AK51" s="110">
        <v>1660</v>
      </c>
      <c r="AL51" s="110">
        <v>1674</v>
      </c>
      <c r="AM51" s="12">
        <v>1712</v>
      </c>
      <c r="AN51" s="12">
        <v>1711</v>
      </c>
    </row>
    <row r="52" spans="1:40">
      <c r="A52" s="53" t="s">
        <v>58</v>
      </c>
      <c r="B52" s="21"/>
      <c r="C52" s="21"/>
      <c r="D52" s="21"/>
      <c r="E52" s="53"/>
      <c r="F52" s="53"/>
      <c r="G52" s="53"/>
      <c r="H52" s="53"/>
      <c r="I52" s="53"/>
      <c r="J52" s="53"/>
      <c r="K52" s="53"/>
      <c r="L52" s="53"/>
      <c r="M52" s="53"/>
      <c r="N52" s="56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>
        <f>SUM(Y54:Y62)</f>
        <v>16600</v>
      </c>
      <c r="Z52" s="53">
        <f t="shared" ref="Z52:AD52" si="54">SUM(Z54:Z62)</f>
        <v>16983</v>
      </c>
      <c r="AA52" s="53">
        <f t="shared" si="54"/>
        <v>17150</v>
      </c>
      <c r="AB52" s="53">
        <f t="shared" si="54"/>
        <v>17432</v>
      </c>
      <c r="AC52" s="53">
        <f t="shared" si="54"/>
        <v>17688</v>
      </c>
      <c r="AD52" s="53">
        <f t="shared" si="54"/>
        <v>17988</v>
      </c>
      <c r="AE52" s="53">
        <f t="shared" ref="AE52:AF52" si="55">SUM(AE54:AE62)</f>
        <v>18164</v>
      </c>
      <c r="AF52" s="53">
        <f t="shared" si="55"/>
        <v>18486</v>
      </c>
      <c r="AG52" s="53">
        <f t="shared" ref="AG52:AH52" si="56">SUM(AG54:AG62)</f>
        <v>18766</v>
      </c>
      <c r="AH52" s="53">
        <f t="shared" si="56"/>
        <v>19014</v>
      </c>
      <c r="AI52" s="136">
        <f t="shared" ref="AI52:AJ52" si="57">SUM(AI54:AI62)</f>
        <v>19399</v>
      </c>
      <c r="AJ52" s="136">
        <f t="shared" si="57"/>
        <v>19598</v>
      </c>
      <c r="AK52" s="136">
        <f t="shared" ref="AK52:AL52" si="58">SUM(AK54:AK62)</f>
        <v>19640</v>
      </c>
      <c r="AL52" s="136">
        <f t="shared" si="58"/>
        <v>19999</v>
      </c>
      <c r="AM52" s="136">
        <f t="shared" ref="AM52:AN52" si="59">SUM(AM54:AM62)</f>
        <v>20748</v>
      </c>
      <c r="AN52" s="136">
        <f t="shared" si="59"/>
        <v>20881</v>
      </c>
    </row>
    <row r="53" spans="1:40">
      <c r="A53" s="50" t="s">
        <v>14</v>
      </c>
      <c r="B53" s="45"/>
      <c r="C53" s="45"/>
      <c r="D53" s="45"/>
      <c r="E53" s="54"/>
      <c r="F53" s="54"/>
      <c r="G53" s="54"/>
      <c r="H53" s="54"/>
      <c r="I53" s="54"/>
      <c r="J53" s="54"/>
      <c r="K53" s="54"/>
      <c r="L53" s="54"/>
      <c r="M53" s="54"/>
      <c r="N53" s="57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>
        <f t="shared" ref="Y53" si="60">(Y52/Y$4)*100</f>
        <v>25.026383235338461</v>
      </c>
      <c r="Z53" s="54">
        <f t="shared" ref="Z53" si="61">(Z52/Z$4)*100</f>
        <v>25.229146549803165</v>
      </c>
      <c r="AA53" s="54">
        <f t="shared" ref="AA53" si="62">(AA52/AA$4)*100</f>
        <v>25.198724635977609</v>
      </c>
      <c r="AB53" s="54">
        <f t="shared" ref="AB53" si="63">(AB52/AB$4)*100</f>
        <v>25.210424319555724</v>
      </c>
      <c r="AC53" s="54">
        <f t="shared" ref="AC53" si="64">(AC52/AC$4)*100</f>
        <v>25.124286241868127</v>
      </c>
      <c r="AD53" s="54">
        <f t="shared" ref="AD53:AE53" si="65">(AD52/AD$4)*100</f>
        <v>24.86487980868916</v>
      </c>
      <c r="AE53" s="54">
        <f t="shared" si="65"/>
        <v>24.827774740295244</v>
      </c>
      <c r="AF53" s="54">
        <f t="shared" ref="AF53:AG53" si="66">(AF52/AF$4)*100</f>
        <v>24.75394689270076</v>
      </c>
      <c r="AG53" s="54">
        <f t="shared" si="66"/>
        <v>24.625034445654599</v>
      </c>
      <c r="AH53" s="54">
        <f t="shared" ref="AH53:AI53" si="67">(AH52/AH$4)*100</f>
        <v>24.458451247748908</v>
      </c>
      <c r="AI53" s="54">
        <f t="shared" si="67"/>
        <v>24.397882054055415</v>
      </c>
      <c r="AJ53" s="54">
        <f t="shared" ref="AJ53:AK53" si="68">(AJ52/AJ$4)*100</f>
        <v>24.356233843706502</v>
      </c>
      <c r="AK53" s="54">
        <f t="shared" si="68"/>
        <v>24.01535809051002</v>
      </c>
      <c r="AL53" s="54">
        <f t="shared" ref="AL53:AM53" si="69">(AL52/AL$4)*100</f>
        <v>24.009268040865816</v>
      </c>
      <c r="AM53" s="54">
        <f t="shared" si="69"/>
        <v>24.507441530829198</v>
      </c>
      <c r="AN53" s="54">
        <f t="shared" ref="AN53" si="70">(AN52/AN$4)*100</f>
        <v>24.26471442682006</v>
      </c>
    </row>
    <row r="54" spans="1:40">
      <c r="A54" s="8" t="s">
        <v>59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>
        <v>711</v>
      </c>
      <c r="Z54" s="8">
        <v>717</v>
      </c>
      <c r="AA54" s="8">
        <v>700</v>
      </c>
      <c r="AB54" s="8">
        <v>718</v>
      </c>
      <c r="AC54" s="8">
        <v>721</v>
      </c>
      <c r="AD54" s="8">
        <v>760</v>
      </c>
      <c r="AE54" s="8">
        <v>734</v>
      </c>
      <c r="AF54" s="8">
        <v>763</v>
      </c>
      <c r="AG54" s="12">
        <v>753</v>
      </c>
      <c r="AH54" s="12">
        <v>827</v>
      </c>
      <c r="AI54" s="134">
        <v>949</v>
      </c>
      <c r="AJ54" s="12">
        <v>1032</v>
      </c>
      <c r="AK54" s="12">
        <v>1143</v>
      </c>
      <c r="AL54" s="12">
        <v>1208</v>
      </c>
      <c r="AM54" s="12">
        <v>1194</v>
      </c>
      <c r="AN54" s="12">
        <v>1258</v>
      </c>
    </row>
    <row r="55" spans="1:40">
      <c r="A55" s="8" t="s">
        <v>60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8"/>
      <c r="M55" s="8"/>
      <c r="N55" s="1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I55"/>
    </row>
    <row r="56" spans="1:40">
      <c r="A56" s="8" t="s">
        <v>61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2458</v>
      </c>
      <c r="Z56" s="8">
        <v>2483</v>
      </c>
      <c r="AA56" s="8">
        <v>2544</v>
      </c>
      <c r="AB56" s="8">
        <v>2572</v>
      </c>
      <c r="AC56" s="8">
        <v>2580</v>
      </c>
      <c r="AD56" s="8">
        <v>2627</v>
      </c>
      <c r="AE56" s="8">
        <v>2709</v>
      </c>
      <c r="AF56" s="8">
        <v>2750</v>
      </c>
      <c r="AG56" s="12">
        <v>2754</v>
      </c>
      <c r="AH56" s="12">
        <v>2747</v>
      </c>
      <c r="AI56" s="134">
        <v>2730</v>
      </c>
      <c r="AJ56" s="12">
        <v>2741</v>
      </c>
      <c r="AK56" s="12">
        <v>2807</v>
      </c>
      <c r="AL56" s="12">
        <v>2812</v>
      </c>
      <c r="AM56" s="12">
        <v>2901</v>
      </c>
      <c r="AN56" s="12">
        <v>2902</v>
      </c>
    </row>
    <row r="57" spans="1:40">
      <c r="A57" s="8" t="s">
        <v>62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296</v>
      </c>
      <c r="AA57" s="8">
        <v>316</v>
      </c>
      <c r="AB57" s="8">
        <v>316</v>
      </c>
      <c r="AC57" s="8">
        <v>319</v>
      </c>
      <c r="AD57" s="8">
        <v>343</v>
      </c>
      <c r="AE57" s="8">
        <v>350</v>
      </c>
      <c r="AF57" s="8">
        <v>371</v>
      </c>
      <c r="AG57" s="12">
        <v>395</v>
      </c>
      <c r="AH57" s="12">
        <v>365</v>
      </c>
      <c r="AI57" s="134">
        <v>367</v>
      </c>
      <c r="AJ57" s="12">
        <v>370</v>
      </c>
      <c r="AK57" s="12">
        <v>365</v>
      </c>
      <c r="AL57" s="12">
        <v>388</v>
      </c>
      <c r="AM57" s="12">
        <v>410</v>
      </c>
      <c r="AN57" s="12">
        <v>400</v>
      </c>
    </row>
    <row r="58" spans="1:40">
      <c r="A58" s="8" t="s">
        <v>63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1331</v>
      </c>
      <c r="Z58" s="8">
        <v>1343</v>
      </c>
      <c r="AA58" s="8">
        <v>1367</v>
      </c>
      <c r="AB58" s="8">
        <v>1382</v>
      </c>
      <c r="AC58" s="8">
        <v>1419</v>
      </c>
      <c r="AD58" s="8">
        <v>1448</v>
      </c>
      <c r="AE58" s="8">
        <v>1420</v>
      </c>
      <c r="AF58" s="8">
        <v>1391</v>
      </c>
      <c r="AG58" s="12">
        <v>1402</v>
      </c>
      <c r="AH58" s="12">
        <v>1418</v>
      </c>
      <c r="AI58" s="134">
        <v>1510</v>
      </c>
      <c r="AJ58" s="12">
        <v>1632</v>
      </c>
      <c r="AK58" s="12">
        <v>1685</v>
      </c>
      <c r="AL58" s="12">
        <v>1798</v>
      </c>
      <c r="AM58" s="12">
        <v>1947</v>
      </c>
      <c r="AN58" s="12">
        <v>2063</v>
      </c>
    </row>
    <row r="59" spans="1:40">
      <c r="A59" s="8" t="s">
        <v>64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8"/>
      <c r="M59" s="8"/>
      <c r="N59" s="15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7004</v>
      </c>
      <c r="Z59" s="8">
        <v>6995</v>
      </c>
      <c r="AA59" s="8">
        <v>7007</v>
      </c>
      <c r="AB59" s="8">
        <v>7130</v>
      </c>
      <c r="AC59" s="8">
        <v>7211</v>
      </c>
      <c r="AD59" s="8">
        <v>7257</v>
      </c>
      <c r="AE59" s="8">
        <v>7335</v>
      </c>
      <c r="AF59" s="8">
        <v>7478</v>
      </c>
      <c r="AG59" s="12">
        <v>7576</v>
      </c>
      <c r="AH59" s="12">
        <v>7618</v>
      </c>
      <c r="AI59" s="134">
        <v>7668</v>
      </c>
      <c r="AJ59" s="12">
        <v>7682</v>
      </c>
      <c r="AK59" s="12">
        <v>7380</v>
      </c>
      <c r="AL59" s="12">
        <v>7520</v>
      </c>
      <c r="AM59" s="12">
        <v>8013</v>
      </c>
      <c r="AN59" s="12">
        <v>7895</v>
      </c>
    </row>
    <row r="60" spans="1:40">
      <c r="A60" s="8" t="s">
        <v>65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4364</v>
      </c>
      <c r="Z60" s="8">
        <v>4391</v>
      </c>
      <c r="AA60" s="8">
        <v>4446</v>
      </c>
      <c r="AB60" s="8">
        <v>4512</v>
      </c>
      <c r="AC60" s="8">
        <v>4573</v>
      </c>
      <c r="AD60" s="8">
        <v>4682</v>
      </c>
      <c r="AE60" s="8">
        <v>4756</v>
      </c>
      <c r="AF60" s="8">
        <v>4873</v>
      </c>
      <c r="AG60" s="12">
        <v>4992</v>
      </c>
      <c r="AH60" s="12">
        <v>5116</v>
      </c>
      <c r="AI60" s="134">
        <v>5204</v>
      </c>
      <c r="AJ60" s="12">
        <v>5135</v>
      </c>
      <c r="AK60" s="12">
        <v>5386</v>
      </c>
      <c r="AL60" s="12">
        <v>5385</v>
      </c>
      <c r="AM60" s="12">
        <v>5218</v>
      </c>
      <c r="AN60" s="12">
        <v>5280</v>
      </c>
    </row>
    <row r="61" spans="1:40">
      <c r="A61" s="8" t="s">
        <v>66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8"/>
      <c r="M61" s="8"/>
      <c r="N61" s="15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329</v>
      </c>
      <c r="Z61" s="8">
        <v>344</v>
      </c>
      <c r="AA61" s="8">
        <v>359</v>
      </c>
      <c r="AB61" s="8">
        <v>371</v>
      </c>
      <c r="AC61" s="8">
        <v>407</v>
      </c>
      <c r="AD61" s="8">
        <v>413</v>
      </c>
      <c r="AE61" s="8">
        <v>411</v>
      </c>
      <c r="AF61" s="8">
        <v>417</v>
      </c>
      <c r="AG61" s="12">
        <v>460</v>
      </c>
      <c r="AH61" s="12">
        <v>466</v>
      </c>
      <c r="AI61" s="134">
        <v>505</v>
      </c>
      <c r="AJ61" s="12">
        <v>542</v>
      </c>
      <c r="AK61" s="12">
        <v>405</v>
      </c>
      <c r="AL61" s="12">
        <v>421</v>
      </c>
      <c r="AM61" s="12">
        <v>592</v>
      </c>
      <c r="AN61" s="12">
        <v>597</v>
      </c>
    </row>
    <row r="62" spans="1:40">
      <c r="A62" s="9" t="s">
        <v>67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9"/>
      <c r="M62" s="9"/>
      <c r="N62" s="16"/>
      <c r="O62" s="9"/>
      <c r="P62" s="9"/>
      <c r="Q62" s="9"/>
      <c r="R62" s="9"/>
      <c r="S62" s="9"/>
      <c r="T62" s="9"/>
      <c r="U62" s="9"/>
      <c r="V62" s="9"/>
      <c r="W62" s="9"/>
      <c r="X62" s="9"/>
      <c r="Y62" s="9">
        <v>403</v>
      </c>
      <c r="Z62" s="9">
        <v>414</v>
      </c>
      <c r="AA62" s="9">
        <v>411</v>
      </c>
      <c r="AB62" s="9">
        <v>431</v>
      </c>
      <c r="AC62" s="9">
        <v>458</v>
      </c>
      <c r="AD62" s="9">
        <v>458</v>
      </c>
      <c r="AE62" s="9">
        <v>449</v>
      </c>
      <c r="AF62" s="9">
        <v>443</v>
      </c>
      <c r="AG62" s="110">
        <v>434</v>
      </c>
      <c r="AH62" s="110">
        <v>457</v>
      </c>
      <c r="AI62" s="135">
        <v>466</v>
      </c>
      <c r="AJ62" s="110">
        <v>464</v>
      </c>
      <c r="AK62" s="110">
        <v>469</v>
      </c>
      <c r="AL62" s="110">
        <v>467</v>
      </c>
      <c r="AM62" s="12">
        <v>473</v>
      </c>
      <c r="AN62" s="12">
        <v>486</v>
      </c>
    </row>
    <row r="63" spans="1:40">
      <c r="A63" s="51" t="s">
        <v>68</v>
      </c>
      <c r="B63" s="7"/>
      <c r="C63" s="7"/>
      <c r="D63" s="7"/>
      <c r="E63" s="9"/>
      <c r="F63" s="51"/>
      <c r="G63" s="51"/>
      <c r="H63" s="51"/>
      <c r="I63" s="51"/>
      <c r="J63" s="51"/>
      <c r="K63" s="51"/>
      <c r="L63" s="51"/>
      <c r="M63" s="51"/>
      <c r="N63" s="58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>
        <v>1793</v>
      </c>
      <c r="Z63" s="51">
        <v>1860</v>
      </c>
      <c r="AA63" s="51">
        <v>1875</v>
      </c>
      <c r="AB63" s="51">
        <v>1936</v>
      </c>
      <c r="AC63" s="51">
        <v>1954</v>
      </c>
      <c r="AD63" s="51">
        <v>1961</v>
      </c>
      <c r="AE63" s="51">
        <v>1961</v>
      </c>
      <c r="AF63" s="51">
        <v>1977</v>
      </c>
      <c r="AG63" s="110">
        <v>1965</v>
      </c>
      <c r="AH63" s="110">
        <v>1966</v>
      </c>
      <c r="AI63" s="137">
        <v>1963</v>
      </c>
      <c r="AJ63" s="110">
        <v>1952</v>
      </c>
      <c r="AK63" s="110">
        <v>1962</v>
      </c>
      <c r="AL63" s="110">
        <v>1933</v>
      </c>
      <c r="AM63" s="117">
        <v>1957</v>
      </c>
      <c r="AN63" s="117">
        <v>2025</v>
      </c>
    </row>
    <row r="64" spans="1:40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40" ht="261" customHeight="1">
      <c r="C65" s="59" t="s">
        <v>114</v>
      </c>
      <c r="D65" s="59" t="s">
        <v>115</v>
      </c>
      <c r="E65" s="59" t="s">
        <v>116</v>
      </c>
      <c r="F65" s="59" t="s">
        <v>117</v>
      </c>
      <c r="G65" s="59" t="s">
        <v>118</v>
      </c>
      <c r="H65" s="59" t="s">
        <v>119</v>
      </c>
      <c r="I65" s="59" t="s">
        <v>120</v>
      </c>
      <c r="J65" s="59" t="s">
        <v>121</v>
      </c>
      <c r="K65" s="59" t="s">
        <v>122</v>
      </c>
      <c r="L65" s="59" t="s">
        <v>123</v>
      </c>
      <c r="M65" s="59" t="s">
        <v>124</v>
      </c>
      <c r="N65" s="59" t="s">
        <v>125</v>
      </c>
      <c r="O65" s="59" t="s">
        <v>126</v>
      </c>
      <c r="P65" s="59" t="s">
        <v>127</v>
      </c>
      <c r="Q65" s="59" t="s">
        <v>128</v>
      </c>
      <c r="R65" s="59" t="s">
        <v>129</v>
      </c>
      <c r="S65" s="59" t="s">
        <v>130</v>
      </c>
      <c r="T65" s="59" t="s">
        <v>131</v>
      </c>
      <c r="U65" s="59" t="s">
        <v>132</v>
      </c>
      <c r="V65" s="59" t="s">
        <v>133</v>
      </c>
      <c r="W65" s="59" t="s">
        <v>134</v>
      </c>
      <c r="X65" s="59" t="s">
        <v>135</v>
      </c>
      <c r="Y65" s="59" t="s">
        <v>136</v>
      </c>
      <c r="Z65" s="59" t="s">
        <v>137</v>
      </c>
      <c r="AA65" s="59" t="s">
        <v>138</v>
      </c>
      <c r="AB65" s="59" t="s">
        <v>139</v>
      </c>
      <c r="AC65" s="59" t="s">
        <v>140</v>
      </c>
      <c r="AD65" s="59" t="s">
        <v>141</v>
      </c>
      <c r="AE65" s="59" t="s">
        <v>142</v>
      </c>
      <c r="AF65" s="59" t="s">
        <v>143</v>
      </c>
      <c r="AG65" s="59" t="s">
        <v>144</v>
      </c>
      <c r="AH65" s="59" t="s">
        <v>145</v>
      </c>
      <c r="AI65" s="59" t="s">
        <v>146</v>
      </c>
      <c r="AJ65" s="59" t="s">
        <v>147</v>
      </c>
      <c r="AK65" s="59" t="s">
        <v>148</v>
      </c>
      <c r="AL65" s="59"/>
      <c r="AM65" s="59" t="s">
        <v>149</v>
      </c>
      <c r="AN65" s="59" t="s">
        <v>150</v>
      </c>
    </row>
    <row r="66" spans="1:40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B66" s="60"/>
    </row>
    <row r="67" spans="1:40">
      <c r="A67" s="47"/>
      <c r="B67" s="47"/>
      <c r="C67" s="47"/>
      <c r="D67" s="6"/>
      <c r="E67" s="47"/>
      <c r="F67" s="6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40">
      <c r="A68" s="47"/>
      <c r="B68" s="47"/>
      <c r="C68" s="47"/>
      <c r="D68" s="6"/>
      <c r="E68" s="47"/>
      <c r="F68" s="6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40">
      <c r="A69" s="47"/>
      <c r="B69" s="47"/>
      <c r="C69" s="47"/>
      <c r="D69" s="6"/>
      <c r="E69" s="47"/>
      <c r="F69" s="6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40">
      <c r="A70" s="47"/>
      <c r="B70" s="47"/>
      <c r="C70" s="47"/>
      <c r="D70" s="6"/>
      <c r="E70" s="47"/>
      <c r="F70" s="6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40">
      <c r="A71" s="47"/>
      <c r="B71" s="47"/>
      <c r="C71" s="47"/>
      <c r="D71" s="6"/>
      <c r="E71" s="47"/>
      <c r="F71" s="6"/>
      <c r="G71" s="38"/>
      <c r="H71" s="38"/>
      <c r="I71" s="38"/>
      <c r="J71" s="38"/>
      <c r="K71" s="38"/>
      <c r="L71" s="38"/>
      <c r="M71" s="38"/>
      <c r="N71" s="38"/>
      <c r="O71" s="38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40">
      <c r="A72" s="47"/>
      <c r="B72" s="47"/>
      <c r="C72" s="47"/>
      <c r="D72" s="6"/>
      <c r="E72" s="47"/>
      <c r="F72" s="6"/>
      <c r="G72" s="6"/>
      <c r="H72" s="6"/>
      <c r="I72" s="6"/>
      <c r="J72" s="6"/>
      <c r="K72" s="6"/>
      <c r="L72" s="6"/>
      <c r="M72" s="6"/>
      <c r="N72" s="6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40">
      <c r="A73" s="47"/>
      <c r="B73" s="47"/>
      <c r="C73" s="47"/>
      <c r="D73" s="6"/>
      <c r="E73" s="47"/>
      <c r="F73" s="6"/>
      <c r="G73" s="6"/>
      <c r="H73" s="6"/>
      <c r="I73" s="6"/>
      <c r="J73" s="6"/>
      <c r="K73" s="6"/>
      <c r="L73" s="6"/>
      <c r="M73" s="6"/>
      <c r="N73" s="6"/>
      <c r="O73" s="47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40">
      <c r="A74" s="47"/>
      <c r="B74" s="47"/>
      <c r="C74" s="47"/>
      <c r="D74" s="6"/>
      <c r="E74" s="47"/>
      <c r="F74" s="6"/>
      <c r="G74" s="6"/>
      <c r="H74" s="6"/>
      <c r="I74" s="6"/>
      <c r="J74" s="6"/>
      <c r="K74" s="6"/>
      <c r="L74" s="6"/>
      <c r="M74" s="6"/>
      <c r="N74" s="6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40">
      <c r="A75" s="47"/>
      <c r="B75" s="38"/>
      <c r="C75" s="47"/>
      <c r="D75" s="6"/>
      <c r="E75" s="47"/>
      <c r="F75" s="6"/>
      <c r="G75" s="6"/>
      <c r="H75" s="6"/>
      <c r="I75" s="6"/>
      <c r="J75" s="6"/>
      <c r="K75" s="6"/>
      <c r="L75" s="6"/>
      <c r="M75" s="6"/>
      <c r="N75" s="6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40">
      <c r="A76" s="47"/>
      <c r="B76" s="47"/>
      <c r="C76" s="47"/>
      <c r="D76" s="25"/>
      <c r="E76" s="47"/>
      <c r="F76" s="47"/>
      <c r="G76" s="6"/>
      <c r="H76" s="6"/>
      <c r="I76" s="6"/>
      <c r="J76" s="6"/>
      <c r="K76" s="6"/>
      <c r="L76" s="6"/>
      <c r="M76" s="6"/>
      <c r="N76" s="6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40">
      <c r="A77" s="47"/>
      <c r="B77" s="47"/>
      <c r="C77" s="47"/>
      <c r="D77" s="25"/>
      <c r="E77" s="38"/>
      <c r="F77" s="47"/>
      <c r="G77" s="6"/>
      <c r="H77" s="6"/>
      <c r="I77" s="6"/>
      <c r="J77" s="6"/>
      <c r="K77" s="6"/>
      <c r="L77" s="6"/>
      <c r="M77" s="6"/>
      <c r="N77" s="6"/>
      <c r="O77" s="47"/>
      <c r="P77" s="47"/>
      <c r="Q77" s="47"/>
      <c r="R77" s="47"/>
      <c r="S77" s="47"/>
      <c r="T77" s="48"/>
      <c r="U77" s="48"/>
      <c r="V77" s="48"/>
      <c r="W77" s="48"/>
      <c r="X77" s="48"/>
      <c r="Y77" s="48"/>
      <c r="Z77" s="48"/>
    </row>
    <row r="78" spans="1:40">
      <c r="A78" s="47"/>
      <c r="B78" s="47"/>
      <c r="C78" s="47"/>
      <c r="D78" s="25"/>
      <c r="E78" s="47"/>
      <c r="F78" s="47"/>
      <c r="G78" s="6"/>
      <c r="H78" s="6"/>
      <c r="I78" s="6"/>
      <c r="J78" s="6"/>
      <c r="K78" s="6"/>
      <c r="L78" s="6"/>
      <c r="M78" s="6"/>
      <c r="N78" s="6"/>
      <c r="O78" s="6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40">
      <c r="A79" s="47"/>
      <c r="B79" s="47"/>
      <c r="C79" s="47"/>
      <c r="D79" s="25"/>
      <c r="E79" s="47"/>
      <c r="F79" s="47"/>
      <c r="G79" s="6"/>
      <c r="H79" s="6"/>
      <c r="I79" s="6"/>
      <c r="J79" s="6"/>
      <c r="K79" s="6"/>
      <c r="L79" s="6"/>
      <c r="M79" s="6"/>
      <c r="N79" s="6"/>
      <c r="O79" s="6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40">
      <c r="A80" s="38"/>
      <c r="B80" s="47"/>
      <c r="C80" s="38"/>
      <c r="D80" s="61"/>
      <c r="E80" s="47"/>
      <c r="F80" s="38"/>
      <c r="G80" s="6"/>
      <c r="H80" s="6"/>
      <c r="I80" s="6"/>
      <c r="J80" s="6"/>
      <c r="K80" s="6"/>
      <c r="L80" s="6"/>
      <c r="M80" s="6"/>
      <c r="N80" s="6"/>
      <c r="O80" s="6"/>
      <c r="P80" s="6"/>
      <c r="R80" s="47"/>
      <c r="S80" s="62"/>
    </row>
    <row r="81" spans="1:19">
      <c r="A81" s="47"/>
      <c r="B81" s="47"/>
      <c r="C81" s="47"/>
      <c r="D81" s="6"/>
      <c r="E81" s="4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7"/>
      <c r="S81" s="62"/>
    </row>
    <row r="82" spans="1:19">
      <c r="A82" s="47"/>
      <c r="B82" s="47"/>
      <c r="C82" s="47"/>
      <c r="D82" s="6"/>
      <c r="E82" s="4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7"/>
      <c r="S82" s="62"/>
    </row>
    <row r="83" spans="1:19">
      <c r="A83" s="47"/>
      <c r="B83" s="47"/>
      <c r="C83" s="47"/>
      <c r="D83" s="6"/>
      <c r="E83" s="4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47"/>
      <c r="S83" s="62"/>
    </row>
    <row r="84" spans="1:19">
      <c r="A84" s="47"/>
      <c r="B84" s="47"/>
      <c r="C84" s="47"/>
      <c r="D84" s="6"/>
      <c r="E84" s="4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47"/>
      <c r="S84" s="62"/>
    </row>
    <row r="85" spans="1:19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2"/>
      <c r="S85" s="62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62"/>
  </sheetPr>
  <dimension ref="A1:AN145"/>
  <sheetViews>
    <sheetView zoomScale="90" zoomScaleNormal="90"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N63" sqref="AN63"/>
    </sheetView>
  </sheetViews>
  <sheetFormatPr defaultColWidth="9.1796875" defaultRowHeight="12.5"/>
  <cols>
    <col min="1" max="1" width="20.54296875" style="12" customWidth="1"/>
    <col min="2" max="16" width="8.7265625" style="12" customWidth="1"/>
    <col min="17" max="16384" width="9.1796875" style="12"/>
  </cols>
  <sheetData>
    <row r="1" spans="1:40" ht="13">
      <c r="A1" s="39"/>
      <c r="B1" s="39" t="s">
        <v>151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0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40" ht="13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1" t="s">
        <v>74</v>
      </c>
      <c r="O2" s="6"/>
      <c r="P2" s="6"/>
      <c r="Q2" s="6"/>
      <c r="R2" s="6"/>
      <c r="AG2" s="110"/>
      <c r="AH2" s="110"/>
      <c r="AI2" s="110"/>
      <c r="AJ2" s="110"/>
      <c r="AK2" s="110"/>
      <c r="AL2" s="110"/>
    </row>
    <row r="3" spans="1:40" s="63" customFormat="1">
      <c r="A3" s="42"/>
      <c r="B3" s="37" t="s">
        <v>75</v>
      </c>
      <c r="C3" s="37" t="s">
        <v>76</v>
      </c>
      <c r="D3" s="37" t="s">
        <v>77</v>
      </c>
      <c r="E3" s="37" t="s">
        <v>78</v>
      </c>
      <c r="F3" s="37" t="s">
        <v>79</v>
      </c>
      <c r="G3" s="37" t="s">
        <v>80</v>
      </c>
      <c r="H3" s="37" t="s">
        <v>81</v>
      </c>
      <c r="I3" s="37" t="s">
        <v>82</v>
      </c>
      <c r="J3" s="37" t="s">
        <v>83</v>
      </c>
      <c r="K3" s="37" t="s">
        <v>84</v>
      </c>
      <c r="L3" s="37" t="s">
        <v>85</v>
      </c>
      <c r="M3" s="37" t="s">
        <v>86</v>
      </c>
      <c r="N3" s="43" t="s">
        <v>87</v>
      </c>
      <c r="O3" s="37" t="s">
        <v>88</v>
      </c>
      <c r="P3" s="37" t="s">
        <v>89</v>
      </c>
      <c r="Q3" s="37" t="s">
        <v>90</v>
      </c>
      <c r="R3" s="37" t="s">
        <v>91</v>
      </c>
      <c r="S3" s="37" t="s">
        <v>92</v>
      </c>
      <c r="T3" s="37" t="s">
        <v>93</v>
      </c>
      <c r="U3" s="37" t="s">
        <v>94</v>
      </c>
      <c r="V3" s="37" t="s">
        <v>95</v>
      </c>
      <c r="W3" s="37" t="s">
        <v>96</v>
      </c>
      <c r="X3" s="37" t="s">
        <v>97</v>
      </c>
      <c r="Y3" s="42" t="s">
        <v>98</v>
      </c>
      <c r="Z3" s="42" t="s">
        <v>99</v>
      </c>
      <c r="AA3" s="42" t="s">
        <v>100</v>
      </c>
      <c r="AB3" s="42" t="s">
        <v>101</v>
      </c>
      <c r="AC3" s="42" t="s">
        <v>102</v>
      </c>
      <c r="AD3" s="42" t="s">
        <v>103</v>
      </c>
      <c r="AE3" s="42" t="s">
        <v>104</v>
      </c>
      <c r="AF3" s="42" t="s">
        <v>105</v>
      </c>
      <c r="AG3" s="126" t="s">
        <v>106</v>
      </c>
      <c r="AH3" s="63" t="s">
        <v>107</v>
      </c>
      <c r="AI3" s="63" t="s">
        <v>11</v>
      </c>
      <c r="AJ3" s="63" t="s">
        <v>108</v>
      </c>
      <c r="AK3" s="63" t="s">
        <v>109</v>
      </c>
      <c r="AL3" s="63" t="s">
        <v>110</v>
      </c>
      <c r="AM3" s="113" t="s">
        <v>111</v>
      </c>
      <c r="AN3" s="113" t="s">
        <v>10</v>
      </c>
    </row>
    <row r="4" spans="1:40">
      <c r="A4" s="52" t="s">
        <v>112</v>
      </c>
      <c r="B4" s="7">
        <f>12266+23976+11638</f>
        <v>47880</v>
      </c>
      <c r="C4" s="7">
        <f>11785+23932+11542</f>
        <v>47259</v>
      </c>
      <c r="D4" s="7">
        <f>11516+23507+11735</f>
        <v>46758</v>
      </c>
      <c r="E4" s="52">
        <v>45803</v>
      </c>
      <c r="F4" s="52">
        <f>11141+22616+11223</f>
        <v>44980</v>
      </c>
      <c r="G4" s="52">
        <v>44060</v>
      </c>
      <c r="H4" s="52">
        <v>43203</v>
      </c>
      <c r="I4" s="52">
        <f>10576+21243+10429</f>
        <v>42248</v>
      </c>
      <c r="J4" s="52">
        <f>10345+21039+10196</f>
        <v>41580</v>
      </c>
      <c r="K4" s="52">
        <f>10304+20603+9915</f>
        <v>40822</v>
      </c>
      <c r="L4" s="52">
        <f>10250+20473+9905</f>
        <v>40628</v>
      </c>
      <c r="M4" s="52">
        <f>9901+20521+9614</f>
        <v>40036</v>
      </c>
      <c r="N4" s="55">
        <f>(9877+20157+9682)-(34+38+47+81+76+108+42+37+53)</f>
        <v>39200</v>
      </c>
      <c r="O4" s="52">
        <f>9857+19837+9839-40-33-54-71-75-98-35-44-52</f>
        <v>39031</v>
      </c>
      <c r="P4" s="52">
        <f>9673+19756+9501-37-34-60-75-69-100-35-39-55</f>
        <v>38426</v>
      </c>
      <c r="Q4" s="52">
        <f>9636+19569+9290-38-33-59-73-60-113-39-36-46</f>
        <v>37998</v>
      </c>
      <c r="R4" s="52">
        <f>9519+19353+9429-40-38-63-72-65-113-37-31-54</f>
        <v>37788</v>
      </c>
      <c r="S4" s="52">
        <f>(9340+19173+9271)-(39+37+58+76+70+115+39+29+57)</f>
        <v>37264</v>
      </c>
      <c r="T4" s="52">
        <f>(9131+19093+9112)-(40+30+55+74+70+112+37+32+55)</f>
        <v>36831</v>
      </c>
      <c r="U4" s="52">
        <f>(9074+18582+9063)-(36+33+58+72+66+107+36+30+56)</f>
        <v>36225</v>
      </c>
      <c r="V4" s="52">
        <f>(8847+18278+8840)-(45+34+45+62+57+114+38+31+53)</f>
        <v>35486</v>
      </c>
      <c r="W4" s="52">
        <f>8710+18064+8613-36-36-46-72-63-99-30-28-52</f>
        <v>34925</v>
      </c>
      <c r="X4" s="52">
        <f>(8590+17777+8653)-(114+233+116)</f>
        <v>34557</v>
      </c>
      <c r="Y4" s="49">
        <f>+Y5+Y23+Y38+Y52+Y63</f>
        <v>34100</v>
      </c>
      <c r="Z4" s="49">
        <f t="shared" ref="Z4:AD4" si="0">+Z5+Z23+Z38+Z52+Z63</f>
        <v>34374</v>
      </c>
      <c r="AA4" s="49">
        <f t="shared" si="0"/>
        <v>34896</v>
      </c>
      <c r="AB4" s="49">
        <f t="shared" si="0"/>
        <v>35634</v>
      </c>
      <c r="AC4" s="49">
        <f t="shared" si="0"/>
        <v>36490</v>
      </c>
      <c r="AD4" s="49">
        <f t="shared" si="0"/>
        <v>37614</v>
      </c>
      <c r="AE4" s="49">
        <f t="shared" ref="AE4:AF4" si="1">+AE5+AE23+AE38+AE52+AE63</f>
        <v>38329</v>
      </c>
      <c r="AF4" s="49">
        <f t="shared" si="1"/>
        <v>39270</v>
      </c>
      <c r="AG4" s="49">
        <f t="shared" ref="AG4:AH4" si="2">+AG5+AG23+AG38+AG52+AG63</f>
        <v>40296</v>
      </c>
      <c r="AH4" s="49">
        <f t="shared" si="2"/>
        <v>41158</v>
      </c>
      <c r="AI4" s="49">
        <f t="shared" ref="AI4:AJ4" si="3">+AI5+AI23+AI38+AI52+AI63</f>
        <v>41917</v>
      </c>
      <c r="AJ4" s="49">
        <f t="shared" si="3"/>
        <v>42424</v>
      </c>
      <c r="AK4" s="49">
        <f t="shared" ref="AK4:AL4" si="4">+AK5+AK23+AK38+AK52+AK63</f>
        <v>42376</v>
      </c>
      <c r="AL4" s="49">
        <f t="shared" si="4"/>
        <v>42593</v>
      </c>
      <c r="AM4" s="49">
        <f t="shared" ref="AM4:AN4" si="5">+AM5+AM23+AM38+AM52+AM63</f>
        <v>42404</v>
      </c>
      <c r="AN4" s="49">
        <f t="shared" si="5"/>
        <v>42087</v>
      </c>
    </row>
    <row r="5" spans="1:40">
      <c r="A5" s="53" t="s">
        <v>113</v>
      </c>
      <c r="B5" s="44">
        <f>SUM(B7:B22)</f>
        <v>15245</v>
      </c>
      <c r="C5" s="44">
        <f t="shared" ref="C5:AD5" si="6">SUM(C7:C22)</f>
        <v>15385</v>
      </c>
      <c r="D5" s="44">
        <f t="shared" si="6"/>
        <v>15289</v>
      </c>
      <c r="E5" s="53">
        <f t="shared" si="6"/>
        <v>14893</v>
      </c>
      <c r="F5" s="53">
        <f t="shared" si="6"/>
        <v>14577</v>
      </c>
      <c r="G5" s="53">
        <f t="shared" si="6"/>
        <v>14291</v>
      </c>
      <c r="H5" s="53">
        <f t="shared" si="6"/>
        <v>14053</v>
      </c>
      <c r="I5" s="53">
        <f t="shared" si="6"/>
        <v>13724</v>
      </c>
      <c r="J5" s="53">
        <f t="shared" si="6"/>
        <v>13449</v>
      </c>
      <c r="K5" s="53">
        <f t="shared" si="6"/>
        <v>13150</v>
      </c>
      <c r="L5" s="53">
        <f t="shared" si="6"/>
        <v>13175</v>
      </c>
      <c r="M5" s="53">
        <f t="shared" si="6"/>
        <v>13084</v>
      </c>
      <c r="N5" s="56">
        <f t="shared" si="6"/>
        <v>12840</v>
      </c>
      <c r="O5" s="53">
        <f t="shared" si="6"/>
        <v>12852</v>
      </c>
      <c r="P5" s="53">
        <f t="shared" si="6"/>
        <v>12666</v>
      </c>
      <c r="Q5" s="53">
        <f t="shared" si="6"/>
        <v>12660</v>
      </c>
      <c r="R5" s="53">
        <f t="shared" si="6"/>
        <v>12645</v>
      </c>
      <c r="S5" s="53">
        <f t="shared" si="6"/>
        <v>12490</v>
      </c>
      <c r="T5" s="53">
        <f t="shared" si="6"/>
        <v>12339</v>
      </c>
      <c r="U5" s="53">
        <f t="shared" si="6"/>
        <v>12046</v>
      </c>
      <c r="V5" s="53">
        <f t="shared" si="6"/>
        <v>11824</v>
      </c>
      <c r="W5" s="53">
        <f t="shared" si="6"/>
        <v>11483</v>
      </c>
      <c r="X5" s="53">
        <f t="shared" si="6"/>
        <v>11448</v>
      </c>
      <c r="Y5" s="53">
        <f t="shared" si="6"/>
        <v>11506</v>
      </c>
      <c r="Z5" s="53">
        <f t="shared" si="6"/>
        <v>11703</v>
      </c>
      <c r="AA5" s="53">
        <f t="shared" si="6"/>
        <v>12003</v>
      </c>
      <c r="AB5" s="53">
        <f t="shared" si="6"/>
        <v>12268</v>
      </c>
      <c r="AC5" s="53">
        <f t="shared" si="6"/>
        <v>12606</v>
      </c>
      <c r="AD5" s="53">
        <f t="shared" si="6"/>
        <v>13008</v>
      </c>
      <c r="AE5" s="53">
        <f t="shared" ref="AE5:AF5" si="7">SUM(AE7:AE22)</f>
        <v>13413</v>
      </c>
      <c r="AF5" s="53">
        <f t="shared" si="7"/>
        <v>13819</v>
      </c>
      <c r="AG5" s="53">
        <f t="shared" ref="AG5:AH5" si="8">SUM(AG7:AG22)</f>
        <v>14507</v>
      </c>
      <c r="AH5" s="53">
        <f t="shared" si="8"/>
        <v>14858</v>
      </c>
      <c r="AI5" s="53">
        <f t="shared" ref="AI5:AJ5" si="9">SUM(AI7:AI22)</f>
        <v>15243</v>
      </c>
      <c r="AJ5" s="53">
        <f t="shared" si="9"/>
        <v>15348</v>
      </c>
      <c r="AK5" s="53">
        <f t="shared" ref="AK5:AL5" si="10">SUM(AK7:AK22)</f>
        <v>15451</v>
      </c>
      <c r="AL5" s="53">
        <f t="shared" si="10"/>
        <v>15328</v>
      </c>
      <c r="AM5" s="53">
        <f t="shared" ref="AM5:AN5" si="11">SUM(AM7:AM22)</f>
        <v>15042</v>
      </c>
      <c r="AN5" s="53">
        <f t="shared" si="11"/>
        <v>14715</v>
      </c>
    </row>
    <row r="6" spans="1:40">
      <c r="A6" s="50" t="s">
        <v>14</v>
      </c>
      <c r="B6" s="45">
        <f>(B5/B$4)*100</f>
        <v>31.840016708437762</v>
      </c>
      <c r="C6" s="45">
        <f t="shared" ref="C6:AD6" si="12">(C5/C$4)*100</f>
        <v>32.554645675955904</v>
      </c>
      <c r="D6" s="45">
        <f t="shared" si="12"/>
        <v>32.698147910517989</v>
      </c>
      <c r="E6" s="54">
        <f t="shared" si="12"/>
        <v>32.515337423312886</v>
      </c>
      <c r="F6" s="54">
        <f t="shared" si="12"/>
        <v>32.40773677189862</v>
      </c>
      <c r="G6" s="54">
        <f t="shared" si="12"/>
        <v>32.43531547889242</v>
      </c>
      <c r="H6" s="54">
        <f t="shared" si="12"/>
        <v>32.527833715251255</v>
      </c>
      <c r="I6" s="54">
        <f t="shared" si="12"/>
        <v>32.484377958719939</v>
      </c>
      <c r="J6" s="54">
        <f t="shared" si="12"/>
        <v>32.344877344877347</v>
      </c>
      <c r="K6" s="54">
        <f t="shared" si="12"/>
        <v>32.213022389887804</v>
      </c>
      <c r="L6" s="54">
        <f t="shared" si="12"/>
        <v>32.42837452003544</v>
      </c>
      <c r="M6" s="54">
        <f t="shared" si="12"/>
        <v>32.68058747127585</v>
      </c>
      <c r="N6" s="57">
        <f t="shared" si="12"/>
        <v>32.755102040816325</v>
      </c>
      <c r="O6" s="54">
        <f t="shared" si="12"/>
        <v>32.927672875406728</v>
      </c>
      <c r="P6" s="54">
        <f t="shared" si="12"/>
        <v>32.962056940613124</v>
      </c>
      <c r="Q6" s="54">
        <f t="shared" si="12"/>
        <v>33.317543028580452</v>
      </c>
      <c r="R6" s="54">
        <f t="shared" si="12"/>
        <v>33.463004128294699</v>
      </c>
      <c r="S6" s="54">
        <f t="shared" si="12"/>
        <v>33.517604121940749</v>
      </c>
      <c r="T6" s="54">
        <f t="shared" si="12"/>
        <v>33.501669789036406</v>
      </c>
      <c r="U6" s="54">
        <f t="shared" si="12"/>
        <v>33.253278122843341</v>
      </c>
      <c r="V6" s="54">
        <f t="shared" si="12"/>
        <v>33.320182607225384</v>
      </c>
      <c r="W6" s="54">
        <f t="shared" si="12"/>
        <v>32.879026485325696</v>
      </c>
      <c r="X6" s="54">
        <f t="shared" si="12"/>
        <v>33.127875683653095</v>
      </c>
      <c r="Y6" s="54">
        <f t="shared" si="12"/>
        <v>33.741935483870968</v>
      </c>
      <c r="Z6" s="54">
        <f t="shared" si="12"/>
        <v>34.046081340548092</v>
      </c>
      <c r="AA6" s="54">
        <f t="shared" si="12"/>
        <v>34.396492434663003</v>
      </c>
      <c r="AB6" s="54">
        <f t="shared" si="12"/>
        <v>34.427793680193076</v>
      </c>
      <c r="AC6" s="54">
        <f t="shared" si="12"/>
        <v>34.546451082488353</v>
      </c>
      <c r="AD6" s="54">
        <f t="shared" si="12"/>
        <v>34.582868081033659</v>
      </c>
      <c r="AE6" s="54">
        <f t="shared" ref="AE6:AF6" si="13">(AE5/AE$4)*100</f>
        <v>34.994390670249679</v>
      </c>
      <c r="AF6" s="54">
        <f t="shared" si="13"/>
        <v>35.189712248535777</v>
      </c>
      <c r="AG6" s="54">
        <f t="shared" ref="AG6:AH6" si="14">(AG5/AG$4)*100</f>
        <v>36.001091919793524</v>
      </c>
      <c r="AH6" s="54">
        <f t="shared" si="14"/>
        <v>36.099907672870401</v>
      </c>
      <c r="AI6" s="54">
        <f t="shared" ref="AI6:AJ6" si="15">(AI5/AI$4)*100</f>
        <v>36.364720757687813</v>
      </c>
      <c r="AJ6" s="54">
        <f t="shared" si="15"/>
        <v>36.177635300773147</v>
      </c>
      <c r="AK6" s="54">
        <f t="shared" ref="AK6:AL6" si="16">(AK5/AK$4)*100</f>
        <v>36.46167642061544</v>
      </c>
      <c r="AL6" s="54">
        <f t="shared" si="16"/>
        <v>35.987134036109218</v>
      </c>
      <c r="AM6" s="54">
        <f t="shared" ref="AM6:AN6" si="17">(AM5/AM$4)*100</f>
        <v>35.473068578435999</v>
      </c>
      <c r="AN6" s="54">
        <f t="shared" si="17"/>
        <v>34.963290327179415</v>
      </c>
    </row>
    <row r="7" spans="1:40">
      <c r="A7" s="8" t="s">
        <v>15</v>
      </c>
      <c r="B7" s="21">
        <f>137+273+147+53+111+49</f>
        <v>770</v>
      </c>
      <c r="C7" s="21">
        <f>110+252+133+53+106+56</f>
        <v>710</v>
      </c>
      <c r="D7" s="21">
        <f>120+237+123+51+107+52</f>
        <v>690</v>
      </c>
      <c r="E7" s="8">
        <v>677</v>
      </c>
      <c r="F7" s="8">
        <f>118+237+110+34+97+52</f>
        <v>648</v>
      </c>
      <c r="G7" s="8">
        <v>643</v>
      </c>
      <c r="H7" s="8">
        <v>630</v>
      </c>
      <c r="I7" s="8">
        <f>115+41+239+80+108+29</f>
        <v>612</v>
      </c>
      <c r="J7" s="8">
        <f>126+245+111+40+81+36</f>
        <v>639</v>
      </c>
      <c r="K7" s="8">
        <f>121+244+111+42+71+40</f>
        <v>629</v>
      </c>
      <c r="L7" s="8">
        <f>115+241+105+45+83+35</f>
        <v>624</v>
      </c>
      <c r="M7" s="8">
        <f>120+239+122+39+90+37</f>
        <v>647</v>
      </c>
      <c r="N7" s="15">
        <f>118+240+111+46+78+45</f>
        <v>638</v>
      </c>
      <c r="O7" s="8">
        <f>107+245+110+40+80+41</f>
        <v>623</v>
      </c>
      <c r="P7" s="8">
        <f>102+241+105+42+84+35</f>
        <v>609</v>
      </c>
      <c r="Q7" s="8">
        <f>118+225+110+43+82+44</f>
        <v>622</v>
      </c>
      <c r="R7" s="8">
        <f>106+39+243+78+98+39</f>
        <v>603</v>
      </c>
      <c r="S7" s="8">
        <f>102+38+248+82+98+38</f>
        <v>606</v>
      </c>
      <c r="T7" s="8">
        <f>99+27+237+80+113+39</f>
        <v>595</v>
      </c>
      <c r="U7" s="8">
        <f>98+41+239+63+90+39</f>
        <v>570</v>
      </c>
      <c r="V7" s="8">
        <f>85+228+98+36+63+35</f>
        <v>545</v>
      </c>
      <c r="W7" s="8">
        <f>97+40+218+74+92+24</f>
        <v>545</v>
      </c>
      <c r="X7" s="8">
        <f>97+30+215+73+99+38</f>
        <v>552</v>
      </c>
      <c r="Y7" s="8">
        <v>547</v>
      </c>
      <c r="Z7" s="8">
        <v>542</v>
      </c>
      <c r="AA7" s="8">
        <v>549</v>
      </c>
      <c r="AB7" s="8">
        <v>585</v>
      </c>
      <c r="AC7" s="8">
        <v>576</v>
      </c>
      <c r="AD7" s="8">
        <v>592</v>
      </c>
      <c r="AE7" s="8">
        <f>104+47+231+80+98+40</f>
        <v>600</v>
      </c>
      <c r="AF7" s="8">
        <v>590</v>
      </c>
      <c r="AG7" s="12">
        <v>575</v>
      </c>
      <c r="AH7" s="12">
        <v>582</v>
      </c>
      <c r="AI7" s="139">
        <v>594</v>
      </c>
      <c r="AJ7" s="12">
        <v>581</v>
      </c>
      <c r="AK7" s="12">
        <v>587</v>
      </c>
      <c r="AL7" s="12">
        <v>581</v>
      </c>
      <c r="AM7" s="12">
        <v>586</v>
      </c>
      <c r="AN7" s="12">
        <v>590</v>
      </c>
    </row>
    <row r="8" spans="1:40">
      <c r="A8" s="8" t="s">
        <v>16</v>
      </c>
      <c r="B8" s="21">
        <f>113+223+98</f>
        <v>434</v>
      </c>
      <c r="C8" s="21">
        <f>119+216+103</f>
        <v>438</v>
      </c>
      <c r="D8" s="21">
        <f>112+213+110</f>
        <v>435</v>
      </c>
      <c r="E8" s="8">
        <v>409</v>
      </c>
      <c r="F8" s="8">
        <f>94+194+109</f>
        <v>397</v>
      </c>
      <c r="G8" s="8">
        <v>374</v>
      </c>
      <c r="H8" s="8">
        <v>373</v>
      </c>
      <c r="I8" s="8">
        <f>112+190+76</f>
        <v>378</v>
      </c>
      <c r="J8" s="8">
        <f>99+198+90</f>
        <v>387</v>
      </c>
      <c r="K8" s="8">
        <f>101+194+79</f>
        <v>374</v>
      </c>
      <c r="L8" s="8">
        <f>102+178+95</f>
        <v>375</v>
      </c>
      <c r="M8" s="8">
        <f>96+180+92</f>
        <v>368</v>
      </c>
      <c r="N8" s="15">
        <f>89+185+79</f>
        <v>353</v>
      </c>
      <c r="O8" s="8">
        <f>90+169+90</f>
        <v>349</v>
      </c>
      <c r="P8" s="8">
        <f>87+170+88</f>
        <v>345</v>
      </c>
      <c r="Q8" s="8">
        <f>97+174+73</f>
        <v>344</v>
      </c>
      <c r="R8" s="8">
        <f>108+179+84</f>
        <v>371</v>
      </c>
      <c r="S8" s="8">
        <f>100+194+86</f>
        <v>380</v>
      </c>
      <c r="T8" s="8">
        <f>102+197+89</f>
        <v>388</v>
      </c>
      <c r="U8" s="8">
        <f>95+192+95</f>
        <v>382</v>
      </c>
      <c r="V8" s="8">
        <f>87+183+94</f>
        <v>364</v>
      </c>
      <c r="W8" s="8">
        <f>90+172+86</f>
        <v>348</v>
      </c>
      <c r="X8" s="8">
        <f>84+170+52</f>
        <v>306</v>
      </c>
      <c r="Y8" s="8">
        <v>333</v>
      </c>
      <c r="Z8" s="8">
        <v>336</v>
      </c>
      <c r="AA8" s="8">
        <v>336</v>
      </c>
      <c r="AB8" s="8">
        <v>356</v>
      </c>
      <c r="AC8" s="8">
        <v>369</v>
      </c>
      <c r="AD8" s="8">
        <v>363</v>
      </c>
      <c r="AE8" s="8">
        <f>107+175+95</f>
        <v>377</v>
      </c>
      <c r="AF8" s="8">
        <v>392</v>
      </c>
      <c r="AG8" s="12">
        <v>411</v>
      </c>
      <c r="AH8" s="12">
        <v>442</v>
      </c>
      <c r="AI8" s="139">
        <v>443</v>
      </c>
      <c r="AJ8" s="12">
        <v>437</v>
      </c>
      <c r="AK8" s="12">
        <v>412</v>
      </c>
      <c r="AL8" s="12">
        <v>318</v>
      </c>
      <c r="AM8" s="12">
        <v>381</v>
      </c>
      <c r="AN8" s="12">
        <v>333</v>
      </c>
    </row>
    <row r="9" spans="1:40">
      <c r="A9" s="8" t="s">
        <v>17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I9" s="139"/>
    </row>
    <row r="10" spans="1:40">
      <c r="A10" s="8" t="s">
        <v>18</v>
      </c>
      <c r="B10" s="21">
        <f>88+179+90+146+229+145+82+77+75</f>
        <v>1111</v>
      </c>
      <c r="C10" s="21">
        <f>84+172+82+108+238+147+73+135+8</f>
        <v>1047</v>
      </c>
      <c r="D10" s="21">
        <f>77+169+85+87+243+134+71+140+65</f>
        <v>1071</v>
      </c>
      <c r="E10" s="8">
        <v>1055</v>
      </c>
      <c r="F10" s="8">
        <f>83+159+84+94+222+136+67+132+70</f>
        <v>1047</v>
      </c>
      <c r="G10" s="8">
        <v>1028</v>
      </c>
      <c r="H10" s="8">
        <v>994</v>
      </c>
      <c r="I10" s="8">
        <f>70+92+66+144+203+134+76+114+60</f>
        <v>959</v>
      </c>
      <c r="J10" s="8">
        <f>59+142+68+95+180+110+64+125+68</f>
        <v>911</v>
      </c>
      <c r="K10" s="8">
        <f>65+135+68+80+197+90+65+127+59</f>
        <v>886</v>
      </c>
      <c r="L10" s="8">
        <f>77+123+74+91+187+98+58+128+60</f>
        <v>896</v>
      </c>
      <c r="M10" s="8">
        <f>77+79+65+134+189+118+59+96+61</f>
        <v>878</v>
      </c>
      <c r="N10" s="15">
        <f>63+144+59+78+196+87+65+116+62</f>
        <v>870</v>
      </c>
      <c r="O10" s="8">
        <f>71+134+74+78+181+89+64+123+55</f>
        <v>869</v>
      </c>
      <c r="P10" s="8">
        <f>60+130+70+69+176+89+64+124+59</f>
        <v>841</v>
      </c>
      <c r="Q10" s="8">
        <f>64+126+60+75+160+78+69+126+58</f>
        <v>816</v>
      </c>
      <c r="R10" s="8">
        <f>57+72+63+126+172+127+71+84+64</f>
        <v>836</v>
      </c>
      <c r="S10" s="8">
        <f>53+69+59+122+161+128+60+86+56</f>
        <v>794</v>
      </c>
      <c r="T10" s="8">
        <f>62+64+52+118+153+120+62+81+63</f>
        <v>775</v>
      </c>
      <c r="U10" s="8">
        <f>49+80+54+114+139+119+64+78+54</f>
        <v>751</v>
      </c>
      <c r="V10" s="8">
        <f>56+111+50+62+142+74+60+105+62</f>
        <v>722</v>
      </c>
      <c r="W10" s="8">
        <f>24+48+68+42+19+114+139+115+56+61+51</f>
        <v>737</v>
      </c>
      <c r="X10" s="8">
        <f>27+68+80+65+45+102+131+107+56+71+49</f>
        <v>801</v>
      </c>
      <c r="Y10" s="8">
        <v>837</v>
      </c>
      <c r="Z10" s="8">
        <v>886</v>
      </c>
      <c r="AA10" s="8">
        <v>933</v>
      </c>
      <c r="AB10" s="8">
        <v>986</v>
      </c>
      <c r="AC10" s="8">
        <v>1047</v>
      </c>
      <c r="AD10" s="8">
        <v>1151</v>
      </c>
      <c r="AE10" s="8">
        <f>28+27+71+113+48+77+142+69+25+18+83+217+93+71+112+60</f>
        <v>1254</v>
      </c>
      <c r="AF10" s="8">
        <v>1420</v>
      </c>
      <c r="AG10" s="12">
        <v>1620</v>
      </c>
      <c r="AH10" s="12">
        <v>1755</v>
      </c>
      <c r="AI10" s="139">
        <v>1883</v>
      </c>
      <c r="AJ10" s="12">
        <v>1982</v>
      </c>
      <c r="AK10" s="12">
        <v>1989</v>
      </c>
      <c r="AL10" s="12">
        <v>1946</v>
      </c>
      <c r="AM10" s="12">
        <v>1926</v>
      </c>
      <c r="AN10" s="12">
        <v>1893</v>
      </c>
    </row>
    <row r="11" spans="1:40">
      <c r="A11" s="8" t="s">
        <v>19</v>
      </c>
      <c r="B11" s="21">
        <f>87+175+92+148+306+154</f>
        <v>962</v>
      </c>
      <c r="C11" s="21">
        <f>86+175+85+143+271+150+15+0+0+19+19+0</f>
        <v>963</v>
      </c>
      <c r="D11" s="21">
        <f>74+159+99+135+282+140+15+15+0+23+27+0</f>
        <v>969</v>
      </c>
      <c r="E11" s="8">
        <v>973</v>
      </c>
      <c r="F11" s="8">
        <f>73+152+86+141+274+138+16+29+13+22+38+16</f>
        <v>998</v>
      </c>
      <c r="G11" s="8">
        <v>980</v>
      </c>
      <c r="H11" s="8">
        <v>969</v>
      </c>
      <c r="I11" s="8">
        <f>74+124+28+22+142+260+43+39+74+125+13+10</f>
        <v>954</v>
      </c>
      <c r="J11" s="8">
        <f>73+128+22+19+148+246+57+43+64+126+13+13</f>
        <v>952</v>
      </c>
      <c r="K11" s="8">
        <f>75+144+72+139+233+125+23+50+26+20+38+16</f>
        <v>961</v>
      </c>
      <c r="L11" s="8">
        <f>68+144+68+128+240+118+31+46+24+14+37+13</f>
        <v>931</v>
      </c>
      <c r="M11" s="8">
        <f>69+143+76+115+254+109+32+49+23+18+26+24</f>
        <v>938</v>
      </c>
      <c r="N11" s="15">
        <f>69+137+78+132+243+118+35+61+18+19+34+11</f>
        <v>955</v>
      </c>
      <c r="O11" s="8">
        <f>60+137+69+119+242+130+31+63+28+18+30+11</f>
        <v>938</v>
      </c>
      <c r="P11" s="8">
        <f>63+125+67+117+246+120+35+64+30+17+38+10</f>
        <v>932</v>
      </c>
      <c r="Q11" s="8">
        <f>69+122+67+133+243+124+36+67+30+11+36+12</f>
        <v>950</v>
      </c>
      <c r="R11" s="8">
        <f>67+133+37+14+134+242+72+23+63+121+31+22</f>
        <v>959</v>
      </c>
      <c r="S11" s="8">
        <f>69+129+30+14+139+266+69+20+62+115+37+14</f>
        <v>964</v>
      </c>
      <c r="T11" s="8">
        <f>62+119+32+15+130+253+62+24+72+124+33+8</f>
        <v>934</v>
      </c>
      <c r="U11" s="8">
        <f>57+119+29+18+127+255+55+28+58+126+34+10</f>
        <v>916</v>
      </c>
      <c r="V11" s="8">
        <f>59+115+67+102+237+123+34+54+25+13+33+13</f>
        <v>875</v>
      </c>
      <c r="W11" s="8">
        <f>58+100+31+10+117+219+62+35+58+130+30+11</f>
        <v>861</v>
      </c>
      <c r="X11" s="8">
        <f>55+99+38+25+120+202+60+27+53+19+25+17</f>
        <v>740</v>
      </c>
      <c r="Y11" s="8">
        <v>821</v>
      </c>
      <c r="Z11" s="8">
        <v>842</v>
      </c>
      <c r="AA11" s="8">
        <v>847</v>
      </c>
      <c r="AB11" s="8">
        <v>864</v>
      </c>
      <c r="AC11" s="8">
        <v>896</v>
      </c>
      <c r="AD11" s="8">
        <v>920</v>
      </c>
      <c r="AE11" s="12">
        <f>64+116+61+117+228+102+51+94+41+23+40+18</f>
        <v>955</v>
      </c>
      <c r="AF11" s="12">
        <v>1002</v>
      </c>
      <c r="AG11" s="12">
        <v>1059</v>
      </c>
      <c r="AH11" s="12">
        <v>1116</v>
      </c>
      <c r="AI11" s="139">
        <v>1155</v>
      </c>
      <c r="AJ11" s="12">
        <v>1153</v>
      </c>
      <c r="AK11" s="12">
        <v>1112</v>
      </c>
      <c r="AL11" s="12">
        <v>1123</v>
      </c>
      <c r="AM11" s="12">
        <v>1141</v>
      </c>
      <c r="AN11" s="12">
        <v>1144</v>
      </c>
    </row>
    <row r="12" spans="1:40">
      <c r="A12" s="8" t="s">
        <v>20</v>
      </c>
      <c r="B12" s="21">
        <f>86+161+93+96+226+111</f>
        <v>773</v>
      </c>
      <c r="C12" s="21">
        <f>59+159+80+94+195+98</f>
        <v>685</v>
      </c>
      <c r="D12" s="21">
        <f>62+142+79+86+191+92</f>
        <v>652</v>
      </c>
      <c r="E12" s="8">
        <v>624</v>
      </c>
      <c r="F12" s="8">
        <f>60+118+62+78+178+87</f>
        <v>583</v>
      </c>
      <c r="G12" s="8">
        <v>563</v>
      </c>
      <c r="H12" s="8">
        <v>572</v>
      </c>
      <c r="I12" s="8">
        <f>71+80+114+160+56+76</f>
        <v>557</v>
      </c>
      <c r="J12" s="8">
        <f>62+77+125+158+53+80</f>
        <v>555</v>
      </c>
      <c r="K12" s="8">
        <f>67+122+53+81+140+81</f>
        <v>544</v>
      </c>
      <c r="L12" s="8">
        <f>61+125+65+80+150+68</f>
        <v>549</v>
      </c>
      <c r="M12" s="8">
        <f>67+128+58+77+162+71</f>
        <v>563</v>
      </c>
      <c r="N12" s="15">
        <f>68+124+66+77+163+72</f>
        <v>570</v>
      </c>
      <c r="O12" s="8">
        <f>67+127+56+76+151+83</f>
        <v>560</v>
      </c>
      <c r="P12" s="8">
        <f>62+126+63+72+149+76</f>
        <v>548</v>
      </c>
      <c r="Q12" s="8">
        <f>60+122+60+73+148+71</f>
        <v>534</v>
      </c>
      <c r="R12" s="8">
        <f>62+76+117+145+61+75</f>
        <v>536</v>
      </c>
      <c r="S12" s="8">
        <f>64+68+115+152+60+73</f>
        <v>532</v>
      </c>
      <c r="T12" s="8">
        <f>56+77+122+152+52+68</f>
        <v>527</v>
      </c>
      <c r="U12" s="8">
        <f>51+79+110+144+61+83</f>
        <v>528</v>
      </c>
      <c r="V12" s="8">
        <f>61+95+57+69+148+71</f>
        <v>501</v>
      </c>
      <c r="W12" s="8">
        <f>56+70+108+146+47+64</f>
        <v>491</v>
      </c>
      <c r="X12" s="8">
        <f>55+83+111+138+48+71</f>
        <v>506</v>
      </c>
      <c r="Y12" s="8">
        <v>528</v>
      </c>
      <c r="Z12" s="8">
        <v>562</v>
      </c>
      <c r="AA12" s="8">
        <v>594</v>
      </c>
      <c r="AB12" s="8">
        <v>602</v>
      </c>
      <c r="AC12" s="8">
        <v>589</v>
      </c>
      <c r="AD12" s="8">
        <v>601</v>
      </c>
      <c r="AE12" s="8">
        <f>71+138+58+88+179+79</f>
        <v>613</v>
      </c>
      <c r="AF12" s="8">
        <v>619</v>
      </c>
      <c r="AG12" s="12">
        <v>642</v>
      </c>
      <c r="AH12" s="12">
        <v>654</v>
      </c>
      <c r="AI12" s="139">
        <v>654</v>
      </c>
      <c r="AJ12" s="12">
        <v>678</v>
      </c>
      <c r="AK12" s="12">
        <v>656</v>
      </c>
      <c r="AL12" s="12">
        <v>651</v>
      </c>
      <c r="AM12" s="12">
        <v>671</v>
      </c>
      <c r="AN12" s="12">
        <v>619</v>
      </c>
    </row>
    <row r="13" spans="1:40">
      <c r="A13" s="8" t="s">
        <v>21</v>
      </c>
      <c r="B13" s="21">
        <f>150+281+155+86+164+77+103+233+121</f>
        <v>1370</v>
      </c>
      <c r="C13" s="21">
        <f>128+280+142+80+145+82+105+214+100</f>
        <v>1276</v>
      </c>
      <c r="D13" s="21">
        <f>130+263+139+81+152+70+96+204+109</f>
        <v>1244</v>
      </c>
      <c r="E13" s="8">
        <v>1208</v>
      </c>
      <c r="F13" s="8">
        <f>119+241+122+82+140+81+96+200+98</f>
        <v>1179</v>
      </c>
      <c r="G13" s="8">
        <v>1163</v>
      </c>
      <c r="H13" s="8">
        <v>1185</v>
      </c>
      <c r="I13" s="8">
        <f>125+70+101+244+143+198+115+77+93</f>
        <v>1166</v>
      </c>
      <c r="J13" s="8">
        <f>115+68+91+243+139+198+112+63+96</f>
        <v>1125</v>
      </c>
      <c r="K13" s="8">
        <f>118+236+118+74+131+69+94+188+97</f>
        <v>1125</v>
      </c>
      <c r="L13" s="8">
        <f>125+232+118+78+130+67+86+183+98</f>
        <v>1117</v>
      </c>
      <c r="M13" s="8">
        <f>108+76+93+236+140+176+118+62+88</f>
        <v>1097</v>
      </c>
      <c r="N13" s="15">
        <f>98+239+106+70+143+66+91+175+88</f>
        <v>1076</v>
      </c>
      <c r="O13" s="8">
        <f>87+210+126+69+142+72+87+182+83</f>
        <v>1058</v>
      </c>
      <c r="P13" s="8">
        <f>114+187+105+68+138+70+78+173+95</f>
        <v>1028</v>
      </c>
      <c r="Q13" s="8">
        <f>121+191+99+61+131+69+79+162+83</f>
        <v>996</v>
      </c>
      <c r="R13" s="8">
        <f>108+69+78+232+123+164+78+68+80</f>
        <v>1000</v>
      </c>
      <c r="S13" s="8">
        <f>98+65+90+219+125+155+107+62+82</f>
        <v>1003</v>
      </c>
      <c r="T13" s="8">
        <f>100+58+88+209+122+173+107+59+78</f>
        <v>994</v>
      </c>
      <c r="U13" s="8">
        <f>97+63+80+198+116+173+111+63+84</f>
        <v>985</v>
      </c>
      <c r="V13" s="8">
        <f>88+201+94+57+115+58+93+167+85</f>
        <v>958</v>
      </c>
      <c r="W13" s="8">
        <f>88+62+93+190+115+172+95+53+88</f>
        <v>956</v>
      </c>
      <c r="X13" s="8">
        <f>85+61+90+181+117+183+98+59+82</f>
        <v>956</v>
      </c>
      <c r="Y13" s="8">
        <v>933</v>
      </c>
      <c r="Z13" s="8">
        <v>941</v>
      </c>
      <c r="AA13" s="8">
        <v>977</v>
      </c>
      <c r="AB13" s="8">
        <v>1006</v>
      </c>
      <c r="AC13" s="8">
        <v>1030</v>
      </c>
      <c r="AD13" s="8">
        <v>1078</v>
      </c>
      <c r="AE13" s="8">
        <f>100+220+102+66+130+70+105+201+95</f>
        <v>1089</v>
      </c>
      <c r="AF13" s="8">
        <v>1084</v>
      </c>
      <c r="AG13" s="12">
        <v>1114</v>
      </c>
      <c r="AH13" s="12">
        <v>1111</v>
      </c>
      <c r="AI13" s="139">
        <v>1130</v>
      </c>
      <c r="AJ13" s="12">
        <v>1121</v>
      </c>
      <c r="AK13" s="12">
        <v>1097</v>
      </c>
      <c r="AL13" s="12">
        <v>1068</v>
      </c>
      <c r="AM13" s="12">
        <v>1046</v>
      </c>
      <c r="AN13" s="12">
        <v>1053</v>
      </c>
    </row>
    <row r="14" spans="1:40">
      <c r="A14" s="8" t="s">
        <v>22</v>
      </c>
      <c r="B14" s="21">
        <f>86+196+96+133+277+139+99+137+24</f>
        <v>1187</v>
      </c>
      <c r="C14" s="21">
        <f>84+165+85+128+251+132+126+221+94</f>
        <v>1286</v>
      </c>
      <c r="D14" s="21">
        <f>77+163+78+98+244+125+138+243+93</f>
        <v>1259</v>
      </c>
      <c r="E14" s="8">
        <v>1270</v>
      </c>
      <c r="F14" s="8">
        <f>73+159+86+107+196+122+128+266+120</f>
        <v>1257</v>
      </c>
      <c r="G14" s="8">
        <v>1237</v>
      </c>
      <c r="H14" s="8">
        <v>1219</v>
      </c>
      <c r="I14" s="8">
        <f>68+116+138+150+190+272+85+94+118</f>
        <v>1231</v>
      </c>
      <c r="J14" s="8">
        <f>72+88+118+132+197+277+70+90+128</f>
        <v>1172</v>
      </c>
      <c r="K14" s="8">
        <f>74+140+72+82+187+89+128+262+128</f>
        <v>1162</v>
      </c>
      <c r="L14" s="8">
        <f>73+152+63+85+168+94+127+245+139</f>
        <v>1146</v>
      </c>
      <c r="M14" s="8">
        <f>73+152+63+73+166+88+129+255+115</f>
        <v>1114</v>
      </c>
      <c r="N14" s="15">
        <f>66+141+68+80+159+72+124+260+121</f>
        <v>1091</v>
      </c>
      <c r="O14" s="8">
        <f>57+132+71+126+256+123+84+157+86</f>
        <v>1092</v>
      </c>
      <c r="P14" s="8">
        <f>66+129+73+118+249+125+74+163+78</f>
        <v>1075</v>
      </c>
      <c r="Q14" s="8">
        <f>68+126+63+119+244+125+73+157+76</f>
        <v>1051</v>
      </c>
      <c r="R14" s="8">
        <f>62+130+77+139+235+151+62+123+80</f>
        <v>1059</v>
      </c>
      <c r="S14" s="8">
        <f>70+133+76+121+241+150+72+115+67</f>
        <v>1045</v>
      </c>
      <c r="T14" s="8">
        <f>71+128+55+135+273+155+65+115+68</f>
        <v>1065</v>
      </c>
      <c r="U14" s="8">
        <f>65+134+71+131+260+131+64+116+71</f>
        <v>1043</v>
      </c>
      <c r="V14" s="8">
        <f>73+132+59+112+266+132+67+138+72</f>
        <v>1051</v>
      </c>
      <c r="W14" s="8">
        <f>57+127+61+136+258+140+69+120+58</f>
        <v>1026</v>
      </c>
      <c r="X14" s="8">
        <f>57+102+58+127+246+125+61+133+69</f>
        <v>978</v>
      </c>
      <c r="Y14" s="8">
        <v>954</v>
      </c>
      <c r="Z14" s="8">
        <v>941</v>
      </c>
      <c r="AA14" s="8">
        <v>968</v>
      </c>
      <c r="AB14" s="8">
        <v>974</v>
      </c>
      <c r="AC14" s="8">
        <v>991</v>
      </c>
      <c r="AD14" s="8">
        <v>1002</v>
      </c>
      <c r="AE14" s="8">
        <f>59+126+55+124+239+100+69+141+63</f>
        <v>976</v>
      </c>
      <c r="AF14" s="8">
        <v>998</v>
      </c>
      <c r="AG14" s="12">
        <v>1021</v>
      </c>
      <c r="AH14" s="12">
        <v>993</v>
      </c>
      <c r="AI14" s="139">
        <v>966</v>
      </c>
      <c r="AJ14" s="12">
        <v>952</v>
      </c>
      <c r="AK14" s="12">
        <v>921</v>
      </c>
      <c r="AL14" s="12">
        <v>904</v>
      </c>
      <c r="AM14" s="12">
        <v>896</v>
      </c>
      <c r="AN14" s="12">
        <v>859</v>
      </c>
    </row>
    <row r="15" spans="1:40">
      <c r="A15" s="8" t="s">
        <v>23</v>
      </c>
      <c r="B15" s="21">
        <f>124+244+118</f>
        <v>486</v>
      </c>
      <c r="C15" s="21">
        <f>106+236+115</f>
        <v>457</v>
      </c>
      <c r="D15" s="21">
        <f>108+206+124</f>
        <v>438</v>
      </c>
      <c r="E15" s="8">
        <v>389</v>
      </c>
      <c r="F15" s="8">
        <f>87+175+96</f>
        <v>358</v>
      </c>
      <c r="G15" s="8">
        <v>333</v>
      </c>
      <c r="H15" s="8">
        <v>310</v>
      </c>
      <c r="I15" s="8">
        <f>79+144+76</f>
        <v>299</v>
      </c>
      <c r="J15" s="8">
        <f>78+140+72</f>
        <v>290</v>
      </c>
      <c r="K15" s="8">
        <f>90+136+70</f>
        <v>296</v>
      </c>
      <c r="L15" s="8">
        <f>72+163+63</f>
        <v>298</v>
      </c>
      <c r="M15" s="8">
        <f>72+144+71</f>
        <v>287</v>
      </c>
      <c r="N15" s="15">
        <f>73+126+81</f>
        <v>280</v>
      </c>
      <c r="O15" s="8">
        <f>78+128+65</f>
        <v>271</v>
      </c>
      <c r="P15" s="8">
        <f>69+135+59</f>
        <v>263</v>
      </c>
      <c r="Q15" s="8">
        <f>72+133+65</f>
        <v>270</v>
      </c>
      <c r="R15" s="8">
        <f>68+128+72</f>
        <v>268</v>
      </c>
      <c r="S15" s="8">
        <f>75+128+65</f>
        <v>268</v>
      </c>
      <c r="T15" s="8">
        <f>61+127+66</f>
        <v>254</v>
      </c>
      <c r="U15" s="8">
        <f>59+132+55</f>
        <v>246</v>
      </c>
      <c r="V15" s="8">
        <f>72+111+71</f>
        <v>254</v>
      </c>
      <c r="W15" s="8">
        <f>64+123+55</f>
        <v>242</v>
      </c>
      <c r="X15" s="8">
        <f>60+132+53</f>
        <v>245</v>
      </c>
      <c r="Y15" s="8">
        <v>241</v>
      </c>
      <c r="Z15" s="8">
        <v>239</v>
      </c>
      <c r="AA15" s="8">
        <v>229</v>
      </c>
      <c r="AB15" s="8">
        <v>238</v>
      </c>
      <c r="AC15" s="8">
        <v>249</v>
      </c>
      <c r="AD15" s="8">
        <v>247</v>
      </c>
      <c r="AE15" s="8">
        <f>92+119+68</f>
        <v>279</v>
      </c>
      <c r="AF15" s="8">
        <v>289</v>
      </c>
      <c r="AG15" s="12">
        <v>313</v>
      </c>
      <c r="AH15" s="12">
        <v>342</v>
      </c>
      <c r="AI15" s="139">
        <v>334</v>
      </c>
      <c r="AJ15" s="12">
        <v>341</v>
      </c>
      <c r="AK15" s="12">
        <v>336</v>
      </c>
      <c r="AL15" s="12">
        <v>321</v>
      </c>
      <c r="AM15" s="12">
        <v>324</v>
      </c>
      <c r="AN15" s="12">
        <v>318</v>
      </c>
    </row>
    <row r="16" spans="1:40">
      <c r="A16" s="8" t="s">
        <v>24</v>
      </c>
      <c r="B16" s="21">
        <f>87+175+88+86+177+91+33+49+0+99+219+122</f>
        <v>1226</v>
      </c>
      <c r="C16" s="21">
        <f>83+152+82+81+171+87+50+71+35+105+221+97</f>
        <v>1235</v>
      </c>
      <c r="D16" s="21">
        <f>74+159+73+86+174+77+44+89+31+113+212+109</f>
        <v>1241</v>
      </c>
      <c r="E16" s="8">
        <v>1240</v>
      </c>
      <c r="F16" s="8">
        <f>69+147+75+81+182+74+51+92+47+96+208+101</f>
        <v>1223</v>
      </c>
      <c r="G16" s="8">
        <v>1196</v>
      </c>
      <c r="H16" s="8">
        <v>1174</v>
      </c>
      <c r="I16" s="8">
        <f>79+70+53+96+141+171+85+189+63+74+45+86</f>
        <v>1152</v>
      </c>
      <c r="J16" s="8">
        <f>74+74+40+102+148+176+90+195+70+64+46+86</f>
        <v>1165</v>
      </c>
      <c r="K16" s="8">
        <f>77+147+66+72+183+65+41+84+40+88+192+92</f>
        <v>1147</v>
      </c>
      <c r="L16" s="8">
        <f>81+144+70+63+181+72+42+75+46+96+195+95</f>
        <v>1160</v>
      </c>
      <c r="M16" s="8">
        <f>73+146+68+65+161+80+41+76+36+91+188+93</f>
        <v>1118</v>
      </c>
      <c r="N16" s="15">
        <f>84+147+62+63+123+71+38+76+37+98+200+81</f>
        <v>1080</v>
      </c>
      <c r="O16" s="8">
        <f>71+152+77+58+123+65+39+72+39+84+196+100</f>
        <v>1076</v>
      </c>
      <c r="P16" s="8">
        <f>64+157+63+55+113+70+42+70+36+91+183+96</f>
        <v>1040</v>
      </c>
      <c r="Q16" s="8">
        <f>75+140+81+63+111+58+40+76+35+85+179+94</f>
        <v>1037</v>
      </c>
      <c r="R16" s="8">
        <f>58+52+39+79+137+120+80+164+75+51+32+76</f>
        <v>963</v>
      </c>
      <c r="S16" s="8">
        <f>66+50+45+93+129+139+75+154+63+52+35+68</f>
        <v>969</v>
      </c>
      <c r="T16" s="8">
        <f>63+55+41+84+130+101+82+181+67+52+40+81</f>
        <v>977</v>
      </c>
      <c r="U16" s="8">
        <f>68+55+36+85+132+81+84+181+55+52+34+67</f>
        <v>930</v>
      </c>
      <c r="V16" s="8">
        <f>38+79+38+54+106+49+81+159+92+71+127+61</f>
        <v>955</v>
      </c>
      <c r="W16" s="8">
        <f>39+50+75+66+73+152+166+136+33+46+75+53</f>
        <v>964</v>
      </c>
      <c r="X16" s="8">
        <f>39+50+81+68+76+139+148+127+43+58+79+68</f>
        <v>976</v>
      </c>
      <c r="Y16" s="8">
        <v>949</v>
      </c>
      <c r="Z16" s="8">
        <v>966</v>
      </c>
      <c r="AA16" s="8">
        <v>964</v>
      </c>
      <c r="AB16" s="8">
        <v>953</v>
      </c>
      <c r="AC16" s="8">
        <v>944</v>
      </c>
      <c r="AD16" s="8">
        <v>935</v>
      </c>
      <c r="AE16" s="8">
        <f>54+112+49+44+75+34+88+153+73+65+125+60</f>
        <v>932</v>
      </c>
      <c r="AF16" s="8">
        <v>961</v>
      </c>
      <c r="AG16" s="12">
        <v>989</v>
      </c>
      <c r="AH16" s="12">
        <v>998</v>
      </c>
      <c r="AI16" s="139">
        <v>1010</v>
      </c>
      <c r="AJ16" s="12">
        <v>999</v>
      </c>
      <c r="AK16" s="12">
        <v>1028</v>
      </c>
      <c r="AL16" s="12">
        <v>1083</v>
      </c>
      <c r="AM16" s="12">
        <v>1011</v>
      </c>
      <c r="AN16" s="12">
        <v>962</v>
      </c>
    </row>
    <row r="17" spans="1:40">
      <c r="A17" s="8" t="s">
        <v>25</v>
      </c>
      <c r="B17" s="21">
        <f>148+271+153+19+19+0</f>
        <v>610</v>
      </c>
      <c r="C17" s="21">
        <f>123+271+139+37+70+20</f>
        <v>660</v>
      </c>
      <c r="D17" s="21">
        <f>124+248+142+42+78+28</f>
        <v>662</v>
      </c>
      <c r="E17" s="8">
        <v>634</v>
      </c>
      <c r="F17" s="8">
        <f>117+234+115+37+76+35</f>
        <v>614</v>
      </c>
      <c r="G17" s="8">
        <v>590</v>
      </c>
      <c r="H17" s="8">
        <v>561</v>
      </c>
      <c r="I17" s="8">
        <f>95+33+188+57+112+35</f>
        <v>520</v>
      </c>
      <c r="J17" s="8">
        <f>91+30+185+52+103+22</f>
        <v>483</v>
      </c>
      <c r="K17" s="8">
        <f>105+172+85</f>
        <v>362</v>
      </c>
      <c r="L17" s="8">
        <f>103+188+84</f>
        <v>375</v>
      </c>
      <c r="M17" s="8">
        <f>89+192+82</f>
        <v>363</v>
      </c>
      <c r="N17" s="15">
        <f>100+183+95</f>
        <v>378</v>
      </c>
      <c r="O17" s="8">
        <f>97+184+93</f>
        <v>374</v>
      </c>
      <c r="P17" s="8">
        <f>89+190+84</f>
        <v>363</v>
      </c>
      <c r="Q17" s="8">
        <f>91+171+98</f>
        <v>360</v>
      </c>
      <c r="R17" s="8">
        <f>93+167+92</f>
        <v>352</v>
      </c>
      <c r="S17" s="8">
        <f>101+173+80</f>
        <v>354</v>
      </c>
      <c r="T17" s="8">
        <f>97+182+83</f>
        <v>362</v>
      </c>
      <c r="U17" s="8">
        <f>91+183+84</f>
        <v>358</v>
      </c>
      <c r="V17" s="8">
        <f>91+183+86</f>
        <v>360</v>
      </c>
      <c r="W17" s="8">
        <f>92+188+95</f>
        <v>375</v>
      </c>
      <c r="X17" s="8">
        <f>88+175+78</f>
        <v>341</v>
      </c>
      <c r="Y17" s="8">
        <v>348</v>
      </c>
      <c r="Z17" s="8">
        <v>358</v>
      </c>
      <c r="AA17" s="8">
        <v>365</v>
      </c>
      <c r="AB17" s="8">
        <v>372</v>
      </c>
      <c r="AC17" s="8">
        <v>395</v>
      </c>
      <c r="AD17" s="8">
        <v>397</v>
      </c>
      <c r="AE17" s="8">
        <f>97+199+98</f>
        <v>394</v>
      </c>
      <c r="AF17" s="8">
        <v>387</v>
      </c>
      <c r="AG17" s="12">
        <v>386</v>
      </c>
      <c r="AH17" s="12">
        <v>390</v>
      </c>
      <c r="AI17" s="139">
        <v>399</v>
      </c>
      <c r="AJ17" s="12">
        <v>396</v>
      </c>
      <c r="AK17" s="12">
        <v>206</v>
      </c>
      <c r="AL17" s="12">
        <v>214</v>
      </c>
      <c r="AM17" s="12">
        <v>364</v>
      </c>
      <c r="AN17" s="12">
        <v>356</v>
      </c>
    </row>
    <row r="18" spans="1:40">
      <c r="A18" s="8" t="s">
        <v>26</v>
      </c>
      <c r="B18" s="21">
        <f>128+264+128+30+50+0</f>
        <v>600</v>
      </c>
      <c r="C18" s="21">
        <f>36+71+25+119+253+123</f>
        <v>627</v>
      </c>
      <c r="D18" s="21">
        <f>123+241+116+41+73+33</f>
        <v>627</v>
      </c>
      <c r="E18" s="8">
        <v>610</v>
      </c>
      <c r="F18" s="8">
        <f>104+223+110+44+79+36</f>
        <v>596</v>
      </c>
      <c r="G18" s="8">
        <v>595</v>
      </c>
      <c r="H18" s="8">
        <v>579</v>
      </c>
      <c r="I18" s="8">
        <f>92+49+196+91+100+40</f>
        <v>568</v>
      </c>
      <c r="J18" s="8">
        <f>48+92+42+100+192+99</f>
        <v>573</v>
      </c>
      <c r="K18" s="8">
        <f>45+89+41+93+198+84</f>
        <v>550</v>
      </c>
      <c r="L18" s="8">
        <f>49+82+43+91+189+93</f>
        <v>547</v>
      </c>
      <c r="M18" s="8">
        <f>54+88+42+92+182+94</f>
        <v>552</v>
      </c>
      <c r="N18" s="15">
        <f>48+99+33+94+187+77</f>
        <v>538</v>
      </c>
      <c r="O18" s="8">
        <f>81+192+90+44+93+51</f>
        <v>551</v>
      </c>
      <c r="P18" s="8">
        <f>85+188+82+42+86+46</f>
        <v>529</v>
      </c>
      <c r="Q18" s="8">
        <f>90+174+87+50+76+47</f>
        <v>524</v>
      </c>
      <c r="R18" s="8">
        <f>86+44+167+88+83+35</f>
        <v>503</v>
      </c>
      <c r="S18" s="8">
        <f>83+46+171+91+77+40</f>
        <v>508</v>
      </c>
      <c r="T18" s="8">
        <f>77+46+164+90+84+47</f>
        <v>508</v>
      </c>
      <c r="U18" s="8">
        <f>82+43+151+90+78+42</f>
        <v>486</v>
      </c>
      <c r="V18" s="8">
        <f>79+166+73+36+88+43</f>
        <v>485</v>
      </c>
      <c r="W18" s="8">
        <f>76+41+157+74+79+46</f>
        <v>473</v>
      </c>
      <c r="X18" s="8">
        <f>74+43+151+75+83+39</f>
        <v>465</v>
      </c>
      <c r="Y18" s="8">
        <v>464</v>
      </c>
      <c r="Z18" s="8">
        <v>462</v>
      </c>
      <c r="AA18" s="8">
        <v>474</v>
      </c>
      <c r="AB18" s="8">
        <v>496</v>
      </c>
      <c r="AC18" s="8">
        <v>519</v>
      </c>
      <c r="AD18" s="8">
        <v>542</v>
      </c>
      <c r="AE18" s="8">
        <f>93+193+105+42+84+42</f>
        <v>559</v>
      </c>
      <c r="AF18" s="8">
        <v>483</v>
      </c>
      <c r="AG18" s="12">
        <v>585</v>
      </c>
      <c r="AH18" s="12">
        <v>609</v>
      </c>
      <c r="AI18" s="139">
        <v>690</v>
      </c>
      <c r="AJ18" s="12">
        <v>735</v>
      </c>
      <c r="AK18" s="12">
        <v>1036</v>
      </c>
      <c r="AL18" s="12">
        <v>1051</v>
      </c>
      <c r="AM18" s="12">
        <v>775</v>
      </c>
      <c r="AN18" s="12">
        <v>789</v>
      </c>
    </row>
    <row r="19" spans="1:40">
      <c r="A19" s="8" t="s">
        <v>27</v>
      </c>
      <c r="B19" s="21">
        <f>24+18+0+95+155+76+170+331+102+84+172+70</f>
        <v>1297</v>
      </c>
      <c r="C19" s="21">
        <f>35+84+19+68+147+42+144+323+151+73+169+82</f>
        <v>1337</v>
      </c>
      <c r="D19" s="21">
        <f>33+74+41+71+134+58+135+310+152+78+158+80</f>
        <v>1324</v>
      </c>
      <c r="E19" s="8">
        <v>1267</v>
      </c>
      <c r="F19" s="8">
        <f>42+68+32+50+85+61+156+263+138+74+164+65</f>
        <v>1198</v>
      </c>
      <c r="G19" s="8">
        <v>1139</v>
      </c>
      <c r="H19" s="8">
        <v>1099</v>
      </c>
      <c r="I19" s="8">
        <f>39+53+111+72+78+67+208+138+43+36+141+74</f>
        <v>1060</v>
      </c>
      <c r="J19" s="8">
        <f>34+58+108+69+74+61+214+145+39+49+104+61</f>
        <v>1016</v>
      </c>
      <c r="K19" s="8">
        <f>44+69+36+57+64+35+103+205+100+64+139+69</f>
        <v>985</v>
      </c>
      <c r="L19" s="8">
        <f>40+68+37+58+90+24+106+207+99+59+139+72</f>
        <v>999</v>
      </c>
      <c r="M19" s="8">
        <f>39+74+29+58+90+24+116+198+103+65+122+66</f>
        <v>984</v>
      </c>
      <c r="N19" s="15">
        <f>33+76+33+58+90+24+112+211+9+59+131+64</f>
        <v>900</v>
      </c>
      <c r="O19" s="8">
        <f>33+74+36+49+97+32+110+223+96+74+118+64</f>
        <v>1006</v>
      </c>
      <c r="P19" s="8">
        <f>31+66+39+46+111+26+111+221+110+72+134+58</f>
        <v>1025</v>
      </c>
      <c r="Q19" s="8">
        <f>39+63+35+54+99+40+96+227+99+67+145+57</f>
        <v>1021</v>
      </c>
      <c r="R19" s="8">
        <f>42+50+99+67+66+98+216+137+34+50+107+73</f>
        <v>1039</v>
      </c>
      <c r="S19" s="8">
        <f>32+51+112+58+76+84+198+138+30+54+105+72</f>
        <v>1010</v>
      </c>
      <c r="T19" s="8">
        <f>29+38+99+61+70+93+194+130+35+47+95+72</f>
        <v>963</v>
      </c>
      <c r="U19" s="8">
        <f>29+58+93+64+63+78+211+125+35+37+92+64</f>
        <v>949</v>
      </c>
      <c r="V19" s="8">
        <f>29+58+33+46+78+42+86+213+98+62+128+68</f>
        <v>941</v>
      </c>
      <c r="W19" s="8">
        <f>27+44+95+58+58+84+191+127+30+29+104+58</f>
        <v>905</v>
      </c>
      <c r="X19" s="8">
        <f>34+47+87+43+55+81+185+117+29+45+92+59</f>
        <v>874</v>
      </c>
      <c r="Y19" s="8">
        <v>863</v>
      </c>
      <c r="Z19" s="8">
        <v>856</v>
      </c>
      <c r="AA19" s="8">
        <v>905</v>
      </c>
      <c r="AB19" s="8">
        <v>893</v>
      </c>
      <c r="AC19" s="8">
        <v>899</v>
      </c>
      <c r="AD19" s="8">
        <v>923</v>
      </c>
      <c r="AE19" s="8">
        <f>35+70+28+47+102+35+114+194+84+51+115+52</f>
        <v>927</v>
      </c>
      <c r="AF19" s="8">
        <v>942</v>
      </c>
      <c r="AG19" s="12">
        <v>960</v>
      </c>
      <c r="AH19" s="12">
        <v>959</v>
      </c>
      <c r="AI19" s="139">
        <v>1046</v>
      </c>
      <c r="AJ19" s="12">
        <v>985</v>
      </c>
      <c r="AK19" s="12">
        <v>984</v>
      </c>
      <c r="AL19" s="12">
        <v>988</v>
      </c>
      <c r="AM19" s="12">
        <v>961</v>
      </c>
      <c r="AN19" s="12">
        <v>956</v>
      </c>
    </row>
    <row r="20" spans="1:40">
      <c r="A20" s="8" t="s">
        <v>28</v>
      </c>
      <c r="B20" s="21">
        <f>116+252+124+158+290+160+157+243+1+148+260+95+165+342+180+27+51+0+64+80+38</f>
        <v>2951</v>
      </c>
      <c r="C20" s="21">
        <f>115+229+122+156+283+153+133+270+145+143+273+139+159+315+163+28+43+26+69+146+59</f>
        <v>3169</v>
      </c>
      <c r="D20" s="21">
        <f>212+222+121+140+286+146+133+258+126+151+267+133+155+300+156+34+48+21+78+138+68</f>
        <v>3193</v>
      </c>
      <c r="E20" s="8">
        <v>3070</v>
      </c>
      <c r="F20" s="8">
        <f>124+222+112+147+276+147+139+239+113+142+277+123+144+295+140+33+65+26+60+154+62</f>
        <v>3040</v>
      </c>
      <c r="G20" s="8">
        <v>3018</v>
      </c>
      <c r="H20" s="8">
        <v>2993</v>
      </c>
      <c r="I20" s="8">
        <f>91+134+140+139+132+31+77+215+262+255+259+264+56+141+112+129+118+119+145+33+53</f>
        <v>2905</v>
      </c>
      <c r="J20" s="8">
        <f>107+149+124+129+127+35+73+193+253+233+252+265+52+143+109+127+120+120+133+30+68</f>
        <v>2842</v>
      </c>
      <c r="K20" s="8">
        <f>104+192+102+149+253+127+117+227+117+133+245+128+133+252+133+33+58+24+79+132+66</f>
        <v>2804</v>
      </c>
      <c r="L20" s="8">
        <f>103+202+95+147+277+121+109+233+107+148+245+118+142+252+125+31+59+25+76+133+66</f>
        <v>2814</v>
      </c>
      <c r="M20" s="8">
        <f>105+206+94+129+292+127+110+223+108+132+282+115+121+268+117+30+58+41+78+148+57</f>
        <v>2841</v>
      </c>
      <c r="N20" s="15">
        <f>101+213+99+110+258+140+121+202+112+139+285+124+135+258+118+29+60+27+84+135+70</f>
        <v>2820</v>
      </c>
      <c r="O20" s="8">
        <f>114+191+106+32+56+29+87+147+68+110+241+133+129+209+101+128+271+143+125+257+132</f>
        <v>2809</v>
      </c>
      <c r="P20" s="8">
        <f>108+197+99+40+59+28+97+166+64+129+215+134+98+233+95+119+269+128+135+277+111</f>
        <v>2801</v>
      </c>
      <c r="Q20" s="8">
        <f>101+208+97+40+69+28+94+184+75+132+243+104+115+226+100+117+256+128+124+276+141</f>
        <v>2858</v>
      </c>
      <c r="R20" s="8">
        <f>101+29+81+121+128+105+154+204+80+191+253+209+245+252+101+30+83+111+124+124+135</f>
        <v>2861</v>
      </c>
      <c r="S20" s="8">
        <f>95+27+74+100+146+94+127+189+69+172+238+222+228+271+106+38+94+130+99+113+132</f>
        <v>2764</v>
      </c>
      <c r="T20" s="8">
        <f>90+34+81+122+130+98+129+195+58+157+230+254+205+289+86+38+89+114+102+120+108</f>
        <v>2729</v>
      </c>
      <c r="U20" s="8">
        <f>88+31+72+120+111+98+132+169+61+149+245+258+199+254+97+30+79+84+113+107+155</f>
        <v>2652</v>
      </c>
      <c r="V20" s="8">
        <f>92+163+90+33+64+28+83+149+70+105+236+108+124+221+133+115+205+89+119+247+123</f>
        <v>2597</v>
      </c>
      <c r="W20" s="8">
        <f>82+36+76+94+108+88+129+165+63+153+191+207+215+250+81+30+74+81+117+93+115</f>
        <v>2448</v>
      </c>
      <c r="X20" s="8">
        <f>86+32+83+98+112+89+119+166+70+164+225+215+193+252+84+30+64+117+99+99+119</f>
        <v>2516</v>
      </c>
      <c r="Y20" s="8">
        <v>2514</v>
      </c>
      <c r="Z20" s="8">
        <v>2525</v>
      </c>
      <c r="AA20" s="8">
        <v>2584</v>
      </c>
      <c r="AB20" s="8">
        <v>2653</v>
      </c>
      <c r="AC20" s="8">
        <v>2774</v>
      </c>
      <c r="AD20" s="8">
        <v>2894</v>
      </c>
      <c r="AE20" s="8">
        <f>112+170+81+75+165+43+83+159+90+36+14+132+266+112+135+282+130+112+233+107+124+251+113</f>
        <v>3025</v>
      </c>
      <c r="AF20" s="8">
        <v>3114</v>
      </c>
      <c r="AG20" s="12">
        <v>3241</v>
      </c>
      <c r="AH20" s="12">
        <v>3290</v>
      </c>
      <c r="AI20" s="139">
        <v>3341</v>
      </c>
      <c r="AJ20" s="12">
        <v>3397</v>
      </c>
      <c r="AK20" s="12">
        <v>3455</v>
      </c>
      <c r="AL20" s="12">
        <v>3468</v>
      </c>
      <c r="AM20" s="12">
        <v>3370</v>
      </c>
      <c r="AN20" s="12">
        <v>3303</v>
      </c>
    </row>
    <row r="21" spans="1:40">
      <c r="A21" s="8" t="s">
        <v>29</v>
      </c>
      <c r="B21" s="21">
        <f>65+63+51+126+260+123+107+213+113</f>
        <v>1121</v>
      </c>
      <c r="C21" s="21">
        <f>66+63+62+122+250+123+112+226+98</f>
        <v>1122</v>
      </c>
      <c r="D21" s="21">
        <f>61+71+54+118+243+120+110+214+115</f>
        <v>1106</v>
      </c>
      <c r="E21" s="8">
        <v>1090</v>
      </c>
      <c r="F21" s="8">
        <f>53+98+31+120+226+119+98+215+103</f>
        <v>1063</v>
      </c>
      <c r="G21" s="8">
        <v>1061</v>
      </c>
      <c r="H21" s="8">
        <v>1043</v>
      </c>
      <c r="I21" s="8">
        <f>61+116+86+100+210+176+53+112+105</f>
        <v>1019</v>
      </c>
      <c r="J21" s="8">
        <f>64+107+49+114+215+104+92+175+83</f>
        <v>1003</v>
      </c>
      <c r="K21" s="8">
        <f>46+116+48+123+220+99+90+181+79</f>
        <v>1002</v>
      </c>
      <c r="L21" s="8">
        <f>55+109+51+109+232+108+80+178+90</f>
        <v>1012</v>
      </c>
      <c r="M21" s="8">
        <f>59+111+58+94+228+108+82+164+87</f>
        <v>991</v>
      </c>
      <c r="N21" s="15">
        <f>53+112+48+104+195+119+81+158+85</f>
        <v>955</v>
      </c>
      <c r="O21" s="8">
        <f>50+114+57+75+152+87+118+194+101</f>
        <v>948</v>
      </c>
      <c r="P21" s="8">
        <f>52+108+56+82+151+76+104+211+93</f>
        <v>933</v>
      </c>
      <c r="Q21" s="8">
        <f>73+103+55+75+153+84+106+204+99</f>
        <v>952</v>
      </c>
      <c r="R21" s="8">
        <f>60+86+103+121+156+191+50+75+109</f>
        <v>951</v>
      </c>
      <c r="S21" s="8">
        <f>56+85+99+123+161+192+52+79+94</f>
        <v>941</v>
      </c>
      <c r="T21" s="8">
        <f>57+74+98+113+165+196+61+77+94</f>
        <v>935</v>
      </c>
      <c r="U21" s="8">
        <f>52+82+85+109+161+186+57+73+99</f>
        <v>904</v>
      </c>
      <c r="V21" s="8">
        <f>53+109+55+77+156+85+94+175+94</f>
        <v>898</v>
      </c>
      <c r="W21" s="8">
        <f>50+54+94+104+158+171+55+63+91</f>
        <v>840</v>
      </c>
      <c r="X21" s="8">
        <f>50+76+98+97+131+182+57+79+80</f>
        <v>850</v>
      </c>
      <c r="Y21" s="8">
        <v>851</v>
      </c>
      <c r="Z21" s="8">
        <v>867</v>
      </c>
      <c r="AA21" s="8">
        <v>889</v>
      </c>
      <c r="AB21" s="8">
        <v>904</v>
      </c>
      <c r="AC21" s="8">
        <v>922</v>
      </c>
      <c r="AD21" s="8">
        <v>949</v>
      </c>
      <c r="AE21" s="8">
        <f>65+135+51+96+162+71+112+205+92+30</f>
        <v>1019</v>
      </c>
      <c r="AF21" s="8">
        <v>1096</v>
      </c>
      <c r="AG21" s="12">
        <v>1154</v>
      </c>
      <c r="AH21" s="12">
        <v>1204</v>
      </c>
      <c r="AI21" s="139">
        <v>1187</v>
      </c>
      <c r="AJ21" s="12">
        <v>1179</v>
      </c>
      <c r="AK21" s="12">
        <v>1219</v>
      </c>
      <c r="AL21" s="12">
        <v>1213</v>
      </c>
      <c r="AM21" s="12">
        <v>1185</v>
      </c>
      <c r="AN21" s="12">
        <v>1123</v>
      </c>
    </row>
    <row r="22" spans="1:40">
      <c r="A22" s="9" t="s">
        <v>30</v>
      </c>
      <c r="B22" s="7">
        <f>30+34+0+73+135+75</f>
        <v>347</v>
      </c>
      <c r="C22" s="7">
        <f>31+54+30+65+130+63</f>
        <v>373</v>
      </c>
      <c r="D22" s="7">
        <f>37+55+28+65+132+61</f>
        <v>378</v>
      </c>
      <c r="E22" s="9">
        <v>377</v>
      </c>
      <c r="F22" s="9">
        <f>33+65+29+64+119+66</f>
        <v>376</v>
      </c>
      <c r="G22" s="9">
        <v>371</v>
      </c>
      <c r="H22" s="9">
        <v>352</v>
      </c>
      <c r="I22" s="9">
        <f>31+58+61+115+21+58</f>
        <v>344</v>
      </c>
      <c r="J22" s="9">
        <f>37+55+56+99+27+62</f>
        <v>336</v>
      </c>
      <c r="K22" s="9">
        <f>36+54+27+56+101+49</f>
        <v>323</v>
      </c>
      <c r="L22" s="9">
        <f>35+72+19+53+101+52</f>
        <v>332</v>
      </c>
      <c r="M22" s="9">
        <f>38+64+34+58+106+43</f>
        <v>343</v>
      </c>
      <c r="N22" s="16">
        <f>34+67+36+49+100+50</f>
        <v>336</v>
      </c>
      <c r="O22" s="9">
        <f>34+64+34+54+92+50</f>
        <v>328</v>
      </c>
      <c r="P22" s="9">
        <f>41+61+31+58+96+47</f>
        <v>334</v>
      </c>
      <c r="Q22" s="9">
        <f>37+65+35+48+101+39</f>
        <v>325</v>
      </c>
      <c r="R22" s="9">
        <f>34+63+71+97+29+50</f>
        <v>344</v>
      </c>
      <c r="S22" s="9">
        <f>31+53+65+114+38+51</f>
        <v>352</v>
      </c>
      <c r="T22" s="9">
        <f>27+55+69+112+26+44</f>
        <v>333</v>
      </c>
      <c r="U22" s="9">
        <f>31+59+59+102+33+62</f>
        <v>346</v>
      </c>
      <c r="V22" s="9">
        <f>26+57+27+50+114+44</f>
        <v>318</v>
      </c>
      <c r="W22" s="9">
        <f>30+6+51+108+26+51</f>
        <v>272</v>
      </c>
      <c r="X22" s="9">
        <f>29+65+57+117+25+49</f>
        <v>342</v>
      </c>
      <c r="Y22" s="9">
        <v>323</v>
      </c>
      <c r="Z22" s="9">
        <v>380</v>
      </c>
      <c r="AA22" s="9">
        <v>389</v>
      </c>
      <c r="AB22" s="9">
        <v>386</v>
      </c>
      <c r="AC22" s="9">
        <v>406</v>
      </c>
      <c r="AD22" s="9">
        <v>414</v>
      </c>
      <c r="AE22" s="9">
        <f>48+74+34+74+134+50</f>
        <v>414</v>
      </c>
      <c r="AF22" s="9">
        <v>442</v>
      </c>
      <c r="AG22" s="110">
        <v>437</v>
      </c>
      <c r="AH22" s="110">
        <v>413</v>
      </c>
      <c r="AI22" s="143">
        <v>411</v>
      </c>
      <c r="AJ22" s="110">
        <v>412</v>
      </c>
      <c r="AK22" s="110">
        <v>413</v>
      </c>
      <c r="AL22" s="110">
        <v>399</v>
      </c>
      <c r="AM22" s="12">
        <v>405</v>
      </c>
      <c r="AN22" s="12">
        <v>417</v>
      </c>
    </row>
    <row r="23" spans="1:40">
      <c r="A23" s="53" t="s">
        <v>31</v>
      </c>
      <c r="B23" s="21"/>
      <c r="C23" s="21"/>
      <c r="D23" s="21"/>
      <c r="E23" s="53"/>
      <c r="F23" s="53"/>
      <c r="G23" s="53"/>
      <c r="H23" s="53"/>
      <c r="I23" s="53"/>
      <c r="J23" s="53"/>
      <c r="K23" s="53"/>
      <c r="L23" s="53"/>
      <c r="M23" s="53"/>
      <c r="N23" s="56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>
        <f>SUM(Y25:Y37)</f>
        <v>3948</v>
      </c>
      <c r="Z23" s="53">
        <f t="shared" ref="Z23:AD23" si="18">SUM(Z25:Z37)</f>
        <v>3867</v>
      </c>
      <c r="AA23" s="53">
        <f t="shared" si="18"/>
        <v>3961</v>
      </c>
      <c r="AB23" s="53">
        <f t="shared" si="18"/>
        <v>4019</v>
      </c>
      <c r="AC23" s="53">
        <f t="shared" si="18"/>
        <v>4108</v>
      </c>
      <c r="AD23" s="53">
        <f t="shared" si="18"/>
        <v>4159</v>
      </c>
      <c r="AE23" s="53">
        <f t="shared" ref="AE23:AF23" si="19">SUM(AE25:AE37)</f>
        <v>4251</v>
      </c>
      <c r="AF23" s="53">
        <f t="shared" si="19"/>
        <v>4315</v>
      </c>
      <c r="AG23" s="53">
        <f t="shared" ref="AG23:AH23" si="20">SUM(AG25:AG37)</f>
        <v>4333</v>
      </c>
      <c r="AH23" s="53">
        <f t="shared" si="20"/>
        <v>4422</v>
      </c>
      <c r="AI23" s="53">
        <f t="shared" ref="AI23:AJ23" si="21">SUM(AI25:AI37)</f>
        <v>4554</v>
      </c>
      <c r="AJ23" s="53">
        <f t="shared" si="21"/>
        <v>4680</v>
      </c>
      <c r="AK23" s="53">
        <f t="shared" ref="AK23:AL23" si="22">SUM(AK25:AK37)</f>
        <v>4870</v>
      </c>
      <c r="AL23" s="53">
        <f t="shared" si="22"/>
        <v>4990</v>
      </c>
      <c r="AM23" s="53">
        <f t="shared" ref="AM23:AN23" si="23">SUM(AM25:AM37)</f>
        <v>5009</v>
      </c>
      <c r="AN23" s="53">
        <f t="shared" si="23"/>
        <v>5142</v>
      </c>
    </row>
    <row r="24" spans="1:40">
      <c r="A24" s="50" t="s">
        <v>14</v>
      </c>
      <c r="B24" s="45">
        <f>(B23/B$4)*100</f>
        <v>0</v>
      </c>
      <c r="C24" s="45">
        <f t="shared" ref="C24" si="24">(C23/C$4)*100</f>
        <v>0</v>
      </c>
      <c r="D24" s="45">
        <f t="shared" ref="D24" si="25">(D23/D$4)*100</f>
        <v>0</v>
      </c>
      <c r="E24" s="54">
        <f t="shared" ref="E24" si="26">(E23/E$4)*100</f>
        <v>0</v>
      </c>
      <c r="F24" s="54">
        <f t="shared" ref="F24" si="27">(F23/F$4)*100</f>
        <v>0</v>
      </c>
      <c r="G24" s="54">
        <f t="shared" ref="G24" si="28">(G23/G$4)*100</f>
        <v>0</v>
      </c>
      <c r="H24" s="54">
        <f t="shared" ref="H24" si="29">(H23/H$4)*100</f>
        <v>0</v>
      </c>
      <c r="I24" s="54">
        <f t="shared" ref="I24" si="30">(I23/I$4)*100</f>
        <v>0</v>
      </c>
      <c r="J24" s="54">
        <f t="shared" ref="J24" si="31">(J23/J$4)*100</f>
        <v>0</v>
      </c>
      <c r="K24" s="54">
        <f t="shared" ref="K24" si="32">(K23/K$4)*100</f>
        <v>0</v>
      </c>
      <c r="L24" s="54">
        <f t="shared" ref="L24" si="33">(L23/L$4)*100</f>
        <v>0</v>
      </c>
      <c r="M24" s="54">
        <f t="shared" ref="M24" si="34">(M23/M$4)*100</f>
        <v>0</v>
      </c>
      <c r="N24" s="57">
        <f t="shared" ref="N24" si="35">(N23/N$4)*100</f>
        <v>0</v>
      </c>
      <c r="O24" s="54">
        <f t="shared" ref="O24" si="36">(O23/O$4)*100</f>
        <v>0</v>
      </c>
      <c r="P24" s="54">
        <f t="shared" ref="P24" si="37">(P23/P$4)*100</f>
        <v>0</v>
      </c>
      <c r="Q24" s="54">
        <f t="shared" ref="Q24" si="38">(Q23/Q$4)*100</f>
        <v>0</v>
      </c>
      <c r="R24" s="54">
        <f t="shared" ref="R24" si="39">(R23/R$4)*100</f>
        <v>0</v>
      </c>
      <c r="S24" s="54">
        <f t="shared" ref="S24" si="40">(S23/S$4)*100</f>
        <v>0</v>
      </c>
      <c r="T24" s="54">
        <f t="shared" ref="T24" si="41">(T23/T$4)*100</f>
        <v>0</v>
      </c>
      <c r="U24" s="54">
        <f t="shared" ref="U24" si="42">(U23/U$4)*100</f>
        <v>0</v>
      </c>
      <c r="V24" s="54">
        <f t="shared" ref="V24" si="43">(V23/V$4)*100</f>
        <v>0</v>
      </c>
      <c r="W24" s="54">
        <f t="shared" ref="W24" si="44">(W23/W$4)*100</f>
        <v>0</v>
      </c>
      <c r="X24" s="54">
        <f t="shared" ref="X24" si="45">(X23/X$4)*100</f>
        <v>0</v>
      </c>
      <c r="Y24" s="54">
        <f t="shared" ref="Y24" si="46">(Y23/Y$4)*100</f>
        <v>11.577712609970675</v>
      </c>
      <c r="Z24" s="54">
        <f t="shared" ref="Z24" si="47">(Z23/Z$4)*100</f>
        <v>11.249781811834527</v>
      </c>
      <c r="AA24" s="54">
        <f t="shared" ref="AA24" si="48">(AA23/AA$4)*100</f>
        <v>11.35087116001834</v>
      </c>
      <c r="AB24" s="54">
        <f t="shared" ref="AB24" si="49">(AB23/AB$4)*100</f>
        <v>11.278554189818713</v>
      </c>
      <c r="AC24" s="54">
        <f t="shared" ref="AC24" si="50">(AC23/AC$4)*100</f>
        <v>11.257878870923541</v>
      </c>
      <c r="AD24" s="54">
        <f t="shared" ref="AD24:AE24" si="51">(AD23/AD$4)*100</f>
        <v>11.057053224863083</v>
      </c>
      <c r="AE24" s="54">
        <f t="shared" si="51"/>
        <v>11.090818962143546</v>
      </c>
      <c r="AF24" s="54">
        <f t="shared" ref="AF24:AG24" si="52">(AF23/AF$4)*100</f>
        <v>10.98803157626687</v>
      </c>
      <c r="AG24" s="54">
        <f t="shared" si="52"/>
        <v>10.75292833035537</v>
      </c>
      <c r="AH24" s="54">
        <f t="shared" ref="AH24:AI24" si="53">(AH23/AH$4)*100</f>
        <v>10.743962291656544</v>
      </c>
      <c r="AI24" s="54">
        <f t="shared" si="53"/>
        <v>10.864327122647136</v>
      </c>
      <c r="AJ24" s="54">
        <f t="shared" ref="AJ24:AK24" si="54">(AJ23/AJ$4)*100</f>
        <v>11.031491608523478</v>
      </c>
      <c r="AK24" s="54">
        <f t="shared" si="54"/>
        <v>11.492354162733623</v>
      </c>
      <c r="AL24" s="54">
        <f t="shared" ref="AL24:AM24" si="55">(AL23/AL$4)*100</f>
        <v>11.715540112225014</v>
      </c>
      <c r="AM24" s="54">
        <f t="shared" si="55"/>
        <v>11.812564852372418</v>
      </c>
      <c r="AN24" s="54">
        <f t="shared" ref="AN24" si="56">(AN23/AN$4)*100</f>
        <v>12.217549362035783</v>
      </c>
    </row>
    <row r="25" spans="1:40">
      <c r="A25" s="8" t="s">
        <v>32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3"/>
      <c r="Z25" s="53"/>
      <c r="AA25" s="53"/>
      <c r="AB25" s="8"/>
      <c r="AC25" s="8"/>
      <c r="AD25" s="8"/>
      <c r="AE25" s="8"/>
      <c r="AF25" s="8"/>
      <c r="AI25" s="139"/>
    </row>
    <row r="26" spans="1:40">
      <c r="A26" s="8" t="s">
        <v>33</v>
      </c>
      <c r="B26" s="21"/>
      <c r="C26" s="46"/>
      <c r="D26" s="46"/>
      <c r="E26" s="8"/>
      <c r="F26" s="8"/>
      <c r="G26" s="8"/>
      <c r="H26" s="8"/>
      <c r="I26" s="8"/>
      <c r="J26" s="8"/>
      <c r="K26" s="8"/>
      <c r="L26" s="8"/>
      <c r="M26" s="8"/>
      <c r="N26" s="15"/>
      <c r="O26" s="8"/>
      <c r="P26" s="8"/>
      <c r="Q26" s="8"/>
      <c r="R26" s="8"/>
      <c r="S26" s="8"/>
      <c r="T26" s="8"/>
      <c r="U26" s="8"/>
      <c r="V26" s="8"/>
      <c r="W26" s="8"/>
      <c r="X26" s="8"/>
      <c r="Y26" s="8">
        <v>206</v>
      </c>
      <c r="Z26" s="8">
        <v>219</v>
      </c>
      <c r="AA26" s="8">
        <v>225</v>
      </c>
      <c r="AB26" s="8">
        <v>219</v>
      </c>
      <c r="AC26" s="8">
        <v>235</v>
      </c>
      <c r="AD26" s="8">
        <v>252</v>
      </c>
      <c r="AE26" s="8">
        <f>89+142+56</f>
        <v>287</v>
      </c>
      <c r="AF26" s="8">
        <v>317</v>
      </c>
      <c r="AG26" s="12">
        <v>333</v>
      </c>
      <c r="AH26" s="12">
        <v>350</v>
      </c>
      <c r="AI26" s="139">
        <v>361</v>
      </c>
      <c r="AJ26" s="12">
        <v>383</v>
      </c>
      <c r="AK26" s="12">
        <v>381</v>
      </c>
      <c r="AL26" s="12">
        <v>396</v>
      </c>
      <c r="AM26" s="12">
        <v>384</v>
      </c>
      <c r="AN26" s="12">
        <v>391</v>
      </c>
    </row>
    <row r="27" spans="1:40">
      <c r="A27" s="8" t="s">
        <v>34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2142</v>
      </c>
      <c r="Z27" s="8">
        <v>2169</v>
      </c>
      <c r="AA27" s="8">
        <v>2213</v>
      </c>
      <c r="AB27" s="8">
        <v>2280</v>
      </c>
      <c r="AC27" s="8">
        <v>2306</v>
      </c>
      <c r="AD27" s="8">
        <v>2339</v>
      </c>
      <c r="AE27" s="12">
        <f>99+189+106+91+174+96+101+225+90+43+153+42+46+100+39+51+125+54+65+138+62+76+158+57</f>
        <v>2380</v>
      </c>
      <c r="AF27" s="12">
        <v>2367</v>
      </c>
      <c r="AG27" s="12">
        <v>2350</v>
      </c>
      <c r="AH27" s="12">
        <v>2385</v>
      </c>
      <c r="AI27" s="139">
        <v>2441</v>
      </c>
      <c r="AJ27" s="12">
        <v>2509</v>
      </c>
      <c r="AK27" s="12">
        <v>2548</v>
      </c>
      <c r="AL27" s="12">
        <v>2546</v>
      </c>
      <c r="AM27" s="12">
        <v>2586</v>
      </c>
      <c r="AN27" s="12">
        <v>2708</v>
      </c>
    </row>
    <row r="28" spans="1:40">
      <c r="A28" s="8" t="s">
        <v>35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278</v>
      </c>
      <c r="Z28" s="8">
        <v>281</v>
      </c>
      <c r="AA28" s="8">
        <v>299</v>
      </c>
      <c r="AB28" s="8">
        <v>309</v>
      </c>
      <c r="AC28" s="8">
        <v>303</v>
      </c>
      <c r="AD28" s="8">
        <v>319</v>
      </c>
      <c r="AE28" s="8">
        <f>82+169+74</f>
        <v>325</v>
      </c>
      <c r="AF28" s="8">
        <v>324</v>
      </c>
      <c r="AG28" s="12">
        <v>332</v>
      </c>
      <c r="AH28" s="12">
        <v>327</v>
      </c>
      <c r="AI28" s="139">
        <v>349</v>
      </c>
      <c r="AJ28" s="12">
        <v>355</v>
      </c>
      <c r="AK28" s="12">
        <v>377</v>
      </c>
      <c r="AL28" s="12">
        <v>372</v>
      </c>
      <c r="AM28" s="12">
        <v>418</v>
      </c>
      <c r="AN28" s="12">
        <v>356</v>
      </c>
    </row>
    <row r="29" spans="1:40">
      <c r="A29" s="8" t="s">
        <v>36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>
        <v>105</v>
      </c>
      <c r="Z29" s="8">
        <v>104</v>
      </c>
      <c r="AA29" s="8">
        <v>112</v>
      </c>
      <c r="AB29" s="8">
        <v>111</v>
      </c>
      <c r="AC29" s="8">
        <v>114</v>
      </c>
      <c r="AD29" s="8">
        <v>114</v>
      </c>
      <c r="AE29" s="8">
        <f>32+58+26</f>
        <v>116</v>
      </c>
      <c r="AF29" s="8">
        <v>128</v>
      </c>
      <c r="AG29" s="12">
        <v>123</v>
      </c>
      <c r="AH29" s="12">
        <v>122</v>
      </c>
      <c r="AI29" s="139">
        <v>127</v>
      </c>
      <c r="AJ29" s="12">
        <v>119</v>
      </c>
      <c r="AK29" s="12">
        <v>136</v>
      </c>
      <c r="AL29" s="12">
        <v>143</v>
      </c>
      <c r="AM29" s="12">
        <v>147</v>
      </c>
      <c r="AN29" s="12">
        <v>154</v>
      </c>
    </row>
    <row r="30" spans="1:40">
      <c r="A30" s="8" t="s">
        <v>37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I30" s="139"/>
    </row>
    <row r="31" spans="1:40">
      <c r="A31" s="8" t="s">
        <v>38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I31" s="139"/>
    </row>
    <row r="32" spans="1:40">
      <c r="A32" s="8" t="s">
        <v>39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v>264</v>
      </c>
      <c r="Z32" s="8">
        <v>109</v>
      </c>
      <c r="AA32" s="8">
        <v>104</v>
      </c>
      <c r="AB32" s="8">
        <v>116</v>
      </c>
      <c r="AC32" s="8">
        <v>120</v>
      </c>
      <c r="AD32" s="8">
        <v>123</v>
      </c>
      <c r="AE32" s="8">
        <f>38+60+33</f>
        <v>131</v>
      </c>
      <c r="AF32" s="8">
        <v>127</v>
      </c>
      <c r="AG32" s="12">
        <v>146</v>
      </c>
      <c r="AH32" s="12">
        <v>151</v>
      </c>
      <c r="AI32" s="139">
        <v>164</v>
      </c>
      <c r="AJ32" s="12">
        <v>162</v>
      </c>
      <c r="AK32" s="12">
        <v>151</v>
      </c>
      <c r="AL32" s="12">
        <v>177</v>
      </c>
      <c r="AM32" s="12">
        <v>195</v>
      </c>
      <c r="AN32" s="12">
        <v>235</v>
      </c>
    </row>
    <row r="33" spans="1:40">
      <c r="A33" s="8" t="s">
        <v>40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126</v>
      </c>
      <c r="Z33" s="8">
        <v>139</v>
      </c>
      <c r="AA33" s="8">
        <v>150</v>
      </c>
      <c r="AB33" s="8">
        <v>148</v>
      </c>
      <c r="AC33" s="8">
        <v>151</v>
      </c>
      <c r="AD33" s="8">
        <v>139</v>
      </c>
      <c r="AE33" s="8">
        <f>51+64+39</f>
        <v>154</v>
      </c>
      <c r="AF33" s="8">
        <v>154</v>
      </c>
      <c r="AG33" s="12">
        <v>168</v>
      </c>
      <c r="AH33" s="12">
        <v>196</v>
      </c>
      <c r="AI33" s="139">
        <v>208</v>
      </c>
      <c r="AJ33" s="12">
        <v>210</v>
      </c>
      <c r="AK33" s="12">
        <v>205</v>
      </c>
      <c r="AL33" s="12">
        <v>206</v>
      </c>
      <c r="AM33" s="12">
        <v>188</v>
      </c>
      <c r="AN33" s="12">
        <v>184</v>
      </c>
    </row>
    <row r="34" spans="1:40">
      <c r="A34" s="8" t="s">
        <v>41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205</v>
      </c>
      <c r="Z34" s="8">
        <v>209</v>
      </c>
      <c r="AA34" s="8">
        <v>216</v>
      </c>
      <c r="AB34" s="8">
        <v>219</v>
      </c>
      <c r="AC34" s="8">
        <v>232</v>
      </c>
      <c r="AD34" s="8">
        <v>228</v>
      </c>
      <c r="AE34" s="8">
        <f>55+108+47</f>
        <v>210</v>
      </c>
      <c r="AF34" s="8">
        <v>237</v>
      </c>
      <c r="AG34" s="12">
        <v>248</v>
      </c>
      <c r="AH34" s="12">
        <v>257</v>
      </c>
      <c r="AI34" s="139">
        <v>270</v>
      </c>
      <c r="AJ34" s="12">
        <v>274</v>
      </c>
      <c r="AK34" s="12">
        <v>374</v>
      </c>
      <c r="AL34" s="12">
        <v>375</v>
      </c>
      <c r="AM34" s="12">
        <v>261</v>
      </c>
      <c r="AN34" s="12">
        <v>264</v>
      </c>
    </row>
    <row r="35" spans="1:40">
      <c r="A35" s="8" t="s">
        <v>42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259</v>
      </c>
      <c r="Z35" s="8">
        <v>251</v>
      </c>
      <c r="AA35" s="8">
        <v>252</v>
      </c>
      <c r="AB35" s="8">
        <v>260</v>
      </c>
      <c r="AC35" s="8">
        <v>263</v>
      </c>
      <c r="AD35" s="8">
        <v>263</v>
      </c>
      <c r="AE35" s="8">
        <f>56+120+75</f>
        <v>251</v>
      </c>
      <c r="AF35" s="8">
        <v>228</v>
      </c>
      <c r="AG35" s="12">
        <v>215</v>
      </c>
      <c r="AH35" s="12">
        <v>209</v>
      </c>
      <c r="AI35" s="139">
        <v>205</v>
      </c>
      <c r="AJ35" s="12">
        <v>230</v>
      </c>
      <c r="AK35" s="12">
        <v>237</v>
      </c>
      <c r="AL35" s="12">
        <v>267</v>
      </c>
      <c r="AM35" s="12">
        <v>282</v>
      </c>
      <c r="AN35" s="12">
        <v>280</v>
      </c>
    </row>
    <row r="36" spans="1:40">
      <c r="A36" s="8" t="s">
        <v>43</v>
      </c>
      <c r="B36" s="6"/>
      <c r="C36" s="6"/>
      <c r="D36" s="6"/>
      <c r="E36" s="17"/>
      <c r="F36" s="8"/>
      <c r="G36" s="8"/>
      <c r="H36" s="8"/>
      <c r="I36" s="8"/>
      <c r="J36" s="8"/>
      <c r="K36" s="8"/>
      <c r="L36" s="8"/>
      <c r="M36" s="8"/>
      <c r="N36" s="15"/>
      <c r="O36" s="8"/>
      <c r="P36" s="8"/>
      <c r="Q36" s="8"/>
      <c r="R36" s="8"/>
      <c r="S36" s="8"/>
      <c r="T36" s="8"/>
      <c r="U36" s="8"/>
      <c r="V36" s="8"/>
      <c r="W36" s="8"/>
      <c r="X36" s="8"/>
      <c r="Y36" s="8">
        <v>363</v>
      </c>
      <c r="Z36" s="8">
        <v>386</v>
      </c>
      <c r="AA36" s="8">
        <v>390</v>
      </c>
      <c r="AB36" s="8">
        <v>357</v>
      </c>
      <c r="AC36" s="8">
        <v>384</v>
      </c>
      <c r="AD36" s="8">
        <v>382</v>
      </c>
      <c r="AE36" s="8">
        <f>104+203+90</f>
        <v>397</v>
      </c>
      <c r="AF36" s="8">
        <v>433</v>
      </c>
      <c r="AG36" s="12">
        <v>418</v>
      </c>
      <c r="AH36" s="12">
        <v>425</v>
      </c>
      <c r="AI36" s="139">
        <v>429</v>
      </c>
      <c r="AJ36" s="12">
        <v>438</v>
      </c>
      <c r="AK36" s="12">
        <v>461</v>
      </c>
      <c r="AL36" s="12">
        <v>508</v>
      </c>
      <c r="AM36" s="12">
        <v>548</v>
      </c>
      <c r="AN36" s="12">
        <v>570</v>
      </c>
    </row>
    <row r="37" spans="1:40">
      <c r="A37" s="9" t="s">
        <v>44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0"/>
      <c r="AI37" s="141"/>
      <c r="AJ37" s="110"/>
      <c r="AK37" s="110"/>
      <c r="AL37" s="110"/>
    </row>
    <row r="38" spans="1:40">
      <c r="A38" s="53" t="s">
        <v>45</v>
      </c>
      <c r="B38" s="21"/>
      <c r="C38" s="21"/>
      <c r="D38" s="21"/>
      <c r="E38" s="53"/>
      <c r="F38" s="53"/>
      <c r="G38" s="53"/>
      <c r="H38" s="53"/>
      <c r="I38" s="53"/>
      <c r="J38" s="53"/>
      <c r="K38" s="53"/>
      <c r="L38" s="53"/>
      <c r="M38" s="53"/>
      <c r="N38" s="56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>
        <f>SUM(Y40:Y51)</f>
        <v>9654</v>
      </c>
      <c r="Z38" s="53">
        <f t="shared" ref="Z38:AD38" si="57">SUM(Z40:Z51)</f>
        <v>9639</v>
      </c>
      <c r="AA38" s="53">
        <f t="shared" si="57"/>
        <v>9707</v>
      </c>
      <c r="AB38" s="53">
        <f t="shared" si="57"/>
        <v>9898</v>
      </c>
      <c r="AC38" s="53">
        <f t="shared" si="57"/>
        <v>10084</v>
      </c>
      <c r="AD38" s="53">
        <f t="shared" si="57"/>
        <v>10461</v>
      </c>
      <c r="AE38" s="53">
        <f t="shared" ref="AE38:AF38" si="58">SUM(AE40:AE51)</f>
        <v>10523</v>
      </c>
      <c r="AF38" s="53">
        <f t="shared" si="58"/>
        <v>10687</v>
      </c>
      <c r="AG38" s="53">
        <f t="shared" ref="AG38" si="59">SUM(AG40:AG51)</f>
        <v>10822</v>
      </c>
      <c r="AH38" s="136">
        <f t="shared" ref="AH38:AI38" si="60">SUM(AH40:AH51)</f>
        <v>11103</v>
      </c>
      <c r="AI38" s="136">
        <f t="shared" si="60"/>
        <v>11174</v>
      </c>
      <c r="AJ38" s="136">
        <f t="shared" ref="AJ38:AK38" si="61">SUM(AJ40:AJ51)</f>
        <v>11361</v>
      </c>
      <c r="AK38" s="136">
        <f t="shared" si="61"/>
        <v>11166</v>
      </c>
      <c r="AL38" s="136">
        <f t="shared" ref="AL38:AM38" si="62">SUM(AL40:AL51)</f>
        <v>11418</v>
      </c>
      <c r="AM38" s="136">
        <f t="shared" si="62"/>
        <v>11341</v>
      </c>
      <c r="AN38" s="136">
        <f t="shared" ref="AN38" si="63">SUM(AN40:AN51)</f>
        <v>11281</v>
      </c>
    </row>
    <row r="39" spans="1:40">
      <c r="A39" s="50" t="s">
        <v>14</v>
      </c>
      <c r="B39" s="45">
        <f>(B38/B$4)*100</f>
        <v>0</v>
      </c>
      <c r="C39" s="45">
        <f t="shared" ref="C39" si="64">(C38/C$4)*100</f>
        <v>0</v>
      </c>
      <c r="D39" s="45">
        <f t="shared" ref="D39" si="65">(D38/D$4)*100</f>
        <v>0</v>
      </c>
      <c r="E39" s="54">
        <f t="shared" ref="E39" si="66">(E38/E$4)*100</f>
        <v>0</v>
      </c>
      <c r="F39" s="54">
        <f t="shared" ref="F39" si="67">(F38/F$4)*100</f>
        <v>0</v>
      </c>
      <c r="G39" s="54">
        <f t="shared" ref="G39" si="68">(G38/G$4)*100</f>
        <v>0</v>
      </c>
      <c r="H39" s="54">
        <f t="shared" ref="H39" si="69">(H38/H$4)*100</f>
        <v>0</v>
      </c>
      <c r="I39" s="54">
        <f t="shared" ref="I39" si="70">(I38/I$4)*100</f>
        <v>0</v>
      </c>
      <c r="J39" s="54">
        <f t="shared" ref="J39" si="71">(J38/J$4)*100</f>
        <v>0</v>
      </c>
      <c r="K39" s="54">
        <f t="shared" ref="K39" si="72">(K38/K$4)*100</f>
        <v>0</v>
      </c>
      <c r="L39" s="54">
        <f t="shared" ref="L39" si="73">(L38/L$4)*100</f>
        <v>0</v>
      </c>
      <c r="M39" s="54">
        <f t="shared" ref="M39" si="74">(M38/M$4)*100</f>
        <v>0</v>
      </c>
      <c r="N39" s="57">
        <f t="shared" ref="N39" si="75">(N38/N$4)*100</f>
        <v>0</v>
      </c>
      <c r="O39" s="54">
        <f t="shared" ref="O39" si="76">(O38/O$4)*100</f>
        <v>0</v>
      </c>
      <c r="P39" s="54">
        <f t="shared" ref="P39" si="77">(P38/P$4)*100</f>
        <v>0</v>
      </c>
      <c r="Q39" s="54">
        <f t="shared" ref="Q39" si="78">(Q38/Q$4)*100</f>
        <v>0</v>
      </c>
      <c r="R39" s="54">
        <f t="shared" ref="R39" si="79">(R38/R$4)*100</f>
        <v>0</v>
      </c>
      <c r="S39" s="54">
        <f t="shared" ref="S39" si="80">(S38/S$4)*100</f>
        <v>0</v>
      </c>
      <c r="T39" s="54">
        <f t="shared" ref="T39" si="81">(T38/T$4)*100</f>
        <v>0</v>
      </c>
      <c r="U39" s="54">
        <f t="shared" ref="U39" si="82">(U38/U$4)*100</f>
        <v>0</v>
      </c>
      <c r="V39" s="54">
        <f t="shared" ref="V39" si="83">(V38/V$4)*100</f>
        <v>0</v>
      </c>
      <c r="W39" s="54">
        <f t="shared" ref="W39" si="84">(W38/W$4)*100</f>
        <v>0</v>
      </c>
      <c r="X39" s="54">
        <f t="shared" ref="X39" si="85">(X38/X$4)*100</f>
        <v>0</v>
      </c>
      <c r="Y39" s="54">
        <f t="shared" ref="Y39" si="86">(Y38/Y$4)*100</f>
        <v>28.310850439882696</v>
      </c>
      <c r="Z39" s="54">
        <f t="shared" ref="Z39" si="87">(Z38/Z$4)*100</f>
        <v>28.041543026706233</v>
      </c>
      <c r="AA39" s="54">
        <f t="shared" ref="AA39" si="88">(AA38/AA$4)*100</f>
        <v>27.816941769830354</v>
      </c>
      <c r="AB39" s="54">
        <f t="shared" ref="AB39" si="89">(AB38/AB$4)*100</f>
        <v>27.77684234158388</v>
      </c>
      <c r="AC39" s="54">
        <f t="shared" ref="AC39" si="90">(AC38/AC$4)*100</f>
        <v>27.634968484516303</v>
      </c>
      <c r="AD39" s="54">
        <f t="shared" ref="AD39:AE39" si="91">(AD38/AD$4)*100</f>
        <v>27.811453182325728</v>
      </c>
      <c r="AE39" s="54">
        <f t="shared" si="91"/>
        <v>27.454407889587518</v>
      </c>
      <c r="AF39" s="54">
        <f t="shared" ref="AF39:AG39" si="92">(AF38/AF$4)*100</f>
        <v>27.214158390628977</v>
      </c>
      <c r="AG39" s="54">
        <f t="shared" si="92"/>
        <v>26.85626364899742</v>
      </c>
      <c r="AH39" s="54">
        <f t="shared" ref="AH39:AI39" si="93">(AH38/AH$4)*100</f>
        <v>26.976529471791633</v>
      </c>
      <c r="AI39" s="54">
        <f t="shared" si="93"/>
        <v>26.657442087935685</v>
      </c>
      <c r="AJ39" s="54">
        <f t="shared" ref="AJ39:AK39" si="94">(AJ38/AJ$4)*100</f>
        <v>26.779653026588722</v>
      </c>
      <c r="AK39" s="54">
        <f t="shared" si="94"/>
        <v>26.349820653199924</v>
      </c>
      <c r="AL39" s="54">
        <f t="shared" ref="AL39:AM39" si="95">(AL38/AL$4)*100</f>
        <v>26.807221843964975</v>
      </c>
      <c r="AM39" s="54">
        <f t="shared" si="95"/>
        <v>26.745118385058014</v>
      </c>
      <c r="AN39" s="54">
        <f t="shared" ref="AN39" si="96">(AN38/AN$4)*100</f>
        <v>26.804001235535914</v>
      </c>
    </row>
    <row r="40" spans="1:40">
      <c r="A40" s="8" t="s">
        <v>46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2341</v>
      </c>
      <c r="Z40" s="8">
        <v>2299</v>
      </c>
      <c r="AA40" s="8">
        <v>2310</v>
      </c>
      <c r="AB40" s="8">
        <v>2366</v>
      </c>
      <c r="AC40" s="8">
        <v>2341</v>
      </c>
      <c r="AD40" s="8">
        <v>2378</v>
      </c>
      <c r="AE40" s="8">
        <f>105+210+91+72+134+71+89+203+83+65+140+64+38+85+31+47+104+53+173+335+169</f>
        <v>2362</v>
      </c>
      <c r="AF40" s="8">
        <v>2376</v>
      </c>
      <c r="AG40" s="12">
        <v>2415</v>
      </c>
      <c r="AH40" s="12">
        <v>2419</v>
      </c>
      <c r="AI40" s="139">
        <v>2411</v>
      </c>
      <c r="AJ40" s="12">
        <v>2440</v>
      </c>
      <c r="AK40" s="12">
        <v>2264</v>
      </c>
      <c r="AL40" s="12">
        <v>2404</v>
      </c>
      <c r="AM40" s="12">
        <v>2356</v>
      </c>
      <c r="AN40" s="12">
        <v>2322</v>
      </c>
    </row>
    <row r="41" spans="1:40">
      <c r="A41" s="8" t="s">
        <v>47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622</v>
      </c>
      <c r="Z41" s="8">
        <v>632</v>
      </c>
      <c r="AA41" s="8">
        <v>658</v>
      </c>
      <c r="AB41" s="8">
        <v>664</v>
      </c>
      <c r="AC41" s="8">
        <v>683</v>
      </c>
      <c r="AD41" s="8">
        <v>694</v>
      </c>
      <c r="AE41" s="8">
        <f>195+354+171</f>
        <v>720</v>
      </c>
      <c r="AF41" s="8">
        <v>724</v>
      </c>
      <c r="AG41" s="12">
        <v>733</v>
      </c>
      <c r="AH41" s="12">
        <v>734</v>
      </c>
      <c r="AI41" s="139">
        <v>759</v>
      </c>
      <c r="AJ41" s="12">
        <v>775</v>
      </c>
      <c r="AK41" s="12">
        <v>779</v>
      </c>
      <c r="AL41" s="12">
        <v>787</v>
      </c>
      <c r="AM41" s="12">
        <v>783</v>
      </c>
      <c r="AN41" s="12">
        <v>778</v>
      </c>
    </row>
    <row r="42" spans="1:40">
      <c r="A42" s="8" t="s">
        <v>48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309</v>
      </c>
      <c r="Z42" s="8">
        <v>296</v>
      </c>
      <c r="AA42" s="8">
        <v>289</v>
      </c>
      <c r="AB42" s="8">
        <v>305</v>
      </c>
      <c r="AC42" s="8">
        <v>302</v>
      </c>
      <c r="AD42" s="8">
        <v>287</v>
      </c>
      <c r="AE42" s="8">
        <f>91+142+73</f>
        <v>306</v>
      </c>
      <c r="AF42" s="8">
        <v>315</v>
      </c>
      <c r="AG42" s="12">
        <v>333</v>
      </c>
      <c r="AH42" s="12">
        <v>357</v>
      </c>
      <c r="AI42" s="139">
        <v>349</v>
      </c>
      <c r="AJ42" s="12">
        <v>328</v>
      </c>
      <c r="AK42" s="12">
        <v>339</v>
      </c>
      <c r="AL42" s="12">
        <v>334</v>
      </c>
      <c r="AM42" s="12">
        <v>318</v>
      </c>
      <c r="AN42" s="12">
        <v>316</v>
      </c>
    </row>
    <row r="43" spans="1:40">
      <c r="A43" s="8" t="s">
        <v>49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8"/>
      <c r="M43" s="8"/>
      <c r="N43" s="15"/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392</v>
      </c>
      <c r="Z43" s="8">
        <v>391</v>
      </c>
      <c r="AA43" s="8">
        <v>386</v>
      </c>
      <c r="AB43" s="8">
        <v>354</v>
      </c>
      <c r="AC43" s="8">
        <v>351</v>
      </c>
      <c r="AD43" s="8">
        <v>353</v>
      </c>
      <c r="AE43" s="8">
        <f>110+182+78</f>
        <v>370</v>
      </c>
      <c r="AF43" s="8">
        <v>400</v>
      </c>
      <c r="AG43" s="12">
        <v>423</v>
      </c>
      <c r="AH43" s="12">
        <v>453</v>
      </c>
      <c r="AI43" s="139">
        <v>462</v>
      </c>
      <c r="AJ43" s="12">
        <v>461</v>
      </c>
      <c r="AK43" s="12">
        <v>448</v>
      </c>
      <c r="AL43" s="12">
        <v>452</v>
      </c>
      <c r="AM43" s="12">
        <v>455</v>
      </c>
      <c r="AN43" s="12">
        <v>435</v>
      </c>
    </row>
    <row r="44" spans="1:40">
      <c r="A44" s="8" t="s">
        <v>50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1145</v>
      </c>
      <c r="Z44" s="8">
        <v>1146</v>
      </c>
      <c r="AA44" s="8">
        <v>1130</v>
      </c>
      <c r="AB44" s="8">
        <v>1192</v>
      </c>
      <c r="AC44" s="8">
        <v>1238</v>
      </c>
      <c r="AD44" s="8">
        <v>1311</v>
      </c>
      <c r="AE44" s="8">
        <f>119+167+65+86+184+84+146+340+176</f>
        <v>1367</v>
      </c>
      <c r="AF44" s="8">
        <v>1421</v>
      </c>
      <c r="AG44" s="12">
        <v>1476</v>
      </c>
      <c r="AH44" s="12">
        <v>1620</v>
      </c>
      <c r="AI44" s="139">
        <v>1712</v>
      </c>
      <c r="AJ44" s="12">
        <v>1846</v>
      </c>
      <c r="AK44" s="12">
        <v>1870</v>
      </c>
      <c r="AL44" s="12">
        <v>1974</v>
      </c>
      <c r="AM44" s="12">
        <v>1865</v>
      </c>
      <c r="AN44" s="12">
        <v>1863</v>
      </c>
    </row>
    <row r="45" spans="1:40">
      <c r="A45" s="8" t="s">
        <v>51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8"/>
      <c r="M45" s="8"/>
      <c r="N45" s="15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567</v>
      </c>
      <c r="Z45" s="8">
        <v>551</v>
      </c>
      <c r="AA45" s="8">
        <v>554</v>
      </c>
      <c r="AB45" s="8">
        <v>558</v>
      </c>
      <c r="AC45" s="8">
        <v>576</v>
      </c>
      <c r="AD45" s="8">
        <v>587</v>
      </c>
      <c r="AE45" s="8">
        <f>21+47+32+117+269+123</f>
        <v>609</v>
      </c>
      <c r="AF45" s="8">
        <v>602</v>
      </c>
      <c r="AG45" s="12">
        <v>573</v>
      </c>
      <c r="AH45" s="12">
        <v>611</v>
      </c>
      <c r="AI45" s="139">
        <v>612</v>
      </c>
      <c r="AJ45" s="12">
        <v>601</v>
      </c>
      <c r="AK45" s="12">
        <v>570</v>
      </c>
      <c r="AL45" s="12">
        <v>583</v>
      </c>
      <c r="AM45" s="12">
        <v>618</v>
      </c>
      <c r="AN45" s="12">
        <v>666</v>
      </c>
    </row>
    <row r="46" spans="1:40">
      <c r="A46" s="8" t="s">
        <v>52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905</v>
      </c>
      <c r="Z46" s="8">
        <v>928</v>
      </c>
      <c r="AA46" s="8">
        <v>946</v>
      </c>
      <c r="AB46" s="8">
        <v>993</v>
      </c>
      <c r="AC46" s="8">
        <v>1027</v>
      </c>
      <c r="AD46" s="8">
        <v>1055</v>
      </c>
      <c r="AE46" s="8">
        <f>99+212+111+55+92+52+61+92+45+60+125+64</f>
        <v>1068</v>
      </c>
      <c r="AF46" s="8">
        <v>1059</v>
      </c>
      <c r="AG46" s="12">
        <v>1072</v>
      </c>
      <c r="AH46" s="12">
        <v>1049</v>
      </c>
      <c r="AI46" s="139">
        <v>1030</v>
      </c>
      <c r="AJ46" s="12">
        <v>1062</v>
      </c>
      <c r="AK46" s="12">
        <v>1072</v>
      </c>
      <c r="AL46" s="12">
        <v>1082</v>
      </c>
      <c r="AM46" s="12">
        <v>1067</v>
      </c>
      <c r="AN46" s="12">
        <v>1068</v>
      </c>
    </row>
    <row r="47" spans="1:40">
      <c r="A47" s="8" t="s">
        <v>53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516</v>
      </c>
      <c r="Z47" s="8">
        <v>534</v>
      </c>
      <c r="AA47" s="8">
        <v>531</v>
      </c>
      <c r="AB47" s="8">
        <v>538</v>
      </c>
      <c r="AC47" s="8">
        <v>541</v>
      </c>
      <c r="AD47" s="8">
        <v>539</v>
      </c>
      <c r="AE47" s="8">
        <f>83+130+66+76+145+68</f>
        <v>568</v>
      </c>
      <c r="AF47" s="8">
        <v>564</v>
      </c>
      <c r="AG47" s="12">
        <v>589</v>
      </c>
      <c r="AH47" s="12">
        <v>604</v>
      </c>
      <c r="AI47" s="139">
        <v>602</v>
      </c>
      <c r="AJ47" s="12">
        <v>608</v>
      </c>
      <c r="AK47" s="12">
        <v>613</v>
      </c>
      <c r="AL47" s="12">
        <v>614</v>
      </c>
      <c r="AM47" s="12">
        <v>635</v>
      </c>
      <c r="AN47" s="12">
        <v>618</v>
      </c>
    </row>
    <row r="48" spans="1:40">
      <c r="A48" s="8" t="s">
        <v>54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109</v>
      </c>
      <c r="Z48" s="8">
        <v>114</v>
      </c>
      <c r="AA48" s="8">
        <v>124</v>
      </c>
      <c r="AB48" s="8">
        <v>130</v>
      </c>
      <c r="AC48" s="8">
        <v>124</v>
      </c>
      <c r="AD48" s="8">
        <v>114</v>
      </c>
      <c r="AE48" s="8">
        <f>37+46+37</f>
        <v>120</v>
      </c>
      <c r="AF48" s="8">
        <v>116</v>
      </c>
      <c r="AG48" s="12">
        <v>130</v>
      </c>
      <c r="AH48" s="12">
        <v>147</v>
      </c>
      <c r="AI48" s="139">
        <v>158</v>
      </c>
      <c r="AJ48" s="12">
        <v>162</v>
      </c>
      <c r="AK48" s="12">
        <v>158</v>
      </c>
      <c r="AL48" s="12">
        <v>162</v>
      </c>
      <c r="AM48" s="12">
        <v>153</v>
      </c>
      <c r="AN48" s="12">
        <v>159</v>
      </c>
    </row>
    <row r="49" spans="1:40">
      <c r="A49" s="8" t="s">
        <v>55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8"/>
      <c r="M49" s="8"/>
      <c r="N49" s="15"/>
      <c r="O49" s="8"/>
      <c r="P49" s="8"/>
      <c r="Q49" s="8"/>
      <c r="R49" s="8"/>
      <c r="S49" s="8"/>
      <c r="T49" s="8"/>
      <c r="U49" s="8"/>
      <c r="V49" s="8"/>
      <c r="W49" s="8"/>
      <c r="X49" s="8"/>
      <c r="Y49" s="8">
        <v>1913</v>
      </c>
      <c r="Z49" s="8">
        <v>1903</v>
      </c>
      <c r="AA49" s="8">
        <v>1950</v>
      </c>
      <c r="AB49" s="8">
        <v>1990</v>
      </c>
      <c r="AC49" s="8">
        <v>2069</v>
      </c>
      <c r="AD49" s="8">
        <v>2119</v>
      </c>
      <c r="AE49" s="8">
        <f>107+247+106+65+134+64+125+228+126+84+195+92+98+192+87+57+108+47</f>
        <v>2162</v>
      </c>
      <c r="AF49" s="8">
        <v>2201</v>
      </c>
      <c r="AG49" s="12">
        <v>2150</v>
      </c>
      <c r="AH49" s="12">
        <v>2168</v>
      </c>
      <c r="AI49" s="139">
        <v>2141</v>
      </c>
      <c r="AJ49" s="12">
        <v>2125</v>
      </c>
      <c r="AK49" s="12">
        <v>2030</v>
      </c>
      <c r="AL49" s="12">
        <v>1995</v>
      </c>
      <c r="AM49" s="12">
        <v>2024</v>
      </c>
      <c r="AN49" s="12">
        <v>2018</v>
      </c>
    </row>
    <row r="50" spans="1:40">
      <c r="A50" s="8" t="s">
        <v>56</v>
      </c>
      <c r="B50" s="21"/>
      <c r="C50" s="21"/>
      <c r="D50" s="21"/>
      <c r="E50" s="8"/>
      <c r="F50" s="8"/>
      <c r="G50" s="8"/>
      <c r="H50" s="8"/>
      <c r="I50" s="8"/>
      <c r="J50" s="8"/>
      <c r="K50" s="8"/>
      <c r="L50" s="8"/>
      <c r="M50" s="8"/>
      <c r="N50" s="15"/>
      <c r="O50" s="8"/>
      <c r="P50" s="8"/>
      <c r="Q50" s="8"/>
      <c r="R50" s="8"/>
      <c r="S50" s="8"/>
      <c r="T50" s="8"/>
      <c r="U50" s="8"/>
      <c r="V50" s="8"/>
      <c r="W50" s="8"/>
      <c r="X50" s="8"/>
      <c r="Y50" s="8">
        <v>113</v>
      </c>
      <c r="Z50" s="8">
        <v>107</v>
      </c>
      <c r="AA50" s="8">
        <v>111</v>
      </c>
      <c r="AB50" s="8">
        <v>109</v>
      </c>
      <c r="AC50" s="8">
        <v>108</v>
      </c>
      <c r="AD50" s="8">
        <v>117</v>
      </c>
      <c r="AE50" s="8">
        <f>32+64+25</f>
        <v>121</v>
      </c>
      <c r="AF50" s="8">
        <v>124</v>
      </c>
      <c r="AG50" s="12">
        <v>127</v>
      </c>
      <c r="AH50" s="12">
        <v>132</v>
      </c>
      <c r="AI50" s="139">
        <v>124</v>
      </c>
      <c r="AJ50" s="12">
        <v>132</v>
      </c>
      <c r="AK50" s="12">
        <v>141</v>
      </c>
      <c r="AL50" s="12">
        <v>151</v>
      </c>
      <c r="AM50" s="12">
        <v>168</v>
      </c>
      <c r="AN50" s="12">
        <v>169</v>
      </c>
    </row>
    <row r="51" spans="1:40">
      <c r="A51" s="9" t="s">
        <v>57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722</v>
      </c>
      <c r="Z51" s="9">
        <v>738</v>
      </c>
      <c r="AA51" s="9">
        <v>718</v>
      </c>
      <c r="AB51" s="9">
        <v>699</v>
      </c>
      <c r="AC51" s="9">
        <v>724</v>
      </c>
      <c r="AD51" s="9">
        <v>907</v>
      </c>
      <c r="AE51" s="9">
        <f>113+221+100+92+157+67</f>
        <v>750</v>
      </c>
      <c r="AF51" s="9">
        <v>785</v>
      </c>
      <c r="AG51" s="110">
        <v>801</v>
      </c>
      <c r="AH51" s="12">
        <v>809</v>
      </c>
      <c r="AI51" s="141">
        <v>814</v>
      </c>
      <c r="AJ51" s="110">
        <v>821</v>
      </c>
      <c r="AK51" s="110">
        <v>882</v>
      </c>
      <c r="AL51" s="110">
        <v>880</v>
      </c>
      <c r="AM51" s="12">
        <v>899</v>
      </c>
      <c r="AN51" s="12">
        <v>869</v>
      </c>
    </row>
    <row r="52" spans="1:40">
      <c r="A52" s="53" t="s">
        <v>58</v>
      </c>
      <c r="B52" s="21"/>
      <c r="C52" s="21"/>
      <c r="D52" s="21"/>
      <c r="E52" s="53"/>
      <c r="F52" s="53"/>
      <c r="G52" s="53"/>
      <c r="H52" s="53"/>
      <c r="I52" s="53"/>
      <c r="J52" s="53"/>
      <c r="K52" s="53"/>
      <c r="L52" s="53"/>
      <c r="M52" s="53"/>
      <c r="N52" s="56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>
        <f>SUM(Y54:Y62)</f>
        <v>8184</v>
      </c>
      <c r="Z52" s="53">
        <f t="shared" ref="Z52:AD52" si="97">SUM(Z54:Z62)</f>
        <v>8286</v>
      </c>
      <c r="AA52" s="53">
        <f t="shared" si="97"/>
        <v>8356</v>
      </c>
      <c r="AB52" s="53">
        <f t="shared" si="97"/>
        <v>8530</v>
      </c>
      <c r="AC52" s="53">
        <f t="shared" si="97"/>
        <v>8763</v>
      </c>
      <c r="AD52" s="53">
        <f t="shared" si="97"/>
        <v>9079</v>
      </c>
      <c r="AE52" s="53">
        <f t="shared" ref="AE52:AF52" si="98">SUM(AE54:AE62)</f>
        <v>9222</v>
      </c>
      <c r="AF52" s="53">
        <f t="shared" si="98"/>
        <v>9508</v>
      </c>
      <c r="AG52" s="53">
        <f t="shared" ref="AG52:AH52" si="99">SUM(AG54:AG62)</f>
        <v>9682</v>
      </c>
      <c r="AH52" s="136">
        <f t="shared" si="99"/>
        <v>9814</v>
      </c>
      <c r="AI52" s="136">
        <f t="shared" ref="AI52:AJ52" si="100">SUM(AI54:AI62)</f>
        <v>9994</v>
      </c>
      <c r="AJ52" s="136">
        <f t="shared" si="100"/>
        <v>10107</v>
      </c>
      <c r="AK52" s="136">
        <f t="shared" ref="AK52:AL52" si="101">SUM(AK54:AK62)</f>
        <v>9980</v>
      </c>
      <c r="AL52" s="136">
        <f t="shared" si="101"/>
        <v>9977</v>
      </c>
      <c r="AM52" s="136">
        <f t="shared" ref="AM52:AN52" si="102">SUM(AM54:AM62)</f>
        <v>10153</v>
      </c>
      <c r="AN52" s="136">
        <f t="shared" si="102"/>
        <v>10029</v>
      </c>
    </row>
    <row r="53" spans="1:40">
      <c r="A53" s="50" t="s">
        <v>14</v>
      </c>
      <c r="B53" s="45">
        <f>(B52/B$4)*100</f>
        <v>0</v>
      </c>
      <c r="C53" s="45">
        <f t="shared" ref="C53" si="103">(C52/C$4)*100</f>
        <v>0</v>
      </c>
      <c r="D53" s="45">
        <f t="shared" ref="D53" si="104">(D52/D$4)*100</f>
        <v>0</v>
      </c>
      <c r="E53" s="54">
        <f t="shared" ref="E53" si="105">(E52/E$4)*100</f>
        <v>0</v>
      </c>
      <c r="F53" s="54">
        <f t="shared" ref="F53" si="106">(F52/F$4)*100</f>
        <v>0</v>
      </c>
      <c r="G53" s="54">
        <f t="shared" ref="G53" si="107">(G52/G$4)*100</f>
        <v>0</v>
      </c>
      <c r="H53" s="54">
        <f t="shared" ref="H53" si="108">(H52/H$4)*100</f>
        <v>0</v>
      </c>
      <c r="I53" s="54">
        <f t="shared" ref="I53" si="109">(I52/I$4)*100</f>
        <v>0</v>
      </c>
      <c r="J53" s="54">
        <f t="shared" ref="J53" si="110">(J52/J$4)*100</f>
        <v>0</v>
      </c>
      <c r="K53" s="54">
        <f t="shared" ref="K53" si="111">(K52/K$4)*100</f>
        <v>0</v>
      </c>
      <c r="L53" s="54">
        <f t="shared" ref="L53" si="112">(L52/L$4)*100</f>
        <v>0</v>
      </c>
      <c r="M53" s="54">
        <f t="shared" ref="M53" si="113">(M52/M$4)*100</f>
        <v>0</v>
      </c>
      <c r="N53" s="57">
        <f t="shared" ref="N53" si="114">(N52/N$4)*100</f>
        <v>0</v>
      </c>
      <c r="O53" s="54">
        <f t="shared" ref="O53" si="115">(O52/O$4)*100</f>
        <v>0</v>
      </c>
      <c r="P53" s="54">
        <f t="shared" ref="P53" si="116">(P52/P$4)*100</f>
        <v>0</v>
      </c>
      <c r="Q53" s="54">
        <f t="shared" ref="Q53" si="117">(Q52/Q$4)*100</f>
        <v>0</v>
      </c>
      <c r="R53" s="54">
        <f t="shared" ref="R53" si="118">(R52/R$4)*100</f>
        <v>0</v>
      </c>
      <c r="S53" s="54">
        <f t="shared" ref="S53" si="119">(S52/S$4)*100</f>
        <v>0</v>
      </c>
      <c r="T53" s="54">
        <f t="shared" ref="T53" si="120">(T52/T$4)*100</f>
        <v>0</v>
      </c>
      <c r="U53" s="54">
        <f t="shared" ref="U53" si="121">(U52/U$4)*100</f>
        <v>0</v>
      </c>
      <c r="V53" s="54">
        <f t="shared" ref="V53" si="122">(V52/V$4)*100</f>
        <v>0</v>
      </c>
      <c r="W53" s="54">
        <f t="shared" ref="W53" si="123">(W52/W$4)*100</f>
        <v>0</v>
      </c>
      <c r="X53" s="54">
        <f t="shared" ref="X53" si="124">(X52/X$4)*100</f>
        <v>0</v>
      </c>
      <c r="Y53" s="54">
        <f t="shared" ref="Y53" si="125">(Y52/Y$4)*100</f>
        <v>24</v>
      </c>
      <c r="Z53" s="54">
        <f t="shared" ref="Z53" si="126">(Z52/Z$4)*100</f>
        <v>24.105428521556991</v>
      </c>
      <c r="AA53" s="54">
        <f t="shared" ref="AA53" si="127">(AA52/AA$4)*100</f>
        <v>23.945437872535535</v>
      </c>
      <c r="AB53" s="54">
        <f t="shared" ref="AB53" si="128">(AB52/AB$4)*100</f>
        <v>23.937812201829715</v>
      </c>
      <c r="AC53" s="54">
        <f t="shared" ref="AC53" si="129">(AC52/AC$4)*100</f>
        <v>24.014798574952042</v>
      </c>
      <c r="AD53" s="54">
        <f t="shared" ref="AD53:AE53" si="130">(AD52/AD$4)*100</f>
        <v>24.13728930717286</v>
      </c>
      <c r="AE53" s="54">
        <f t="shared" si="130"/>
        <v>24.060111142998775</v>
      </c>
      <c r="AF53" s="54">
        <f t="shared" ref="AF53:AG53" si="131">(AF52/AF$4)*100</f>
        <v>24.211866564807742</v>
      </c>
      <c r="AG53" s="54">
        <f t="shared" si="131"/>
        <v>24.027198729402421</v>
      </c>
      <c r="AH53" s="54">
        <f t="shared" ref="AH53:AI53" si="132">(AH52/AH$4)*100</f>
        <v>23.844696049370718</v>
      </c>
      <c r="AI53" s="54">
        <f t="shared" si="132"/>
        <v>23.842355130376696</v>
      </c>
      <c r="AJ53" s="54">
        <f t="shared" ref="AJ53:AK53" si="133">(AJ52/AJ$4)*100</f>
        <v>23.823778993022817</v>
      </c>
      <c r="AK53" s="54">
        <f t="shared" si="133"/>
        <v>23.551066641495186</v>
      </c>
      <c r="AL53" s="54">
        <f t="shared" ref="AL53:AM53" si="134">(AL52/AL$4)*100</f>
        <v>23.424036813560914</v>
      </c>
      <c r="AM53" s="54">
        <f t="shared" si="134"/>
        <v>23.943495896613527</v>
      </c>
      <c r="AN53" s="54">
        <f t="shared" ref="AN53" si="135">(AN52/AN$4)*100</f>
        <v>23.829210920236651</v>
      </c>
    </row>
    <row r="54" spans="1:40">
      <c r="A54" s="8" t="s">
        <v>59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>
        <v>313</v>
      </c>
      <c r="Z54" s="8">
        <v>296</v>
      </c>
      <c r="AA54" s="8">
        <v>293</v>
      </c>
      <c r="AB54" s="8">
        <v>310</v>
      </c>
      <c r="AC54" s="8">
        <v>332</v>
      </c>
      <c r="AD54" s="8">
        <v>364</v>
      </c>
      <c r="AE54" s="8">
        <f>39+85+28+51+101+37</f>
        <v>341</v>
      </c>
      <c r="AF54" s="8">
        <v>382</v>
      </c>
      <c r="AG54" s="12">
        <v>379</v>
      </c>
      <c r="AH54" s="12">
        <v>425</v>
      </c>
      <c r="AI54" s="139">
        <v>480</v>
      </c>
      <c r="AJ54" s="12">
        <v>545</v>
      </c>
      <c r="AK54" s="12">
        <v>601</v>
      </c>
      <c r="AL54" s="12">
        <v>611</v>
      </c>
      <c r="AM54" s="12">
        <v>582</v>
      </c>
      <c r="AN54" s="12">
        <v>581</v>
      </c>
    </row>
    <row r="55" spans="1:40">
      <c r="A55" s="8" t="s">
        <v>60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8"/>
      <c r="M55" s="8"/>
      <c r="N55" s="1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I55" s="140"/>
    </row>
    <row r="56" spans="1:40">
      <c r="A56" s="8" t="s">
        <v>61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1243</v>
      </c>
      <c r="Z56" s="8">
        <v>1239</v>
      </c>
      <c r="AA56" s="8">
        <v>1254</v>
      </c>
      <c r="AB56" s="8">
        <v>1262</v>
      </c>
      <c r="AC56" s="8">
        <v>1271</v>
      </c>
      <c r="AD56" s="8">
        <v>1311</v>
      </c>
      <c r="AE56" s="8">
        <f>87+179+75+92+196+90+107+216+94+58+123+43</f>
        <v>1360</v>
      </c>
      <c r="AF56" s="8">
        <v>1414</v>
      </c>
      <c r="AG56" s="12">
        <v>1387</v>
      </c>
      <c r="AH56" s="12">
        <v>1353</v>
      </c>
      <c r="AI56" s="139">
        <v>1330</v>
      </c>
      <c r="AJ56" s="12">
        <v>1336</v>
      </c>
      <c r="AK56" s="12">
        <v>1310</v>
      </c>
      <c r="AL56" s="12">
        <v>1338</v>
      </c>
      <c r="AM56" s="12">
        <v>1352</v>
      </c>
      <c r="AN56" s="12">
        <v>1358</v>
      </c>
    </row>
    <row r="57" spans="1:40">
      <c r="A57" s="8" t="s">
        <v>62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151</v>
      </c>
      <c r="AA57" s="8">
        <v>168</v>
      </c>
      <c r="AB57" s="8">
        <v>153</v>
      </c>
      <c r="AC57" s="8">
        <v>162</v>
      </c>
      <c r="AD57" s="8">
        <v>172</v>
      </c>
      <c r="AE57" s="8">
        <f>48+95+34</f>
        <v>177</v>
      </c>
      <c r="AF57" s="8">
        <v>187</v>
      </c>
      <c r="AG57" s="12">
        <v>195</v>
      </c>
      <c r="AH57" s="12">
        <v>166</v>
      </c>
      <c r="AI57" s="139">
        <v>163</v>
      </c>
      <c r="AJ57" s="12">
        <v>156</v>
      </c>
      <c r="AK57" s="12">
        <v>153</v>
      </c>
      <c r="AL57" s="12">
        <v>160</v>
      </c>
      <c r="AM57" s="12">
        <v>174</v>
      </c>
      <c r="AN57" s="12">
        <v>170</v>
      </c>
    </row>
    <row r="58" spans="1:40">
      <c r="A58" s="8" t="s">
        <v>63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668</v>
      </c>
      <c r="Z58" s="8">
        <v>660</v>
      </c>
      <c r="AA58" s="8">
        <v>677</v>
      </c>
      <c r="AB58" s="8">
        <v>679</v>
      </c>
      <c r="AC58" s="8">
        <v>709</v>
      </c>
      <c r="AD58" s="8">
        <v>739</v>
      </c>
      <c r="AE58" s="8">
        <f>100+233+98+55+176+69</f>
        <v>731</v>
      </c>
      <c r="AF58" s="8">
        <v>734</v>
      </c>
      <c r="AG58" s="12">
        <v>732</v>
      </c>
      <c r="AH58" s="12">
        <v>732</v>
      </c>
      <c r="AI58" s="139">
        <v>797</v>
      </c>
      <c r="AJ58" s="12">
        <v>840</v>
      </c>
      <c r="AK58" s="12">
        <v>848</v>
      </c>
      <c r="AL58" s="12">
        <v>886</v>
      </c>
      <c r="AM58" s="12">
        <v>950</v>
      </c>
      <c r="AN58" s="12">
        <v>1010</v>
      </c>
    </row>
    <row r="59" spans="1:40">
      <c r="A59" s="8" t="s">
        <v>64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8"/>
      <c r="M59" s="8"/>
      <c r="N59" s="15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3463</v>
      </c>
      <c r="Z59" s="8">
        <v>3413</v>
      </c>
      <c r="AA59" s="8">
        <v>3385</v>
      </c>
      <c r="AB59" s="8">
        <v>3481</v>
      </c>
      <c r="AC59" s="8">
        <v>3571</v>
      </c>
      <c r="AD59" s="8">
        <v>3658</v>
      </c>
      <c r="AE59" s="8">
        <f>83+153+72+99+202+101+84+181+68+74+144+56+90+196+88+79+180+87+108+204+99+94+157+82+69+141+56+79+139+65+56+104+51+54+106+42</f>
        <v>3743</v>
      </c>
      <c r="AF59" s="8">
        <v>3897</v>
      </c>
      <c r="AG59" s="12">
        <v>4015</v>
      </c>
      <c r="AH59" s="12">
        <v>4039</v>
      </c>
      <c r="AI59" s="139">
        <v>4059</v>
      </c>
      <c r="AJ59" s="12">
        <v>4076</v>
      </c>
      <c r="AK59" s="12">
        <v>3868</v>
      </c>
      <c r="AL59" s="12">
        <v>3861</v>
      </c>
      <c r="AM59" s="12">
        <v>4036</v>
      </c>
      <c r="AN59" s="12">
        <v>3877</v>
      </c>
    </row>
    <row r="60" spans="1:40">
      <c r="A60" s="8" t="s">
        <v>65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2203</v>
      </c>
      <c r="Z60" s="8">
        <v>2223</v>
      </c>
      <c r="AA60" s="8">
        <v>2258</v>
      </c>
      <c r="AB60" s="8">
        <v>2298</v>
      </c>
      <c r="AC60" s="8">
        <v>2322</v>
      </c>
      <c r="AD60" s="8">
        <v>2429</v>
      </c>
      <c r="AE60" s="8">
        <f>131+277+143+133+252+135+70+141+69+82+159+72+98+206+93+41+41+78+176+72</f>
        <v>2469</v>
      </c>
      <c r="AF60" s="8">
        <v>2490</v>
      </c>
      <c r="AG60" s="12">
        <v>2544</v>
      </c>
      <c r="AH60" s="12">
        <v>2651</v>
      </c>
      <c r="AI60" s="139">
        <v>2691</v>
      </c>
      <c r="AJ60" s="12">
        <v>2658</v>
      </c>
      <c r="AK60" s="12">
        <v>2764</v>
      </c>
      <c r="AL60" s="12">
        <v>2678</v>
      </c>
      <c r="AM60" s="12">
        <v>2567</v>
      </c>
      <c r="AN60" s="12">
        <v>2539</v>
      </c>
    </row>
    <row r="61" spans="1:40">
      <c r="A61" s="8" t="s">
        <v>66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8"/>
      <c r="M61" s="8"/>
      <c r="N61" s="15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141</v>
      </c>
      <c r="Z61" s="8">
        <v>145</v>
      </c>
      <c r="AA61" s="8">
        <v>156</v>
      </c>
      <c r="AB61" s="8">
        <v>166</v>
      </c>
      <c r="AC61" s="8">
        <v>185</v>
      </c>
      <c r="AD61" s="8">
        <v>194</v>
      </c>
      <c r="AE61" s="8">
        <f>43+93+46</f>
        <v>182</v>
      </c>
      <c r="AF61" s="8">
        <v>187</v>
      </c>
      <c r="AG61" s="12">
        <v>210</v>
      </c>
      <c r="AH61" s="12">
        <v>214</v>
      </c>
      <c r="AI61" s="139">
        <v>242</v>
      </c>
      <c r="AJ61" s="12">
        <v>262</v>
      </c>
      <c r="AK61" s="12">
        <v>203</v>
      </c>
      <c r="AL61" s="12">
        <v>213</v>
      </c>
      <c r="AM61" s="12">
        <v>281</v>
      </c>
      <c r="AN61" s="12">
        <v>280</v>
      </c>
    </row>
    <row r="62" spans="1:40">
      <c r="A62" s="9" t="s">
        <v>67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9"/>
      <c r="M62" s="9"/>
      <c r="N62" s="16"/>
      <c r="O62" s="9"/>
      <c r="P62" s="9"/>
      <c r="Q62" s="9"/>
      <c r="R62" s="9"/>
      <c r="S62" s="9"/>
      <c r="T62" s="9"/>
      <c r="U62" s="9"/>
      <c r="V62" s="9"/>
      <c r="W62" s="9"/>
      <c r="X62" s="9"/>
      <c r="Y62" s="9">
        <v>153</v>
      </c>
      <c r="Z62" s="9">
        <v>159</v>
      </c>
      <c r="AA62" s="9">
        <v>165</v>
      </c>
      <c r="AB62" s="9">
        <v>181</v>
      </c>
      <c r="AC62" s="9">
        <v>211</v>
      </c>
      <c r="AD62" s="9">
        <v>212</v>
      </c>
      <c r="AE62" s="9">
        <f>59+104+56</f>
        <v>219</v>
      </c>
      <c r="AF62" s="9">
        <v>217</v>
      </c>
      <c r="AG62" s="110">
        <v>220</v>
      </c>
      <c r="AH62" s="110">
        <v>234</v>
      </c>
      <c r="AI62" s="141">
        <v>232</v>
      </c>
      <c r="AJ62" s="110">
        <v>234</v>
      </c>
      <c r="AK62" s="110">
        <v>233</v>
      </c>
      <c r="AL62" s="110">
        <v>230</v>
      </c>
      <c r="AM62" s="12">
        <v>211</v>
      </c>
      <c r="AN62" s="12">
        <v>214</v>
      </c>
    </row>
    <row r="63" spans="1:40">
      <c r="A63" s="51" t="s">
        <v>68</v>
      </c>
      <c r="B63" s="7"/>
      <c r="C63" s="7"/>
      <c r="D63" s="7"/>
      <c r="E63" s="9"/>
      <c r="F63" s="51"/>
      <c r="G63" s="51"/>
      <c r="H63" s="51"/>
      <c r="I63" s="51"/>
      <c r="J63" s="51"/>
      <c r="K63" s="51"/>
      <c r="L63" s="51"/>
      <c r="M63" s="51"/>
      <c r="N63" s="58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>
        <v>808</v>
      </c>
      <c r="Z63" s="51">
        <v>879</v>
      </c>
      <c r="AA63" s="51">
        <v>869</v>
      </c>
      <c r="AB63" s="51">
        <v>919</v>
      </c>
      <c r="AC63" s="51">
        <v>929</v>
      </c>
      <c r="AD63" s="51">
        <v>907</v>
      </c>
      <c r="AE63" s="51">
        <f>89+140+70+106+214+95+55+100+51</f>
        <v>920</v>
      </c>
      <c r="AF63" s="51">
        <v>941</v>
      </c>
      <c r="AG63" s="110">
        <v>952</v>
      </c>
      <c r="AH63" s="110">
        <v>961</v>
      </c>
      <c r="AI63" s="142">
        <v>952</v>
      </c>
      <c r="AJ63" s="110">
        <v>928</v>
      </c>
      <c r="AK63" s="110">
        <v>909</v>
      </c>
      <c r="AL63" s="110">
        <v>880</v>
      </c>
      <c r="AM63" s="117">
        <v>859</v>
      </c>
      <c r="AN63" s="117">
        <v>920</v>
      </c>
    </row>
    <row r="64" spans="1:40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32" ht="246" customHeight="1"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</row>
    <row r="66" spans="1:3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B66" s="60"/>
    </row>
    <row r="67" spans="1:32">
      <c r="A67" s="47"/>
      <c r="B67" s="47"/>
      <c r="C67" s="47"/>
      <c r="D67" s="6"/>
      <c r="E67" s="47"/>
      <c r="F67" s="6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32">
      <c r="A68" s="47"/>
      <c r="B68" s="47"/>
      <c r="C68" s="47"/>
      <c r="D68" s="6"/>
      <c r="E68" s="47"/>
      <c r="F68" s="6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32">
      <c r="A69" s="47"/>
      <c r="B69" s="47"/>
      <c r="C69" s="47"/>
      <c r="D69" s="6"/>
      <c r="E69" s="47"/>
      <c r="F69" s="6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32">
      <c r="A70" s="47" t="s">
        <v>152</v>
      </c>
      <c r="B70" s="47"/>
      <c r="C70" s="47"/>
      <c r="D70" s="6"/>
      <c r="E70" s="47"/>
      <c r="F70" s="6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32">
      <c r="A71" s="47"/>
      <c r="B71" s="47"/>
      <c r="C71" s="47"/>
      <c r="D71" s="6"/>
      <c r="E71" s="47"/>
      <c r="F71" s="6"/>
      <c r="G71" s="38"/>
      <c r="H71" s="38"/>
      <c r="I71" s="38"/>
      <c r="J71" s="38"/>
      <c r="K71" s="38"/>
      <c r="L71" s="38"/>
      <c r="M71" s="38"/>
      <c r="N71" s="38"/>
      <c r="O71" s="38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32">
      <c r="A72" s="47"/>
      <c r="B72" s="47"/>
      <c r="C72" s="47"/>
      <c r="D72" s="6"/>
      <c r="E72" s="47"/>
      <c r="F72" s="6"/>
      <c r="G72" s="6"/>
      <c r="H72" s="6"/>
      <c r="I72" s="6"/>
      <c r="J72" s="6"/>
      <c r="K72" s="6"/>
      <c r="L72" s="6"/>
      <c r="M72" s="6"/>
      <c r="N72" s="6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32">
      <c r="A73" s="47"/>
      <c r="B73" s="47"/>
      <c r="C73" s="47"/>
      <c r="D73" s="6"/>
      <c r="E73" s="47"/>
      <c r="F73" s="6"/>
      <c r="G73" s="6"/>
      <c r="H73" s="6"/>
      <c r="I73" s="6"/>
      <c r="J73" s="6"/>
      <c r="K73" s="6"/>
      <c r="L73" s="6"/>
      <c r="M73" s="6"/>
      <c r="N73" s="6"/>
      <c r="O73" s="47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32">
      <c r="A74" s="47"/>
      <c r="B74" s="47"/>
      <c r="C74" s="47"/>
      <c r="D74" s="6"/>
      <c r="E74" s="47"/>
      <c r="F74" s="6"/>
      <c r="G74" s="6"/>
      <c r="H74" s="6"/>
      <c r="I74" s="6"/>
      <c r="J74" s="6"/>
      <c r="K74" s="6"/>
      <c r="L74" s="6"/>
      <c r="M74" s="6"/>
      <c r="N74" s="6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32">
      <c r="A75" s="47"/>
      <c r="B75" s="38"/>
      <c r="C75" s="47"/>
      <c r="D75" s="6"/>
      <c r="E75" s="47"/>
      <c r="F75" s="6"/>
      <c r="G75" s="6"/>
      <c r="H75" s="6"/>
      <c r="I75" s="6"/>
      <c r="J75" s="6"/>
      <c r="K75" s="6"/>
      <c r="L75" s="6"/>
      <c r="M75" s="6"/>
      <c r="N75" s="6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32">
      <c r="A76" s="47"/>
      <c r="B76" s="47"/>
      <c r="C76" s="47"/>
      <c r="D76" s="25"/>
      <c r="E76" s="47"/>
      <c r="F76" s="47"/>
      <c r="G76" s="6"/>
      <c r="H76" s="6"/>
      <c r="I76" s="6"/>
      <c r="J76" s="6"/>
      <c r="K76" s="6"/>
      <c r="L76" s="6"/>
      <c r="M76" s="6"/>
      <c r="N76" s="6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32">
      <c r="A77" s="47"/>
      <c r="B77" s="47"/>
      <c r="C77" s="47"/>
      <c r="D77" s="25"/>
      <c r="E77" s="38"/>
      <c r="F77" s="47"/>
      <c r="G77" s="6"/>
      <c r="H77" s="6"/>
      <c r="I77" s="6"/>
      <c r="J77" s="6"/>
      <c r="K77" s="6"/>
      <c r="L77" s="6"/>
      <c r="M77" s="6"/>
      <c r="N77" s="6"/>
      <c r="O77" s="47"/>
      <c r="P77" s="47"/>
      <c r="Q77" s="47"/>
      <c r="R77" s="47"/>
      <c r="S77" s="47"/>
      <c r="T77" s="48"/>
      <c r="U77" s="48"/>
      <c r="V77" s="48"/>
      <c r="W77" s="48"/>
      <c r="X77" s="48"/>
      <c r="Y77" s="48"/>
      <c r="Z77" s="48"/>
    </row>
    <row r="78" spans="1:32">
      <c r="A78" s="47"/>
      <c r="B78" s="47"/>
      <c r="C78" s="47"/>
      <c r="D78" s="25"/>
      <c r="E78" s="47"/>
      <c r="F78" s="47"/>
      <c r="G78" s="6"/>
      <c r="H78" s="6"/>
      <c r="I78" s="6"/>
      <c r="J78" s="6"/>
      <c r="K78" s="6"/>
      <c r="L78" s="6"/>
      <c r="M78" s="6"/>
      <c r="N78" s="6"/>
      <c r="O78" s="6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32">
      <c r="A79" s="47"/>
      <c r="B79" s="47"/>
      <c r="C79" s="47"/>
      <c r="D79" s="25"/>
      <c r="E79" s="47"/>
      <c r="F79" s="47"/>
      <c r="G79" s="6"/>
      <c r="H79" s="6"/>
      <c r="I79" s="6"/>
      <c r="J79" s="6"/>
      <c r="K79" s="6"/>
      <c r="L79" s="6"/>
      <c r="M79" s="6"/>
      <c r="N79" s="6"/>
      <c r="O79" s="6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32">
      <c r="A80" s="38"/>
      <c r="B80" s="47"/>
      <c r="C80" s="38"/>
      <c r="D80" s="61"/>
      <c r="E80" s="47"/>
      <c r="F80" s="38"/>
      <c r="G80" s="6"/>
      <c r="H80" s="6"/>
      <c r="I80" s="6"/>
      <c r="J80" s="6"/>
      <c r="K80" s="6"/>
      <c r="L80" s="6"/>
      <c r="M80" s="6"/>
      <c r="N80" s="6"/>
      <c r="O80" s="6"/>
      <c r="P80" s="6"/>
      <c r="R80" s="47"/>
      <c r="S80" s="62"/>
    </row>
    <row r="81" spans="1:19">
      <c r="A81" s="47"/>
      <c r="B81" s="47"/>
      <c r="C81" s="47"/>
      <c r="D81" s="6"/>
      <c r="E81" s="4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7"/>
      <c r="S81" s="62"/>
    </row>
    <row r="82" spans="1:19">
      <c r="A82" s="47"/>
      <c r="B82" s="47"/>
      <c r="C82" s="47"/>
      <c r="D82" s="6"/>
      <c r="E82" s="4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7"/>
      <c r="S82" s="62"/>
    </row>
    <row r="83" spans="1:19">
      <c r="A83" s="47"/>
      <c r="B83" s="47"/>
      <c r="C83" s="47"/>
      <c r="D83" s="6"/>
      <c r="E83" s="4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47"/>
      <c r="S83" s="62"/>
    </row>
    <row r="84" spans="1:19">
      <c r="A84" s="47"/>
      <c r="B84" s="47"/>
      <c r="C84" s="47"/>
      <c r="D84" s="6"/>
      <c r="E84" s="4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47"/>
      <c r="S84" s="62"/>
    </row>
    <row r="85" spans="1:19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2"/>
      <c r="S85" s="62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62"/>
  </sheetPr>
  <dimension ref="A1:AN145"/>
  <sheetViews>
    <sheetView zoomScaleNormal="100" workbookViewId="0">
      <pane xSplit="1" ySplit="3" topLeftCell="AC4" activePane="bottomRight" state="frozen"/>
      <selection pane="topRight" activeCell="B1" sqref="B1"/>
      <selection pane="bottomLeft" activeCell="A4" sqref="A4"/>
      <selection pane="bottomRight" activeCell="AR65" sqref="AQ63:AR65"/>
    </sheetView>
  </sheetViews>
  <sheetFormatPr defaultColWidth="9.1796875" defaultRowHeight="12.5"/>
  <cols>
    <col min="1" max="1" width="20.54296875" style="12" customWidth="1"/>
    <col min="2" max="16" width="8.7265625" style="12" customWidth="1"/>
    <col min="17" max="16384" width="9.1796875" style="12"/>
  </cols>
  <sheetData>
    <row r="1" spans="1:40" ht="13">
      <c r="A1" s="39"/>
      <c r="B1" s="39" t="s">
        <v>153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0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40" ht="13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1" t="s">
        <v>74</v>
      </c>
      <c r="O2" s="6"/>
      <c r="P2" s="6"/>
      <c r="Q2" s="6"/>
      <c r="R2" s="6"/>
      <c r="AG2" s="110"/>
      <c r="AH2" s="110"/>
      <c r="AI2" s="110"/>
      <c r="AJ2" s="110"/>
      <c r="AK2" s="110"/>
      <c r="AL2" s="110"/>
    </row>
    <row r="3" spans="1:40" s="63" customFormat="1">
      <c r="A3" s="42"/>
      <c r="B3" s="37" t="s">
        <v>75</v>
      </c>
      <c r="C3" s="37" t="s">
        <v>76</v>
      </c>
      <c r="D3" s="37" t="s">
        <v>77</v>
      </c>
      <c r="E3" s="37" t="s">
        <v>78</v>
      </c>
      <c r="F3" s="37" t="s">
        <v>79</v>
      </c>
      <c r="G3" s="37" t="s">
        <v>80</v>
      </c>
      <c r="H3" s="37" t="s">
        <v>81</v>
      </c>
      <c r="I3" s="37" t="s">
        <v>82</v>
      </c>
      <c r="J3" s="37" t="s">
        <v>83</v>
      </c>
      <c r="K3" s="37" t="s">
        <v>84</v>
      </c>
      <c r="L3" s="37" t="s">
        <v>85</v>
      </c>
      <c r="M3" s="37" t="s">
        <v>86</v>
      </c>
      <c r="N3" s="43" t="s">
        <v>87</v>
      </c>
      <c r="O3" s="37" t="s">
        <v>88</v>
      </c>
      <c r="P3" s="37" t="s">
        <v>89</v>
      </c>
      <c r="Q3" s="37" t="s">
        <v>90</v>
      </c>
      <c r="R3" s="37" t="s">
        <v>91</v>
      </c>
      <c r="S3" s="37" t="s">
        <v>92</v>
      </c>
      <c r="T3" s="37" t="s">
        <v>93</v>
      </c>
      <c r="U3" s="37" t="s">
        <v>94</v>
      </c>
      <c r="V3" s="37" t="s">
        <v>95</v>
      </c>
      <c r="W3" s="37" t="s">
        <v>96</v>
      </c>
      <c r="X3" s="37" t="s">
        <v>97</v>
      </c>
      <c r="Y3" s="42" t="s">
        <v>98</v>
      </c>
      <c r="Z3" s="42" t="s">
        <v>99</v>
      </c>
      <c r="AA3" s="42" t="s">
        <v>100</v>
      </c>
      <c r="AB3" s="42" t="s">
        <v>101</v>
      </c>
      <c r="AC3" s="42" t="s">
        <v>102</v>
      </c>
      <c r="AD3" s="42" t="s">
        <v>103</v>
      </c>
      <c r="AE3" s="42" t="s">
        <v>104</v>
      </c>
      <c r="AF3" s="42" t="s">
        <v>105</v>
      </c>
      <c r="AG3" s="63" t="s">
        <v>106</v>
      </c>
      <c r="AH3" s="63" t="s">
        <v>107</v>
      </c>
      <c r="AI3" s="63" t="s">
        <v>11</v>
      </c>
      <c r="AJ3" s="63" t="s">
        <v>108</v>
      </c>
      <c r="AK3" s="63" t="s">
        <v>109</v>
      </c>
      <c r="AL3" s="63" t="s">
        <v>110</v>
      </c>
      <c r="AM3" s="113" t="s">
        <v>111</v>
      </c>
      <c r="AN3" s="113" t="s">
        <v>10</v>
      </c>
    </row>
    <row r="4" spans="1:40">
      <c r="A4" s="52" t="s">
        <v>112</v>
      </c>
      <c r="B4" s="7">
        <f>4748+8070+3497</f>
        <v>16315</v>
      </c>
      <c r="C4" s="7">
        <f>5445+9985+4197</f>
        <v>19627</v>
      </c>
      <c r="D4" s="7">
        <f>5659+10392+4634</f>
        <v>20685</v>
      </c>
      <c r="E4" s="52">
        <v>21287</v>
      </c>
      <c r="F4" s="52">
        <f>5788+10868+4968</f>
        <v>21624</v>
      </c>
      <c r="G4" s="52">
        <v>22082</v>
      </c>
      <c r="H4" s="52">
        <v>22539</v>
      </c>
      <c r="I4" s="52">
        <f>6205+11480+5217</f>
        <v>22902</v>
      </c>
      <c r="J4" s="52">
        <f>6404+11860+5237</f>
        <v>23501</v>
      </c>
      <c r="K4" s="52">
        <f>6499+12081+5584</f>
        <v>24164</v>
      </c>
      <c r="L4" s="52">
        <f>6777+12573+5561</f>
        <v>24911</v>
      </c>
      <c r="M4" s="52">
        <f>7100+12893+5940</f>
        <v>25933</v>
      </c>
      <c r="N4" s="55">
        <f>(7213+13586+5938)-(26+29+57+49+50+105+22+16+46)</f>
        <v>26337</v>
      </c>
      <c r="O4" s="52">
        <f>7191+14021+6285-26-30-60-56-53-109-18-23-50</f>
        <v>27072</v>
      </c>
      <c r="P4" s="52">
        <f>7351+14097+6528-370-29-58-51-58-109-29-26-56</f>
        <v>27190</v>
      </c>
      <c r="Q4" s="52">
        <f>7268+14335+6614-31-33-57-52-57-113-24-27-51</f>
        <v>27772</v>
      </c>
      <c r="R4" s="52">
        <f>7325+14437+6685-36-31-57-49-58-108-25-29-56</f>
        <v>27998</v>
      </c>
      <c r="S4" s="52">
        <f>(7450+14383+6872)-(32+29+58+53+55+108+25+30+56)</f>
        <v>28259</v>
      </c>
      <c r="T4" s="52">
        <f>(7725+14727+6712)-(36+33+55+59+49+110+22+27+45)</f>
        <v>28728</v>
      </c>
      <c r="U4" s="52">
        <f>(7739+14999+6838)-(25+30+58+50+62+110+30+17+57)</f>
        <v>29137</v>
      </c>
      <c r="V4" s="52">
        <f>(8087+15197+6970)-(31+27+72+40+58+110+24+21+53)</f>
        <v>29818</v>
      </c>
      <c r="W4" s="52">
        <f>8410+15789+7091-38-32-71-38-63-134-25-29-47</f>
        <v>30813</v>
      </c>
      <c r="X4" s="52">
        <f>(8528+16275+7343)-(148+236+90)</f>
        <v>31672</v>
      </c>
      <c r="Y4" s="49">
        <f>+Y5+Y23+Y38+Y52+Y63</f>
        <v>32242</v>
      </c>
      <c r="Z4" s="49">
        <f t="shared" ref="Z4:AD4" si="0">+Z5+Z23+Z38+Z52+Z63</f>
        <v>32951</v>
      </c>
      <c r="AA4" s="49">
        <f t="shared" si="0"/>
        <v>33163</v>
      </c>
      <c r="AB4" s="49">
        <f t="shared" si="0"/>
        <v>33512</v>
      </c>
      <c r="AC4" s="49">
        <f t="shared" si="0"/>
        <v>33912</v>
      </c>
      <c r="AD4" s="49">
        <f t="shared" si="0"/>
        <v>34728</v>
      </c>
      <c r="AE4" s="49">
        <f t="shared" ref="AE4:AJ4" si="1">+AE5+AE23+AE38+AE52+AE63</f>
        <v>34831</v>
      </c>
      <c r="AF4" s="49">
        <f t="shared" si="1"/>
        <v>35399</v>
      </c>
      <c r="AG4" s="49">
        <f t="shared" si="1"/>
        <v>35915</v>
      </c>
      <c r="AH4" s="49">
        <f t="shared" si="1"/>
        <v>36582</v>
      </c>
      <c r="AI4" s="49">
        <f t="shared" si="1"/>
        <v>37594</v>
      </c>
      <c r="AJ4" s="49">
        <f t="shared" si="1"/>
        <v>38040</v>
      </c>
      <c r="AK4" s="49">
        <f t="shared" ref="AK4:AL4" si="2">+AK5+AK23+AK38+AK52+AK63</f>
        <v>39405</v>
      </c>
      <c r="AL4" s="49">
        <f t="shared" si="2"/>
        <v>40704</v>
      </c>
      <c r="AM4" s="49">
        <f t="shared" ref="AM4:AN4" si="3">+AM5+AM23+AM38+AM52+AM63</f>
        <v>42256</v>
      </c>
      <c r="AN4" s="49">
        <f t="shared" si="3"/>
        <v>43913</v>
      </c>
    </row>
    <row r="5" spans="1:40">
      <c r="A5" s="53" t="s">
        <v>113</v>
      </c>
      <c r="B5" s="44">
        <f>SUM(B7:B22)</f>
        <v>4278</v>
      </c>
      <c r="C5" s="44">
        <f t="shared" ref="C5:AD5" si="4">SUM(C7:C22)</f>
        <v>5501</v>
      </c>
      <c r="D5" s="44">
        <f t="shared" si="4"/>
        <v>5861</v>
      </c>
      <c r="E5" s="53">
        <f t="shared" si="4"/>
        <v>6115</v>
      </c>
      <c r="F5" s="53">
        <f t="shared" si="4"/>
        <v>6223</v>
      </c>
      <c r="G5" s="53">
        <f t="shared" si="4"/>
        <v>6347</v>
      </c>
      <c r="H5" s="53">
        <f t="shared" si="4"/>
        <v>6447</v>
      </c>
      <c r="I5" s="53">
        <f t="shared" si="4"/>
        <v>6607</v>
      </c>
      <c r="J5" s="53">
        <f t="shared" si="4"/>
        <v>6822</v>
      </c>
      <c r="K5" s="53">
        <f t="shared" si="4"/>
        <v>6955</v>
      </c>
      <c r="L5" s="53">
        <f t="shared" si="4"/>
        <v>7176</v>
      </c>
      <c r="M5" s="53">
        <f t="shared" si="4"/>
        <v>7358</v>
      </c>
      <c r="N5" s="56">
        <f t="shared" si="4"/>
        <v>7794</v>
      </c>
      <c r="O5" s="53">
        <f t="shared" si="4"/>
        <v>8167</v>
      </c>
      <c r="P5" s="53">
        <f t="shared" si="4"/>
        <v>8418</v>
      </c>
      <c r="Q5" s="53">
        <f t="shared" si="4"/>
        <v>8517</v>
      </c>
      <c r="R5" s="53">
        <f t="shared" si="4"/>
        <v>8517</v>
      </c>
      <c r="S5" s="53">
        <f t="shared" si="4"/>
        <v>8624</v>
      </c>
      <c r="T5" s="53">
        <f t="shared" si="4"/>
        <v>8835</v>
      </c>
      <c r="U5" s="53">
        <f t="shared" si="4"/>
        <v>8953</v>
      </c>
      <c r="V5" s="53">
        <f t="shared" si="4"/>
        <v>9270</v>
      </c>
      <c r="W5" s="53">
        <f t="shared" si="4"/>
        <v>9696</v>
      </c>
      <c r="X5" s="53">
        <f t="shared" si="4"/>
        <v>9865</v>
      </c>
      <c r="Y5" s="53">
        <f t="shared" si="4"/>
        <v>10108</v>
      </c>
      <c r="Z5" s="53">
        <f t="shared" si="4"/>
        <v>10433</v>
      </c>
      <c r="AA5" s="53">
        <f t="shared" si="4"/>
        <v>10446</v>
      </c>
      <c r="AB5" s="53">
        <f t="shared" si="4"/>
        <v>10543</v>
      </c>
      <c r="AC5" s="53">
        <f t="shared" si="4"/>
        <v>10778</v>
      </c>
      <c r="AD5" s="53">
        <f t="shared" si="4"/>
        <v>11117</v>
      </c>
      <c r="AE5" s="53">
        <f t="shared" ref="AE5" si="5">SUM(AE7:AE22)</f>
        <v>11360</v>
      </c>
      <c r="AF5" s="53">
        <f t="shared" ref="AF5:AG5" si="6">SUM(AF7:AF22)</f>
        <v>11744</v>
      </c>
      <c r="AG5" s="53">
        <f t="shared" si="6"/>
        <v>11963</v>
      </c>
      <c r="AH5" s="53">
        <f t="shared" ref="AH5:AI5" si="7">SUM(AH7:AH22)</f>
        <v>12352</v>
      </c>
      <c r="AI5" s="53">
        <f t="shared" si="7"/>
        <v>12756</v>
      </c>
      <c r="AJ5" s="53">
        <f t="shared" ref="AJ5:AK5" si="8">SUM(AJ7:AJ22)</f>
        <v>12834</v>
      </c>
      <c r="AK5" s="53">
        <f t="shared" si="8"/>
        <v>13568</v>
      </c>
      <c r="AL5" s="53">
        <f t="shared" ref="AL5" si="9">SUM(AL7:AL22)</f>
        <v>14054</v>
      </c>
      <c r="AM5" s="53">
        <f t="shared" ref="AM5:AN5" si="10">SUM(AM7:AM22)</f>
        <v>14214</v>
      </c>
      <c r="AN5" s="53">
        <f t="shared" si="10"/>
        <v>14900</v>
      </c>
    </row>
    <row r="6" spans="1:40">
      <c r="A6" s="50" t="s">
        <v>14</v>
      </c>
      <c r="B6" s="45">
        <f>(B5/B$4)*100</f>
        <v>26.221268771069568</v>
      </c>
      <c r="C6" s="45">
        <f t="shared" ref="C6:AD6" si="11">(C5/C$4)*100</f>
        <v>28.027716920568608</v>
      </c>
      <c r="D6" s="45">
        <f t="shared" si="11"/>
        <v>28.334541938602854</v>
      </c>
      <c r="E6" s="54">
        <f t="shared" si="11"/>
        <v>28.726452764598108</v>
      </c>
      <c r="F6" s="54">
        <f t="shared" si="11"/>
        <v>28.778209396966332</v>
      </c>
      <c r="G6" s="54">
        <f t="shared" si="11"/>
        <v>28.742867493886425</v>
      </c>
      <c r="H6" s="54">
        <f t="shared" si="11"/>
        <v>28.603753493943827</v>
      </c>
      <c r="I6" s="54">
        <f t="shared" si="11"/>
        <v>28.849008820190374</v>
      </c>
      <c r="J6" s="54">
        <f t="shared" si="11"/>
        <v>29.028551976511636</v>
      </c>
      <c r="K6" s="54">
        <f t="shared" si="11"/>
        <v>28.782486343320642</v>
      </c>
      <c r="L6" s="54">
        <f t="shared" si="11"/>
        <v>28.806551322708845</v>
      </c>
      <c r="M6" s="54">
        <f t="shared" si="11"/>
        <v>28.373115335672694</v>
      </c>
      <c r="N6" s="57">
        <f t="shared" si="11"/>
        <v>29.593347761704063</v>
      </c>
      <c r="O6" s="54">
        <f t="shared" si="11"/>
        <v>30.167700945626478</v>
      </c>
      <c r="P6" s="54">
        <f t="shared" si="11"/>
        <v>30.959911732254508</v>
      </c>
      <c r="Q6" s="54">
        <f t="shared" si="11"/>
        <v>30.667578856402134</v>
      </c>
      <c r="R6" s="54">
        <f t="shared" si="11"/>
        <v>30.420030002143012</v>
      </c>
      <c r="S6" s="54">
        <f t="shared" si="11"/>
        <v>30.517711171662125</v>
      </c>
      <c r="T6" s="54">
        <f t="shared" si="11"/>
        <v>30.753968253968257</v>
      </c>
      <c r="U6" s="54">
        <f t="shared" si="11"/>
        <v>30.727254006932764</v>
      </c>
      <c r="V6" s="54">
        <f t="shared" si="11"/>
        <v>31.088604198806092</v>
      </c>
      <c r="W6" s="54">
        <f t="shared" si="11"/>
        <v>31.467237854152469</v>
      </c>
      <c r="X6" s="54">
        <f t="shared" si="11"/>
        <v>31.147385703460468</v>
      </c>
      <c r="Y6" s="54">
        <f t="shared" si="11"/>
        <v>31.350412505427705</v>
      </c>
      <c r="Z6" s="54">
        <f t="shared" si="11"/>
        <v>31.662165032927682</v>
      </c>
      <c r="AA6" s="54">
        <f t="shared" si="11"/>
        <v>31.498959683985163</v>
      </c>
      <c r="AB6" s="54">
        <f t="shared" si="11"/>
        <v>31.460372403915017</v>
      </c>
      <c r="AC6" s="54">
        <f t="shared" si="11"/>
        <v>31.782259966973342</v>
      </c>
      <c r="AD6" s="54">
        <f t="shared" si="11"/>
        <v>32.011633264224834</v>
      </c>
      <c r="AE6" s="54">
        <f t="shared" ref="AE6" si="12">(AE5/AE$4)*100</f>
        <v>32.614624903103554</v>
      </c>
      <c r="AF6" s="54">
        <f t="shared" ref="AF6:AG6" si="13">(AF5/AF$4)*100</f>
        <v>33.17607842029436</v>
      </c>
      <c r="AG6" s="54">
        <f t="shared" si="13"/>
        <v>33.309202283168595</v>
      </c>
      <c r="AH6" s="54">
        <f t="shared" ref="AH6:AI6" si="14">(AH5/AH$4)*100</f>
        <v>33.765239735388988</v>
      </c>
      <c r="AI6" s="54">
        <f t="shared" si="14"/>
        <v>33.930946427621429</v>
      </c>
      <c r="AJ6" s="54">
        <f t="shared" ref="AJ6:AK6" si="15">(AJ5/AJ$4)*100</f>
        <v>33.738170347003155</v>
      </c>
      <c r="AK6" s="54">
        <f t="shared" si="15"/>
        <v>34.43217865753077</v>
      </c>
      <c r="AL6" s="54">
        <f t="shared" ref="AL6" si="16">(AL5/AL$4)*100</f>
        <v>34.527319182389938</v>
      </c>
      <c r="AM6" s="54">
        <f t="shared" ref="AM6:AN6" si="17">(AM5/AM$4)*100</f>
        <v>33.637826580840589</v>
      </c>
      <c r="AN6" s="54">
        <f t="shared" si="17"/>
        <v>33.93072666408581</v>
      </c>
    </row>
    <row r="7" spans="1:40">
      <c r="A7" s="8" t="s">
        <v>15</v>
      </c>
      <c r="B7" s="21">
        <f>33+73+27+18+26+7</f>
        <v>184</v>
      </c>
      <c r="C7" s="21">
        <f>48+85+32+14+26+15</f>
        <v>220</v>
      </c>
      <c r="D7" s="21">
        <f>34+94+37+15+25+13</f>
        <v>218</v>
      </c>
      <c r="E7" s="8">
        <v>218</v>
      </c>
      <c r="F7" s="8">
        <f>38+34+71+30+45+15</f>
        <v>233</v>
      </c>
      <c r="G7" s="8">
        <v>240</v>
      </c>
      <c r="H7" s="8">
        <v>263</v>
      </c>
      <c r="I7" s="8">
        <f>52+25+94+54+39+20</f>
        <v>284</v>
      </c>
      <c r="J7" s="8">
        <f>45+29+97+48+43+23</f>
        <v>285</v>
      </c>
      <c r="K7" s="8">
        <f>56+97+43+28+46+23</f>
        <v>293</v>
      </c>
      <c r="L7" s="8">
        <f>61+98+44+24+52+16</f>
        <v>295</v>
      </c>
      <c r="M7" s="8">
        <f>59+107+44+33+44+29</f>
        <v>316</v>
      </c>
      <c r="N7" s="15">
        <f>57+120+48+22+47+24</f>
        <v>318</v>
      </c>
      <c r="O7" s="8">
        <f>68+122+51+27+51+19</f>
        <v>338</v>
      </c>
      <c r="P7" s="8">
        <f>73+121+59+23+46+29</f>
        <v>351</v>
      </c>
      <c r="Q7" s="8">
        <f>55+135+55+26+47+21</f>
        <v>339</v>
      </c>
      <c r="R7" s="8">
        <f>65+131+53+27+45+24</f>
        <v>345</v>
      </c>
      <c r="S7" s="8">
        <f>67+26+121+48+70+22</f>
        <v>354</v>
      </c>
      <c r="T7" s="8">
        <f>71+42+138+52+45+20</f>
        <v>368</v>
      </c>
      <c r="U7" s="8">
        <f>68+28+141+65+60+26</f>
        <v>388</v>
      </c>
      <c r="V7" s="8">
        <f>78+145+60+30+63+25</f>
        <v>401</v>
      </c>
      <c r="W7" s="8">
        <f>65+155+68+29+53+36</f>
        <v>406</v>
      </c>
      <c r="X7" s="8">
        <f>67+150+64</f>
        <v>281</v>
      </c>
      <c r="Y7" s="8">
        <v>400</v>
      </c>
      <c r="Z7" s="8">
        <v>412</v>
      </c>
      <c r="AA7" s="8">
        <v>425</v>
      </c>
      <c r="AB7" s="8">
        <v>414</v>
      </c>
      <c r="AC7" s="8">
        <v>433</v>
      </c>
      <c r="AD7" s="8">
        <v>440</v>
      </c>
      <c r="AE7" s="8">
        <f>76+186+60+30+72+28</f>
        <v>452</v>
      </c>
      <c r="AF7" s="8">
        <v>476</v>
      </c>
      <c r="AG7" s="12">
        <v>434</v>
      </c>
      <c r="AH7" s="12">
        <v>433</v>
      </c>
      <c r="AI7" s="12">
        <v>443</v>
      </c>
      <c r="AJ7" s="12">
        <v>449</v>
      </c>
      <c r="AK7" s="12">
        <v>462</v>
      </c>
      <c r="AL7" s="12">
        <v>474</v>
      </c>
      <c r="AM7" s="177">
        <v>479</v>
      </c>
      <c r="AN7" s="12">
        <v>502</v>
      </c>
    </row>
    <row r="8" spans="1:40">
      <c r="A8" s="8" t="s">
        <v>16</v>
      </c>
      <c r="B8" s="21">
        <f>32+50+22</f>
        <v>104</v>
      </c>
      <c r="C8" s="21">
        <f>27+55+26</f>
        <v>108</v>
      </c>
      <c r="D8" s="21">
        <f>35+51+22</f>
        <v>108</v>
      </c>
      <c r="E8" s="8">
        <v>118</v>
      </c>
      <c r="F8" s="8">
        <f>56+61+20</f>
        <v>137</v>
      </c>
      <c r="G8" s="8">
        <v>162</v>
      </c>
      <c r="H8" s="8">
        <v>158</v>
      </c>
      <c r="I8" s="8">
        <f>38+73+49</f>
        <v>160</v>
      </c>
      <c r="J8" s="8">
        <f>53+66+33</f>
        <v>152</v>
      </c>
      <c r="K8" s="8">
        <f>50+80+33</f>
        <v>163</v>
      </c>
      <c r="L8" s="8">
        <f>52+94+24</f>
        <v>170</v>
      </c>
      <c r="M8" s="8">
        <f>60+96+44</f>
        <v>200</v>
      </c>
      <c r="N8" s="15">
        <f>61+107+45</f>
        <v>213</v>
      </c>
      <c r="O8" s="8">
        <f>57+108+45</f>
        <v>210</v>
      </c>
      <c r="P8" s="8">
        <f>65+109+52</f>
        <v>226</v>
      </c>
      <c r="Q8" s="8">
        <f>56+106+50</f>
        <v>212</v>
      </c>
      <c r="R8" s="8">
        <f>44+102+52</f>
        <v>198</v>
      </c>
      <c r="S8" s="8">
        <f>50+88+53</f>
        <v>191</v>
      </c>
      <c r="T8" s="8">
        <f>51+88+45</f>
        <v>184</v>
      </c>
      <c r="U8" s="8">
        <f>55+96+41</f>
        <v>192</v>
      </c>
      <c r="V8" s="8">
        <f>64+101+48</f>
        <v>213</v>
      </c>
      <c r="W8" s="8">
        <f>60+113+44</f>
        <v>217</v>
      </c>
      <c r="X8" s="8">
        <f>66+108+84</f>
        <v>258</v>
      </c>
      <c r="Y8" s="8">
        <v>228</v>
      </c>
      <c r="Z8" s="8">
        <v>245</v>
      </c>
      <c r="AA8" s="8">
        <v>260</v>
      </c>
      <c r="AB8" s="8">
        <v>248</v>
      </c>
      <c r="AC8" s="8">
        <v>243</v>
      </c>
      <c r="AD8" s="8">
        <v>255</v>
      </c>
      <c r="AE8" s="8">
        <f>67+142+48</f>
        <v>257</v>
      </c>
      <c r="AF8" s="8">
        <v>260</v>
      </c>
      <c r="AG8" s="12">
        <v>270</v>
      </c>
      <c r="AH8" s="12">
        <v>235</v>
      </c>
      <c r="AI8" s="12">
        <v>239</v>
      </c>
      <c r="AJ8" s="12">
        <v>259</v>
      </c>
      <c r="AK8" s="12">
        <v>277</v>
      </c>
      <c r="AL8" s="12">
        <v>368</v>
      </c>
      <c r="AM8" s="178">
        <v>321</v>
      </c>
      <c r="AN8" s="12">
        <v>382</v>
      </c>
    </row>
    <row r="9" spans="1:40">
      <c r="A9" s="8" t="s">
        <v>17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M9" s="178"/>
    </row>
    <row r="10" spans="1:40">
      <c r="A10" s="8" t="s">
        <v>18</v>
      </c>
      <c r="B10" s="21">
        <f>29+58+26+34+58+27+17+17+21</f>
        <v>287</v>
      </c>
      <c r="C10" s="21">
        <f>34+64+30+37+70+31+26+52+0</f>
        <v>344</v>
      </c>
      <c r="D10" s="21">
        <f>44+66+32+60+78+35+26+48+27</f>
        <v>416</v>
      </c>
      <c r="E10" s="8">
        <v>432</v>
      </c>
      <c r="F10" s="8">
        <f>35+75+31+49+106+42+35+53+21</f>
        <v>447</v>
      </c>
      <c r="G10" s="8">
        <v>466</v>
      </c>
      <c r="H10" s="8">
        <v>480</v>
      </c>
      <c r="I10" s="8">
        <f>47+48+32+89+115+56+30+56+33</f>
        <v>506</v>
      </c>
      <c r="J10" s="8">
        <f>56+41+36+85+103+59+48+61+25</f>
        <v>514</v>
      </c>
      <c r="K10" s="8">
        <f>51+98+40+49+80+57+33+68+27</f>
        <v>503</v>
      </c>
      <c r="L10" s="8">
        <f>43+99+41+51+87+43+30+69+29</f>
        <v>492</v>
      </c>
      <c r="M10" s="8">
        <f>46+90+52+65+105+38+33+71+35</f>
        <v>535</v>
      </c>
      <c r="N10" s="15">
        <f>54+88+44+65+121+51+35+72+30</f>
        <v>560</v>
      </c>
      <c r="O10" s="8">
        <f>46+102+38+67+130+48+38+60+41</f>
        <v>570</v>
      </c>
      <c r="P10" s="8">
        <f>58+102+48+77+128+62+37+66+27</f>
        <v>605</v>
      </c>
      <c r="Q10" s="8">
        <f>54+111+55+69+142+64+34+68+31</f>
        <v>628</v>
      </c>
      <c r="R10" s="8">
        <f>60+76+36+112+147+70+46+58+31</f>
        <v>636</v>
      </c>
      <c r="S10" s="8">
        <f>63+79+40+116+144+70+57+71+34</f>
        <v>674</v>
      </c>
      <c r="T10" s="8">
        <f>55+78+45+120+152+80+55+75+32</f>
        <v>692</v>
      </c>
      <c r="U10" s="8">
        <f>66+71+42+110+158+90+56+69+36</f>
        <v>698</v>
      </c>
      <c r="V10" s="8">
        <f>52+120+57+85+147+77+42+90+42</f>
        <v>712</v>
      </c>
      <c r="W10" s="8">
        <f>16+67+83+58+11+111+156+87+54+72+45</f>
        <v>760</v>
      </c>
      <c r="X10" s="8">
        <f>20+51+65+55+23+116+162+100+60+69+41</f>
        <v>762</v>
      </c>
      <c r="Y10" s="8">
        <v>829</v>
      </c>
      <c r="Z10" s="8">
        <v>922</v>
      </c>
      <c r="AA10" s="8">
        <v>983</v>
      </c>
      <c r="AB10" s="8">
        <v>1043</v>
      </c>
      <c r="AC10" s="8">
        <v>1088</v>
      </c>
      <c r="AD10" s="8">
        <v>1130</v>
      </c>
      <c r="AE10" s="8">
        <f>16+14+51+129+66+59+129+60+35+22+69+186+79+51+127+54</f>
        <v>1147</v>
      </c>
      <c r="AF10" s="8">
        <v>1265</v>
      </c>
      <c r="AG10" s="12">
        <v>1410</v>
      </c>
      <c r="AH10" s="12">
        <v>1568</v>
      </c>
      <c r="AI10" s="12">
        <v>1699</v>
      </c>
      <c r="AJ10" s="12">
        <v>1745</v>
      </c>
      <c r="AK10" s="12">
        <v>1796</v>
      </c>
      <c r="AL10" s="12">
        <v>1824</v>
      </c>
      <c r="AM10" s="179">
        <v>1912</v>
      </c>
      <c r="AN10" s="12">
        <v>2013</v>
      </c>
    </row>
    <row r="11" spans="1:40">
      <c r="A11" s="8" t="s">
        <v>19</v>
      </c>
      <c r="B11" s="21">
        <f>25+58+23+37+72+23</f>
        <v>238</v>
      </c>
      <c r="C11" s="21">
        <f>26+76+31+45+85+31+9+0+0+20+21+0</f>
        <v>344</v>
      </c>
      <c r="D11" s="21">
        <f>34+69+36+50+87+39+9+9+0+17+32+0</f>
        <v>382</v>
      </c>
      <c r="E11" s="8">
        <v>401</v>
      </c>
      <c r="F11" s="8">
        <f>40+68+25+47+83+44+10+21+6+23+28+11</f>
        <v>406</v>
      </c>
      <c r="G11" s="8">
        <v>420</v>
      </c>
      <c r="H11" s="8">
        <v>444</v>
      </c>
      <c r="I11" s="8">
        <f>37+65+18+17+72+103+21+36+41+39+10+14</f>
        <v>473</v>
      </c>
      <c r="J11" s="8">
        <f>39+63+21+21+78+111+29+34+31+48+10+15</f>
        <v>500</v>
      </c>
      <c r="K11" s="8">
        <f>38+80+38+62+114+51+21+36+8+21+38+15</f>
        <v>522</v>
      </c>
      <c r="L11" s="8">
        <f>45+82+38+66+114+58+19+39+13+33+36+11</f>
        <v>554</v>
      </c>
      <c r="M11" s="8">
        <f>44+81+42+71+115+55+17+37+18+27+44+18</f>
        <v>569</v>
      </c>
      <c r="N11" s="15">
        <f>43+89+38+52+130+52+21+30+19+25+52+12</f>
        <v>563</v>
      </c>
      <c r="O11" s="8">
        <f>54+89+43+65+119+62+25+33+17+22+44+26</f>
        <v>599</v>
      </c>
      <c r="P11" s="8">
        <f>51+98+47+67+111+70+21+43+13+22+45+20</f>
        <v>608</v>
      </c>
      <c r="Q11" s="8">
        <f>45+99+39+49+133+50+20+45+17+31+33+22</f>
        <v>583</v>
      </c>
      <c r="R11" s="8">
        <f>46+53+19+24+90+113+39+47+52+59+23+19</f>
        <v>584</v>
      </c>
      <c r="S11" s="8">
        <f>43+54+26+25+96+107+34+48+46+62+20+15</f>
        <v>576</v>
      </c>
      <c r="T11" s="8">
        <f>53+63+24+27+92+102+42+50+47+51+15+24</f>
        <v>590</v>
      </c>
      <c r="U11" s="8">
        <f>55+63+27+24+91+103+48+52+51+53+18+22</f>
        <v>607</v>
      </c>
      <c r="V11" s="8">
        <f>56+113+36+78+124+55+28+43+23+29+51+22</f>
        <v>658</v>
      </c>
      <c r="W11" s="8">
        <f>56+80+27+36+108+136+44+51+53+66+23+26</f>
        <v>706</v>
      </c>
      <c r="X11" s="8">
        <f>59+86+30+30+112+155+55+63+55+55+17+23</f>
        <v>740</v>
      </c>
      <c r="Y11" s="8">
        <v>767</v>
      </c>
      <c r="Z11" s="8">
        <v>781</v>
      </c>
      <c r="AA11" s="8">
        <v>797</v>
      </c>
      <c r="AB11" s="8">
        <v>814</v>
      </c>
      <c r="AC11" s="8">
        <v>846</v>
      </c>
      <c r="AD11" s="8">
        <v>879</v>
      </c>
      <c r="AE11" s="8">
        <f>76+138+67+113+165+77+53+89+24+36+74+30</f>
        <v>942</v>
      </c>
      <c r="AF11" s="8">
        <v>995</v>
      </c>
      <c r="AG11" s="12">
        <v>983</v>
      </c>
      <c r="AH11" s="12">
        <v>1011</v>
      </c>
      <c r="AI11" s="12">
        <v>1019</v>
      </c>
      <c r="AJ11" s="12">
        <v>1065</v>
      </c>
      <c r="AK11" s="12">
        <v>1149</v>
      </c>
      <c r="AL11" s="12">
        <v>1189</v>
      </c>
      <c r="AM11" s="179">
        <v>1230</v>
      </c>
      <c r="AN11" s="12">
        <v>1249</v>
      </c>
    </row>
    <row r="12" spans="1:40">
      <c r="A12" s="8" t="s">
        <v>20</v>
      </c>
      <c r="B12" s="21">
        <f>24+50+23+43+62+33</f>
        <v>235</v>
      </c>
      <c r="C12" s="21">
        <f>40+60+21+33+88+39</f>
        <v>281</v>
      </c>
      <c r="D12" s="21">
        <f>32+73+27+46+77+46</f>
        <v>301</v>
      </c>
      <c r="E12" s="8">
        <v>292</v>
      </c>
      <c r="F12" s="8">
        <f>36+62+37+49+84+32</f>
        <v>300</v>
      </c>
      <c r="G12" s="8">
        <v>308</v>
      </c>
      <c r="H12" s="8">
        <v>289</v>
      </c>
      <c r="I12" s="8">
        <f>26+51+67+79+28+44</f>
        <v>295</v>
      </c>
      <c r="J12" s="8">
        <f>32+54+52+83+31+44</f>
        <v>296</v>
      </c>
      <c r="K12" s="8">
        <f>29+54+29+56+92+35</f>
        <v>295</v>
      </c>
      <c r="L12" s="8">
        <f>34+63+22+49+109+41</f>
        <v>318</v>
      </c>
      <c r="M12" s="8">
        <f>35+60+32+55+107+51</f>
        <v>340</v>
      </c>
      <c r="N12" s="15">
        <f>32+61+27+69+100+52</f>
        <v>341</v>
      </c>
      <c r="O12" s="8">
        <f>33+60+32+65+122+41</f>
        <v>353</v>
      </c>
      <c r="P12" s="8">
        <f>39+61+28+67+129+53</f>
        <v>377</v>
      </c>
      <c r="Q12" s="8">
        <f>43+66+27+71+130+69</f>
        <v>406</v>
      </c>
      <c r="R12" s="8">
        <f>40+69+79+137+32+64</f>
        <v>421</v>
      </c>
      <c r="S12" s="8">
        <f>36+74+80+134+36+62</f>
        <v>422</v>
      </c>
      <c r="T12" s="8">
        <f>43+72+75+134+41+64</f>
        <v>429</v>
      </c>
      <c r="U12" s="8">
        <f>50+76+69+138+42+64</f>
        <v>439</v>
      </c>
      <c r="V12" s="8">
        <f>44+88+31+84+137+71</f>
        <v>455</v>
      </c>
      <c r="W12" s="8">
        <f>40+78+81+149+40+61</f>
        <v>449</v>
      </c>
      <c r="X12" s="8">
        <f>44+75+85+162+39+66</f>
        <v>471</v>
      </c>
      <c r="Y12" s="8">
        <v>447</v>
      </c>
      <c r="Z12" s="8">
        <v>431</v>
      </c>
      <c r="AA12" s="8">
        <v>406</v>
      </c>
      <c r="AB12" s="8">
        <v>408</v>
      </c>
      <c r="AC12" s="8">
        <v>426</v>
      </c>
      <c r="AD12" s="8">
        <v>442</v>
      </c>
      <c r="AE12" s="8">
        <f>55+93+37+76+140+68</f>
        <v>469</v>
      </c>
      <c r="AF12" s="8">
        <v>489</v>
      </c>
      <c r="AG12" s="12">
        <v>492</v>
      </c>
      <c r="AH12" s="12">
        <v>480</v>
      </c>
      <c r="AI12" s="12">
        <v>480</v>
      </c>
      <c r="AJ12" s="12">
        <v>476</v>
      </c>
      <c r="AK12" s="12">
        <v>506</v>
      </c>
      <c r="AL12" s="12">
        <v>532</v>
      </c>
      <c r="AM12" s="179">
        <v>551</v>
      </c>
      <c r="AN12" s="12">
        <v>660</v>
      </c>
    </row>
    <row r="13" spans="1:40">
      <c r="A13" s="8" t="s">
        <v>21</v>
      </c>
      <c r="B13" s="21">
        <f>42+67+25+18+31+19+48+75+26</f>
        <v>351</v>
      </c>
      <c r="C13" s="21">
        <f>56+90+31+23+57+16+48+85+50</f>
        <v>456</v>
      </c>
      <c r="D13" s="21">
        <f>49+102+40+21+55+25+58+90+41</f>
        <v>481</v>
      </c>
      <c r="E13" s="8">
        <v>506</v>
      </c>
      <c r="F13" s="8">
        <f>65+98+56+26+47+21+57+106+49</f>
        <v>525</v>
      </c>
      <c r="G13" s="8">
        <v>511</v>
      </c>
      <c r="H13" s="8">
        <v>504</v>
      </c>
      <c r="I13" s="8">
        <f>57+32+52+92+50+87+64+19+56</f>
        <v>509</v>
      </c>
      <c r="J13" s="8">
        <f>69+34+64+99+53+95+41+24+45</f>
        <v>524</v>
      </c>
      <c r="K13" s="8">
        <f>67+107+45+30+56+23+55+112+43</f>
        <v>538</v>
      </c>
      <c r="L13" s="8">
        <f>65+116+47+27+59+26+66+117+48</f>
        <v>571</v>
      </c>
      <c r="M13" s="8">
        <f>78+121+56+29+55+28+57+121+60</f>
        <v>605</v>
      </c>
      <c r="N13" s="15">
        <f>87+133+53+35+54+30+59+123+54</f>
        <v>628</v>
      </c>
      <c r="O13" s="8">
        <f>95+152+58+33+62+26+65+118+65</f>
        <v>674</v>
      </c>
      <c r="P13" s="8">
        <f>73+169+63+39+65+28+76+122+50</f>
        <v>685</v>
      </c>
      <c r="Q13" s="8">
        <f>79+152+78+42+61+35+71+134+58</f>
        <v>710</v>
      </c>
      <c r="R13" s="8">
        <f>67+31+74+144+71+149+83+29+60</f>
        <v>708</v>
      </c>
      <c r="S13" s="8">
        <f>77+42+62+137+70+142+65+28+72</f>
        <v>695</v>
      </c>
      <c r="T13" s="8">
        <f>74+45+64+138+71+138+79+40+70</f>
        <v>719</v>
      </c>
      <c r="U13" s="8">
        <f>81+41+70+153+86+128+60+30+74</f>
        <v>723</v>
      </c>
      <c r="V13" s="8">
        <f>83+155+75+47+83+38+64+138+61</f>
        <v>744</v>
      </c>
      <c r="W13" s="8">
        <f>84+42+66+160+88+135+66+43+66</f>
        <v>750</v>
      </c>
      <c r="X13" s="8">
        <f>85+40+73+164+88+131+79+40+73</f>
        <v>773</v>
      </c>
      <c r="Y13" s="8">
        <v>772</v>
      </c>
      <c r="Z13" s="8">
        <v>771</v>
      </c>
      <c r="AA13" s="8">
        <v>750</v>
      </c>
      <c r="AB13" s="8">
        <v>791</v>
      </c>
      <c r="AC13" s="8">
        <v>802</v>
      </c>
      <c r="AD13" s="8">
        <v>832</v>
      </c>
      <c r="AE13" s="8">
        <f>97+157+85+52+105+42+80+161+82</f>
        <v>861</v>
      </c>
      <c r="AF13" s="8">
        <v>858</v>
      </c>
      <c r="AG13" s="12">
        <v>859</v>
      </c>
      <c r="AH13" s="12">
        <v>889</v>
      </c>
      <c r="AI13" s="12">
        <v>899</v>
      </c>
      <c r="AJ13" s="12">
        <v>915</v>
      </c>
      <c r="AK13" s="12">
        <v>962</v>
      </c>
      <c r="AL13" s="12">
        <v>993</v>
      </c>
      <c r="AM13" s="179">
        <v>997</v>
      </c>
      <c r="AN13" s="12">
        <v>1037</v>
      </c>
    </row>
    <row r="14" spans="1:40">
      <c r="A14" s="8" t="s">
        <v>22</v>
      </c>
      <c r="B14" s="21">
        <f>34+36+24+48+81+42+30+35+4</f>
        <v>334</v>
      </c>
      <c r="C14" s="21">
        <f>41+70+36+52+106+40+36+69+26</f>
        <v>476</v>
      </c>
      <c r="D14" s="21">
        <f>43+76+34+60+105+45+21+72+28</f>
        <v>484</v>
      </c>
      <c r="E14" s="8">
        <v>488</v>
      </c>
      <c r="F14" s="8">
        <f>49+79+37+55+100+50+36+50+34</f>
        <v>490</v>
      </c>
      <c r="G14" s="8">
        <v>480</v>
      </c>
      <c r="H14" s="8">
        <v>487</v>
      </c>
      <c r="I14" s="8">
        <f>52+63+38+78+105+59+44+50+33</f>
        <v>522</v>
      </c>
      <c r="J14" s="8">
        <f>49+66+48+97+117+67+34+49+28</f>
        <v>555</v>
      </c>
      <c r="K14" s="8">
        <f>46+96+51+65+116+56+31+91+22</f>
        <v>574</v>
      </c>
      <c r="L14" s="8">
        <f>47+96+46+71+122+56+39+81+39</f>
        <v>597</v>
      </c>
      <c r="M14" s="8">
        <f>47+96+46+89+123+60+40+72+47</f>
        <v>620</v>
      </c>
      <c r="N14" s="15">
        <f>54+97+36+93+146+54+47+76+34</f>
        <v>637</v>
      </c>
      <c r="O14" s="8">
        <f>64+101+48+44+85+35+68+173+62</f>
        <v>680</v>
      </c>
      <c r="P14" s="8">
        <f>54+118+45+49+92+34+72+158+83</f>
        <v>705</v>
      </c>
      <c r="Q14" s="8">
        <f>52+124+51+46+95+44+76+135+86</f>
        <v>709</v>
      </c>
      <c r="R14" s="8">
        <f>58+38+69+99+96+146+62+44+66</f>
        <v>678</v>
      </c>
      <c r="S14" s="8">
        <f>50+37+67+105+85+143+53+48+78</f>
        <v>666</v>
      </c>
      <c r="T14" s="8">
        <f>49+41+84+111+74+137+47+46+73</f>
        <v>662</v>
      </c>
      <c r="U14" s="8">
        <f>55+36+75+99+81+145+56+35+60</f>
        <v>642</v>
      </c>
      <c r="V14" s="8">
        <f>47+105+58+55+83+38+87+151+64</f>
        <v>688</v>
      </c>
      <c r="W14" s="8">
        <f>63+42+94+106+96+154+47+41+75</f>
        <v>718</v>
      </c>
      <c r="X14" s="8">
        <f>64+68+90+111+99+176+56+35+67</f>
        <v>766</v>
      </c>
      <c r="Y14" s="8">
        <v>809</v>
      </c>
      <c r="Z14" s="8">
        <v>804</v>
      </c>
      <c r="AA14" s="8">
        <v>802</v>
      </c>
      <c r="AB14" s="8">
        <v>777</v>
      </c>
      <c r="AC14" s="8">
        <v>786</v>
      </c>
      <c r="AD14" s="8">
        <v>795</v>
      </c>
      <c r="AE14" s="8">
        <f>62+116+45+48+94+60+96+182+88</f>
        <v>791</v>
      </c>
      <c r="AF14" s="8">
        <v>781</v>
      </c>
      <c r="AG14" s="12">
        <v>806</v>
      </c>
      <c r="AH14" s="12">
        <v>843</v>
      </c>
      <c r="AI14" s="12">
        <v>825</v>
      </c>
      <c r="AJ14" s="12">
        <v>853</v>
      </c>
      <c r="AK14" s="12">
        <v>862</v>
      </c>
      <c r="AL14" s="12">
        <v>905</v>
      </c>
      <c r="AM14" s="179">
        <v>912</v>
      </c>
      <c r="AN14" s="12">
        <v>941</v>
      </c>
    </row>
    <row r="15" spans="1:40">
      <c r="A15" s="8" t="s">
        <v>23</v>
      </c>
      <c r="B15" s="21">
        <f>29+51+34</f>
        <v>114</v>
      </c>
      <c r="C15" s="21">
        <f>50+65+22</f>
        <v>137</v>
      </c>
      <c r="D15" s="21">
        <f>31+81+30</f>
        <v>142</v>
      </c>
      <c r="E15" s="8">
        <v>136</v>
      </c>
      <c r="F15" s="8">
        <f>27+55+43</f>
        <v>125</v>
      </c>
      <c r="G15" s="8">
        <v>108</v>
      </c>
      <c r="H15" s="8">
        <v>104</v>
      </c>
      <c r="I15" s="8">
        <f>25+51+24</f>
        <v>100</v>
      </c>
      <c r="J15" s="8">
        <f>26+47+26</f>
        <v>99</v>
      </c>
      <c r="K15" s="8">
        <f>20+49+24</f>
        <v>93</v>
      </c>
      <c r="L15" s="8">
        <f>33+43+24</f>
        <v>100</v>
      </c>
      <c r="M15" s="8">
        <f>35+45+25</f>
        <v>105</v>
      </c>
      <c r="N15" s="15">
        <f>33+60+17</f>
        <v>110</v>
      </c>
      <c r="O15" s="8">
        <f>32+58+28</f>
        <v>118</v>
      </c>
      <c r="P15" s="8">
        <f>36+55+29</f>
        <v>120</v>
      </c>
      <c r="Q15" s="8">
        <f>34+57+25</f>
        <v>116</v>
      </c>
      <c r="R15" s="8">
        <f>39+60+25</f>
        <v>124</v>
      </c>
      <c r="S15" s="8">
        <f>28+57+34</f>
        <v>119</v>
      </c>
      <c r="T15" s="8">
        <f>43+57+24</f>
        <v>124</v>
      </c>
      <c r="U15" s="8">
        <f>43+68+29</f>
        <v>140</v>
      </c>
      <c r="V15" s="8">
        <f>35+82+26</f>
        <v>143</v>
      </c>
      <c r="W15" s="8">
        <f>40+72+36</f>
        <v>148</v>
      </c>
      <c r="X15" s="8">
        <f>41+73+38</f>
        <v>152</v>
      </c>
      <c r="Y15" s="8">
        <v>163</v>
      </c>
      <c r="Z15" s="8">
        <v>161</v>
      </c>
      <c r="AA15" s="8">
        <v>173</v>
      </c>
      <c r="AB15" s="8">
        <v>182</v>
      </c>
      <c r="AC15" s="8">
        <v>189</v>
      </c>
      <c r="AD15" s="8">
        <v>219</v>
      </c>
      <c r="AE15" s="8">
        <f>45+108+52</f>
        <v>205</v>
      </c>
      <c r="AF15" s="8">
        <v>208</v>
      </c>
      <c r="AG15" s="12">
        <v>208</v>
      </c>
      <c r="AH15" s="12">
        <v>205</v>
      </c>
      <c r="AI15" s="12">
        <v>220</v>
      </c>
      <c r="AJ15" s="12">
        <v>229</v>
      </c>
      <c r="AK15" s="12">
        <v>241</v>
      </c>
      <c r="AL15" s="12">
        <v>277</v>
      </c>
      <c r="AM15" s="179">
        <v>294</v>
      </c>
      <c r="AN15" s="12">
        <v>302</v>
      </c>
    </row>
    <row r="16" spans="1:40">
      <c r="A16" s="8" t="s">
        <v>24</v>
      </c>
      <c r="B16" s="21">
        <f>27+37+14+33+80+32+10+13+0+63+101+40</f>
        <v>450</v>
      </c>
      <c r="C16" s="21">
        <f>29+63+20+35+86+34+20+19+6+57+98+61</f>
        <v>528</v>
      </c>
      <c r="D16" s="21">
        <f>35+57+33+34+78+43+22+27+8+52+111+38</f>
        <v>538</v>
      </c>
      <c r="E16" s="8">
        <v>565</v>
      </c>
      <c r="F16" s="8">
        <f>41+69+29+32+68+36+25+41+15+74+107+53</f>
        <v>590</v>
      </c>
      <c r="G16" s="8">
        <v>617</v>
      </c>
      <c r="H16" s="8">
        <v>630</v>
      </c>
      <c r="I16" s="8">
        <f>34+30+33+69+67+77+39+132+35+34+22+61</f>
        <v>633</v>
      </c>
      <c r="J16" s="8">
        <f>40+33+39+64+69+71+53+125+29+34+15+72</f>
        <v>644</v>
      </c>
      <c r="K16" s="8">
        <f>40+72+35+39+62+38+36+65+24+80+134+57</f>
        <v>682</v>
      </c>
      <c r="L16" s="8">
        <f>38+73+29+41+71+26+38+73+25+64+148+62</f>
        <v>688</v>
      </c>
      <c r="M16" s="8">
        <f>38+71+39+37+84+32+37+71+37+75+149+57</f>
        <v>727</v>
      </c>
      <c r="N16" s="15">
        <f>31+75+31+38+74+35+46+67+35+71+144+75</f>
        <v>722</v>
      </c>
      <c r="O16" s="8">
        <f>40+68+40+44+72+39+41+71+35+83+142+69</f>
        <v>744</v>
      </c>
      <c r="P16" s="8">
        <f>51+67+35+45+77+35+40+75+31+72+157+60</f>
        <v>745</v>
      </c>
      <c r="Q16" s="8">
        <f>40+87+26+39+89+37+39+73+39+84+162+70</f>
        <v>785</v>
      </c>
      <c r="R16" s="8">
        <f>57+47+37+91+91+78+77+144+34+44+32+70</f>
        <v>802</v>
      </c>
      <c r="S16" s="8">
        <f>47+50+37+73+93+96+78+155+49+42+35+65</f>
        <v>820</v>
      </c>
      <c r="T16" s="8">
        <f>50+45+36+87+92+85+76+169+39+41+32+62</f>
        <v>814</v>
      </c>
      <c r="U16" s="8">
        <f>46+35+40+80+88+85+70+146+52+39+34+84</f>
        <v>799</v>
      </c>
      <c r="V16" s="8">
        <f>37+75+35+47+88+35+92+147+66+42+87+36</f>
        <v>787</v>
      </c>
      <c r="W16" s="8">
        <f>40+52+93+49+79+116+174+88+29+40+58+39</f>
        <v>857</v>
      </c>
      <c r="X16" s="8">
        <f>38+51+82+45+73+126+178+88+39+44+74+42</f>
        <v>880</v>
      </c>
      <c r="Y16" s="8">
        <v>884</v>
      </c>
      <c r="Z16" s="8">
        <v>936</v>
      </c>
      <c r="AA16" s="8">
        <v>897</v>
      </c>
      <c r="AB16" s="8">
        <v>863</v>
      </c>
      <c r="AC16" s="8">
        <v>892</v>
      </c>
      <c r="AD16" s="8">
        <v>926</v>
      </c>
      <c r="AE16" s="8">
        <f>45+109+50+41+80+35+73+183+80+55+120+58</f>
        <v>929</v>
      </c>
      <c r="AF16" s="8">
        <v>928</v>
      </c>
      <c r="AG16" s="12">
        <v>932</v>
      </c>
      <c r="AH16" s="12">
        <v>948</v>
      </c>
      <c r="AI16" s="12">
        <v>945</v>
      </c>
      <c r="AJ16" s="12">
        <v>937</v>
      </c>
      <c r="AK16" s="12">
        <v>1023</v>
      </c>
      <c r="AL16" s="12">
        <v>1064</v>
      </c>
      <c r="AM16" s="179">
        <v>1120</v>
      </c>
      <c r="AN16" s="12">
        <v>1168</v>
      </c>
    </row>
    <row r="17" spans="1:40">
      <c r="A17" s="8" t="s">
        <v>25</v>
      </c>
      <c r="B17" s="21">
        <f>28+75+31+6+3+0</f>
        <v>143</v>
      </c>
      <c r="C17" s="21">
        <f>58+80+27+13+14+6</f>
        <v>198</v>
      </c>
      <c r="D17" s="21">
        <f>55+102+34+6+18+8</f>
        <v>223</v>
      </c>
      <c r="E17" s="8">
        <v>257</v>
      </c>
      <c r="F17" s="8">
        <f>35+113+46+11+17+12</f>
        <v>234</v>
      </c>
      <c r="G17" s="8">
        <v>225</v>
      </c>
      <c r="H17" s="8">
        <v>208</v>
      </c>
      <c r="I17" s="8">
        <f>49+13+75+16+30+8</f>
        <v>191</v>
      </c>
      <c r="J17" s="8">
        <f>43+18+78+21+35+6</f>
        <v>201</v>
      </c>
      <c r="K17" s="8">
        <f>53+82+42</f>
        <v>177</v>
      </c>
      <c r="L17" s="8">
        <f>51+90+43</f>
        <v>184</v>
      </c>
      <c r="M17" s="8">
        <f>64+97+38</f>
        <v>199</v>
      </c>
      <c r="N17" s="15">
        <f>53+107+48</f>
        <v>208</v>
      </c>
      <c r="O17" s="8">
        <f>60+110+48</f>
        <v>218</v>
      </c>
      <c r="P17" s="8">
        <f>71+99+59</f>
        <v>229</v>
      </c>
      <c r="Q17" s="8">
        <f>57+117+47</f>
        <v>221</v>
      </c>
      <c r="R17" s="8">
        <f>63+122+52</f>
        <v>237</v>
      </c>
      <c r="S17" s="8">
        <f>53+114+68</f>
        <v>235</v>
      </c>
      <c r="T17" s="8">
        <f>56+109+54</f>
        <v>219</v>
      </c>
      <c r="U17" s="8">
        <f>66+104+56</f>
        <v>226</v>
      </c>
      <c r="V17" s="8">
        <f>64+115+52</f>
        <v>231</v>
      </c>
      <c r="W17" s="8">
        <f>61+128+46</f>
        <v>235</v>
      </c>
      <c r="X17" s="8">
        <f>60+117+61</f>
        <v>238</v>
      </c>
      <c r="Y17" s="8">
        <v>234</v>
      </c>
      <c r="Z17" s="8">
        <v>235</v>
      </c>
      <c r="AA17" s="8">
        <v>230</v>
      </c>
      <c r="AB17" s="8">
        <v>246</v>
      </c>
      <c r="AC17" s="8">
        <v>249</v>
      </c>
      <c r="AD17" s="8">
        <v>258</v>
      </c>
      <c r="AE17" s="8">
        <f>71+128+65</f>
        <v>264</v>
      </c>
      <c r="AF17" s="8">
        <v>270</v>
      </c>
      <c r="AG17" s="12">
        <v>261</v>
      </c>
      <c r="AH17" s="12">
        <v>271</v>
      </c>
      <c r="AI17" s="12">
        <v>263</v>
      </c>
      <c r="AJ17" s="12">
        <v>260</v>
      </c>
      <c r="AK17" s="12">
        <v>229</v>
      </c>
      <c r="AL17" s="12">
        <v>224</v>
      </c>
      <c r="AM17" s="179">
        <v>291</v>
      </c>
      <c r="AN17" s="12">
        <v>291</v>
      </c>
    </row>
    <row r="18" spans="1:40">
      <c r="A18" s="8" t="s">
        <v>26</v>
      </c>
      <c r="B18" s="21">
        <f>37+71+27+9+7+0</f>
        <v>151</v>
      </c>
      <c r="C18" s="21">
        <f>12+20+8+46+69+28</f>
        <v>183</v>
      </c>
      <c r="D18" s="21">
        <f>42+71+38+25+25+5</f>
        <v>206</v>
      </c>
      <c r="E18" s="8">
        <v>241</v>
      </c>
      <c r="F18" s="8">
        <f>51+92+41+20+45+11</f>
        <v>260</v>
      </c>
      <c r="G18" s="8">
        <v>269</v>
      </c>
      <c r="H18" s="8">
        <v>270</v>
      </c>
      <c r="I18" s="8">
        <f>49+21+95+26+49+18</f>
        <v>258</v>
      </c>
      <c r="J18" s="8">
        <f>24+38+32+102+12+41</f>
        <v>249</v>
      </c>
      <c r="K18" s="8">
        <f>32+36+13+51+85+49</f>
        <v>266</v>
      </c>
      <c r="L18" s="8">
        <f>32+48+16+47+85+43</f>
        <v>271</v>
      </c>
      <c r="M18" s="8">
        <f>29+53+19+48+95+33</f>
        <v>277</v>
      </c>
      <c r="N18" s="15">
        <f>29+53+23+56+85+41</f>
        <v>287</v>
      </c>
      <c r="O18" s="8">
        <f>65+102+44+31+52+29</f>
        <v>323</v>
      </c>
      <c r="P18" s="8">
        <f>61+116+45+33+53+25</f>
        <v>333</v>
      </c>
      <c r="Q18" s="8">
        <f>60+127+46+28+58+26</f>
        <v>345</v>
      </c>
      <c r="R18" s="8">
        <f>66+31+109+55+61+29</f>
        <v>351</v>
      </c>
      <c r="S18" s="8">
        <f>58+29+116+55+53+29</f>
        <v>340</v>
      </c>
      <c r="T18" s="8">
        <f>62+28+123+59+50+25</f>
        <v>347</v>
      </c>
      <c r="U18" s="8">
        <f>63+29+116+57+58+29</f>
        <v>352</v>
      </c>
      <c r="V18" s="8">
        <f>68+118+56+36+57+28</f>
        <v>363</v>
      </c>
      <c r="W18" s="8">
        <f>77+39+124+65+56+27</f>
        <v>388</v>
      </c>
      <c r="X18" s="8">
        <f>73+40+139+72+63+28</f>
        <v>415</v>
      </c>
      <c r="Y18" s="8">
        <v>421</v>
      </c>
      <c r="Z18" s="8">
        <v>435</v>
      </c>
      <c r="AA18" s="8">
        <v>420</v>
      </c>
      <c r="AB18" s="8">
        <v>410</v>
      </c>
      <c r="AC18" s="8">
        <v>410</v>
      </c>
      <c r="AD18" s="8">
        <v>425</v>
      </c>
      <c r="AE18" s="8">
        <f>81+132+61+51+81+40</f>
        <v>446</v>
      </c>
      <c r="AF18" s="8">
        <v>524</v>
      </c>
      <c r="AG18" s="12">
        <v>505</v>
      </c>
      <c r="AH18" s="12">
        <v>526</v>
      </c>
      <c r="AI18" s="12">
        <v>535</v>
      </c>
      <c r="AJ18" s="12">
        <v>600</v>
      </c>
      <c r="AK18" s="12">
        <v>917</v>
      </c>
      <c r="AL18" s="12">
        <v>968</v>
      </c>
      <c r="AM18" s="4">
        <v>733</v>
      </c>
      <c r="AN18" s="12">
        <v>732</v>
      </c>
    </row>
    <row r="19" spans="1:40">
      <c r="A19" s="8" t="s">
        <v>27</v>
      </c>
      <c r="B19" s="21">
        <f>9+6+0+62+68+38+46+67+20+22+38+15</f>
        <v>391</v>
      </c>
      <c r="C19" s="21">
        <f>22+33+7+39+87+31+44+83+28+31+42+23</f>
        <v>470</v>
      </c>
      <c r="D19" s="21">
        <f>25+34+16+47+69+33+46+86+39+23+50+23</f>
        <v>491</v>
      </c>
      <c r="E19" s="8">
        <v>503</v>
      </c>
      <c r="F19" s="8">
        <f>17+43+18+44+37+29+24+79+46+24+50+34</f>
        <v>445</v>
      </c>
      <c r="G19" s="8">
        <v>437</v>
      </c>
      <c r="H19" s="8">
        <v>452</v>
      </c>
      <c r="I19" s="8">
        <f>22+49+48+24+33+57+82+51+13+26+25+24</f>
        <v>454</v>
      </c>
      <c r="J19" s="8">
        <f>27+53+52+28+41+62+92+47+12+32+34+27</f>
        <v>507</v>
      </c>
      <c r="K19" s="8">
        <f>23+42+20+48+52+35+52+90+46+32+51+22</f>
        <v>513</v>
      </c>
      <c r="L19" s="8">
        <f>31+42+16+49+83+18+60+97+39+38+62+23</f>
        <v>558</v>
      </c>
      <c r="M19" s="8">
        <f>31+41+24+49+83+18+55+113+44+36+71+31</f>
        <v>596</v>
      </c>
      <c r="N19" s="15">
        <f>30+53+15+49+83+18+62+118+46+44+72+33</f>
        <v>623</v>
      </c>
      <c r="O19" s="8">
        <f>29+53+24+40+117+39+58+121+59+30+77+39</f>
        <v>686</v>
      </c>
      <c r="P19" s="8">
        <f>34+55+21+46+114+42+60+133+49+32+70+30</f>
        <v>686</v>
      </c>
      <c r="Q19" s="8">
        <f>21+60+27+55+87+50+70+127+64+37+64+43</f>
        <v>705</v>
      </c>
      <c r="R19" s="8">
        <f>22+55+66+37+55+80+138+66+24+51+57+33</f>
        <v>684</v>
      </c>
      <c r="S19" s="8">
        <f>33+50+73+46+40+81+135+75+33+41+60+29</f>
        <v>696</v>
      </c>
      <c r="T19" s="8">
        <f>33+63+72+43+50+88+150+84+22+41+67+38</f>
        <v>751</v>
      </c>
      <c r="U19" s="8">
        <f>36+40+72+40+59+99+143+85+20+40+60+40</f>
        <v>734</v>
      </c>
      <c r="V19" s="8">
        <f>37+55+28+54+87+36+64+139+64+42+85+42</f>
        <v>733</v>
      </c>
      <c r="W19" s="8">
        <f>35+53+55+46+59+81+139+86+25+54+60+36</f>
        <v>729</v>
      </c>
      <c r="X19" s="8">
        <f>29+55+64+61+62+91+129+89+26+32+64+47</f>
        <v>749</v>
      </c>
      <c r="Y19" s="8">
        <v>733</v>
      </c>
      <c r="Z19" s="8">
        <v>774</v>
      </c>
      <c r="AA19" s="8">
        <v>749</v>
      </c>
      <c r="AB19" s="8">
        <v>762</v>
      </c>
      <c r="AC19" s="8">
        <v>781</v>
      </c>
      <c r="AD19" s="8">
        <v>826</v>
      </c>
      <c r="AE19" s="8">
        <f>38+58+29+60+124+63+59+125+62+55+118+45</f>
        <v>836</v>
      </c>
      <c r="AF19" s="8">
        <v>834</v>
      </c>
      <c r="AG19" s="12">
        <v>854</v>
      </c>
      <c r="AH19" s="12">
        <v>872</v>
      </c>
      <c r="AI19" s="12">
        <v>988</v>
      </c>
      <c r="AJ19" s="12">
        <v>817</v>
      </c>
      <c r="AK19" s="12">
        <v>809</v>
      </c>
      <c r="AL19" s="12">
        <v>800</v>
      </c>
      <c r="AM19" s="4">
        <v>846</v>
      </c>
      <c r="AN19" s="12">
        <v>853</v>
      </c>
    </row>
    <row r="20" spans="1:40">
      <c r="A20" s="8" t="s">
        <v>28</v>
      </c>
      <c r="B20" s="21">
        <f>53+76+36+48+107+33+57+61+0+60+85+40+43+71+30+7+11+0+20+18+4</f>
        <v>860</v>
      </c>
      <c r="C20" s="21">
        <f>53+100+48+53+109+38+81+137+48+73+123+52+47+91+41+12+19+6+34+45+18</f>
        <v>1228</v>
      </c>
      <c r="D20" s="21">
        <f>58+110+40+67+109+49+87+147+58+67+128+61+53+95+40+14+21+10+30+52+22</f>
        <v>1318</v>
      </c>
      <c r="E20" s="8">
        <v>1380</v>
      </c>
      <c r="F20" s="8">
        <f>50+113+50+62+111+48+86+151+62+77+125+64+58+125+44+15+33+11+43+53+30</f>
        <v>1411</v>
      </c>
      <c r="G20" s="8">
        <v>1443</v>
      </c>
      <c r="H20" s="8">
        <v>1439</v>
      </c>
      <c r="I20" s="8">
        <f>77+68+79+89+73+22+33+111+112+122+133+128+40+56+40+50+73+65+54+13+38</f>
        <v>1476</v>
      </c>
      <c r="J20" s="8">
        <f>61+129+54+58+116+53+100+139+63+92+143+68+70+138+58+19+39+17+38+49+29</f>
        <v>1533</v>
      </c>
      <c r="K20" s="8">
        <f>68+135+50+58+116+53+82+153+72+91+161+63+76+132+67+21+33+20+28+58+27</f>
        <v>1564</v>
      </c>
      <c r="L20" s="8">
        <f>64+132+71+65+107+61+97+166+69+68+159+81+64+144+64+18+36+17+35+55+27</f>
        <v>1600</v>
      </c>
      <c r="M20" s="8">
        <f>62+139+54+90+122+48+105+162+89+79+146+77+81+137+72+23+34+17+36+57+29</f>
        <v>1659</v>
      </c>
      <c r="N20" s="15">
        <f>66+126+71+104+152+57+105+174+74+85+129+81+71+143+72+21+35+20+29+64+23</f>
        <v>1702</v>
      </c>
      <c r="O20" s="8">
        <f>75+123+59+21+39+13+42+51+30+95+194+55+97+181+78+80+151+57+76+152+63</f>
        <v>1732</v>
      </c>
      <c r="P20" s="8">
        <f>71+129+64+24+40+21+35+57+27+94+181+88+122+173+85+87+156+67+67+143+77</f>
        <v>1808</v>
      </c>
      <c r="Q20" s="8">
        <f>67+142+62+26+45+18+32+58+24+75+173+93+111+188+91+93+156+80+82+140+67</f>
        <v>1823</v>
      </c>
      <c r="R20" s="8">
        <f>77+35+43+97+84+97+54+132+49+62+162+212+180+146+72+18+30+77+79+63+71</f>
        <v>1840</v>
      </c>
      <c r="S20" s="8">
        <f>77+37+49+109+85+109+77+136+61+76+181+182+184+124+66+24+32+71+100+87+63</f>
        <v>1930</v>
      </c>
      <c r="T20" s="8">
        <f>82+44+43+82+86+111+83+149+72+88+211+157+210+127+64+26+30+61+102+80+76</f>
        <v>1984</v>
      </c>
      <c r="U20" s="8">
        <f>89+36+57+86+103+110+77+152+80+84+206+163+216+157+73+33+41+69+69+94+50</f>
        <v>2045</v>
      </c>
      <c r="V20" s="8">
        <f>80+172+70+33+77+38+53+86+46+103+182+98+100+179+72+100+222+101+95+153+77</f>
        <v>2137</v>
      </c>
      <c r="W20" s="8">
        <f>92+38+53+111+124+127+98+163+64+98+239+177+201+171+86+39+36+105+77+98+75</f>
        <v>2272</v>
      </c>
      <c r="X20" s="8">
        <f>85+43+54+114+107+127+108+172+75+102+205+190+198+186+89+29+48+76+93+110+86</f>
        <v>2297</v>
      </c>
      <c r="Y20" s="8">
        <v>2320</v>
      </c>
      <c r="Z20" s="8">
        <v>2404</v>
      </c>
      <c r="AA20" s="8">
        <v>2467</v>
      </c>
      <c r="AB20" s="8">
        <v>2483</v>
      </c>
      <c r="AC20" s="8">
        <v>2496</v>
      </c>
      <c r="AD20" s="8">
        <v>2543</v>
      </c>
      <c r="AE20" s="8">
        <f>80+186+96+78+113+57+68+119+59+26+23+102+207+104+106+190+110+109+231+109+110+229+98</f>
        <v>2610</v>
      </c>
      <c r="AF20" s="8">
        <v>2695</v>
      </c>
      <c r="AG20" s="12">
        <v>2763</v>
      </c>
      <c r="AH20" s="12">
        <v>2851</v>
      </c>
      <c r="AI20" s="12">
        <v>2893</v>
      </c>
      <c r="AJ20" s="12">
        <v>2930</v>
      </c>
      <c r="AK20" s="12">
        <v>2986</v>
      </c>
      <c r="AL20" s="12">
        <v>3065</v>
      </c>
      <c r="AM20" s="4">
        <v>3167</v>
      </c>
      <c r="AN20" s="12">
        <v>3365</v>
      </c>
    </row>
    <row r="21" spans="1:40">
      <c r="A21" s="8" t="s">
        <v>29</v>
      </c>
      <c r="B21" s="21">
        <f>36+20+14+42+81+39+36+56+25</f>
        <v>349</v>
      </c>
      <c r="C21" s="21">
        <f>37+39+30+46+93+38+32+53+32</f>
        <v>400</v>
      </c>
      <c r="D21" s="21">
        <f>39+34+38+53+90+45+33+61+21</f>
        <v>414</v>
      </c>
      <c r="E21" s="8">
        <v>425</v>
      </c>
      <c r="F21" s="8">
        <f>44+49+19+50+110+45+43+67+31</f>
        <v>458</v>
      </c>
      <c r="G21" s="8">
        <v>501</v>
      </c>
      <c r="H21" s="8">
        <v>543</v>
      </c>
      <c r="I21" s="8">
        <f>36+60+54+81+112+105+40+49+35</f>
        <v>572</v>
      </c>
      <c r="J21" s="8">
        <f>34+61+52+78+114+107+37+54+49</f>
        <v>586</v>
      </c>
      <c r="K21" s="8">
        <f>54+66+38+50+110+56+52+101+55</f>
        <v>582</v>
      </c>
      <c r="L21" s="8">
        <f>47+88+31+65+102+54+63+90+52</f>
        <v>592</v>
      </c>
      <c r="M21" s="8">
        <f>51+95+34+76+108+52</f>
        <v>416</v>
      </c>
      <c r="N21" s="15">
        <f>52+96+49+71+130+44+65+112+45</f>
        <v>664</v>
      </c>
      <c r="O21" s="8">
        <f>52+96+46+69+122+47+62+142+59</f>
        <v>695</v>
      </c>
      <c r="P21" s="8">
        <f>52+103+43+63+123+64+76+129+68</f>
        <v>721</v>
      </c>
      <c r="Q21" s="8">
        <f>36+101+48+70+121+56+76+127+71</f>
        <v>706</v>
      </c>
      <c r="R21" s="8">
        <f>45+55+77+84+126+139+49+65+56</f>
        <v>696</v>
      </c>
      <c r="S21" s="8">
        <f>48+58+78+82+119+144+49+55+65</f>
        <v>698</v>
      </c>
      <c r="T21" s="8">
        <f>47+70+78+95+112+148+33+66+71</f>
        <v>720</v>
      </c>
      <c r="U21" s="8">
        <f>54+59+90+92+127+150+47+57+73</f>
        <v>749</v>
      </c>
      <c r="V21" s="8">
        <f>56+98+48+62+132+51+87+165+74</f>
        <v>773</v>
      </c>
      <c r="W21" s="8">
        <f>60+86+97+108+120+172+42+66+73</f>
        <v>824</v>
      </c>
      <c r="X21" s="8">
        <f>65+65+87+110+145+178+53+56+91</f>
        <v>850</v>
      </c>
      <c r="Y21" s="8">
        <v>855</v>
      </c>
      <c r="Z21" s="8">
        <v>874</v>
      </c>
      <c r="AA21" s="8">
        <v>837</v>
      </c>
      <c r="AB21" s="8">
        <v>821</v>
      </c>
      <c r="AC21" s="8">
        <v>830</v>
      </c>
      <c r="AD21" s="8">
        <v>832</v>
      </c>
      <c r="AE21" s="8">
        <f>59+107+53+59+128+66+90+185+85+12</f>
        <v>844</v>
      </c>
      <c r="AF21" s="8">
        <v>877</v>
      </c>
      <c r="AG21" s="12">
        <v>910</v>
      </c>
      <c r="AH21" s="12">
        <v>946</v>
      </c>
      <c r="AI21" s="12">
        <v>1008</v>
      </c>
      <c r="AJ21" s="12">
        <v>984</v>
      </c>
      <c r="AK21" s="12">
        <v>1012</v>
      </c>
      <c r="AL21" s="12">
        <v>1032</v>
      </c>
      <c r="AM21" s="4">
        <v>1015</v>
      </c>
      <c r="AN21" s="12">
        <v>1038</v>
      </c>
    </row>
    <row r="22" spans="1:40">
      <c r="A22" s="9" t="s">
        <v>30</v>
      </c>
      <c r="B22" s="7">
        <f>7+9+0+16+39+16</f>
        <v>87</v>
      </c>
      <c r="C22" s="7">
        <f>18+19+6+24+44+17</f>
        <v>128</v>
      </c>
      <c r="D22" s="7">
        <f>13+29+8+26+40+23</f>
        <v>139</v>
      </c>
      <c r="E22" s="9">
        <v>153</v>
      </c>
      <c r="F22" s="9">
        <f>16+32+17+26+52+19</f>
        <v>162</v>
      </c>
      <c r="G22" s="9">
        <v>160</v>
      </c>
      <c r="H22" s="9">
        <v>176</v>
      </c>
      <c r="I22" s="9">
        <f>24+30+34+52+17+17</f>
        <v>174</v>
      </c>
      <c r="J22" s="9">
        <f>22+33+39+53+11+19</f>
        <v>177</v>
      </c>
      <c r="K22" s="9">
        <f>23+37+16+33+49+32</f>
        <v>190</v>
      </c>
      <c r="L22" s="9">
        <f>22+33+19+34+56+22</f>
        <v>186</v>
      </c>
      <c r="M22" s="9">
        <f>19+35+15+38+60+27</f>
        <v>194</v>
      </c>
      <c r="N22" s="16">
        <f>23+33+20+50+65+27</f>
        <v>218</v>
      </c>
      <c r="O22" s="9">
        <f>19+38+15+44+77+34</f>
        <v>227</v>
      </c>
      <c r="P22" s="9">
        <f>15+35+16+36+92+25</f>
        <v>219</v>
      </c>
      <c r="Q22" s="9">
        <f>19+30+18+46+75+41</f>
        <v>229</v>
      </c>
      <c r="R22" s="9">
        <f>19+27+28+77+20+42</f>
        <v>213</v>
      </c>
      <c r="S22" s="9">
        <f>21+38+40+68+9+32</f>
        <v>208</v>
      </c>
      <c r="T22" s="9">
        <f>27+40+38+67+22+38</f>
        <v>232</v>
      </c>
      <c r="U22" s="9">
        <f>21+31+44+75+19+29</f>
        <v>219</v>
      </c>
      <c r="V22" s="9">
        <f>26+42+20+45+71+28</f>
        <v>232</v>
      </c>
      <c r="W22" s="9">
        <f>22+39+40+82+25+29</f>
        <v>237</v>
      </c>
      <c r="X22" s="9">
        <f>27+46+40+81+21+18</f>
        <v>233</v>
      </c>
      <c r="Y22" s="9">
        <v>246</v>
      </c>
      <c r="Z22" s="9">
        <v>248</v>
      </c>
      <c r="AA22" s="9">
        <v>250</v>
      </c>
      <c r="AB22" s="9">
        <v>281</v>
      </c>
      <c r="AC22" s="9">
        <v>307</v>
      </c>
      <c r="AD22" s="9">
        <v>315</v>
      </c>
      <c r="AE22" s="9">
        <f>28+80+33+41+81+44</f>
        <v>307</v>
      </c>
      <c r="AF22" s="9">
        <v>284</v>
      </c>
      <c r="AG22" s="110">
        <v>276</v>
      </c>
      <c r="AH22" s="110">
        <v>274</v>
      </c>
      <c r="AI22" s="110">
        <v>300</v>
      </c>
      <c r="AJ22" s="110">
        <v>315</v>
      </c>
      <c r="AK22" s="110">
        <v>337</v>
      </c>
      <c r="AL22" s="110">
        <v>339</v>
      </c>
      <c r="AM22" s="4">
        <v>346</v>
      </c>
      <c r="AN22" s="12">
        <v>367</v>
      </c>
    </row>
    <row r="23" spans="1:40">
      <c r="A23" s="53" t="s">
        <v>31</v>
      </c>
      <c r="B23" s="21"/>
      <c r="C23" s="21"/>
      <c r="D23" s="21"/>
      <c r="E23" s="53"/>
      <c r="F23" s="53"/>
      <c r="G23" s="53"/>
      <c r="H23" s="53"/>
      <c r="I23" s="53"/>
      <c r="J23" s="53"/>
      <c r="K23" s="53"/>
      <c r="L23" s="53"/>
      <c r="M23" s="53"/>
      <c r="N23" s="56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>
        <f>SUM(Y25:Y37)</f>
        <v>4123</v>
      </c>
      <c r="Z23" s="53">
        <f t="shared" ref="Z23:AD23" si="18">SUM(Z25:Z37)</f>
        <v>4002</v>
      </c>
      <c r="AA23" s="53">
        <f t="shared" si="18"/>
        <v>4012</v>
      </c>
      <c r="AB23" s="53">
        <f t="shared" si="18"/>
        <v>4011</v>
      </c>
      <c r="AC23" s="53">
        <f t="shared" si="18"/>
        <v>4048</v>
      </c>
      <c r="AD23" s="53">
        <f t="shared" si="18"/>
        <v>4071</v>
      </c>
      <c r="AE23" s="53">
        <f t="shared" ref="AE23:AF23" si="19">SUM(AE25:AE37)</f>
        <v>4182</v>
      </c>
      <c r="AF23" s="53">
        <f t="shared" si="19"/>
        <v>4201</v>
      </c>
      <c r="AG23" s="53">
        <f t="shared" ref="AG23" si="20">SUM(AG25:AG37)</f>
        <v>4268</v>
      </c>
      <c r="AH23" s="53">
        <f t="shared" ref="AH23:AN23" si="21">SUM(AH26:AH37)</f>
        <v>4331</v>
      </c>
      <c r="AI23" s="53">
        <f t="shared" si="21"/>
        <v>4475</v>
      </c>
      <c r="AJ23" s="53">
        <f t="shared" si="21"/>
        <v>4611</v>
      </c>
      <c r="AK23" s="53">
        <f t="shared" si="21"/>
        <v>4766</v>
      </c>
      <c r="AL23" s="53">
        <f t="shared" si="21"/>
        <v>4939</v>
      </c>
      <c r="AM23" s="53">
        <f t="shared" si="21"/>
        <v>5347</v>
      </c>
      <c r="AN23" s="53">
        <f t="shared" si="21"/>
        <v>5665</v>
      </c>
    </row>
    <row r="24" spans="1:40">
      <c r="A24" s="50" t="s">
        <v>14</v>
      </c>
      <c r="B24" s="45">
        <f>(B23/B$4)*100</f>
        <v>0</v>
      </c>
      <c r="C24" s="45">
        <f t="shared" ref="C24:X24" si="22">(C23/C$4)*100</f>
        <v>0</v>
      </c>
      <c r="D24" s="45">
        <f t="shared" si="22"/>
        <v>0</v>
      </c>
      <c r="E24" s="54">
        <f t="shared" si="22"/>
        <v>0</v>
      </c>
      <c r="F24" s="54">
        <f t="shared" si="22"/>
        <v>0</v>
      </c>
      <c r="G24" s="54">
        <f t="shared" si="22"/>
        <v>0</v>
      </c>
      <c r="H24" s="54">
        <f t="shared" si="22"/>
        <v>0</v>
      </c>
      <c r="I24" s="54">
        <f t="shared" si="22"/>
        <v>0</v>
      </c>
      <c r="J24" s="54">
        <f t="shared" si="22"/>
        <v>0</v>
      </c>
      <c r="K24" s="54">
        <f t="shared" si="22"/>
        <v>0</v>
      </c>
      <c r="L24" s="54">
        <f t="shared" si="22"/>
        <v>0</v>
      </c>
      <c r="M24" s="54">
        <f t="shared" si="22"/>
        <v>0</v>
      </c>
      <c r="N24" s="57">
        <f t="shared" si="22"/>
        <v>0</v>
      </c>
      <c r="O24" s="54">
        <f t="shared" si="22"/>
        <v>0</v>
      </c>
      <c r="P24" s="54">
        <f t="shared" si="22"/>
        <v>0</v>
      </c>
      <c r="Q24" s="54">
        <f t="shared" si="22"/>
        <v>0</v>
      </c>
      <c r="R24" s="54">
        <f t="shared" si="22"/>
        <v>0</v>
      </c>
      <c r="S24" s="54">
        <f t="shared" si="22"/>
        <v>0</v>
      </c>
      <c r="T24" s="54">
        <f t="shared" si="22"/>
        <v>0</v>
      </c>
      <c r="U24" s="54">
        <f t="shared" si="22"/>
        <v>0</v>
      </c>
      <c r="V24" s="54">
        <f t="shared" si="22"/>
        <v>0</v>
      </c>
      <c r="W24" s="54">
        <f t="shared" si="22"/>
        <v>0</v>
      </c>
      <c r="X24" s="54">
        <f t="shared" si="22"/>
        <v>0</v>
      </c>
      <c r="Y24" s="54">
        <f t="shared" ref="Y24" si="23">(Y23/Y$4)*100</f>
        <v>12.787668258792879</v>
      </c>
      <c r="Z24" s="54">
        <f t="shared" ref="Z24" si="24">(Z23/Z$4)*100</f>
        <v>12.14530666747595</v>
      </c>
      <c r="AA24" s="54">
        <f t="shared" ref="AA24" si="25">(AA23/AA$4)*100</f>
        <v>12.097819859481952</v>
      </c>
      <c r="AB24" s="54">
        <f t="shared" ref="AB24" si="26">(AB23/AB$4)*100</f>
        <v>11.968846980186202</v>
      </c>
      <c r="AC24" s="54">
        <f t="shared" ref="AC24" si="27">(AC23/AC$4)*100</f>
        <v>11.936777541873084</v>
      </c>
      <c r="AD24" s="54">
        <f t="shared" ref="AD24:AE24" si="28">(AD23/AD$4)*100</f>
        <v>11.722529371112648</v>
      </c>
      <c r="AE24" s="54">
        <f t="shared" si="28"/>
        <v>12.006545893026328</v>
      </c>
      <c r="AF24" s="54">
        <f t="shared" ref="AF24:AG24" si="29">(AF23/AF$4)*100</f>
        <v>11.86756688042035</v>
      </c>
      <c r="AG24" s="54">
        <f t="shared" si="29"/>
        <v>11.883614088820826</v>
      </c>
      <c r="AH24" s="54">
        <f t="shared" ref="AH24:AI24" si="30">(AH23/AH$4)*100</f>
        <v>11.839155869006616</v>
      </c>
      <c r="AI24" s="54">
        <f t="shared" si="30"/>
        <v>11.903495238601906</v>
      </c>
      <c r="AJ24" s="54">
        <f t="shared" ref="AJ24:AK24" si="31">(AJ23/AJ$4)*100</f>
        <v>12.121451104100947</v>
      </c>
      <c r="AK24" s="54">
        <f t="shared" si="31"/>
        <v>12.094911813221671</v>
      </c>
      <c r="AL24" s="54">
        <f t="shared" ref="AL24:AM24" si="32">(AL23/AL$4)*100</f>
        <v>12.133942610062894</v>
      </c>
      <c r="AM24" s="54">
        <f t="shared" si="32"/>
        <v>12.653824308973874</v>
      </c>
      <c r="AN24" s="54">
        <f t="shared" ref="AN24" si="33">(AN23/AN$4)*100</f>
        <v>12.900507822284974</v>
      </c>
    </row>
    <row r="25" spans="1:40">
      <c r="A25" s="8" t="s">
        <v>32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3"/>
      <c r="Z25" s="53"/>
      <c r="AA25" s="53"/>
      <c r="AB25" s="8"/>
      <c r="AC25" s="8"/>
      <c r="AD25" s="8"/>
      <c r="AE25" s="8"/>
      <c r="AF25" s="8"/>
      <c r="AM25" s="4"/>
    </row>
    <row r="26" spans="1:40">
      <c r="A26" s="8" t="s">
        <v>33</v>
      </c>
      <c r="B26" s="21"/>
      <c r="C26" s="46"/>
      <c r="D26" s="46"/>
      <c r="E26" s="8"/>
      <c r="F26" s="8"/>
      <c r="G26" s="8"/>
      <c r="H26" s="8"/>
      <c r="I26" s="8"/>
      <c r="J26" s="8"/>
      <c r="K26" s="8"/>
      <c r="L26" s="8"/>
      <c r="M26" s="8"/>
      <c r="N26" s="15"/>
      <c r="O26" s="8"/>
      <c r="P26" s="8"/>
      <c r="Q26" s="8"/>
      <c r="R26" s="8"/>
      <c r="S26" s="8"/>
      <c r="T26" s="8"/>
      <c r="U26" s="8"/>
      <c r="V26" s="8"/>
      <c r="W26" s="8"/>
      <c r="X26" s="8"/>
      <c r="Y26" s="8">
        <v>216</v>
      </c>
      <c r="Z26" s="8">
        <v>230</v>
      </c>
      <c r="AA26" s="8">
        <v>236</v>
      </c>
      <c r="AB26" s="8">
        <v>269</v>
      </c>
      <c r="AC26" s="8">
        <v>306</v>
      </c>
      <c r="AD26" s="8">
        <v>323</v>
      </c>
      <c r="AE26" s="8">
        <f>77+181+84</f>
        <v>342</v>
      </c>
      <c r="AF26" s="8">
        <v>334</v>
      </c>
      <c r="AG26" s="12">
        <v>353</v>
      </c>
      <c r="AH26" s="12">
        <v>366</v>
      </c>
      <c r="AI26" s="12">
        <v>394</v>
      </c>
      <c r="AJ26" s="12">
        <v>405</v>
      </c>
      <c r="AK26" s="12">
        <v>438</v>
      </c>
      <c r="AL26" s="12">
        <v>443</v>
      </c>
      <c r="AM26" s="179">
        <v>447</v>
      </c>
      <c r="AN26" s="12">
        <v>446</v>
      </c>
    </row>
    <row r="27" spans="1:40">
      <c r="A27" s="8" t="s">
        <v>34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2216</v>
      </c>
      <c r="Z27" s="8">
        <v>2238</v>
      </c>
      <c r="AA27" s="8">
        <v>2235</v>
      </c>
      <c r="AB27" s="8">
        <v>2223</v>
      </c>
      <c r="AC27" s="8">
        <v>2173</v>
      </c>
      <c r="AD27" s="8">
        <v>2168</v>
      </c>
      <c r="AE27" s="8">
        <f>89+190+70+87+163+69+77+119+73+43+121+54+50+142+57+54+107+49+60+134+59+90+200+86</f>
        <v>2243</v>
      </c>
      <c r="AF27" s="8">
        <v>2228</v>
      </c>
      <c r="AG27" s="12">
        <v>2270</v>
      </c>
      <c r="AH27" s="12">
        <v>2271</v>
      </c>
      <c r="AI27" s="12">
        <v>2342</v>
      </c>
      <c r="AJ27" s="12">
        <v>2425</v>
      </c>
      <c r="AK27" s="12">
        <v>2520</v>
      </c>
      <c r="AL27" s="12">
        <v>2565</v>
      </c>
      <c r="AM27" s="179">
        <v>2718</v>
      </c>
      <c r="AN27" s="12">
        <v>2923</v>
      </c>
    </row>
    <row r="28" spans="1:40">
      <c r="A28" s="8" t="s">
        <v>35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255</v>
      </c>
      <c r="Z28" s="8">
        <v>259</v>
      </c>
      <c r="AA28" s="8">
        <v>278</v>
      </c>
      <c r="AB28" s="8">
        <v>281</v>
      </c>
      <c r="AC28" s="8">
        <v>309</v>
      </c>
      <c r="AD28" s="8">
        <v>295</v>
      </c>
      <c r="AE28" s="8">
        <f>78+154+66</f>
        <v>298</v>
      </c>
      <c r="AF28" s="8">
        <v>304</v>
      </c>
      <c r="AG28" s="12">
        <v>312</v>
      </c>
      <c r="AH28" s="12">
        <v>307</v>
      </c>
      <c r="AI28" s="12">
        <v>322</v>
      </c>
      <c r="AJ28" s="12">
        <v>310</v>
      </c>
      <c r="AK28" s="12">
        <v>323</v>
      </c>
      <c r="AL28" s="12">
        <v>323</v>
      </c>
      <c r="AM28" s="179">
        <v>384</v>
      </c>
      <c r="AN28" s="12">
        <v>378</v>
      </c>
    </row>
    <row r="29" spans="1:40">
      <c r="A29" s="8" t="s">
        <v>36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>
        <v>154</v>
      </c>
      <c r="Z29" s="8">
        <v>156</v>
      </c>
      <c r="AA29" s="8">
        <v>145</v>
      </c>
      <c r="AB29" s="8">
        <v>143</v>
      </c>
      <c r="AC29" s="8">
        <v>139</v>
      </c>
      <c r="AD29" s="8">
        <v>139</v>
      </c>
      <c r="AE29" s="8">
        <f>38+65+38</f>
        <v>141</v>
      </c>
      <c r="AF29" s="8">
        <v>131</v>
      </c>
      <c r="AG29" s="12">
        <v>130</v>
      </c>
      <c r="AH29" s="12">
        <v>147</v>
      </c>
      <c r="AI29" s="12">
        <v>143</v>
      </c>
      <c r="AJ29" s="12">
        <v>148</v>
      </c>
      <c r="AK29" s="12">
        <v>134</v>
      </c>
      <c r="AL29" s="12">
        <v>139</v>
      </c>
      <c r="AM29" s="179">
        <v>143</v>
      </c>
      <c r="AN29" s="12">
        <v>139</v>
      </c>
    </row>
    <row r="30" spans="1:40">
      <c r="A30" s="8" t="s">
        <v>37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M30" s="179"/>
    </row>
    <row r="31" spans="1:40">
      <c r="A31" s="8" t="s">
        <v>38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M31" s="179"/>
    </row>
    <row r="32" spans="1:40">
      <c r="A32" s="8" t="s">
        <v>39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v>253</v>
      </c>
      <c r="Z32" s="8">
        <v>104</v>
      </c>
      <c r="AA32" s="8">
        <v>109</v>
      </c>
      <c r="AB32" s="8">
        <v>108</v>
      </c>
      <c r="AC32" s="8">
        <v>115</v>
      </c>
      <c r="AD32" s="8">
        <v>113</v>
      </c>
      <c r="AE32" s="8">
        <f>28+65+22</f>
        <v>115</v>
      </c>
      <c r="AF32" s="8">
        <v>121</v>
      </c>
      <c r="AG32" s="12">
        <v>113</v>
      </c>
      <c r="AH32" s="12">
        <v>110</v>
      </c>
      <c r="AI32" s="12">
        <v>116</v>
      </c>
      <c r="AJ32" s="12">
        <v>114</v>
      </c>
      <c r="AK32" s="12">
        <v>122</v>
      </c>
      <c r="AL32" s="12">
        <v>164</v>
      </c>
      <c r="AM32" s="179">
        <v>198</v>
      </c>
      <c r="AN32" s="12">
        <v>214</v>
      </c>
    </row>
    <row r="33" spans="1:40">
      <c r="A33" s="8" t="s">
        <v>40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185</v>
      </c>
      <c r="Z33" s="8">
        <v>185</v>
      </c>
      <c r="AA33" s="8">
        <v>176</v>
      </c>
      <c r="AB33" s="8">
        <v>168</v>
      </c>
      <c r="AC33" s="8">
        <v>164</v>
      </c>
      <c r="AD33" s="8">
        <v>173</v>
      </c>
      <c r="AE33" s="8">
        <f>52+87+41</f>
        <v>180</v>
      </c>
      <c r="AF33" s="8">
        <v>186</v>
      </c>
      <c r="AG33" s="12">
        <v>206</v>
      </c>
      <c r="AH33" s="12">
        <v>224</v>
      </c>
      <c r="AI33" s="12">
        <v>230</v>
      </c>
      <c r="AJ33" s="12">
        <v>228</v>
      </c>
      <c r="AK33" s="12">
        <v>197</v>
      </c>
      <c r="AL33" s="12">
        <v>214</v>
      </c>
      <c r="AM33" s="179">
        <v>235</v>
      </c>
      <c r="AN33" s="12">
        <v>242</v>
      </c>
    </row>
    <row r="34" spans="1:40">
      <c r="A34" s="8" t="s">
        <v>41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275</v>
      </c>
      <c r="Z34" s="8">
        <v>253</v>
      </c>
      <c r="AA34" s="8">
        <v>267</v>
      </c>
      <c r="AB34" s="8">
        <v>251</v>
      </c>
      <c r="AC34" s="8">
        <v>256</v>
      </c>
      <c r="AD34" s="8">
        <v>260</v>
      </c>
      <c r="AE34" s="8">
        <f>69+132+59</f>
        <v>260</v>
      </c>
      <c r="AF34" s="8">
        <v>261</v>
      </c>
      <c r="AG34" s="12">
        <v>276</v>
      </c>
      <c r="AH34" s="12">
        <v>271</v>
      </c>
      <c r="AI34" s="12">
        <v>256</v>
      </c>
      <c r="AJ34" s="12">
        <v>282</v>
      </c>
      <c r="AK34" s="12">
        <v>269</v>
      </c>
      <c r="AL34" s="12">
        <v>282</v>
      </c>
      <c r="AM34" s="179">
        <v>342</v>
      </c>
      <c r="AN34" s="12">
        <v>365</v>
      </c>
    </row>
    <row r="35" spans="1:40">
      <c r="A35" s="8" t="s">
        <v>42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150</v>
      </c>
      <c r="Z35" s="8">
        <v>153</v>
      </c>
      <c r="AA35" s="8">
        <v>153</v>
      </c>
      <c r="AB35" s="8">
        <v>152</v>
      </c>
      <c r="AC35" s="8">
        <v>148</v>
      </c>
      <c r="AD35" s="8">
        <v>135</v>
      </c>
      <c r="AE35" s="8">
        <f>26+65+32</f>
        <v>123</v>
      </c>
      <c r="AF35" s="8">
        <v>115</v>
      </c>
      <c r="AG35" s="12">
        <v>108</v>
      </c>
      <c r="AH35" s="12">
        <v>137</v>
      </c>
      <c r="AI35" s="12">
        <v>163</v>
      </c>
      <c r="AJ35" s="12">
        <v>178</v>
      </c>
      <c r="AK35" s="12">
        <v>203</v>
      </c>
      <c r="AL35" s="12">
        <v>215</v>
      </c>
      <c r="AM35" s="4">
        <v>219</v>
      </c>
      <c r="AN35" s="12">
        <v>219</v>
      </c>
    </row>
    <row r="36" spans="1:40">
      <c r="A36" s="8" t="s">
        <v>43</v>
      </c>
      <c r="B36" s="6"/>
      <c r="C36" s="6"/>
      <c r="D36" s="6"/>
      <c r="E36" s="17"/>
      <c r="F36" s="8"/>
      <c r="G36" s="8"/>
      <c r="H36" s="8"/>
      <c r="I36" s="8"/>
      <c r="J36" s="8"/>
      <c r="K36" s="8"/>
      <c r="L36" s="8"/>
      <c r="M36" s="8"/>
      <c r="N36" s="15"/>
      <c r="O36" s="8"/>
      <c r="P36" s="8"/>
      <c r="Q36" s="8"/>
      <c r="R36" s="8"/>
      <c r="S36" s="8"/>
      <c r="T36" s="8"/>
      <c r="U36" s="8"/>
      <c r="V36" s="8"/>
      <c r="W36" s="8"/>
      <c r="X36" s="8"/>
      <c r="Y36" s="8">
        <v>419</v>
      </c>
      <c r="Z36" s="8">
        <v>424</v>
      </c>
      <c r="AA36" s="8">
        <v>413</v>
      </c>
      <c r="AB36" s="8">
        <v>416</v>
      </c>
      <c r="AC36" s="8">
        <v>438</v>
      </c>
      <c r="AD36" s="8">
        <v>465</v>
      </c>
      <c r="AE36" s="8">
        <f>114+266+100</f>
        <v>480</v>
      </c>
      <c r="AF36" s="8">
        <v>521</v>
      </c>
      <c r="AG36" s="12">
        <v>500</v>
      </c>
      <c r="AH36" s="12">
        <v>498</v>
      </c>
      <c r="AI36" s="12">
        <v>509</v>
      </c>
      <c r="AJ36" s="12">
        <v>521</v>
      </c>
      <c r="AK36" s="12">
        <v>560</v>
      </c>
      <c r="AL36" s="12">
        <v>594</v>
      </c>
      <c r="AM36" s="4">
        <v>661</v>
      </c>
      <c r="AN36" s="12">
        <v>739</v>
      </c>
    </row>
    <row r="37" spans="1:40">
      <c r="A37" s="9" t="s">
        <v>44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0"/>
      <c r="AH37" s="110"/>
      <c r="AI37" s="110"/>
      <c r="AJ37" s="110"/>
      <c r="AK37" s="110"/>
      <c r="AL37" s="110"/>
      <c r="AM37" s="4"/>
    </row>
    <row r="38" spans="1:40">
      <c r="A38" s="53" t="s">
        <v>45</v>
      </c>
      <c r="B38" s="21"/>
      <c r="C38" s="21"/>
      <c r="D38" s="21"/>
      <c r="E38" s="53"/>
      <c r="F38" s="53"/>
      <c r="G38" s="53"/>
      <c r="H38" s="53"/>
      <c r="I38" s="53"/>
      <c r="J38" s="53"/>
      <c r="K38" s="53"/>
      <c r="L38" s="53"/>
      <c r="M38" s="53"/>
      <c r="N38" s="56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>
        <f>SUM(Y40:Y51)</f>
        <v>8610</v>
      </c>
      <c r="Z38" s="53">
        <f t="shared" ref="Z38:AD38" si="34">SUM(Z40:Z51)</f>
        <v>8838</v>
      </c>
      <c r="AA38" s="53">
        <f t="shared" si="34"/>
        <v>8905</v>
      </c>
      <c r="AB38" s="53">
        <f t="shared" si="34"/>
        <v>9039</v>
      </c>
      <c r="AC38" s="53">
        <f t="shared" si="34"/>
        <v>9136</v>
      </c>
      <c r="AD38" s="53">
        <f t="shared" si="34"/>
        <v>9577</v>
      </c>
      <c r="AE38" s="53">
        <f t="shared" ref="AE38:AF38" si="35">SUM(AE40:AE51)</f>
        <v>9306</v>
      </c>
      <c r="AF38" s="53">
        <f t="shared" si="35"/>
        <v>9440</v>
      </c>
      <c r="AG38" s="53">
        <f t="shared" ref="AG38:AH38" si="36">SUM(AG40:AG51)</f>
        <v>9587</v>
      </c>
      <c r="AH38" s="53">
        <f t="shared" si="36"/>
        <v>9694</v>
      </c>
      <c r="AI38" s="53">
        <f t="shared" ref="AI38:AJ38" si="37">SUM(AI40:AI51)</f>
        <v>9947</v>
      </c>
      <c r="AJ38" s="53">
        <f t="shared" si="37"/>
        <v>10080</v>
      </c>
      <c r="AK38" s="53">
        <f t="shared" ref="AK38:AL38" si="38">SUM(AK40:AK51)</f>
        <v>10358</v>
      </c>
      <c r="AL38" s="53">
        <f t="shared" si="38"/>
        <v>10636</v>
      </c>
      <c r="AM38" s="53">
        <f t="shared" ref="AM38:AN38" si="39">SUM(AM40:AM51)</f>
        <v>11002</v>
      </c>
      <c r="AN38" s="53">
        <f t="shared" si="39"/>
        <v>11405</v>
      </c>
    </row>
    <row r="39" spans="1:40">
      <c r="A39" s="50" t="s">
        <v>14</v>
      </c>
      <c r="B39" s="45">
        <f>(B38/B$4)*100</f>
        <v>0</v>
      </c>
      <c r="C39" s="45">
        <f t="shared" ref="C39" si="40">(C38/C$4)*100</f>
        <v>0</v>
      </c>
      <c r="D39" s="45">
        <f t="shared" ref="D39" si="41">(D38/D$4)*100</f>
        <v>0</v>
      </c>
      <c r="E39" s="54">
        <f t="shared" ref="E39" si="42">(E38/E$4)*100</f>
        <v>0</v>
      </c>
      <c r="F39" s="54">
        <f t="shared" ref="F39" si="43">(F38/F$4)*100</f>
        <v>0</v>
      </c>
      <c r="G39" s="54">
        <f t="shared" ref="G39" si="44">(G38/G$4)*100</f>
        <v>0</v>
      </c>
      <c r="H39" s="54">
        <f t="shared" ref="H39" si="45">(H38/H$4)*100</f>
        <v>0</v>
      </c>
      <c r="I39" s="54">
        <f t="shared" ref="I39" si="46">(I38/I$4)*100</f>
        <v>0</v>
      </c>
      <c r="J39" s="54">
        <f t="shared" ref="J39" si="47">(J38/J$4)*100</f>
        <v>0</v>
      </c>
      <c r="K39" s="54">
        <f t="shared" ref="K39" si="48">(K38/K$4)*100</f>
        <v>0</v>
      </c>
      <c r="L39" s="54">
        <f t="shared" ref="L39" si="49">(L38/L$4)*100</f>
        <v>0</v>
      </c>
      <c r="M39" s="54">
        <f t="shared" ref="M39" si="50">(M38/M$4)*100</f>
        <v>0</v>
      </c>
      <c r="N39" s="57">
        <f t="shared" ref="N39" si="51">(N38/N$4)*100</f>
        <v>0</v>
      </c>
      <c r="O39" s="54">
        <f t="shared" ref="O39" si="52">(O38/O$4)*100</f>
        <v>0</v>
      </c>
      <c r="P39" s="54">
        <f t="shared" ref="P39" si="53">(P38/P$4)*100</f>
        <v>0</v>
      </c>
      <c r="Q39" s="54">
        <f t="shared" ref="Q39" si="54">(Q38/Q$4)*100</f>
        <v>0</v>
      </c>
      <c r="R39" s="54">
        <f t="shared" ref="R39" si="55">(R38/R$4)*100</f>
        <v>0</v>
      </c>
      <c r="S39" s="54">
        <f t="shared" ref="S39" si="56">(S38/S$4)*100</f>
        <v>0</v>
      </c>
      <c r="T39" s="54">
        <f t="shared" ref="T39" si="57">(T38/T$4)*100</f>
        <v>0</v>
      </c>
      <c r="U39" s="54">
        <f t="shared" ref="U39" si="58">(U38/U$4)*100</f>
        <v>0</v>
      </c>
      <c r="V39" s="54">
        <f t="shared" ref="V39" si="59">(V38/V$4)*100</f>
        <v>0</v>
      </c>
      <c r="W39" s="54">
        <f t="shared" ref="W39" si="60">(W38/W$4)*100</f>
        <v>0</v>
      </c>
      <c r="X39" s="54">
        <f t="shared" ref="X39" si="61">(X38/X$4)*100</f>
        <v>0</v>
      </c>
      <c r="Y39" s="54">
        <f t="shared" ref="Y39" si="62">(Y38/Y$4)*100</f>
        <v>26.704298740772902</v>
      </c>
      <c r="Z39" s="54">
        <f t="shared" ref="Z39" si="63">(Z38/Z$4)*100</f>
        <v>26.821644259658278</v>
      </c>
      <c r="AA39" s="54">
        <f t="shared" ref="AA39" si="64">(AA38/AA$4)*100</f>
        <v>26.85221481771854</v>
      </c>
      <c r="AB39" s="54">
        <f t="shared" ref="AB39" si="65">(AB38/AB$4)*100</f>
        <v>26.972427787061353</v>
      </c>
      <c r="AC39" s="54">
        <f t="shared" ref="AC39" si="66">(AC38/AC$4)*100</f>
        <v>26.940316112290635</v>
      </c>
      <c r="AD39" s="54">
        <f t="shared" ref="AD39" si="67">(AD38/AD$4)*100</f>
        <v>27.577171158719189</v>
      </c>
      <c r="AE39" s="54">
        <f t="shared" ref="AE39:AF39" si="68">(AE38/AE$4)*100</f>
        <v>26.717579167982546</v>
      </c>
      <c r="AF39" s="54">
        <f t="shared" si="68"/>
        <v>26.667419983615353</v>
      </c>
      <c r="AG39" s="54">
        <f t="shared" ref="AG39:AH39" si="69">(AG38/AG$4)*100</f>
        <v>26.693582068773491</v>
      </c>
      <c r="AH39" s="54">
        <f t="shared" si="69"/>
        <v>26.499371275490681</v>
      </c>
      <c r="AI39" s="54">
        <f t="shared" ref="AI39:AJ39" si="70">(AI38/AI$4)*100</f>
        <v>26.459009416396235</v>
      </c>
      <c r="AJ39" s="54">
        <f t="shared" si="70"/>
        <v>26.498422712933756</v>
      </c>
      <c r="AK39" s="54">
        <f t="shared" ref="AK39:AL39" si="71">(AK38/AK$4)*100</f>
        <v>26.286004314173329</v>
      </c>
      <c r="AL39" s="54">
        <f t="shared" si="71"/>
        <v>26.130110062893081</v>
      </c>
      <c r="AM39" s="54">
        <f t="shared" ref="AM39:AN39" si="72">(AM38/AM$4)*100</f>
        <v>26.036539189700868</v>
      </c>
      <c r="AN39" s="54">
        <f t="shared" si="72"/>
        <v>25.971807892879102</v>
      </c>
    </row>
    <row r="40" spans="1:40">
      <c r="A40" s="8" t="s">
        <v>46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2170</v>
      </c>
      <c r="Z40" s="8">
        <v>2231</v>
      </c>
      <c r="AA40" s="8">
        <v>2254</v>
      </c>
      <c r="AB40" s="8">
        <v>2277</v>
      </c>
      <c r="AC40" s="8">
        <v>2239</v>
      </c>
      <c r="AD40" s="8">
        <v>2230</v>
      </c>
      <c r="AE40" s="8">
        <f>89+179+83+79+158+71+83+163+91+73+137+57+36+64+37+42+96+58+162+314+140</f>
        <v>2212</v>
      </c>
      <c r="AF40" s="8">
        <v>2241</v>
      </c>
      <c r="AG40" s="12">
        <v>2225</v>
      </c>
      <c r="AH40" s="12">
        <v>2180</v>
      </c>
      <c r="AI40" s="12">
        <v>2150</v>
      </c>
      <c r="AJ40" s="12">
        <v>2118</v>
      </c>
      <c r="AK40" s="12">
        <v>2247</v>
      </c>
      <c r="AL40" s="12">
        <v>2192</v>
      </c>
      <c r="AM40" s="179">
        <v>2253</v>
      </c>
      <c r="AN40" s="12">
        <v>2299</v>
      </c>
    </row>
    <row r="41" spans="1:40">
      <c r="A41" s="8" t="s">
        <v>47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524</v>
      </c>
      <c r="Z41" s="8">
        <v>527</v>
      </c>
      <c r="AA41" s="8">
        <v>514</v>
      </c>
      <c r="AB41" s="8">
        <v>511</v>
      </c>
      <c r="AC41" s="8">
        <v>523</v>
      </c>
      <c r="AD41" s="8">
        <v>531</v>
      </c>
      <c r="AE41" s="8">
        <f>144+271+132</f>
        <v>547</v>
      </c>
      <c r="AF41" s="8">
        <v>556</v>
      </c>
      <c r="AG41" s="12">
        <v>578</v>
      </c>
      <c r="AH41" s="12">
        <v>600</v>
      </c>
      <c r="AI41" s="12">
        <v>624</v>
      </c>
      <c r="AJ41" s="12">
        <v>629</v>
      </c>
      <c r="AK41" s="12">
        <v>616</v>
      </c>
      <c r="AL41" s="12">
        <v>622</v>
      </c>
      <c r="AM41" s="179">
        <v>643</v>
      </c>
      <c r="AN41" s="12">
        <v>658</v>
      </c>
    </row>
    <row r="42" spans="1:40">
      <c r="A42" s="8" t="s">
        <v>48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272</v>
      </c>
      <c r="Z42" s="8">
        <v>266</v>
      </c>
      <c r="AA42" s="8">
        <v>283</v>
      </c>
      <c r="AB42" s="8">
        <v>271</v>
      </c>
      <c r="AC42" s="8">
        <v>281</v>
      </c>
      <c r="AD42" s="8">
        <v>289</v>
      </c>
      <c r="AE42" s="8">
        <f>71+136+74</f>
        <v>281</v>
      </c>
      <c r="AF42" s="8">
        <v>271</v>
      </c>
      <c r="AG42" s="12">
        <v>255</v>
      </c>
      <c r="AH42" s="12">
        <v>248</v>
      </c>
      <c r="AI42" s="12">
        <v>259</v>
      </c>
      <c r="AJ42" s="12">
        <v>272</v>
      </c>
      <c r="AK42" s="12">
        <v>264</v>
      </c>
      <c r="AL42" s="12">
        <v>277</v>
      </c>
      <c r="AM42" s="179">
        <v>279</v>
      </c>
      <c r="AN42" s="12">
        <v>293</v>
      </c>
    </row>
    <row r="43" spans="1:40">
      <c r="A43" s="8" t="s">
        <v>49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8"/>
      <c r="M43" s="8"/>
      <c r="N43" s="15"/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311</v>
      </c>
      <c r="Z43" s="8">
        <v>318</v>
      </c>
      <c r="AA43" s="8">
        <v>315</v>
      </c>
      <c r="AB43" s="8">
        <v>332</v>
      </c>
      <c r="AC43" s="8">
        <v>345</v>
      </c>
      <c r="AD43" s="8">
        <v>352</v>
      </c>
      <c r="AE43" s="8">
        <f>66+173+88</f>
        <v>327</v>
      </c>
      <c r="AF43" s="8">
        <v>323</v>
      </c>
      <c r="AG43" s="12">
        <v>345</v>
      </c>
      <c r="AH43" s="12">
        <v>356</v>
      </c>
      <c r="AI43" s="12">
        <v>361</v>
      </c>
      <c r="AJ43" s="12">
        <v>373</v>
      </c>
      <c r="AK43" s="12">
        <v>387</v>
      </c>
      <c r="AL43" s="12">
        <v>398</v>
      </c>
      <c r="AM43" s="179">
        <v>411</v>
      </c>
      <c r="AN43" s="12">
        <v>400</v>
      </c>
    </row>
    <row r="44" spans="1:40">
      <c r="A44" s="8" t="s">
        <v>50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1040</v>
      </c>
      <c r="Z44" s="8">
        <v>1088</v>
      </c>
      <c r="AA44" s="8">
        <v>1117</v>
      </c>
      <c r="AB44" s="8">
        <v>1141</v>
      </c>
      <c r="AC44" s="8">
        <v>1196</v>
      </c>
      <c r="AD44" s="8">
        <v>1217</v>
      </c>
      <c r="AE44" s="8">
        <f>99+156+80+85+177+96+156+246+139</f>
        <v>1234</v>
      </c>
      <c r="AF44" s="8">
        <v>1265</v>
      </c>
      <c r="AG44" s="12">
        <v>1342</v>
      </c>
      <c r="AH44" s="12">
        <v>1480</v>
      </c>
      <c r="AI44" s="12">
        <v>1610</v>
      </c>
      <c r="AJ44" s="12">
        <v>1678</v>
      </c>
      <c r="AK44" s="12">
        <v>1777</v>
      </c>
      <c r="AL44" s="12">
        <v>1923</v>
      </c>
      <c r="AM44" s="179">
        <v>2007</v>
      </c>
      <c r="AN44" s="12">
        <v>2093</v>
      </c>
    </row>
    <row r="45" spans="1:40">
      <c r="A45" s="8" t="s">
        <v>51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8"/>
      <c r="M45" s="8"/>
      <c r="N45" s="15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541</v>
      </c>
      <c r="Z45" s="8">
        <v>552</v>
      </c>
      <c r="AA45" s="8">
        <v>539</v>
      </c>
      <c r="AB45" s="8">
        <v>542</v>
      </c>
      <c r="AC45" s="8">
        <v>558</v>
      </c>
      <c r="AD45" s="8">
        <v>573</v>
      </c>
      <c r="AE45" s="8">
        <f>27+47+15+117+257+115</f>
        <v>578</v>
      </c>
      <c r="AF45" s="8">
        <v>578</v>
      </c>
      <c r="AG45" s="12">
        <v>574</v>
      </c>
      <c r="AH45" s="12">
        <v>576</v>
      </c>
      <c r="AI45" s="12">
        <v>582</v>
      </c>
      <c r="AJ45" s="12">
        <v>595</v>
      </c>
      <c r="AK45" s="12">
        <v>568</v>
      </c>
      <c r="AL45" s="12">
        <v>641</v>
      </c>
      <c r="AM45" s="179">
        <v>702</v>
      </c>
      <c r="AN45" s="12">
        <v>747</v>
      </c>
    </row>
    <row r="46" spans="1:40">
      <c r="A46" s="8" t="s">
        <v>52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900</v>
      </c>
      <c r="Z46" s="8">
        <v>912</v>
      </c>
      <c r="AA46" s="8">
        <v>918</v>
      </c>
      <c r="AB46" s="8">
        <v>935</v>
      </c>
      <c r="AC46" s="8">
        <v>921</v>
      </c>
      <c r="AD46" s="8">
        <v>920</v>
      </c>
      <c r="AE46" s="8">
        <f>80+148+69+50+99+41+65+82+60+62+124+58</f>
        <v>938</v>
      </c>
      <c r="AF46" s="8">
        <v>964</v>
      </c>
      <c r="AG46" s="12">
        <v>981</v>
      </c>
      <c r="AH46" s="12">
        <v>984</v>
      </c>
      <c r="AI46" s="12">
        <v>994</v>
      </c>
      <c r="AJ46" s="12">
        <v>995</v>
      </c>
      <c r="AK46" s="12">
        <v>1042</v>
      </c>
      <c r="AL46" s="12">
        <v>1029</v>
      </c>
      <c r="AM46" s="179">
        <v>1041</v>
      </c>
      <c r="AN46" s="12">
        <v>1065</v>
      </c>
    </row>
    <row r="47" spans="1:40">
      <c r="A47" s="8" t="s">
        <v>53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419</v>
      </c>
      <c r="Z47" s="8">
        <v>417</v>
      </c>
      <c r="AA47" s="8">
        <v>441</v>
      </c>
      <c r="AB47" s="8">
        <v>438</v>
      </c>
      <c r="AC47" s="8">
        <v>439</v>
      </c>
      <c r="AD47" s="8">
        <v>442</v>
      </c>
      <c r="AE47" s="8">
        <f>70+122+54+53+111+42</f>
        <v>452</v>
      </c>
      <c r="AF47" s="8">
        <v>477</v>
      </c>
      <c r="AG47" s="12">
        <v>510</v>
      </c>
      <c r="AH47" s="12">
        <v>505</v>
      </c>
      <c r="AI47" s="12">
        <v>521</v>
      </c>
      <c r="AJ47" s="12">
        <v>504</v>
      </c>
      <c r="AK47" s="12">
        <v>513</v>
      </c>
      <c r="AL47" s="12">
        <v>510</v>
      </c>
      <c r="AM47" s="179">
        <v>524</v>
      </c>
      <c r="AN47" s="12">
        <v>544</v>
      </c>
    </row>
    <row r="48" spans="1:40">
      <c r="A48" s="8" t="s">
        <v>54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122</v>
      </c>
      <c r="Z48" s="8">
        <v>122</v>
      </c>
      <c r="AA48" s="8">
        <v>118</v>
      </c>
      <c r="AB48" s="8">
        <v>115</v>
      </c>
      <c r="AC48" s="8">
        <v>118</v>
      </c>
      <c r="AD48" s="8">
        <v>127</v>
      </c>
      <c r="AE48" s="8">
        <f>29+74+18</f>
        <v>121</v>
      </c>
      <c r="AF48" s="8">
        <v>136</v>
      </c>
      <c r="AG48" s="12">
        <v>127</v>
      </c>
      <c r="AH48" s="12">
        <v>118</v>
      </c>
      <c r="AI48" s="12">
        <v>117</v>
      </c>
      <c r="AJ48" s="12">
        <v>124</v>
      </c>
      <c r="AK48" s="12">
        <v>159</v>
      </c>
      <c r="AL48" s="12">
        <v>162</v>
      </c>
      <c r="AM48" s="179">
        <v>154</v>
      </c>
      <c r="AN48" s="12">
        <v>145</v>
      </c>
    </row>
    <row r="49" spans="1:40">
      <c r="A49" s="8" t="s">
        <v>55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8"/>
      <c r="M49" s="8"/>
      <c r="N49" s="15"/>
      <c r="O49" s="8"/>
      <c r="P49" s="8"/>
      <c r="Q49" s="8"/>
      <c r="R49" s="8"/>
      <c r="S49" s="8"/>
      <c r="T49" s="8"/>
      <c r="U49" s="8"/>
      <c r="V49" s="8"/>
      <c r="W49" s="8"/>
      <c r="X49" s="8"/>
      <c r="Y49" s="8">
        <v>1535</v>
      </c>
      <c r="Z49" s="8">
        <v>1616</v>
      </c>
      <c r="AA49" s="8">
        <v>1604</v>
      </c>
      <c r="AB49" s="8">
        <v>1663</v>
      </c>
      <c r="AC49" s="8">
        <v>1673</v>
      </c>
      <c r="AD49" s="8">
        <v>1747</v>
      </c>
      <c r="AE49" s="8">
        <f>94+213+81+57+113+59+102+194+88+85+121+64+78+158+74+50+113+53</f>
        <v>1797</v>
      </c>
      <c r="AF49" s="8">
        <v>1825</v>
      </c>
      <c r="AG49" s="12">
        <v>1864</v>
      </c>
      <c r="AH49" s="12">
        <v>1857</v>
      </c>
      <c r="AI49" s="12">
        <v>1919</v>
      </c>
      <c r="AJ49" s="12">
        <v>1949</v>
      </c>
      <c r="AK49" s="12">
        <v>1899</v>
      </c>
      <c r="AL49" s="12">
        <v>1971</v>
      </c>
      <c r="AM49" s="179">
        <v>2069</v>
      </c>
      <c r="AN49" s="12">
        <v>2203</v>
      </c>
    </row>
    <row r="50" spans="1:40">
      <c r="A50" s="8" t="s">
        <v>56</v>
      </c>
      <c r="B50" s="21"/>
      <c r="C50" s="21"/>
      <c r="D50" s="21"/>
      <c r="E50" s="8"/>
      <c r="F50" s="8"/>
      <c r="G50" s="8"/>
      <c r="H50" s="8"/>
      <c r="I50" s="8"/>
      <c r="J50" s="8"/>
      <c r="K50" s="8"/>
      <c r="L50" s="8"/>
      <c r="M50" s="8"/>
      <c r="N50" s="15"/>
      <c r="O50" s="8"/>
      <c r="P50" s="8"/>
      <c r="Q50" s="8"/>
      <c r="R50" s="8"/>
      <c r="S50" s="8"/>
      <c r="T50" s="8"/>
      <c r="U50" s="8"/>
      <c r="V50" s="8"/>
      <c r="W50" s="8"/>
      <c r="X50" s="8"/>
      <c r="Y50" s="8">
        <v>90</v>
      </c>
      <c r="Z50" s="8">
        <v>98</v>
      </c>
      <c r="AA50" s="8">
        <v>96</v>
      </c>
      <c r="AB50" s="8">
        <v>101</v>
      </c>
      <c r="AC50" s="8">
        <v>101</v>
      </c>
      <c r="AD50" s="8">
        <v>95</v>
      </c>
      <c r="AE50" s="8">
        <f>22+47+26</f>
        <v>95</v>
      </c>
      <c r="AF50" s="8">
        <v>89</v>
      </c>
      <c r="AG50" s="12">
        <v>90</v>
      </c>
      <c r="AH50" s="12">
        <v>96</v>
      </c>
      <c r="AI50" s="12">
        <v>110</v>
      </c>
      <c r="AJ50" s="12">
        <v>111</v>
      </c>
      <c r="AK50" s="12">
        <v>108</v>
      </c>
      <c r="AL50" s="12">
        <v>117</v>
      </c>
      <c r="AM50" s="4">
        <v>106</v>
      </c>
      <c r="AN50" s="12">
        <v>119</v>
      </c>
    </row>
    <row r="51" spans="1:40">
      <c r="A51" s="9" t="s">
        <v>57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686</v>
      </c>
      <c r="Z51" s="9">
        <v>691</v>
      </c>
      <c r="AA51" s="9">
        <v>706</v>
      </c>
      <c r="AB51" s="9">
        <v>713</v>
      </c>
      <c r="AC51" s="9">
        <v>742</v>
      </c>
      <c r="AD51" s="9">
        <v>1054</v>
      </c>
      <c r="AE51" s="9">
        <f>96+184+106+82+181+75</f>
        <v>724</v>
      </c>
      <c r="AF51" s="9">
        <v>715</v>
      </c>
      <c r="AG51" s="110">
        <v>696</v>
      </c>
      <c r="AH51" s="110">
        <v>694</v>
      </c>
      <c r="AI51" s="110">
        <v>700</v>
      </c>
      <c r="AJ51" s="110">
        <v>732</v>
      </c>
      <c r="AK51" s="110">
        <v>778</v>
      </c>
      <c r="AL51" s="110">
        <v>794</v>
      </c>
      <c r="AM51" s="4">
        <v>813</v>
      </c>
      <c r="AN51" s="12">
        <v>839</v>
      </c>
    </row>
    <row r="52" spans="1:40">
      <c r="A52" s="53" t="s">
        <v>58</v>
      </c>
      <c r="B52" s="21"/>
      <c r="C52" s="21"/>
      <c r="D52" s="21"/>
      <c r="E52" s="53"/>
      <c r="F52" s="53"/>
      <c r="G52" s="53"/>
      <c r="H52" s="53"/>
      <c r="I52" s="53"/>
      <c r="J52" s="53"/>
      <c r="K52" s="53"/>
      <c r="L52" s="53"/>
      <c r="M52" s="53"/>
      <c r="N52" s="56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>
        <f>SUM(Y54:Y62)</f>
        <v>8416</v>
      </c>
      <c r="Z52" s="53">
        <f t="shared" ref="Z52:AD52" si="73">SUM(Z54:Z62)</f>
        <v>8697</v>
      </c>
      <c r="AA52" s="53">
        <f t="shared" si="73"/>
        <v>8794</v>
      </c>
      <c r="AB52" s="53">
        <f t="shared" si="73"/>
        <v>8902</v>
      </c>
      <c r="AC52" s="53">
        <f t="shared" si="73"/>
        <v>8925</v>
      </c>
      <c r="AD52" s="53">
        <f t="shared" si="73"/>
        <v>8909</v>
      </c>
      <c r="AE52" s="53">
        <f t="shared" ref="AE52:AF52" si="74">SUM(AE54:AE62)</f>
        <v>8942</v>
      </c>
      <c r="AF52" s="53">
        <f t="shared" si="74"/>
        <v>8978</v>
      </c>
      <c r="AG52" s="53">
        <f t="shared" ref="AG52:AH52" si="75">SUM(AG54:AG62)</f>
        <v>9084</v>
      </c>
      <c r="AH52" s="53">
        <f t="shared" si="75"/>
        <v>9200</v>
      </c>
      <c r="AI52" s="53">
        <f t="shared" ref="AI52:AJ52" si="76">SUM(AI54:AI62)</f>
        <v>9405</v>
      </c>
      <c r="AJ52" s="53">
        <f t="shared" si="76"/>
        <v>9491</v>
      </c>
      <c r="AK52" s="53">
        <f t="shared" ref="AK52:AL52" si="77">SUM(AK54:AK62)</f>
        <v>9660</v>
      </c>
      <c r="AL52" s="53">
        <f t="shared" si="77"/>
        <v>10022</v>
      </c>
      <c r="AM52" s="53">
        <f t="shared" ref="AM52:AN52" si="78">SUM(AM54:AM62)</f>
        <v>10595</v>
      </c>
      <c r="AN52" s="53">
        <f t="shared" si="78"/>
        <v>10838</v>
      </c>
    </row>
    <row r="53" spans="1:40">
      <c r="A53" s="50" t="s">
        <v>14</v>
      </c>
      <c r="B53" s="45">
        <f>(B52/B$4)*100</f>
        <v>0</v>
      </c>
      <c r="C53" s="45">
        <f t="shared" ref="C53" si="79">(C52/C$4)*100</f>
        <v>0</v>
      </c>
      <c r="D53" s="45">
        <f t="shared" ref="D53" si="80">(D52/D$4)*100</f>
        <v>0</v>
      </c>
      <c r="E53" s="54">
        <f t="shared" ref="E53" si="81">(E52/E$4)*100</f>
        <v>0</v>
      </c>
      <c r="F53" s="54">
        <f t="shared" ref="F53" si="82">(F52/F$4)*100</f>
        <v>0</v>
      </c>
      <c r="G53" s="54">
        <f t="shared" ref="G53" si="83">(G52/G$4)*100</f>
        <v>0</v>
      </c>
      <c r="H53" s="54">
        <f t="shared" ref="H53" si="84">(H52/H$4)*100</f>
        <v>0</v>
      </c>
      <c r="I53" s="54">
        <f t="shared" ref="I53" si="85">(I52/I$4)*100</f>
        <v>0</v>
      </c>
      <c r="J53" s="54">
        <f t="shared" ref="J53" si="86">(J52/J$4)*100</f>
        <v>0</v>
      </c>
      <c r="K53" s="54">
        <f t="shared" ref="K53" si="87">(K52/K$4)*100</f>
        <v>0</v>
      </c>
      <c r="L53" s="54">
        <f t="shared" ref="L53" si="88">(L52/L$4)*100</f>
        <v>0</v>
      </c>
      <c r="M53" s="54">
        <f t="shared" ref="M53" si="89">(M52/M$4)*100</f>
        <v>0</v>
      </c>
      <c r="N53" s="57">
        <f t="shared" ref="N53" si="90">(N52/N$4)*100</f>
        <v>0</v>
      </c>
      <c r="O53" s="54">
        <f t="shared" ref="O53" si="91">(O52/O$4)*100</f>
        <v>0</v>
      </c>
      <c r="P53" s="54">
        <f t="shared" ref="P53" si="92">(P52/P$4)*100</f>
        <v>0</v>
      </c>
      <c r="Q53" s="54">
        <f t="shared" ref="Q53" si="93">(Q52/Q$4)*100</f>
        <v>0</v>
      </c>
      <c r="R53" s="54">
        <f t="shared" ref="R53" si="94">(R52/R$4)*100</f>
        <v>0</v>
      </c>
      <c r="S53" s="54">
        <f t="shared" ref="S53" si="95">(S52/S$4)*100</f>
        <v>0</v>
      </c>
      <c r="T53" s="54">
        <f t="shared" ref="T53" si="96">(T52/T$4)*100</f>
        <v>0</v>
      </c>
      <c r="U53" s="54">
        <f t="shared" ref="U53" si="97">(U52/U$4)*100</f>
        <v>0</v>
      </c>
      <c r="V53" s="54">
        <f t="shared" ref="V53" si="98">(V52/V$4)*100</f>
        <v>0</v>
      </c>
      <c r="W53" s="54">
        <f t="shared" ref="W53" si="99">(W52/W$4)*100</f>
        <v>0</v>
      </c>
      <c r="X53" s="54">
        <f t="shared" ref="X53" si="100">(X52/X$4)*100</f>
        <v>0</v>
      </c>
      <c r="Y53" s="54">
        <f t="shared" ref="Y53" si="101">(Y52/Y$4)*100</f>
        <v>26.102599094348989</v>
      </c>
      <c r="Z53" s="54">
        <f t="shared" ref="Z53" si="102">(Z52/Z$4)*100</f>
        <v>26.393736153682738</v>
      </c>
      <c r="AA53" s="54">
        <f t="shared" ref="AA53" si="103">(AA52/AA$4)*100</f>
        <v>26.517504447727891</v>
      </c>
      <c r="AB53" s="54">
        <f t="shared" ref="AB53" si="104">(AB52/AB$4)*100</f>
        <v>26.563619002148485</v>
      </c>
      <c r="AC53" s="54">
        <f t="shared" ref="AC53" si="105">(AC52/AC$4)*100</f>
        <v>26.318117480537861</v>
      </c>
      <c r="AD53" s="54">
        <f t="shared" ref="AD53:AE53" si="106">(AD52/AD$4)*100</f>
        <v>25.653651232434921</v>
      </c>
      <c r="AE53" s="54">
        <f t="shared" si="106"/>
        <v>25.672533088340842</v>
      </c>
      <c r="AF53" s="54">
        <f t="shared" ref="AF53:AG53" si="107">(AF52/AF$4)*100</f>
        <v>25.36229837001045</v>
      </c>
      <c r="AG53" s="54">
        <f t="shared" si="107"/>
        <v>25.293053041904496</v>
      </c>
      <c r="AH53" s="54">
        <f t="shared" ref="AH53:AI53" si="108">(AH52/AH$4)*100</f>
        <v>25.148980372860969</v>
      </c>
      <c r="AI53" s="54">
        <f t="shared" si="108"/>
        <v>25.017289993084002</v>
      </c>
      <c r="AJ53" s="54">
        <f t="shared" ref="AJ53:AK53" si="109">(AJ52/AJ$4)*100</f>
        <v>24.950052576235539</v>
      </c>
      <c r="AK53" s="54">
        <f t="shared" si="109"/>
        <v>24.514655500570996</v>
      </c>
      <c r="AL53" s="54">
        <f t="shared" ref="AL53:AM53" si="110">(AL52/AL$4)*100</f>
        <v>24.621658805031448</v>
      </c>
      <c r="AM53" s="54">
        <f t="shared" si="110"/>
        <v>25.073362362741385</v>
      </c>
      <c r="AN53" s="54">
        <f t="shared" ref="AN53" si="111">(AN52/AN$4)*100</f>
        <v>24.680618495661875</v>
      </c>
    </row>
    <row r="54" spans="1:40">
      <c r="A54" s="8" t="s">
        <v>59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>
        <v>398</v>
      </c>
      <c r="Z54" s="8">
        <v>421</v>
      </c>
      <c r="AA54" s="8">
        <v>407</v>
      </c>
      <c r="AB54" s="8">
        <v>408</v>
      </c>
      <c r="AC54" s="8">
        <v>389</v>
      </c>
      <c r="AD54" s="8">
        <v>396</v>
      </c>
      <c r="AE54" s="8">
        <f>52+101+47+49+100+44</f>
        <v>393</v>
      </c>
      <c r="AF54" s="8">
        <v>381</v>
      </c>
      <c r="AG54" s="12">
        <v>374</v>
      </c>
      <c r="AH54" s="12">
        <v>402</v>
      </c>
      <c r="AI54" s="12">
        <v>469</v>
      </c>
      <c r="AJ54" s="12">
        <v>487</v>
      </c>
      <c r="AK54" s="12">
        <v>542</v>
      </c>
      <c r="AL54" s="12">
        <v>597</v>
      </c>
      <c r="AM54" s="179">
        <v>612</v>
      </c>
      <c r="AN54" s="12">
        <v>677</v>
      </c>
    </row>
    <row r="55" spans="1:40">
      <c r="A55" s="8" t="s">
        <v>60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8"/>
      <c r="M55" s="8"/>
      <c r="N55" s="1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M55" s="179"/>
    </row>
    <row r="56" spans="1:40">
      <c r="A56" s="8" t="s">
        <v>61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1215</v>
      </c>
      <c r="Z56" s="8">
        <v>1244</v>
      </c>
      <c r="AA56" s="8">
        <v>1290</v>
      </c>
      <c r="AB56" s="8">
        <v>1310</v>
      </c>
      <c r="AC56" s="8">
        <v>1309</v>
      </c>
      <c r="AD56" s="8">
        <v>1316</v>
      </c>
      <c r="AE56" s="8">
        <f>93+212+83+74+182+84+96+179+83+70+135+58</f>
        <v>1349</v>
      </c>
      <c r="AF56" s="8">
        <v>1336</v>
      </c>
      <c r="AG56" s="12">
        <v>1367</v>
      </c>
      <c r="AH56" s="12">
        <v>1394</v>
      </c>
      <c r="AI56" s="12">
        <v>1400</v>
      </c>
      <c r="AJ56" s="12">
        <v>1405</v>
      </c>
      <c r="AK56" s="12">
        <v>1497</v>
      </c>
      <c r="AL56" s="12">
        <v>1474</v>
      </c>
      <c r="AM56" s="179">
        <v>1549</v>
      </c>
      <c r="AN56" s="12">
        <v>1541</v>
      </c>
    </row>
    <row r="57" spans="1:40">
      <c r="A57" s="8" t="s">
        <v>62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145</v>
      </c>
      <c r="AA57" s="8">
        <v>148</v>
      </c>
      <c r="AB57" s="8">
        <v>163</v>
      </c>
      <c r="AC57" s="8">
        <v>157</v>
      </c>
      <c r="AD57" s="8">
        <v>171</v>
      </c>
      <c r="AE57" s="8">
        <f>45+94+34</f>
        <v>173</v>
      </c>
      <c r="AF57" s="8">
        <v>184</v>
      </c>
      <c r="AG57" s="12">
        <v>200</v>
      </c>
      <c r="AH57" s="12">
        <v>199</v>
      </c>
      <c r="AI57" s="12">
        <v>204</v>
      </c>
      <c r="AJ57" s="12">
        <v>214</v>
      </c>
      <c r="AK57" s="12">
        <v>212</v>
      </c>
      <c r="AL57" s="12">
        <v>228</v>
      </c>
      <c r="AM57" s="179">
        <v>236</v>
      </c>
      <c r="AN57" s="12">
        <v>230</v>
      </c>
    </row>
    <row r="58" spans="1:40">
      <c r="A58" s="8" t="s">
        <v>63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663</v>
      </c>
      <c r="Z58" s="8">
        <v>683</v>
      </c>
      <c r="AA58" s="8">
        <v>690</v>
      </c>
      <c r="AB58" s="8">
        <v>703</v>
      </c>
      <c r="AC58" s="8">
        <v>710</v>
      </c>
      <c r="AD58" s="8">
        <v>709</v>
      </c>
      <c r="AE58" s="8">
        <f>86+157+80+60+214+92</f>
        <v>689</v>
      </c>
      <c r="AF58" s="8">
        <v>657</v>
      </c>
      <c r="AG58" s="12">
        <v>670</v>
      </c>
      <c r="AH58" s="12">
        <v>686</v>
      </c>
      <c r="AI58" s="12">
        <v>713</v>
      </c>
      <c r="AJ58" s="12">
        <v>792</v>
      </c>
      <c r="AK58" s="12">
        <v>837</v>
      </c>
      <c r="AL58" s="12">
        <v>912</v>
      </c>
      <c r="AM58" s="179">
        <v>997</v>
      </c>
      <c r="AN58" s="12">
        <v>1051</v>
      </c>
    </row>
    <row r="59" spans="1:40">
      <c r="A59" s="8" t="s">
        <v>64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8"/>
      <c r="M59" s="8"/>
      <c r="N59" s="15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3541</v>
      </c>
      <c r="Z59" s="8">
        <v>3582</v>
      </c>
      <c r="AA59" s="8">
        <v>3622</v>
      </c>
      <c r="AB59" s="8">
        <v>3649</v>
      </c>
      <c r="AC59" s="8">
        <v>3640</v>
      </c>
      <c r="AD59" s="8">
        <v>3599</v>
      </c>
      <c r="AE59" s="8">
        <f>57+132+76+98+205+89+80+159+66+69+137+62+109+199+112+83+164+86+82+202+94+81+148+76+57+121+62+66+145+75+48+103+56+49+93+51</f>
        <v>3592</v>
      </c>
      <c r="AF59" s="8">
        <v>3581</v>
      </c>
      <c r="AG59" s="12">
        <v>3561</v>
      </c>
      <c r="AH59" s="12">
        <v>3579</v>
      </c>
      <c r="AI59" s="12">
        <v>3609</v>
      </c>
      <c r="AJ59" s="12">
        <v>3606</v>
      </c>
      <c r="AK59" s="12">
        <v>3512</v>
      </c>
      <c r="AL59" s="12">
        <v>3659</v>
      </c>
      <c r="AM59" s="179">
        <v>3977</v>
      </c>
      <c r="AN59" s="12">
        <v>4015</v>
      </c>
    </row>
    <row r="60" spans="1:40">
      <c r="A60" s="8" t="s">
        <v>65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2161</v>
      </c>
      <c r="Z60" s="8">
        <v>2168</v>
      </c>
      <c r="AA60" s="8">
        <v>2188</v>
      </c>
      <c r="AB60" s="8">
        <v>2214</v>
      </c>
      <c r="AC60" s="8">
        <v>2251</v>
      </c>
      <c r="AD60" s="8">
        <v>2253</v>
      </c>
      <c r="AE60" s="8">
        <f>129+258+129+133+262+120+74+135+73+82+142+75+82+179+91+24+23+70+127+79</f>
        <v>2287</v>
      </c>
      <c r="AF60" s="8">
        <v>2383</v>
      </c>
      <c r="AG60" s="12">
        <v>2448</v>
      </c>
      <c r="AH60" s="12">
        <v>2465</v>
      </c>
      <c r="AI60" s="12">
        <v>2513</v>
      </c>
      <c r="AJ60" s="12">
        <v>2477</v>
      </c>
      <c r="AK60" s="12">
        <v>2622</v>
      </c>
      <c r="AL60" s="12">
        <v>2707</v>
      </c>
      <c r="AM60" s="179">
        <v>2651</v>
      </c>
      <c r="AN60" s="12">
        <v>2740</v>
      </c>
    </row>
    <row r="61" spans="1:40">
      <c r="A61" s="8" t="s">
        <v>66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8"/>
      <c r="M61" s="8"/>
      <c r="N61" s="15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188</v>
      </c>
      <c r="Z61" s="8">
        <v>199</v>
      </c>
      <c r="AA61" s="8">
        <v>203</v>
      </c>
      <c r="AB61" s="8">
        <v>205</v>
      </c>
      <c r="AC61" s="8">
        <v>222</v>
      </c>
      <c r="AD61" s="8">
        <v>219</v>
      </c>
      <c r="AE61" s="8">
        <f>58+117+54</f>
        <v>229</v>
      </c>
      <c r="AF61" s="8">
        <v>230</v>
      </c>
      <c r="AG61" s="12">
        <v>250</v>
      </c>
      <c r="AH61" s="12">
        <v>252</v>
      </c>
      <c r="AI61" s="12">
        <v>263</v>
      </c>
      <c r="AJ61" s="12">
        <v>280</v>
      </c>
      <c r="AK61" s="12">
        <v>202</v>
      </c>
      <c r="AL61" s="12">
        <v>208</v>
      </c>
      <c r="AM61" s="4">
        <v>311</v>
      </c>
      <c r="AN61" s="12">
        <v>317</v>
      </c>
    </row>
    <row r="62" spans="1:40">
      <c r="A62" s="9" t="s">
        <v>67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9"/>
      <c r="M62" s="9"/>
      <c r="N62" s="16"/>
      <c r="O62" s="9"/>
      <c r="P62" s="9"/>
      <c r="Q62" s="9"/>
      <c r="R62" s="9"/>
      <c r="S62" s="9"/>
      <c r="T62" s="9"/>
      <c r="U62" s="9"/>
      <c r="V62" s="9"/>
      <c r="W62" s="9"/>
      <c r="X62" s="9"/>
      <c r="Y62" s="9">
        <v>250</v>
      </c>
      <c r="Z62" s="9">
        <v>255</v>
      </c>
      <c r="AA62" s="9">
        <v>246</v>
      </c>
      <c r="AB62" s="9">
        <v>250</v>
      </c>
      <c r="AC62" s="9">
        <v>247</v>
      </c>
      <c r="AD62" s="9">
        <v>246</v>
      </c>
      <c r="AE62" s="9">
        <f>52+121+57</f>
        <v>230</v>
      </c>
      <c r="AF62" s="9">
        <v>226</v>
      </c>
      <c r="AG62" s="110">
        <v>214</v>
      </c>
      <c r="AH62" s="110">
        <v>223</v>
      </c>
      <c r="AI62" s="110">
        <v>234</v>
      </c>
      <c r="AJ62" s="110">
        <v>230</v>
      </c>
      <c r="AK62" s="110">
        <v>236</v>
      </c>
      <c r="AL62" s="110">
        <v>237</v>
      </c>
      <c r="AM62" s="4">
        <v>262</v>
      </c>
      <c r="AN62" s="12">
        <v>267</v>
      </c>
    </row>
    <row r="63" spans="1:40">
      <c r="A63" s="51" t="s">
        <v>68</v>
      </c>
      <c r="B63" s="7"/>
      <c r="C63" s="7"/>
      <c r="D63" s="7"/>
      <c r="E63" s="9"/>
      <c r="F63" s="51"/>
      <c r="G63" s="51"/>
      <c r="H63" s="51"/>
      <c r="I63" s="51"/>
      <c r="J63" s="51"/>
      <c r="K63" s="51"/>
      <c r="L63" s="51"/>
      <c r="M63" s="51"/>
      <c r="N63" s="58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>
        <v>985</v>
      </c>
      <c r="Z63" s="51">
        <v>981</v>
      </c>
      <c r="AA63" s="51">
        <v>1006</v>
      </c>
      <c r="AB63" s="51">
        <v>1017</v>
      </c>
      <c r="AC63" s="51">
        <v>1025</v>
      </c>
      <c r="AD63" s="51">
        <v>1054</v>
      </c>
      <c r="AE63" s="51">
        <f>100+207+102+91+196+99+60+129+57</f>
        <v>1041</v>
      </c>
      <c r="AF63" s="51">
        <v>1036</v>
      </c>
      <c r="AG63" s="110">
        <v>1013</v>
      </c>
      <c r="AH63" s="110">
        <v>1005</v>
      </c>
      <c r="AI63" s="110">
        <v>1011</v>
      </c>
      <c r="AJ63" s="110">
        <v>1024</v>
      </c>
      <c r="AK63" s="110">
        <v>1053</v>
      </c>
      <c r="AL63" s="110">
        <v>1053</v>
      </c>
      <c r="AM63" s="180">
        <v>1098</v>
      </c>
      <c r="AN63" s="176">
        <v>1105</v>
      </c>
    </row>
    <row r="64" spans="1:40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32" ht="246" customHeight="1"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</row>
    <row r="66" spans="1:3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B66" s="60"/>
    </row>
    <row r="67" spans="1:32">
      <c r="A67" s="47"/>
      <c r="B67" s="47"/>
      <c r="C67" s="47"/>
      <c r="D67" s="6"/>
      <c r="E67" s="47"/>
      <c r="F67" s="6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32">
      <c r="A68" s="47"/>
      <c r="B68" s="47"/>
      <c r="C68" s="47"/>
      <c r="D68" s="6"/>
      <c r="E68" s="47"/>
      <c r="F68" s="6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32">
      <c r="A69" s="47"/>
      <c r="B69" s="47" t="s">
        <v>152</v>
      </c>
      <c r="C69" s="47"/>
      <c r="D69" s="6"/>
      <c r="E69" s="47"/>
      <c r="F69" s="6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32">
      <c r="A70" s="47" t="s">
        <v>152</v>
      </c>
      <c r="B70" s="47"/>
      <c r="C70" s="47"/>
      <c r="D70" s="6"/>
      <c r="E70" s="47"/>
      <c r="F70" s="6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32">
      <c r="A71" s="47"/>
      <c r="B71" s="47"/>
      <c r="C71" s="47"/>
      <c r="D71" s="6"/>
      <c r="E71" s="47"/>
      <c r="F71" s="6"/>
      <c r="G71" s="38"/>
      <c r="H71" s="38"/>
      <c r="I71" s="38"/>
      <c r="J71" s="38"/>
      <c r="K71" s="38"/>
      <c r="L71" s="38"/>
      <c r="M71" s="38"/>
      <c r="N71" s="38"/>
      <c r="O71" s="38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32">
      <c r="A72" s="47"/>
      <c r="B72" s="47"/>
      <c r="C72" s="47"/>
      <c r="D72" s="6"/>
      <c r="E72" s="47"/>
      <c r="F72" s="6"/>
      <c r="G72" s="6"/>
      <c r="H72" s="6"/>
      <c r="I72" s="6"/>
      <c r="J72" s="6"/>
      <c r="K72" s="6"/>
      <c r="L72" s="6"/>
      <c r="M72" s="6"/>
      <c r="N72" s="6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32">
      <c r="A73" s="47"/>
      <c r="B73" s="47"/>
      <c r="C73" s="47"/>
      <c r="D73" s="6"/>
      <c r="E73" s="47"/>
      <c r="F73" s="6"/>
      <c r="G73" s="6"/>
      <c r="H73" s="6"/>
      <c r="I73" s="6"/>
      <c r="J73" s="6"/>
      <c r="K73" s="6"/>
      <c r="L73" s="6"/>
      <c r="M73" s="6"/>
      <c r="N73" s="6"/>
      <c r="O73" s="47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32">
      <c r="A74" s="47"/>
      <c r="B74" s="47"/>
      <c r="C74" s="47"/>
      <c r="D74" s="6"/>
      <c r="E74" s="47"/>
      <c r="F74" s="6"/>
      <c r="G74" s="6"/>
      <c r="H74" s="6"/>
      <c r="I74" s="6"/>
      <c r="J74" s="6"/>
      <c r="K74" s="6"/>
      <c r="L74" s="6"/>
      <c r="M74" s="6"/>
      <c r="N74" s="6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32">
      <c r="A75" s="47"/>
      <c r="B75" s="38"/>
      <c r="C75" s="47"/>
      <c r="D75" s="6"/>
      <c r="E75" s="47"/>
      <c r="F75" s="6"/>
      <c r="G75" s="6"/>
      <c r="H75" s="6"/>
      <c r="I75" s="6"/>
      <c r="J75" s="6"/>
      <c r="K75" s="6"/>
      <c r="L75" s="6"/>
      <c r="M75" s="6"/>
      <c r="N75" s="6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32">
      <c r="A76" s="47"/>
      <c r="B76" s="47"/>
      <c r="C76" s="47"/>
      <c r="D76" s="25"/>
      <c r="E76" s="47"/>
      <c r="F76" s="47"/>
      <c r="G76" s="6"/>
      <c r="H76" s="6"/>
      <c r="I76" s="6"/>
      <c r="J76" s="6"/>
      <c r="K76" s="6"/>
      <c r="L76" s="6"/>
      <c r="M76" s="6"/>
      <c r="N76" s="6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32">
      <c r="A77" s="47"/>
      <c r="B77" s="47"/>
      <c r="C77" s="47"/>
      <c r="D77" s="25"/>
      <c r="E77" s="38"/>
      <c r="F77" s="47"/>
      <c r="G77" s="6"/>
      <c r="H77" s="6"/>
      <c r="I77" s="6"/>
      <c r="J77" s="6"/>
      <c r="K77" s="6"/>
      <c r="L77" s="6"/>
      <c r="M77" s="6"/>
      <c r="N77" s="6"/>
      <c r="O77" s="47"/>
      <c r="P77" s="47"/>
      <c r="Q77" s="47"/>
      <c r="R77" s="47"/>
      <c r="S77" s="47"/>
      <c r="T77" s="48"/>
      <c r="U77" s="48"/>
      <c r="V77" s="48"/>
      <c r="W77" s="48"/>
      <c r="X77" s="48"/>
      <c r="Y77" s="48"/>
      <c r="Z77" s="48"/>
    </row>
    <row r="78" spans="1:32">
      <c r="A78" s="47"/>
      <c r="B78" s="47"/>
      <c r="C78" s="47"/>
      <c r="D78" s="25"/>
      <c r="E78" s="47"/>
      <c r="F78" s="47"/>
      <c r="G78" s="6"/>
      <c r="H78" s="6"/>
      <c r="I78" s="6"/>
      <c r="J78" s="6"/>
      <c r="K78" s="6"/>
      <c r="L78" s="6"/>
      <c r="M78" s="6"/>
      <c r="N78" s="6"/>
      <c r="O78" s="6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32">
      <c r="A79" s="47"/>
      <c r="B79" s="47"/>
      <c r="C79" s="47"/>
      <c r="D79" s="25"/>
      <c r="E79" s="47"/>
      <c r="F79" s="47"/>
      <c r="G79" s="6"/>
      <c r="H79" s="6"/>
      <c r="I79" s="6"/>
      <c r="J79" s="6"/>
      <c r="K79" s="6"/>
      <c r="L79" s="6"/>
      <c r="M79" s="6"/>
      <c r="N79" s="6"/>
      <c r="O79" s="6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32">
      <c r="A80" s="38"/>
      <c r="B80" s="47"/>
      <c r="C80" s="38"/>
      <c r="D80" s="61"/>
      <c r="E80" s="47"/>
      <c r="F80" s="38"/>
      <c r="G80" s="6"/>
      <c r="H80" s="6"/>
      <c r="I80" s="6"/>
      <c r="J80" s="6"/>
      <c r="K80" s="6"/>
      <c r="L80" s="6"/>
      <c r="M80" s="6"/>
      <c r="N80" s="6"/>
      <c r="O80" s="6"/>
      <c r="P80" s="6"/>
      <c r="R80" s="47"/>
      <c r="S80" s="62"/>
    </row>
    <row r="81" spans="1:19">
      <c r="A81" s="47"/>
      <c r="B81" s="47"/>
      <c r="C81" s="47"/>
      <c r="D81" s="6"/>
      <c r="E81" s="4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7"/>
      <c r="S81" s="62"/>
    </row>
    <row r="82" spans="1:19">
      <c r="A82" s="47"/>
      <c r="B82" s="47"/>
      <c r="C82" s="47"/>
      <c r="D82" s="6"/>
      <c r="E82" s="4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7"/>
      <c r="S82" s="62"/>
    </row>
    <row r="83" spans="1:19">
      <c r="A83" s="47"/>
      <c r="B83" s="47"/>
      <c r="C83" s="47"/>
      <c r="D83" s="6"/>
      <c r="E83" s="4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47"/>
      <c r="S83" s="62"/>
    </row>
    <row r="84" spans="1:19">
      <c r="A84" s="47"/>
      <c r="B84" s="47"/>
      <c r="C84" s="47"/>
      <c r="D84" s="6"/>
      <c r="E84" s="4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47"/>
      <c r="S84" s="62"/>
    </row>
    <row r="85" spans="1:19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2"/>
      <c r="S85" s="62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62"/>
  </sheetPr>
  <dimension ref="A1:AN145"/>
  <sheetViews>
    <sheetView zoomScale="90" zoomScaleNormal="90" workbookViewId="0">
      <pane xSplit="1" ySplit="3" topLeftCell="AC4" activePane="bottomRight" state="frozen"/>
      <selection pane="topRight" activeCell="B1" sqref="B1"/>
      <selection pane="bottomLeft" activeCell="A4" sqref="A4"/>
      <selection pane="bottomRight" activeCell="AH38" sqref="AH38"/>
    </sheetView>
  </sheetViews>
  <sheetFormatPr defaultColWidth="9.1796875" defaultRowHeight="12.5"/>
  <cols>
    <col min="1" max="1" width="20.54296875" style="12" customWidth="1"/>
    <col min="2" max="16" width="8.7265625" style="12" customWidth="1"/>
    <col min="17" max="16384" width="9.1796875" style="12"/>
  </cols>
  <sheetData>
    <row r="1" spans="1:40" ht="13">
      <c r="A1" s="39"/>
      <c r="B1" s="39" t="s">
        <v>154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0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40" ht="13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1" t="s">
        <v>74</v>
      </c>
      <c r="O2" s="6"/>
      <c r="P2" s="6"/>
      <c r="Q2" s="6"/>
      <c r="R2" s="6"/>
      <c r="AG2" s="110"/>
      <c r="AH2" s="110"/>
      <c r="AI2" s="110"/>
      <c r="AJ2" s="110"/>
      <c r="AK2" s="110"/>
      <c r="AL2" s="110"/>
    </row>
    <row r="3" spans="1:40" s="63" customFormat="1">
      <c r="A3" s="42"/>
      <c r="B3" s="37" t="s">
        <v>75</v>
      </c>
      <c r="C3" s="37" t="s">
        <v>76</v>
      </c>
      <c r="D3" s="37" t="s">
        <v>77</v>
      </c>
      <c r="E3" s="37" t="s">
        <v>78</v>
      </c>
      <c r="F3" s="37" t="s">
        <v>79</v>
      </c>
      <c r="G3" s="37" t="s">
        <v>80</v>
      </c>
      <c r="H3" s="37" t="s">
        <v>81</v>
      </c>
      <c r="I3" s="37" t="s">
        <v>82</v>
      </c>
      <c r="J3" s="37" t="s">
        <v>83</v>
      </c>
      <c r="K3" s="37" t="s">
        <v>84</v>
      </c>
      <c r="L3" s="37" t="s">
        <v>85</v>
      </c>
      <c r="M3" s="37" t="s">
        <v>86</v>
      </c>
      <c r="N3" s="43" t="s">
        <v>87</v>
      </c>
      <c r="O3" s="37" t="s">
        <v>88</v>
      </c>
      <c r="P3" s="37" t="s">
        <v>89</v>
      </c>
      <c r="Q3" s="37" t="s">
        <v>90</v>
      </c>
      <c r="R3" s="37" t="s">
        <v>91</v>
      </c>
      <c r="S3" s="37" t="s">
        <v>92</v>
      </c>
      <c r="T3" s="37" t="s">
        <v>93</v>
      </c>
      <c r="U3" s="37" t="s">
        <v>94</v>
      </c>
      <c r="V3" s="37" t="s">
        <v>95</v>
      </c>
      <c r="W3" s="37" t="s">
        <v>96</v>
      </c>
      <c r="X3" s="37" t="s">
        <v>97</v>
      </c>
      <c r="Y3" s="42" t="s">
        <v>98</v>
      </c>
      <c r="Z3" s="42" t="s">
        <v>99</v>
      </c>
      <c r="AA3" s="42" t="s">
        <v>100</v>
      </c>
      <c r="AB3" s="42" t="s">
        <v>101</v>
      </c>
      <c r="AC3" s="42" t="s">
        <v>102</v>
      </c>
      <c r="AD3" s="42" t="s">
        <v>103</v>
      </c>
      <c r="AE3" s="42" t="s">
        <v>104</v>
      </c>
      <c r="AF3" s="42" t="s">
        <v>105</v>
      </c>
      <c r="AG3" s="63" t="s">
        <v>106</v>
      </c>
      <c r="AH3" s="63" t="s">
        <v>107</v>
      </c>
      <c r="AI3" s="63" t="s">
        <v>11</v>
      </c>
      <c r="AJ3" s="63" t="s">
        <v>108</v>
      </c>
      <c r="AK3" s="63" t="s">
        <v>109</v>
      </c>
      <c r="AL3" s="63" t="s">
        <v>110</v>
      </c>
      <c r="AM3" s="113" t="s">
        <v>111</v>
      </c>
      <c r="AN3" s="113" t="s">
        <v>10</v>
      </c>
    </row>
    <row r="4" spans="1:40">
      <c r="A4" s="52" t="s">
        <v>112</v>
      </c>
      <c r="B4" s="7">
        <f>12266+4748</f>
        <v>17014</v>
      </c>
      <c r="C4" s="7">
        <f>11785+5445</f>
        <v>17230</v>
      </c>
      <c r="D4" s="7">
        <f>11516+5659</f>
        <v>17175</v>
      </c>
      <c r="E4" s="52">
        <v>16992</v>
      </c>
      <c r="F4" s="52">
        <f>11141+5788</f>
        <v>16929</v>
      </c>
      <c r="G4" s="52">
        <v>16779</v>
      </c>
      <c r="H4" s="52">
        <v>16686</v>
      </c>
      <c r="I4" s="52">
        <f>10576+6205</f>
        <v>16781</v>
      </c>
      <c r="J4" s="52">
        <f>10345+6404</f>
        <v>16749</v>
      </c>
      <c r="K4" s="52">
        <f>10304+6499</f>
        <v>16803</v>
      </c>
      <c r="L4" s="52">
        <f>10250+6777</f>
        <v>17027</v>
      </c>
      <c r="M4" s="52">
        <f>9901+7100</f>
        <v>17001</v>
      </c>
      <c r="N4" s="55">
        <f>(9877+7213)-(34+38+47+26+29+57)</f>
        <v>16859</v>
      </c>
      <c r="O4" s="52">
        <f>9857+7191-40-33-54-26-30-60</f>
        <v>16805</v>
      </c>
      <c r="P4" s="52">
        <f>9673+7351-37-34-60-30-29-58</f>
        <v>16776</v>
      </c>
      <c r="Q4" s="52">
        <f>9636+7268-38-33-59-31-33-57</f>
        <v>16653</v>
      </c>
      <c r="R4" s="52">
        <f>9519+7325-40-38-63-36-31-57</f>
        <v>16579</v>
      </c>
      <c r="S4" s="52">
        <f>9340+7450-39-37-58-32-29-58</f>
        <v>16537</v>
      </c>
      <c r="T4" s="52">
        <f>9131+7725-40-30-55-36-33-55</f>
        <v>16607</v>
      </c>
      <c r="U4" s="52">
        <f>10962+5339-36-33-58-25-30-58</f>
        <v>16061</v>
      </c>
      <c r="V4" s="52">
        <f>8847+8087-45-34-45-31-27-72</f>
        <v>16680</v>
      </c>
      <c r="W4" s="52">
        <f>8710+8410-36-36-46-38-32-71</f>
        <v>16861</v>
      </c>
      <c r="X4" s="52">
        <f>8590+8528-114-148</f>
        <v>16856</v>
      </c>
      <c r="Y4" s="49">
        <f>+Y5+Y23+Y38+Y52+Y63</f>
        <v>16867</v>
      </c>
      <c r="Z4" s="49">
        <f t="shared" ref="Z4:AD4" si="0">+Z5+Z23+Z38+Z52+Z63</f>
        <v>17182</v>
      </c>
      <c r="AA4" s="49">
        <f t="shared" si="0"/>
        <v>17633</v>
      </c>
      <c r="AB4" s="49">
        <f t="shared" si="0"/>
        <v>18062</v>
      </c>
      <c r="AC4" s="49">
        <f t="shared" si="0"/>
        <v>18185</v>
      </c>
      <c r="AD4" s="49">
        <f t="shared" si="0"/>
        <v>18399</v>
      </c>
      <c r="AE4" s="49">
        <f t="shared" ref="AE4:AF4" si="1">+AE5+AE23+AE38+AE52+AE63</f>
        <v>18829</v>
      </c>
      <c r="AF4" s="49">
        <f t="shared" si="1"/>
        <v>19400</v>
      </c>
      <c r="AG4" s="49">
        <f t="shared" ref="AG4:AH4" si="2">+AG5+AG23+AG38+AG52+AG63</f>
        <v>19726</v>
      </c>
      <c r="AH4" s="49">
        <f t="shared" si="2"/>
        <v>20270</v>
      </c>
      <c r="AI4" s="49">
        <f t="shared" ref="AI4:AJ4" si="3">+AI5+AI23+AI38+AI52+AI63</f>
        <v>20555</v>
      </c>
      <c r="AJ4" s="49">
        <f t="shared" si="3"/>
        <v>20805</v>
      </c>
      <c r="AK4" s="49">
        <f t="shared" ref="AK4" si="4">+AK5+AK23+AK38+AK52+AK63</f>
        <v>21055</v>
      </c>
      <c r="AL4" s="49">
        <f t="shared" ref="AL4:AM4" si="5">+AL5+AL23+AL38+AL52+AL63</f>
        <v>21463</v>
      </c>
      <c r="AM4" s="49">
        <f t="shared" si="5"/>
        <v>21670</v>
      </c>
      <c r="AN4" s="49">
        <f t="shared" ref="AN4" si="6">+AN5+AN23+AN38+AN52+AN63</f>
        <v>21851</v>
      </c>
    </row>
    <row r="5" spans="1:40">
      <c r="A5" s="53" t="s">
        <v>113</v>
      </c>
      <c r="B5" s="44">
        <f>SUM(B7:B22)</f>
        <v>5371</v>
      </c>
      <c r="C5" s="44">
        <f t="shared" ref="C5:AD5" si="7">SUM(C7:C22)</f>
        <v>5458</v>
      </c>
      <c r="D5" s="44">
        <f t="shared" si="7"/>
        <v>5448</v>
      </c>
      <c r="E5" s="53">
        <f t="shared" si="7"/>
        <v>5404</v>
      </c>
      <c r="F5" s="53">
        <f t="shared" si="7"/>
        <v>5385</v>
      </c>
      <c r="G5" s="53">
        <f t="shared" si="7"/>
        <v>5370</v>
      </c>
      <c r="H5" s="53">
        <f t="shared" si="7"/>
        <v>5337</v>
      </c>
      <c r="I5" s="53">
        <f t="shared" si="7"/>
        <v>5391</v>
      </c>
      <c r="J5" s="53">
        <f t="shared" si="7"/>
        <v>5373</v>
      </c>
      <c r="K5" s="53">
        <f t="shared" si="7"/>
        <v>5357</v>
      </c>
      <c r="L5" s="53">
        <f t="shared" si="7"/>
        <v>5447</v>
      </c>
      <c r="M5" s="53">
        <f t="shared" si="7"/>
        <v>5438</v>
      </c>
      <c r="N5" s="56">
        <f t="shared" si="7"/>
        <v>5483</v>
      </c>
      <c r="O5" s="53">
        <f t="shared" si="7"/>
        <v>5426</v>
      </c>
      <c r="P5" s="53">
        <f t="shared" si="7"/>
        <v>5454</v>
      </c>
      <c r="Q5" s="53">
        <f t="shared" si="7"/>
        <v>5469</v>
      </c>
      <c r="R5" s="53">
        <f t="shared" si="7"/>
        <v>5417</v>
      </c>
      <c r="S5" s="53">
        <f t="shared" si="7"/>
        <v>5407</v>
      </c>
      <c r="T5" s="53">
        <f t="shared" si="7"/>
        <v>5405</v>
      </c>
      <c r="U5" s="53">
        <f t="shared" si="7"/>
        <v>5233</v>
      </c>
      <c r="V5" s="53">
        <f t="shared" si="7"/>
        <v>5441</v>
      </c>
      <c r="W5" s="53">
        <f t="shared" si="7"/>
        <v>5369</v>
      </c>
      <c r="X5" s="53">
        <f t="shared" si="7"/>
        <v>5583</v>
      </c>
      <c r="Y5" s="53">
        <f t="shared" si="7"/>
        <v>5597</v>
      </c>
      <c r="Z5" s="53">
        <f t="shared" si="7"/>
        <v>5740</v>
      </c>
      <c r="AA5" s="53">
        <f t="shared" si="7"/>
        <v>5935</v>
      </c>
      <c r="AB5" s="53">
        <f t="shared" si="7"/>
        <v>6049</v>
      </c>
      <c r="AC5" s="53">
        <f t="shared" si="7"/>
        <v>6189</v>
      </c>
      <c r="AD5" s="53">
        <f t="shared" si="7"/>
        <v>6417</v>
      </c>
      <c r="AE5" s="53">
        <f t="shared" ref="AE5:AF5" si="8">SUM(AE7:AE22)</f>
        <v>6546</v>
      </c>
      <c r="AF5" s="53">
        <f t="shared" si="8"/>
        <v>6838</v>
      </c>
      <c r="AG5" s="53">
        <f t="shared" ref="AG5:AH5" si="9">SUM(AG7:AG22)</f>
        <v>7023</v>
      </c>
      <c r="AH5" s="53">
        <f t="shared" si="9"/>
        <v>7194</v>
      </c>
      <c r="AI5" s="53">
        <f t="shared" ref="AI5:AJ5" si="10">SUM(AI7:AI22)</f>
        <v>7318</v>
      </c>
      <c r="AJ5" s="53">
        <f t="shared" si="10"/>
        <v>7251</v>
      </c>
      <c r="AK5" s="53">
        <f t="shared" ref="AK5" si="11">SUM(AK7:AK22)</f>
        <v>7519</v>
      </c>
      <c r="AL5" s="53">
        <f t="shared" ref="AL5:AM5" si="12">SUM(AL7:AL22)</f>
        <v>7553</v>
      </c>
      <c r="AM5" s="53">
        <f t="shared" si="12"/>
        <v>7482</v>
      </c>
      <c r="AN5" s="53">
        <f t="shared" ref="AN5" si="13">SUM(AN7:AN22)</f>
        <v>7587</v>
      </c>
    </row>
    <row r="6" spans="1:40">
      <c r="A6" s="50" t="s">
        <v>14</v>
      </c>
      <c r="B6" s="45">
        <f>(B5/B$4)*100</f>
        <v>31.568120371458797</v>
      </c>
      <c r="C6" s="45">
        <f t="shared" ref="C6:AD6" si="14">(C5/C$4)*100</f>
        <v>31.677307022634938</v>
      </c>
      <c r="D6" s="45">
        <f t="shared" si="14"/>
        <v>31.720524017467248</v>
      </c>
      <c r="E6" s="54">
        <f t="shared" si="14"/>
        <v>31.803201506591339</v>
      </c>
      <c r="F6" s="54">
        <f t="shared" si="14"/>
        <v>31.809321283005492</v>
      </c>
      <c r="G6" s="54">
        <f t="shared" si="14"/>
        <v>32.004291078133377</v>
      </c>
      <c r="H6" s="54">
        <f t="shared" si="14"/>
        <v>31.984897518878103</v>
      </c>
      <c r="I6" s="54">
        <f t="shared" si="14"/>
        <v>32.125618258745007</v>
      </c>
      <c r="J6" s="54">
        <f t="shared" si="14"/>
        <v>32.079527135948418</v>
      </c>
      <c r="K6" s="54">
        <f t="shared" si="14"/>
        <v>31.881211688388976</v>
      </c>
      <c r="L6" s="54">
        <f t="shared" si="14"/>
        <v>31.990368238679746</v>
      </c>
      <c r="M6" s="54">
        <f t="shared" si="14"/>
        <v>31.986353743897418</v>
      </c>
      <c r="N6" s="57">
        <f t="shared" si="14"/>
        <v>32.522688178421021</v>
      </c>
      <c r="O6" s="54">
        <f t="shared" si="14"/>
        <v>32.288009520975905</v>
      </c>
      <c r="P6" s="54">
        <f t="shared" si="14"/>
        <v>32.510729613733908</v>
      </c>
      <c r="Q6" s="54">
        <f t="shared" si="14"/>
        <v>32.840929562241037</v>
      </c>
      <c r="R6" s="54">
        <f t="shared" si="14"/>
        <v>32.673864527414196</v>
      </c>
      <c r="S6" s="54">
        <f t="shared" si="14"/>
        <v>32.696377819435206</v>
      </c>
      <c r="T6" s="54">
        <f t="shared" si="14"/>
        <v>32.546516529174447</v>
      </c>
      <c r="U6" s="54">
        <f t="shared" si="14"/>
        <v>32.582031006786629</v>
      </c>
      <c r="V6" s="54">
        <f t="shared" si="14"/>
        <v>32.619904076738607</v>
      </c>
      <c r="W6" s="54">
        <f t="shared" si="14"/>
        <v>31.842713955281422</v>
      </c>
      <c r="X6" s="54">
        <f t="shared" si="14"/>
        <v>33.121737066919792</v>
      </c>
      <c r="Y6" s="54">
        <f t="shared" si="14"/>
        <v>33.183138673148754</v>
      </c>
      <c r="Z6" s="54">
        <f t="shared" si="14"/>
        <v>33.407053893609593</v>
      </c>
      <c r="AA6" s="54">
        <f t="shared" si="14"/>
        <v>33.658481256734532</v>
      </c>
      <c r="AB6" s="54">
        <f t="shared" si="14"/>
        <v>33.490200420772894</v>
      </c>
      <c r="AC6" s="54">
        <f t="shared" si="14"/>
        <v>34.03354412977729</v>
      </c>
      <c r="AD6" s="54">
        <f t="shared" si="14"/>
        <v>34.876895483450184</v>
      </c>
      <c r="AE6" s="54">
        <f t="shared" ref="AE6:AF6" si="15">(AE5/AE$4)*100</f>
        <v>34.765521270380795</v>
      </c>
      <c r="AF6" s="54">
        <f t="shared" si="15"/>
        <v>35.24742268041237</v>
      </c>
      <c r="AG6" s="54">
        <f t="shared" ref="AG6:AH6" si="16">(AG5/AG$4)*100</f>
        <v>35.602757781608027</v>
      </c>
      <c r="AH6" s="54">
        <f t="shared" si="16"/>
        <v>35.490873211642821</v>
      </c>
      <c r="AI6" s="54">
        <f t="shared" ref="AI6:AJ6" si="17">(AI5/AI$4)*100</f>
        <v>35.602043298467528</v>
      </c>
      <c r="AJ6" s="54">
        <f t="shared" si="17"/>
        <v>34.852198990627251</v>
      </c>
      <c r="AK6" s="54">
        <f t="shared" ref="AK6" si="18">(AK5/AK$4)*100</f>
        <v>35.711232486345281</v>
      </c>
      <c r="AL6" s="54">
        <f t="shared" ref="AL6:AM6" si="19">(AL5/AL$4)*100</f>
        <v>35.190793458509994</v>
      </c>
      <c r="AM6" s="54">
        <f t="shared" si="19"/>
        <v>34.526995846792801</v>
      </c>
      <c r="AN6" s="54">
        <f t="shared" ref="AN6" si="20">(AN5/AN$4)*100</f>
        <v>34.721523042423684</v>
      </c>
    </row>
    <row r="7" spans="1:40">
      <c r="A7" s="8" t="s">
        <v>15</v>
      </c>
      <c r="B7" s="21">
        <f>137+33+53+18</f>
        <v>241</v>
      </c>
      <c r="C7" s="21">
        <f>110+48+53+14</f>
        <v>225</v>
      </c>
      <c r="D7" s="21">
        <f>120+34+51+15</f>
        <v>220</v>
      </c>
      <c r="E7" s="8">
        <v>223</v>
      </c>
      <c r="F7" s="8">
        <f>118+38+34+34</f>
        <v>224</v>
      </c>
      <c r="G7" s="8">
        <v>224</v>
      </c>
      <c r="H7" s="8">
        <v>222</v>
      </c>
      <c r="I7" s="8">
        <f>115+41+52+25</f>
        <v>233</v>
      </c>
      <c r="J7" s="8">
        <f>126+45+40+29</f>
        <v>240</v>
      </c>
      <c r="K7" s="8">
        <f>121+42+56+28</f>
        <v>247</v>
      </c>
      <c r="L7" s="8">
        <f>115+61+45+24</f>
        <v>245</v>
      </c>
      <c r="M7" s="8">
        <f>120+59+39+33</f>
        <v>251</v>
      </c>
      <c r="N7" s="15">
        <f>118+57+46+22</f>
        <v>243</v>
      </c>
      <c r="O7" s="8">
        <f>107+68+40+27</f>
        <v>242</v>
      </c>
      <c r="P7" s="8">
        <f>102+73+42+23</f>
        <v>240</v>
      </c>
      <c r="Q7" s="8">
        <f>118+55+43+26</f>
        <v>242</v>
      </c>
      <c r="R7" s="8">
        <f>106+39+65+27</f>
        <v>237</v>
      </c>
      <c r="S7" s="8">
        <f>102+38+67+26</f>
        <v>233</v>
      </c>
      <c r="T7" s="8">
        <f>99+27+71+42</f>
        <v>239</v>
      </c>
      <c r="U7" s="8">
        <f>148+60+12+4</f>
        <v>224</v>
      </c>
      <c r="V7" s="8">
        <f>85+78+36+30</f>
        <v>229</v>
      </c>
      <c r="W7" s="8">
        <f>97+65+40+26</f>
        <v>228</v>
      </c>
      <c r="X7" s="8">
        <f>97+30+67+38</f>
        <v>232</v>
      </c>
      <c r="Y7" s="8">
        <v>235</v>
      </c>
      <c r="Z7" s="8">
        <v>232</v>
      </c>
      <c r="AA7" s="8">
        <v>255</v>
      </c>
      <c r="AB7" s="8">
        <v>259</v>
      </c>
      <c r="AC7" s="8">
        <v>257</v>
      </c>
      <c r="AD7" s="8">
        <v>256</v>
      </c>
      <c r="AE7" s="8">
        <f>104+76+47+30</f>
        <v>257</v>
      </c>
      <c r="AF7" s="8">
        <v>264</v>
      </c>
      <c r="AG7" s="12">
        <v>264</v>
      </c>
      <c r="AH7" s="12">
        <v>268</v>
      </c>
      <c r="AI7" s="12">
        <v>274</v>
      </c>
      <c r="AJ7" s="12">
        <v>267</v>
      </c>
      <c r="AK7" s="12">
        <v>266</v>
      </c>
      <c r="AL7" s="12">
        <v>265</v>
      </c>
      <c r="AM7" s="12">
        <v>276</v>
      </c>
      <c r="AN7" s="12">
        <v>267</v>
      </c>
    </row>
    <row r="8" spans="1:40">
      <c r="A8" s="8" t="s">
        <v>16</v>
      </c>
      <c r="B8" s="21">
        <f>113+32</f>
        <v>145</v>
      </c>
      <c r="C8" s="21">
        <f>119+27</f>
        <v>146</v>
      </c>
      <c r="D8" s="21">
        <f>112+35</f>
        <v>147</v>
      </c>
      <c r="E8" s="8">
        <v>140</v>
      </c>
      <c r="F8" s="8">
        <f>94+56</f>
        <v>150</v>
      </c>
      <c r="G8" s="8">
        <v>151</v>
      </c>
      <c r="H8" s="8">
        <v>150</v>
      </c>
      <c r="I8" s="8">
        <f>112+38</f>
        <v>150</v>
      </c>
      <c r="J8" s="8">
        <f>99+53</f>
        <v>152</v>
      </c>
      <c r="K8" s="8">
        <f>101+50</f>
        <v>151</v>
      </c>
      <c r="L8" s="8">
        <f>102+52</f>
        <v>154</v>
      </c>
      <c r="M8" s="8">
        <f>96+60</f>
        <v>156</v>
      </c>
      <c r="N8" s="15">
        <f>89+61</f>
        <v>150</v>
      </c>
      <c r="O8" s="8">
        <f>90+57</f>
        <v>147</v>
      </c>
      <c r="P8" s="8">
        <f>87+65</f>
        <v>152</v>
      </c>
      <c r="Q8" s="8">
        <f>97+56</f>
        <v>153</v>
      </c>
      <c r="R8" s="8">
        <f>108+44</f>
        <v>152</v>
      </c>
      <c r="S8" s="8">
        <f>100+50</f>
        <v>150</v>
      </c>
      <c r="T8" s="8">
        <f>102+51</f>
        <v>153</v>
      </c>
      <c r="U8" s="8">
        <f>136+8</f>
        <v>144</v>
      </c>
      <c r="V8" s="8">
        <f>87+64</f>
        <v>151</v>
      </c>
      <c r="W8" s="8">
        <f>90+60</f>
        <v>150</v>
      </c>
      <c r="X8" s="8">
        <f>84+66</f>
        <v>150</v>
      </c>
      <c r="Y8" s="8">
        <v>150</v>
      </c>
      <c r="Z8" s="8">
        <v>151</v>
      </c>
      <c r="AA8" s="8">
        <v>162</v>
      </c>
      <c r="AB8" s="8">
        <v>160</v>
      </c>
      <c r="AC8" s="8">
        <v>160</v>
      </c>
      <c r="AD8" s="8">
        <v>174</v>
      </c>
      <c r="AE8" s="8">
        <f>107+67</f>
        <v>174</v>
      </c>
      <c r="AF8" s="8">
        <v>173</v>
      </c>
      <c r="AG8" s="12">
        <v>175</v>
      </c>
      <c r="AH8" s="12">
        <v>173</v>
      </c>
      <c r="AI8" s="12">
        <v>174</v>
      </c>
      <c r="AJ8" s="12">
        <v>174</v>
      </c>
      <c r="AK8" s="12">
        <v>174</v>
      </c>
      <c r="AL8" s="12">
        <v>174</v>
      </c>
      <c r="AM8" s="12">
        <v>174</v>
      </c>
      <c r="AN8" s="12">
        <v>174</v>
      </c>
    </row>
    <row r="9" spans="1:40">
      <c r="A9" s="8" t="s">
        <v>17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40">
      <c r="A10" s="8" t="s">
        <v>18</v>
      </c>
      <c r="B10" s="21">
        <f>88+29+143+34+82+17</f>
        <v>393</v>
      </c>
      <c r="C10" s="21">
        <f>84+34+108+37+73+26</f>
        <v>362</v>
      </c>
      <c r="D10" s="21">
        <f>77+44+87+60+71+26</f>
        <v>365</v>
      </c>
      <c r="E10" s="8">
        <v>359</v>
      </c>
      <c r="F10" s="8">
        <f>83+35+94+49+67+35</f>
        <v>363</v>
      </c>
      <c r="G10" s="8">
        <v>358</v>
      </c>
      <c r="H10" s="8">
        <v>363</v>
      </c>
      <c r="I10" s="8">
        <f>70+47+92+48+66+32</f>
        <v>355</v>
      </c>
      <c r="J10" s="8">
        <f>59+56+95+41+64+36</f>
        <v>351</v>
      </c>
      <c r="K10" s="8">
        <f>65+51+80+49+65+33</f>
        <v>343</v>
      </c>
      <c r="L10" s="8">
        <f>77+43+91+51+58+39</f>
        <v>359</v>
      </c>
      <c r="M10" s="8">
        <f>77+46+79+65+65+33</f>
        <v>365</v>
      </c>
      <c r="N10" s="15">
        <f>63+54+78+65+65+35</f>
        <v>360</v>
      </c>
      <c r="O10" s="8">
        <f>71+46+78+67+64+38</f>
        <v>364</v>
      </c>
      <c r="P10" s="8">
        <f>60+58+69+77+64+37</f>
        <v>365</v>
      </c>
      <c r="Q10" s="8">
        <f>64+54+75+69+69+34</f>
        <v>365</v>
      </c>
      <c r="R10" s="8">
        <f>57+60+72+76+63+36</f>
        <v>364</v>
      </c>
      <c r="S10" s="8">
        <f>53+69+59+63+79+40</f>
        <v>363</v>
      </c>
      <c r="T10" s="8">
        <f>62+64+52+55+78+45</f>
        <v>356</v>
      </c>
      <c r="U10" s="8">
        <f>112+144+95+3+1+1</f>
        <v>356</v>
      </c>
      <c r="V10" s="8">
        <f>56+52+62+85+60+42</f>
        <v>357</v>
      </c>
      <c r="W10" s="8">
        <f>24+16+48+67+68+83+42+58</f>
        <v>406</v>
      </c>
      <c r="X10" s="8">
        <f>27+68+80+65+20+51+65+55</f>
        <v>431</v>
      </c>
      <c r="Y10" s="8">
        <v>463</v>
      </c>
      <c r="Z10" s="8">
        <v>515</v>
      </c>
      <c r="AA10" s="8">
        <v>540</v>
      </c>
      <c r="AB10" s="8">
        <v>560</v>
      </c>
      <c r="AC10" s="8">
        <v>576</v>
      </c>
      <c r="AD10" s="8">
        <v>654</v>
      </c>
      <c r="AE10" s="8">
        <f>28+16+71+51+77+59+25+35+83+69+71+51</f>
        <v>636</v>
      </c>
      <c r="AF10" s="8">
        <v>830</v>
      </c>
      <c r="AG10" s="12">
        <v>904</v>
      </c>
      <c r="AH10" s="12">
        <v>946</v>
      </c>
      <c r="AI10" s="12">
        <v>945</v>
      </c>
      <c r="AJ10" s="12">
        <v>952</v>
      </c>
      <c r="AK10" s="12">
        <v>962</v>
      </c>
      <c r="AL10" s="12">
        <v>955</v>
      </c>
      <c r="AM10" s="12">
        <v>1018</v>
      </c>
      <c r="AN10" s="12">
        <v>1022</v>
      </c>
    </row>
    <row r="11" spans="1:40">
      <c r="A11" s="8" t="s">
        <v>19</v>
      </c>
      <c r="B11" s="21">
        <f>87+25+148+37</f>
        <v>297</v>
      </c>
      <c r="C11" s="21">
        <f>86+26+143+45+15+9+19+20</f>
        <v>363</v>
      </c>
      <c r="D11" s="21">
        <f>76+34+135+50+15+9+23+17</f>
        <v>359</v>
      </c>
      <c r="E11" s="8">
        <v>358</v>
      </c>
      <c r="F11" s="8">
        <f>73+40+141+47+16+10+22+23</f>
        <v>372</v>
      </c>
      <c r="G11" s="8">
        <v>367</v>
      </c>
      <c r="H11" s="8">
        <v>383</v>
      </c>
      <c r="I11" s="8">
        <f>74+37+124+65+28+18+22+17</f>
        <v>385</v>
      </c>
      <c r="J11" s="8">
        <f>73+39+128+63+22+21+19+21</f>
        <v>386</v>
      </c>
      <c r="K11" s="8">
        <f>75+38+139+62+23+21+20+21</f>
        <v>399</v>
      </c>
      <c r="L11" s="8">
        <f>68+45+128+66+31+19+14+33</f>
        <v>404</v>
      </c>
      <c r="M11" s="8">
        <f>69+44+115+71+32+17+18+27</f>
        <v>393</v>
      </c>
      <c r="N11" s="15">
        <f>69+43+132+52+35+21+19+25</f>
        <v>396</v>
      </c>
      <c r="O11" s="8">
        <f>60+54+119+65+31+25+18+22</f>
        <v>394</v>
      </c>
      <c r="P11" s="8">
        <f>63+51+117+67+35+21+17+22</f>
        <v>393</v>
      </c>
      <c r="Q11" s="8">
        <f>69+45+133+49+36+20+11+31</f>
        <v>394</v>
      </c>
      <c r="R11" s="8">
        <f>67+46+133+53+37+19+14+24</f>
        <v>393</v>
      </c>
      <c r="S11" s="8">
        <f>69+129+30+14+43+54+26+25</f>
        <v>390</v>
      </c>
      <c r="T11" s="8">
        <f>62+119+32+15+53+63+24+27</f>
        <v>395</v>
      </c>
      <c r="U11" s="8">
        <f>39+180+55+27+73+13</f>
        <v>387</v>
      </c>
      <c r="V11" s="8">
        <f>59+56+102+78+34+28+13+29</f>
        <v>399</v>
      </c>
      <c r="W11" s="8">
        <f>58+56+100+80+31+27+10+36</f>
        <v>398</v>
      </c>
      <c r="X11" s="8">
        <f>55+99+38+25+59+86+30+30</f>
        <v>422</v>
      </c>
      <c r="Y11" s="8">
        <v>408</v>
      </c>
      <c r="Z11" s="8">
        <v>416</v>
      </c>
      <c r="AA11" s="8">
        <v>419</v>
      </c>
      <c r="AB11" s="8">
        <v>449</v>
      </c>
      <c r="AC11" s="8">
        <v>477</v>
      </c>
      <c r="AD11" s="8">
        <v>478</v>
      </c>
      <c r="AE11" s="8">
        <f>64+76+117+113+51+53+23+36</f>
        <v>533</v>
      </c>
      <c r="AF11" s="8">
        <v>532</v>
      </c>
      <c r="AG11" s="12">
        <v>547</v>
      </c>
      <c r="AH11" s="12">
        <v>557</v>
      </c>
      <c r="AI11" s="12">
        <v>565</v>
      </c>
      <c r="AJ11" s="12">
        <v>571</v>
      </c>
      <c r="AK11" s="12">
        <v>591</v>
      </c>
      <c r="AL11" s="12">
        <v>606</v>
      </c>
      <c r="AM11" s="12">
        <v>590</v>
      </c>
      <c r="AN11" s="12">
        <v>594</v>
      </c>
    </row>
    <row r="12" spans="1:40">
      <c r="A12" s="8" t="s">
        <v>20</v>
      </c>
      <c r="B12" s="21">
        <f>86+24+96+43</f>
        <v>249</v>
      </c>
      <c r="C12" s="21">
        <f>59+40+94+33</f>
        <v>226</v>
      </c>
      <c r="D12" s="21">
        <f>62+32+86+46</f>
        <v>226</v>
      </c>
      <c r="E12" s="8">
        <v>224</v>
      </c>
      <c r="F12" s="8">
        <f>60+36+78+49</f>
        <v>223</v>
      </c>
      <c r="G12" s="8">
        <v>226</v>
      </c>
      <c r="H12" s="8">
        <v>221</v>
      </c>
      <c r="I12" s="8">
        <f>71+80+26+51</f>
        <v>228</v>
      </c>
      <c r="J12" s="8">
        <f>62+77+32+54</f>
        <v>225</v>
      </c>
      <c r="K12" s="8">
        <f>67+29+81+56</f>
        <v>233</v>
      </c>
      <c r="L12" s="8">
        <f>61+34+80+49</f>
        <v>224</v>
      </c>
      <c r="M12" s="8">
        <f>67+35+77+55</f>
        <v>234</v>
      </c>
      <c r="N12" s="15">
        <f>68+32+77+69</f>
        <v>246</v>
      </c>
      <c r="O12" s="8">
        <f>67+33+76+65</f>
        <v>241</v>
      </c>
      <c r="P12" s="8">
        <f>62+39+72+67</f>
        <v>240</v>
      </c>
      <c r="Q12" s="8">
        <f>60+43+73+71</f>
        <v>247</v>
      </c>
      <c r="R12" s="8">
        <f>62+40+76+69</f>
        <v>247</v>
      </c>
      <c r="S12" s="8">
        <f>64+68+36+74</f>
        <v>242</v>
      </c>
      <c r="T12" s="8">
        <f>56+77+43+72</f>
        <v>248</v>
      </c>
      <c r="U12" s="8">
        <f>85+119+10+17</f>
        <v>231</v>
      </c>
      <c r="V12" s="8">
        <f>61+44+69+84</f>
        <v>258</v>
      </c>
      <c r="W12" s="8">
        <f>56+40+70+78</f>
        <v>244</v>
      </c>
      <c r="X12" s="8">
        <f>55+83+44+75</f>
        <v>257</v>
      </c>
      <c r="Y12" s="8">
        <v>258</v>
      </c>
      <c r="Z12" s="8">
        <v>270</v>
      </c>
      <c r="AA12" s="8">
        <v>264</v>
      </c>
      <c r="AB12" s="8">
        <v>264</v>
      </c>
      <c r="AC12" s="8">
        <v>275</v>
      </c>
      <c r="AD12" s="8">
        <v>284</v>
      </c>
      <c r="AE12" s="8">
        <f>71+55+88+76</f>
        <v>290</v>
      </c>
      <c r="AF12" s="8">
        <v>282</v>
      </c>
      <c r="AG12" s="12">
        <v>289</v>
      </c>
      <c r="AH12" s="12">
        <v>299</v>
      </c>
      <c r="AI12" s="12">
        <v>299</v>
      </c>
      <c r="AJ12" s="12">
        <v>299</v>
      </c>
      <c r="AK12" s="12">
        <v>302</v>
      </c>
      <c r="AL12" s="12">
        <v>302</v>
      </c>
      <c r="AM12" s="12">
        <v>331</v>
      </c>
      <c r="AN12" s="12">
        <v>367</v>
      </c>
    </row>
    <row r="13" spans="1:40">
      <c r="A13" s="8" t="s">
        <v>21</v>
      </c>
      <c r="B13" s="21">
        <f>150+42+86+18+103+48</f>
        <v>447</v>
      </c>
      <c r="C13" s="21">
        <f>128+56+80+23+105+48</f>
        <v>440</v>
      </c>
      <c r="D13" s="21">
        <f>130+49+81+21+96+58</f>
        <v>435</v>
      </c>
      <c r="E13" s="8">
        <v>439</v>
      </c>
      <c r="F13" s="8">
        <f>119+65+82+26+96+57</f>
        <v>445</v>
      </c>
      <c r="G13" s="8">
        <v>438</v>
      </c>
      <c r="H13" s="8">
        <v>442</v>
      </c>
      <c r="I13" s="8">
        <f>125+57+70+32+101+52</f>
        <v>437</v>
      </c>
      <c r="J13" s="8">
        <f>115+68+91+69+34+64</f>
        <v>441</v>
      </c>
      <c r="K13" s="8">
        <f>118+67+74+30+94+55</f>
        <v>438</v>
      </c>
      <c r="L13" s="8">
        <f>125+65+78+27+86+66</f>
        <v>447</v>
      </c>
      <c r="M13" s="8">
        <f>108+78+76+29+93+57</f>
        <v>441</v>
      </c>
      <c r="N13" s="15">
        <f>98+87+70+35+91+59</f>
        <v>440</v>
      </c>
      <c r="O13" s="8">
        <f>87+95+69+33+87+65</f>
        <v>436</v>
      </c>
      <c r="P13" s="8">
        <f>114+73+68+39+78+76</f>
        <v>448</v>
      </c>
      <c r="Q13" s="8">
        <f>121+79+61+42+79+71</f>
        <v>453</v>
      </c>
      <c r="R13" s="8">
        <f>108+67+69+31+78+74</f>
        <v>427</v>
      </c>
      <c r="S13" s="8">
        <f>98+65+90+77+42+62</f>
        <v>434</v>
      </c>
      <c r="T13" s="8">
        <f>100+58+88+74+45+64</f>
        <v>429</v>
      </c>
      <c r="U13" s="8">
        <f>169+100+35+1+117</f>
        <v>422</v>
      </c>
      <c r="V13" s="8">
        <f>88+83+57+47+93+64</f>
        <v>432</v>
      </c>
      <c r="W13" s="8">
        <f>88+84+62+42+93+66</f>
        <v>435</v>
      </c>
      <c r="X13" s="8">
        <f>85+61+90+85+40+73</f>
        <v>434</v>
      </c>
      <c r="Y13" s="8">
        <v>430</v>
      </c>
      <c r="Z13" s="8">
        <v>453</v>
      </c>
      <c r="AA13" s="8">
        <v>471</v>
      </c>
      <c r="AB13" s="8">
        <v>485</v>
      </c>
      <c r="AC13" s="8">
        <v>482</v>
      </c>
      <c r="AD13" s="8">
        <v>497</v>
      </c>
      <c r="AE13" s="8">
        <f>100+97+66+52+105+80</f>
        <v>500</v>
      </c>
      <c r="AF13" s="8">
        <v>501</v>
      </c>
      <c r="AG13" s="12">
        <v>522</v>
      </c>
      <c r="AH13" s="12">
        <v>527</v>
      </c>
      <c r="AI13" s="12">
        <v>514</v>
      </c>
      <c r="AJ13" s="12">
        <v>508</v>
      </c>
      <c r="AK13" s="12">
        <v>513</v>
      </c>
      <c r="AL13" s="12">
        <v>516</v>
      </c>
      <c r="AM13" s="12">
        <v>523</v>
      </c>
      <c r="AN13" s="12">
        <v>542</v>
      </c>
    </row>
    <row r="14" spans="1:40">
      <c r="A14" s="8" t="s">
        <v>22</v>
      </c>
      <c r="B14" s="21">
        <f>86+34+133+48+99+30</f>
        <v>430</v>
      </c>
      <c r="C14" s="21">
        <f>84+41+128+52+126+36</f>
        <v>467</v>
      </c>
      <c r="D14" s="21">
        <f>77+43+98+60+138+21</f>
        <v>437</v>
      </c>
      <c r="E14" s="8">
        <v>443</v>
      </c>
      <c r="F14" s="8">
        <f>73+49+107+55+128+36</f>
        <v>448</v>
      </c>
      <c r="G14" s="8">
        <v>454</v>
      </c>
      <c r="H14" s="8">
        <v>432</v>
      </c>
      <c r="I14" s="8">
        <f>68+52+116+63+138+38</f>
        <v>475</v>
      </c>
      <c r="J14" s="8">
        <f>72+88+118+49+66+48</f>
        <v>441</v>
      </c>
      <c r="K14" s="8">
        <f>74+46+82+65+128+31</f>
        <v>426</v>
      </c>
      <c r="L14" s="8">
        <f>73+47+85+71+127+39</f>
        <v>442</v>
      </c>
      <c r="M14" s="8">
        <f>73+47+73+89+129+40</f>
        <v>451</v>
      </c>
      <c r="N14" s="15">
        <f>66+54+80+93+124+47</f>
        <v>464</v>
      </c>
      <c r="O14" s="8">
        <f>57+64+126+44+84+68</f>
        <v>443</v>
      </c>
      <c r="P14" s="8">
        <f>66+54+118+49+74+72</f>
        <v>433</v>
      </c>
      <c r="Q14" s="8">
        <f>68+52+119+46+73+76</f>
        <v>434</v>
      </c>
      <c r="R14" s="8">
        <f>62+58+130+38+77+69</f>
        <v>434</v>
      </c>
      <c r="S14" s="8">
        <f>70+133+76+50+37+67</f>
        <v>433</v>
      </c>
      <c r="T14" s="8">
        <f>71+128+55+49+41+84</f>
        <v>428</v>
      </c>
      <c r="U14" s="8">
        <f>17+12+117+103+155+25</f>
        <v>429</v>
      </c>
      <c r="V14" s="8">
        <f>73+47+112+55+67+87</f>
        <v>441</v>
      </c>
      <c r="W14" s="8">
        <f>57+63+127+42+61+94</f>
        <v>444</v>
      </c>
      <c r="X14" s="8">
        <f>57+102+58+64+68+90</f>
        <v>439</v>
      </c>
      <c r="Y14" s="8">
        <v>444</v>
      </c>
      <c r="Z14" s="8">
        <v>445</v>
      </c>
      <c r="AA14" s="8">
        <v>461</v>
      </c>
      <c r="AB14" s="8">
        <v>454</v>
      </c>
      <c r="AC14" s="8">
        <v>461</v>
      </c>
      <c r="AD14" s="8">
        <v>451</v>
      </c>
      <c r="AE14" s="8">
        <f>59+62+124+48+69+96</f>
        <v>458</v>
      </c>
      <c r="AF14" s="8">
        <v>456</v>
      </c>
      <c r="AG14" s="12">
        <v>456</v>
      </c>
      <c r="AH14" s="12">
        <v>462</v>
      </c>
      <c r="AI14" s="12">
        <v>462</v>
      </c>
      <c r="AJ14" s="12">
        <v>460</v>
      </c>
      <c r="AK14" s="12">
        <v>461</v>
      </c>
      <c r="AL14" s="12">
        <v>457</v>
      </c>
      <c r="AM14" s="12">
        <v>453</v>
      </c>
      <c r="AN14" s="12">
        <v>444</v>
      </c>
    </row>
    <row r="15" spans="1:40">
      <c r="A15" s="8" t="s">
        <v>23</v>
      </c>
      <c r="B15" s="21">
        <f>124+29</f>
        <v>153</v>
      </c>
      <c r="C15" s="21">
        <f>106+50</f>
        <v>156</v>
      </c>
      <c r="D15" s="21">
        <f>108+31</f>
        <v>139</v>
      </c>
      <c r="E15" s="8">
        <v>118</v>
      </c>
      <c r="F15" s="8">
        <f>87+27</f>
        <v>114</v>
      </c>
      <c r="G15" s="8">
        <v>105</v>
      </c>
      <c r="H15" s="8">
        <v>105</v>
      </c>
      <c r="I15" s="8">
        <f>79+25</f>
        <v>104</v>
      </c>
      <c r="J15" s="8">
        <f>78+26</f>
        <v>104</v>
      </c>
      <c r="K15" s="8">
        <f>90+20</f>
        <v>110</v>
      </c>
      <c r="L15" s="8">
        <f>72+33</f>
        <v>105</v>
      </c>
      <c r="M15" s="8">
        <f>72+35</f>
        <v>107</v>
      </c>
      <c r="N15" s="15">
        <f>73+33</f>
        <v>106</v>
      </c>
      <c r="O15" s="8">
        <f>78+32</f>
        <v>110</v>
      </c>
      <c r="P15" s="8">
        <f>69+36</f>
        <v>105</v>
      </c>
      <c r="Q15" s="8">
        <f>72+34</f>
        <v>106</v>
      </c>
      <c r="R15" s="8">
        <f>68+39</f>
        <v>107</v>
      </c>
      <c r="S15" s="8">
        <f>75+28</f>
        <v>103</v>
      </c>
      <c r="T15" s="8">
        <f>61+43</f>
        <v>104</v>
      </c>
      <c r="U15" s="8">
        <v>100</v>
      </c>
      <c r="V15" s="8">
        <f>72+35</f>
        <v>107</v>
      </c>
      <c r="W15" s="8">
        <f>64+40</f>
        <v>104</v>
      </c>
      <c r="X15" s="8">
        <f>60+41</f>
        <v>101</v>
      </c>
      <c r="Y15" s="8">
        <v>102</v>
      </c>
      <c r="Z15" s="8">
        <v>106</v>
      </c>
      <c r="AA15" s="8">
        <v>110</v>
      </c>
      <c r="AB15" s="8">
        <v>119</v>
      </c>
      <c r="AC15" s="8">
        <v>110</v>
      </c>
      <c r="AD15" s="8">
        <v>123</v>
      </c>
      <c r="AE15" s="8">
        <f>92+45</f>
        <v>137</v>
      </c>
      <c r="AF15" s="8">
        <v>136</v>
      </c>
      <c r="AG15" s="12">
        <v>135</v>
      </c>
      <c r="AH15" s="12">
        <v>147</v>
      </c>
      <c r="AI15" s="12">
        <v>149</v>
      </c>
      <c r="AJ15" s="12">
        <v>146</v>
      </c>
      <c r="AK15" s="12">
        <v>146</v>
      </c>
      <c r="AL15" s="12">
        <v>159</v>
      </c>
      <c r="AM15" s="12">
        <v>167</v>
      </c>
      <c r="AN15" s="12">
        <v>168</v>
      </c>
    </row>
    <row r="16" spans="1:40">
      <c r="A16" s="8" t="s">
        <v>24</v>
      </c>
      <c r="B16" s="21">
        <f>87+27+86+33+33+10+99+63</f>
        <v>438</v>
      </c>
      <c r="C16" s="21">
        <f>83+29+81+35+50+20+105+57</f>
        <v>460</v>
      </c>
      <c r="D16" s="21">
        <f>74+35+86+34+44+22+113+52</f>
        <v>460</v>
      </c>
      <c r="E16" s="8">
        <v>458</v>
      </c>
      <c r="F16" s="8">
        <f>69+41+81+32+51+25+96+74</f>
        <v>469</v>
      </c>
      <c r="G16" s="8">
        <v>463</v>
      </c>
      <c r="H16" s="8">
        <v>475</v>
      </c>
      <c r="I16" s="8">
        <f>79+34+70+30+53+33+96+69</f>
        <v>464</v>
      </c>
      <c r="J16" s="8">
        <f>74+74+40+102+40+33+39+64</f>
        <v>466</v>
      </c>
      <c r="K16" s="8">
        <f>77+40+72+39+41+36+88+80</f>
        <v>473</v>
      </c>
      <c r="L16" s="8">
        <f>81+38+63+41+42+38+96+64</f>
        <v>463</v>
      </c>
      <c r="M16" s="8">
        <f>73+38+65+37+41+37+91+75</f>
        <v>457</v>
      </c>
      <c r="N16" s="15">
        <f>84+31+63+38+38+46+98+71</f>
        <v>469</v>
      </c>
      <c r="O16" s="8">
        <f>71+40+58+44+39+41+84+83</f>
        <v>460</v>
      </c>
      <c r="P16" s="8">
        <f>64+51+55+45+42+40+91+72</f>
        <v>460</v>
      </c>
      <c r="Q16" s="8">
        <f>75+40+63+39+40+39+85+84</f>
        <v>465</v>
      </c>
      <c r="R16" s="8">
        <f>58+57+52+47+39+37+79+91</f>
        <v>460</v>
      </c>
      <c r="S16" s="8">
        <f>66+50+45+93+47+50+37+73</f>
        <v>461</v>
      </c>
      <c r="T16" s="8">
        <f>63+55+41+84+50+45+36+87</f>
        <v>461</v>
      </c>
      <c r="U16" s="8">
        <f>51+13+72+140+57+87+20</f>
        <v>440</v>
      </c>
      <c r="V16" s="8">
        <f>38+37+54+47+81+92+71+42</f>
        <v>462</v>
      </c>
      <c r="W16" s="8">
        <f>39+40+50+52+75+93+66+49</f>
        <v>464</v>
      </c>
      <c r="X16" s="8">
        <f>39+50+81+68+38+51+82+45</f>
        <v>454</v>
      </c>
      <c r="Y16" s="8">
        <v>456</v>
      </c>
      <c r="Z16" s="8">
        <v>457</v>
      </c>
      <c r="AA16" s="8">
        <v>453</v>
      </c>
      <c r="AB16" s="8">
        <v>460</v>
      </c>
      <c r="AC16" s="8">
        <v>469</v>
      </c>
      <c r="AD16" s="8">
        <v>472</v>
      </c>
      <c r="AE16" s="8">
        <f>54+45+44+41+88+73+65+55</f>
        <v>465</v>
      </c>
      <c r="AF16" s="8">
        <v>478</v>
      </c>
      <c r="AG16" s="12">
        <v>484</v>
      </c>
      <c r="AH16" s="12">
        <v>501</v>
      </c>
      <c r="AI16" s="12">
        <v>498</v>
      </c>
      <c r="AJ16" s="12">
        <v>502</v>
      </c>
      <c r="AK16" s="12">
        <v>529</v>
      </c>
      <c r="AL16" s="12">
        <v>540</v>
      </c>
      <c r="AM16" s="12">
        <v>550</v>
      </c>
      <c r="AN16" s="12">
        <v>547</v>
      </c>
    </row>
    <row r="17" spans="1:40">
      <c r="A17" s="8" t="s">
        <v>25</v>
      </c>
      <c r="B17" s="21">
        <f>148+28+19+6</f>
        <v>201</v>
      </c>
      <c r="C17" s="21">
        <f>123+58+37+13</f>
        <v>231</v>
      </c>
      <c r="D17" s="21">
        <f>124+55+42+6</f>
        <v>227</v>
      </c>
      <c r="E17" s="8">
        <v>233</v>
      </c>
      <c r="F17" s="8">
        <f>117+35+37+11</f>
        <v>200</v>
      </c>
      <c r="G17" s="8">
        <v>194</v>
      </c>
      <c r="H17" s="8">
        <v>193</v>
      </c>
      <c r="I17" s="8">
        <f>95+33+49+13</f>
        <v>190</v>
      </c>
      <c r="J17" s="8">
        <f>91+43+30+18</f>
        <v>182</v>
      </c>
      <c r="K17" s="8">
        <f>105+53</f>
        <v>158</v>
      </c>
      <c r="L17" s="8">
        <f>103+51</f>
        <v>154</v>
      </c>
      <c r="M17" s="8">
        <f>89+64</f>
        <v>153</v>
      </c>
      <c r="N17" s="15">
        <f>100+53</f>
        <v>153</v>
      </c>
      <c r="O17" s="8">
        <f>97+60</f>
        <v>157</v>
      </c>
      <c r="P17" s="8">
        <f>89+71</f>
        <v>160</v>
      </c>
      <c r="Q17" s="8">
        <f>91+57</f>
        <v>148</v>
      </c>
      <c r="R17" s="8">
        <f>93+63</f>
        <v>156</v>
      </c>
      <c r="S17" s="8">
        <f>101+53</f>
        <v>154</v>
      </c>
      <c r="T17" s="8">
        <f>97+56</f>
        <v>153</v>
      </c>
      <c r="U17" s="8">
        <f>132+10</f>
        <v>142</v>
      </c>
      <c r="V17" s="8">
        <f>91+64</f>
        <v>155</v>
      </c>
      <c r="W17" s="8">
        <f>92+61</f>
        <v>153</v>
      </c>
      <c r="X17" s="8">
        <f>88+60</f>
        <v>148</v>
      </c>
      <c r="Y17" s="8">
        <v>149</v>
      </c>
      <c r="Z17" s="8">
        <v>160</v>
      </c>
      <c r="AA17" s="8">
        <v>166</v>
      </c>
      <c r="AB17" s="8">
        <v>168</v>
      </c>
      <c r="AC17" s="8">
        <v>166</v>
      </c>
      <c r="AD17" s="8">
        <v>165</v>
      </c>
      <c r="AE17" s="8">
        <f>97+71</f>
        <v>168</v>
      </c>
      <c r="AF17" s="8">
        <v>167</v>
      </c>
      <c r="AG17" s="12">
        <v>167</v>
      </c>
      <c r="AH17" s="12">
        <v>168</v>
      </c>
      <c r="AI17" s="12">
        <v>168</v>
      </c>
      <c r="AJ17" s="12">
        <v>167</v>
      </c>
      <c r="AK17" s="12">
        <v>115</v>
      </c>
      <c r="AL17" s="12">
        <v>115</v>
      </c>
      <c r="AM17" s="12">
        <v>166</v>
      </c>
      <c r="AN17" s="12">
        <v>166</v>
      </c>
    </row>
    <row r="18" spans="1:40">
      <c r="A18" s="8" t="s">
        <v>26</v>
      </c>
      <c r="B18" s="21">
        <f>128+37+30+9</f>
        <v>204</v>
      </c>
      <c r="C18" s="21">
        <f>36+12+119+48</f>
        <v>215</v>
      </c>
      <c r="D18" s="21">
        <f>123+42+41+25</f>
        <v>231</v>
      </c>
      <c r="E18" s="8">
        <v>233</v>
      </c>
      <c r="F18" s="8">
        <f>104+51+44+20</f>
        <v>219</v>
      </c>
      <c r="G18" s="8">
        <v>225</v>
      </c>
      <c r="H18" s="8">
        <v>211</v>
      </c>
      <c r="I18" s="8">
        <f>92+49+49+21</f>
        <v>211</v>
      </c>
      <c r="J18" s="8">
        <f>48+24+100+38</f>
        <v>210</v>
      </c>
      <c r="K18" s="8">
        <f>45+32+93+51</f>
        <v>221</v>
      </c>
      <c r="L18" s="8">
        <f>49+32+91+47</f>
        <v>219</v>
      </c>
      <c r="M18" s="8">
        <f>54+29+92+48</f>
        <v>223</v>
      </c>
      <c r="N18" s="15">
        <f>48+29+94+56</f>
        <v>227</v>
      </c>
      <c r="O18" s="8">
        <f>81+65+44+31</f>
        <v>221</v>
      </c>
      <c r="P18" s="8">
        <f>85+61+42+33</f>
        <v>221</v>
      </c>
      <c r="Q18" s="8">
        <f>90+60+50+28</f>
        <v>228</v>
      </c>
      <c r="R18" s="8">
        <f>86+66+44+31</f>
        <v>227</v>
      </c>
      <c r="S18" s="8">
        <f>83+46+58+29</f>
        <v>216</v>
      </c>
      <c r="T18" s="8">
        <f>77+46+62+28</f>
        <v>213</v>
      </c>
      <c r="U18" s="8">
        <f>135+66+5+6</f>
        <v>212</v>
      </c>
      <c r="V18" s="8">
        <f>79+68+36+36</f>
        <v>219</v>
      </c>
      <c r="W18" s="8">
        <f>76+77+41+39</f>
        <v>233</v>
      </c>
      <c r="X18" s="8">
        <f>74+43+73+40</f>
        <v>230</v>
      </c>
      <c r="Y18" s="8">
        <v>226</v>
      </c>
      <c r="Z18" s="8">
        <v>229</v>
      </c>
      <c r="AA18" s="8">
        <v>243</v>
      </c>
      <c r="AB18" s="8">
        <v>250</v>
      </c>
      <c r="AC18" s="8">
        <v>251</v>
      </c>
      <c r="AD18" s="8">
        <v>260</v>
      </c>
      <c r="AE18" s="8">
        <f>93+81+42+51</f>
        <v>267</v>
      </c>
      <c r="AF18" s="8">
        <v>270</v>
      </c>
      <c r="AG18" s="12">
        <v>324</v>
      </c>
      <c r="AH18" s="12">
        <v>327</v>
      </c>
      <c r="AI18" s="12">
        <v>354</v>
      </c>
      <c r="AJ18" s="12">
        <v>373</v>
      </c>
      <c r="AK18" s="12">
        <v>524</v>
      </c>
      <c r="AL18" s="12">
        <v>532</v>
      </c>
      <c r="AM18" s="12">
        <v>387</v>
      </c>
      <c r="AN18" s="12">
        <v>389</v>
      </c>
    </row>
    <row r="19" spans="1:40">
      <c r="A19" s="8" t="s">
        <v>27</v>
      </c>
      <c r="B19" s="21">
        <f>24+9+95+62+170+46+84+22</f>
        <v>512</v>
      </c>
      <c r="C19" s="21">
        <f>35+22+68+39+144+44+73+31</f>
        <v>456</v>
      </c>
      <c r="D19" s="21">
        <f>33+25+71+47+135+46+78+23</f>
        <v>458</v>
      </c>
      <c r="E19" s="8">
        <v>446</v>
      </c>
      <c r="F19" s="8">
        <f>42+17+50+44+156+24+74+24</f>
        <v>431</v>
      </c>
      <c r="G19" s="8">
        <v>410</v>
      </c>
      <c r="H19" s="8">
        <v>408</v>
      </c>
      <c r="I19" s="8">
        <f>39+22+53+49+111+48+72+24</f>
        <v>418</v>
      </c>
      <c r="J19" s="8">
        <f>34+58+108+69+27+53+52+28</f>
        <v>429</v>
      </c>
      <c r="K19" s="8">
        <f>44+23+57+48+103+52+64+32</f>
        <v>423</v>
      </c>
      <c r="L19" s="8">
        <f>40+31+58+49+106+60+59+38</f>
        <v>441</v>
      </c>
      <c r="M19" s="8">
        <f>39+31+58+49+116+55+65+36</f>
        <v>449</v>
      </c>
      <c r="N19" s="15">
        <f>33+30+58+49+112+62+59+44</f>
        <v>447</v>
      </c>
      <c r="O19" s="8">
        <f>33+29+49+40+110+58+74+30</f>
        <v>423</v>
      </c>
      <c r="P19" s="8">
        <f>31+34+46+46+111+60+72+32</f>
        <v>432</v>
      </c>
      <c r="Q19" s="8">
        <f>39+21+54+55+96+70+67+37</f>
        <v>439</v>
      </c>
      <c r="R19" s="8">
        <f>42+22+50+55+99+66+67+37</f>
        <v>438</v>
      </c>
      <c r="S19" s="8">
        <f>32+51+112+58+33+50+73+46</f>
        <v>455</v>
      </c>
      <c r="T19" s="8">
        <f>29+38+99+61+33+63+72+43</f>
        <v>438</v>
      </c>
      <c r="U19" s="8">
        <f>54+21+151+18+6+59+14+85</f>
        <v>408</v>
      </c>
      <c r="V19" s="8">
        <f>29+37+46+54+86+64+62+42</f>
        <v>420</v>
      </c>
      <c r="W19" s="8">
        <f>27+35+44+53+95+55+58+46</f>
        <v>413</v>
      </c>
      <c r="X19" s="8">
        <f>34+47+87+43+29+55+64+61</f>
        <v>420</v>
      </c>
      <c r="Y19" s="8">
        <v>429</v>
      </c>
      <c r="Z19" s="8">
        <v>403</v>
      </c>
      <c r="AA19" s="8">
        <v>424</v>
      </c>
      <c r="AB19" s="8">
        <v>420</v>
      </c>
      <c r="AC19" s="8">
        <v>429</v>
      </c>
      <c r="AD19" s="8">
        <v>464</v>
      </c>
      <c r="AE19" s="8">
        <f>35+38+47+60+114+59+51+55</f>
        <v>459</v>
      </c>
      <c r="AF19" s="8">
        <v>456</v>
      </c>
      <c r="AG19" s="12">
        <v>453</v>
      </c>
      <c r="AH19" s="12">
        <v>460</v>
      </c>
      <c r="AI19" s="12">
        <v>528</v>
      </c>
      <c r="AJ19" s="12">
        <v>441</v>
      </c>
      <c r="AK19" s="12">
        <v>449</v>
      </c>
      <c r="AL19" s="12">
        <v>470</v>
      </c>
      <c r="AM19" s="12">
        <v>460</v>
      </c>
      <c r="AN19" s="12">
        <v>466</v>
      </c>
    </row>
    <row r="20" spans="1:40">
      <c r="A20" s="8" t="s">
        <v>28</v>
      </c>
      <c r="B20" s="21">
        <f>116+53+158+48+157+57+148+60+165+43+27+7+64+20</f>
        <v>1123</v>
      </c>
      <c r="C20" s="21">
        <f>115+53+158+53+133+81+143+73+159+47+28+12+69+34</f>
        <v>1158</v>
      </c>
      <c r="D20" s="21">
        <f>121+58+140+67+133+87+151+67+155+53+35+14+78+30</f>
        <v>1189</v>
      </c>
      <c r="E20" s="8">
        <v>1187</v>
      </c>
      <c r="F20" s="8">
        <f>124+50+147+62+139+86+142+77+144+58+33+15+60+43</f>
        <v>1180</v>
      </c>
      <c r="G20" s="8">
        <v>1198</v>
      </c>
      <c r="H20" s="8">
        <v>1186</v>
      </c>
      <c r="I20" s="8">
        <f>91+77+134+68+140+79+139+89+132+73+31+22+77+33</f>
        <v>1185</v>
      </c>
      <c r="J20" s="8">
        <f>107+61+149+58+124+100+129+92+127+70+35+19+73+38</f>
        <v>1182</v>
      </c>
      <c r="K20" s="8">
        <f>104+68+149+58+117+82+133+91+133+76+33+21+79+28</f>
        <v>1172</v>
      </c>
      <c r="L20" s="8">
        <f>103+64+147+65+109+97+148+68+142+64+31+18+76+35</f>
        <v>1167</v>
      </c>
      <c r="M20" s="8">
        <f>105+62+129+90+110+105+132+79+121+81+30+23+78+36</f>
        <v>1181</v>
      </c>
      <c r="N20" s="15">
        <f>101+66+110+104+121+105+139+85+135+71+29+21+84+29</f>
        <v>1200</v>
      </c>
      <c r="O20" s="8">
        <f>114+75+32+21+87+42+110+95+129+97+128+80+125+76</f>
        <v>1211</v>
      </c>
      <c r="P20" s="8">
        <f>108+71+40+24+97+35+129+94+98+122+119+87+135+67</f>
        <v>1226</v>
      </c>
      <c r="Q20" s="8">
        <f>101+67+40+26+94+32+132+75+115+111+117+93+124+82</f>
        <v>1209</v>
      </c>
      <c r="R20" s="8">
        <f>101+77+29+35+81+43+121+97+128+84+105+97+154+54</f>
        <v>1206</v>
      </c>
      <c r="S20" s="8">
        <f>95+27+74+100+146+94+127+77+37+49+109+85+109+77</f>
        <v>1206</v>
      </c>
      <c r="T20" s="8">
        <f>90+34+81+122+130+98+129+82+44+43+82+86+111+83</f>
        <v>1215</v>
      </c>
      <c r="U20" s="8">
        <f>128+63+115+185+191+188+172+39+1+5+51+9+12+28</f>
        <v>1187</v>
      </c>
      <c r="V20" s="8">
        <f>92+80+33+33+83+53+105+103+124+100+115+100+119+95</f>
        <v>1235</v>
      </c>
      <c r="W20" s="8">
        <f>82+92+36+38+76+53+94+111+108+124+88+127+129+98</f>
        <v>1256</v>
      </c>
      <c r="X20" s="8">
        <f>86+32+83+98+112+89+119+85+43+54+114+107+127+108</f>
        <v>1257</v>
      </c>
      <c r="Y20" s="8">
        <v>1251</v>
      </c>
      <c r="Z20" s="8">
        <v>1285</v>
      </c>
      <c r="AA20" s="8">
        <v>1350</v>
      </c>
      <c r="AB20" s="8">
        <v>1365</v>
      </c>
      <c r="AC20" s="8">
        <v>1414</v>
      </c>
      <c r="AD20" s="8">
        <v>1474</v>
      </c>
      <c r="AE20" s="8">
        <f>112+80+75+78+83+68+36+26+132+102+135+106+112+109+124+110</f>
        <v>1488</v>
      </c>
      <c r="AF20" s="8">
        <v>1556</v>
      </c>
      <c r="AG20" s="12">
        <v>1569</v>
      </c>
      <c r="AH20" s="12">
        <v>1594</v>
      </c>
      <c r="AI20" s="12">
        <v>1624</v>
      </c>
      <c r="AJ20" s="12">
        <v>1632</v>
      </c>
      <c r="AK20" s="12">
        <v>1711</v>
      </c>
      <c r="AL20" s="12">
        <v>1687</v>
      </c>
      <c r="AM20" s="12">
        <v>1649</v>
      </c>
      <c r="AN20" s="12">
        <v>1704</v>
      </c>
    </row>
    <row r="21" spans="1:40">
      <c r="A21" s="8" t="s">
        <v>29</v>
      </c>
      <c r="B21" s="21">
        <f>65+36+126+42+107+36</f>
        <v>412</v>
      </c>
      <c r="C21" s="21">
        <f>66+37+122+46+112+32</f>
        <v>415</v>
      </c>
      <c r="D21" s="21">
        <f>61+39+118+53+110+33</f>
        <v>414</v>
      </c>
      <c r="E21" s="8">
        <v>405</v>
      </c>
      <c r="F21" s="8">
        <f>53+44+120+50+98+43</f>
        <v>408</v>
      </c>
      <c r="G21" s="8">
        <v>412</v>
      </c>
      <c r="H21" s="8">
        <v>404</v>
      </c>
      <c r="I21" s="8">
        <f>61+36+116+60+86+54</f>
        <v>413</v>
      </c>
      <c r="J21" s="8">
        <f>64+34+114+61+92+52</f>
        <v>417</v>
      </c>
      <c r="K21" s="8">
        <f>46+54+123+50+90+52</f>
        <v>415</v>
      </c>
      <c r="L21" s="8">
        <f>55+47+109+65+80+63</f>
        <v>419</v>
      </c>
      <c r="M21" s="8">
        <f>59+51+94+76+82+62</f>
        <v>424</v>
      </c>
      <c r="N21" s="15">
        <f>53+52+104+71+81+65</f>
        <v>426</v>
      </c>
      <c r="O21" s="8">
        <f>50+52+75+69+118+62</f>
        <v>426</v>
      </c>
      <c r="P21" s="8">
        <f>52+52+82+63+104+76</f>
        <v>429</v>
      </c>
      <c r="Q21" s="8">
        <f>73+36+75+70+106+76</f>
        <v>436</v>
      </c>
      <c r="R21" s="8">
        <f>60+45+86+55+103+77</f>
        <v>426</v>
      </c>
      <c r="S21" s="8">
        <f>56+85+99+48+58+78</f>
        <v>424</v>
      </c>
      <c r="T21" s="8">
        <f>57+74+98+47+70+78</f>
        <v>424</v>
      </c>
      <c r="U21" s="8">
        <f>76+98+114+29+41+58</f>
        <v>416</v>
      </c>
      <c r="V21" s="8">
        <f>53+56+77+62+94+87</f>
        <v>429</v>
      </c>
      <c r="W21" s="8">
        <f>50+60+54+86+94</f>
        <v>344</v>
      </c>
      <c r="X21" s="8">
        <f>50+76+98+65+65+87</f>
        <v>441</v>
      </c>
      <c r="Y21" s="8">
        <v>441</v>
      </c>
      <c r="Z21" s="8">
        <v>441</v>
      </c>
      <c r="AA21" s="8">
        <v>440</v>
      </c>
      <c r="AB21" s="8">
        <v>446</v>
      </c>
      <c r="AC21" s="8">
        <v>465</v>
      </c>
      <c r="AD21" s="8">
        <v>472</v>
      </c>
      <c r="AE21" s="8">
        <f>65+59+96+59+112+90+30+12</f>
        <v>523</v>
      </c>
      <c r="AF21" s="8">
        <v>548</v>
      </c>
      <c r="AG21" s="12">
        <v>547</v>
      </c>
      <c r="AH21" s="12">
        <v>567</v>
      </c>
      <c r="AI21" s="12">
        <v>567</v>
      </c>
      <c r="AJ21" s="12">
        <v>562</v>
      </c>
      <c r="AK21" s="12">
        <v>569</v>
      </c>
      <c r="AL21" s="12">
        <v>571</v>
      </c>
      <c r="AM21" s="12">
        <v>536</v>
      </c>
      <c r="AN21" s="12">
        <v>536</v>
      </c>
    </row>
    <row r="22" spans="1:40">
      <c r="A22" s="9" t="s">
        <v>30</v>
      </c>
      <c r="B22" s="7">
        <f>30+7+73+16</f>
        <v>126</v>
      </c>
      <c r="C22" s="7">
        <f>31+18+65+24</f>
        <v>138</v>
      </c>
      <c r="D22" s="7">
        <f>37+13+65+26</f>
        <v>141</v>
      </c>
      <c r="E22" s="9">
        <v>138</v>
      </c>
      <c r="F22" s="9">
        <f>33+16+64+26</f>
        <v>139</v>
      </c>
      <c r="G22" s="9">
        <v>145</v>
      </c>
      <c r="H22" s="9">
        <v>142</v>
      </c>
      <c r="I22" s="9">
        <f>31+24+58+30</f>
        <v>143</v>
      </c>
      <c r="J22" s="9">
        <f>37+22+55+33</f>
        <v>147</v>
      </c>
      <c r="K22" s="9">
        <f>36+23+56+33</f>
        <v>148</v>
      </c>
      <c r="L22" s="9">
        <f>35+22+53+94</f>
        <v>204</v>
      </c>
      <c r="M22" s="9">
        <f>38+19+58+38</f>
        <v>153</v>
      </c>
      <c r="N22" s="16">
        <f>34+23+49+50</f>
        <v>156</v>
      </c>
      <c r="O22" s="9">
        <f>34+19+54+44</f>
        <v>151</v>
      </c>
      <c r="P22" s="9">
        <f>41+15+58+36</f>
        <v>150</v>
      </c>
      <c r="Q22" s="9">
        <f>37+19+48+46</f>
        <v>150</v>
      </c>
      <c r="R22" s="9">
        <f>34+19+63+27</f>
        <v>143</v>
      </c>
      <c r="S22" s="9">
        <f>31+53+21+38</f>
        <v>143</v>
      </c>
      <c r="T22" s="9">
        <f>27+55+27+40</f>
        <v>149</v>
      </c>
      <c r="U22" s="9">
        <f>45+83+3+4</f>
        <v>135</v>
      </c>
      <c r="V22" s="9">
        <f>26+26+50+45</f>
        <v>147</v>
      </c>
      <c r="W22" s="9">
        <f>30+22+6+39</f>
        <v>97</v>
      </c>
      <c r="X22" s="9">
        <f>29+65+27+46</f>
        <v>167</v>
      </c>
      <c r="Y22" s="9">
        <v>155</v>
      </c>
      <c r="Z22" s="9">
        <v>177</v>
      </c>
      <c r="AA22" s="9">
        <v>177</v>
      </c>
      <c r="AB22" s="9">
        <v>190</v>
      </c>
      <c r="AC22" s="9">
        <v>197</v>
      </c>
      <c r="AD22" s="9">
        <v>193</v>
      </c>
      <c r="AE22" s="9">
        <f>48+28+74+41</f>
        <v>191</v>
      </c>
      <c r="AF22" s="9">
        <v>189</v>
      </c>
      <c r="AG22" s="110">
        <v>187</v>
      </c>
      <c r="AH22" s="110">
        <v>198</v>
      </c>
      <c r="AI22" s="110">
        <v>197</v>
      </c>
      <c r="AJ22" s="110">
        <v>197</v>
      </c>
      <c r="AK22" s="110">
        <v>207</v>
      </c>
      <c r="AL22" s="110">
        <v>204</v>
      </c>
      <c r="AM22" s="12">
        <v>202</v>
      </c>
      <c r="AN22" s="12">
        <v>201</v>
      </c>
    </row>
    <row r="23" spans="1:40">
      <c r="A23" s="53" t="s">
        <v>31</v>
      </c>
      <c r="B23" s="21"/>
      <c r="C23" s="21"/>
      <c r="D23" s="21"/>
      <c r="E23" s="53"/>
      <c r="F23" s="53"/>
      <c r="G23" s="53"/>
      <c r="H23" s="53"/>
      <c r="I23" s="53"/>
      <c r="J23" s="53"/>
      <c r="K23" s="53"/>
      <c r="L23" s="53"/>
      <c r="M23" s="53"/>
      <c r="N23" s="56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>
        <f>SUM(Y25:Y37)</f>
        <v>2008</v>
      </c>
      <c r="Z23" s="53">
        <f t="shared" ref="Z23:AD23" si="21">SUM(Z25:Z37)</f>
        <v>1941</v>
      </c>
      <c r="AA23" s="53">
        <f t="shared" si="21"/>
        <v>1978</v>
      </c>
      <c r="AB23" s="53">
        <f t="shared" si="21"/>
        <v>2055</v>
      </c>
      <c r="AC23" s="53">
        <f t="shared" si="21"/>
        <v>2061</v>
      </c>
      <c r="AD23" s="53">
        <f t="shared" si="21"/>
        <v>2049</v>
      </c>
      <c r="AE23" s="53">
        <f t="shared" ref="AE23:AF23" si="22">SUM(AE25:AE37)</f>
        <v>2111</v>
      </c>
      <c r="AF23" s="53">
        <f t="shared" si="22"/>
        <v>2115</v>
      </c>
      <c r="AG23" s="53">
        <f t="shared" ref="AG23:AH23" si="23">SUM(AG25:AG37)</f>
        <v>2216</v>
      </c>
      <c r="AH23" s="53">
        <f t="shared" si="23"/>
        <v>2296</v>
      </c>
      <c r="AI23" s="53">
        <f t="shared" ref="AI23:AJ23" si="24">SUM(AI25:AI37)</f>
        <v>2305</v>
      </c>
      <c r="AJ23" s="53">
        <f t="shared" si="24"/>
        <v>2412</v>
      </c>
      <c r="AK23" s="53">
        <f t="shared" ref="AK23" si="25">SUM(AK25:AK37)</f>
        <v>2491</v>
      </c>
      <c r="AL23" s="53">
        <f t="shared" ref="AL23:AM23" si="26">SUM(AL25:AL37)</f>
        <v>2672</v>
      </c>
      <c r="AM23" s="53">
        <f t="shared" si="26"/>
        <v>2715</v>
      </c>
      <c r="AN23" s="53">
        <f t="shared" ref="AN23" si="27">SUM(AN25:AN37)</f>
        <v>2795</v>
      </c>
    </row>
    <row r="24" spans="1:40">
      <c r="A24" s="50" t="s">
        <v>14</v>
      </c>
      <c r="B24" s="45">
        <f>(B23/B$4)*100</f>
        <v>0</v>
      </c>
      <c r="C24" s="45">
        <f t="shared" ref="C24" si="28">(C23/C$4)*100</f>
        <v>0</v>
      </c>
      <c r="D24" s="45">
        <f t="shared" ref="D24" si="29">(D23/D$4)*100</f>
        <v>0</v>
      </c>
      <c r="E24" s="54">
        <f t="shared" ref="E24" si="30">(E23/E$4)*100</f>
        <v>0</v>
      </c>
      <c r="F24" s="54">
        <f t="shared" ref="F24" si="31">(F23/F$4)*100</f>
        <v>0</v>
      </c>
      <c r="G24" s="54">
        <f t="shared" ref="G24" si="32">(G23/G$4)*100</f>
        <v>0</v>
      </c>
      <c r="H24" s="54">
        <f t="shared" ref="H24" si="33">(H23/H$4)*100</f>
        <v>0</v>
      </c>
      <c r="I24" s="54">
        <f t="shared" ref="I24" si="34">(I23/I$4)*100</f>
        <v>0</v>
      </c>
      <c r="J24" s="54">
        <f t="shared" ref="J24" si="35">(J23/J$4)*100</f>
        <v>0</v>
      </c>
      <c r="K24" s="54">
        <f t="shared" ref="K24" si="36">(K23/K$4)*100</f>
        <v>0</v>
      </c>
      <c r="L24" s="54">
        <f t="shared" ref="L24" si="37">(L23/L$4)*100</f>
        <v>0</v>
      </c>
      <c r="M24" s="54">
        <f t="shared" ref="M24" si="38">(M23/M$4)*100</f>
        <v>0</v>
      </c>
      <c r="N24" s="57">
        <f t="shared" ref="N24" si="39">(N23/N$4)*100</f>
        <v>0</v>
      </c>
      <c r="O24" s="54">
        <f t="shared" ref="O24" si="40">(O23/O$4)*100</f>
        <v>0</v>
      </c>
      <c r="P24" s="54">
        <f t="shared" ref="P24" si="41">(P23/P$4)*100</f>
        <v>0</v>
      </c>
      <c r="Q24" s="54">
        <f t="shared" ref="Q24" si="42">(Q23/Q$4)*100</f>
        <v>0</v>
      </c>
      <c r="R24" s="54">
        <f t="shared" ref="R24" si="43">(R23/R$4)*100</f>
        <v>0</v>
      </c>
      <c r="S24" s="54">
        <f t="shared" ref="S24" si="44">(S23/S$4)*100</f>
        <v>0</v>
      </c>
      <c r="T24" s="54">
        <f t="shared" ref="T24" si="45">(T23/T$4)*100</f>
        <v>0</v>
      </c>
      <c r="U24" s="54">
        <f t="shared" ref="U24" si="46">(U23/U$4)*100</f>
        <v>0</v>
      </c>
      <c r="V24" s="54">
        <f t="shared" ref="V24" si="47">(V23/V$4)*100</f>
        <v>0</v>
      </c>
      <c r="W24" s="54">
        <f t="shared" ref="W24" si="48">(W23/W$4)*100</f>
        <v>0</v>
      </c>
      <c r="X24" s="54">
        <f t="shared" ref="X24" si="49">(X23/X$4)*100</f>
        <v>0</v>
      </c>
      <c r="Y24" s="54">
        <f t="shared" ref="Y24" si="50">(Y23/Y$4)*100</f>
        <v>11.904903065156814</v>
      </c>
      <c r="Z24" s="54">
        <f t="shared" ref="Z24" si="51">(Z23/Z$4)*100</f>
        <v>11.296705854964499</v>
      </c>
      <c r="AA24" s="54">
        <f t="shared" ref="AA24" si="52">(AA23/AA$4)*100</f>
        <v>11.21760335734135</v>
      </c>
      <c r="AB24" s="54">
        <f t="shared" ref="AB24" si="53">(AB23/AB$4)*100</f>
        <v>11.377477577233972</v>
      </c>
      <c r="AC24" s="54">
        <f t="shared" ref="AC24" si="54">(AC23/AC$4)*100</f>
        <v>11.333516634588946</v>
      </c>
      <c r="AD24" s="54">
        <f t="shared" ref="AD24:AE24" si="55">(AD23/AD$4)*100</f>
        <v>11.136474808413501</v>
      </c>
      <c r="AE24" s="54">
        <f t="shared" si="55"/>
        <v>11.211429178395029</v>
      </c>
      <c r="AF24" s="54">
        <f t="shared" ref="AF24:AG24" si="56">(AF23/AF$4)*100</f>
        <v>10.902061855670103</v>
      </c>
      <c r="AG24" s="54">
        <f t="shared" si="56"/>
        <v>11.233904491534016</v>
      </c>
      <c r="AH24" s="54">
        <f t="shared" ref="AH24:AI24" si="57">(AH23/AH$4)*100</f>
        <v>11.327084361124815</v>
      </c>
      <c r="AI24" s="54">
        <f t="shared" si="57"/>
        <v>11.213816589637558</v>
      </c>
      <c r="AJ24" s="54">
        <f t="shared" ref="AJ24:AK24" si="58">(AJ23/AJ$4)*100</f>
        <v>11.593366979091565</v>
      </c>
      <c r="AK24" s="54">
        <f t="shared" si="58"/>
        <v>11.830919021610068</v>
      </c>
      <c r="AL24" s="54">
        <f t="shared" ref="AL24:AM24" si="59">(AL23/AL$4)*100</f>
        <v>12.449331407538555</v>
      </c>
      <c r="AM24" s="54">
        <f t="shared" si="59"/>
        <v>12.528841716658976</v>
      </c>
      <c r="AN24" s="54">
        <f t="shared" ref="AN24" si="60">(AN23/AN$4)*100</f>
        <v>12.791176605189694</v>
      </c>
    </row>
    <row r="25" spans="1:40">
      <c r="A25" s="8" t="s">
        <v>32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3"/>
      <c r="Z25" s="53"/>
      <c r="AA25" s="53"/>
      <c r="AB25" s="8"/>
      <c r="AC25" s="8"/>
      <c r="AD25" s="8"/>
      <c r="AE25" s="8"/>
      <c r="AF25" s="8"/>
    </row>
    <row r="26" spans="1:40">
      <c r="A26" s="8" t="s">
        <v>33</v>
      </c>
      <c r="B26" s="21"/>
      <c r="C26" s="46"/>
      <c r="D26" s="46"/>
      <c r="E26" s="8"/>
      <c r="F26" s="8"/>
      <c r="G26" s="8"/>
      <c r="H26" s="8"/>
      <c r="I26" s="8"/>
      <c r="J26" s="8"/>
      <c r="K26" s="8"/>
      <c r="L26" s="8"/>
      <c r="M26" s="8"/>
      <c r="N26" s="15"/>
      <c r="O26" s="8"/>
      <c r="P26" s="8"/>
      <c r="Q26" s="8"/>
      <c r="R26" s="8"/>
      <c r="S26" s="8"/>
      <c r="T26" s="8"/>
      <c r="U26" s="8"/>
      <c r="V26" s="8"/>
      <c r="W26" s="8"/>
      <c r="X26" s="8"/>
      <c r="Y26" s="8">
        <v>117</v>
      </c>
      <c r="Z26" s="8">
        <v>119</v>
      </c>
      <c r="AA26" s="8">
        <v>114</v>
      </c>
      <c r="AB26" s="8">
        <v>138</v>
      </c>
      <c r="AC26" s="8">
        <v>163</v>
      </c>
      <c r="AD26" s="8">
        <v>166</v>
      </c>
      <c r="AE26" s="8">
        <f>89+77</f>
        <v>166</v>
      </c>
      <c r="AF26" s="8">
        <v>164</v>
      </c>
      <c r="AG26" s="12">
        <v>196</v>
      </c>
      <c r="AH26" s="12">
        <v>200</v>
      </c>
      <c r="AI26" s="12">
        <v>196</v>
      </c>
      <c r="AJ26" s="12">
        <v>201</v>
      </c>
      <c r="AK26" s="12">
        <v>219</v>
      </c>
      <c r="AL26" s="12">
        <v>200</v>
      </c>
      <c r="AM26" s="12">
        <v>206</v>
      </c>
      <c r="AN26" s="12">
        <v>203</v>
      </c>
    </row>
    <row r="27" spans="1:40">
      <c r="A27" s="8" t="s">
        <v>34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1077</v>
      </c>
      <c r="Z27" s="8">
        <v>1077</v>
      </c>
      <c r="AA27" s="8">
        <v>1081</v>
      </c>
      <c r="AB27" s="8">
        <v>1124</v>
      </c>
      <c r="AC27" s="8">
        <v>1092</v>
      </c>
      <c r="AD27" s="8">
        <v>1100</v>
      </c>
      <c r="AE27" s="8">
        <f>99+89+91+87+101+77+43+43+46+50+51+54+65+60+76+90</f>
        <v>1122</v>
      </c>
      <c r="AF27" s="8">
        <v>1141</v>
      </c>
      <c r="AG27" s="12">
        <v>1164</v>
      </c>
      <c r="AH27" s="12">
        <v>1212</v>
      </c>
      <c r="AI27" s="12">
        <v>1187</v>
      </c>
      <c r="AJ27" s="12">
        <v>1263</v>
      </c>
      <c r="AK27" s="12">
        <v>1286</v>
      </c>
      <c r="AL27" s="12">
        <v>1349</v>
      </c>
      <c r="AM27" s="12">
        <v>1395</v>
      </c>
      <c r="AN27" s="12">
        <v>1455</v>
      </c>
    </row>
    <row r="28" spans="1:40">
      <c r="A28" s="8" t="s">
        <v>35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136</v>
      </c>
      <c r="Z28" s="8">
        <v>144</v>
      </c>
      <c r="AA28" s="8">
        <v>157</v>
      </c>
      <c r="AB28" s="8">
        <v>157</v>
      </c>
      <c r="AC28" s="8">
        <v>156</v>
      </c>
      <c r="AD28" s="8">
        <v>160</v>
      </c>
      <c r="AE28" s="8">
        <f>82+78</f>
        <v>160</v>
      </c>
      <c r="AF28" s="8">
        <v>155</v>
      </c>
      <c r="AG28" s="12">
        <v>161</v>
      </c>
      <c r="AH28" s="12">
        <v>161</v>
      </c>
      <c r="AI28" s="12">
        <v>182</v>
      </c>
      <c r="AJ28" s="12">
        <v>183</v>
      </c>
      <c r="AK28" s="12">
        <v>184</v>
      </c>
      <c r="AL28" s="12">
        <v>183</v>
      </c>
      <c r="AM28" s="12">
        <v>184</v>
      </c>
      <c r="AN28" s="12">
        <v>184</v>
      </c>
    </row>
    <row r="29" spans="1:40">
      <c r="A29" s="8" t="s">
        <v>36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>
        <v>65</v>
      </c>
      <c r="Z29" s="8">
        <v>64</v>
      </c>
      <c r="AA29" s="8">
        <v>66</v>
      </c>
      <c r="AB29" s="8">
        <v>65</v>
      </c>
      <c r="AC29" s="8">
        <v>64</v>
      </c>
      <c r="AD29" s="8">
        <v>64</v>
      </c>
      <c r="AE29" s="8">
        <f>32+38</f>
        <v>70</v>
      </c>
      <c r="AF29" s="8">
        <v>67</v>
      </c>
      <c r="AG29" s="12">
        <v>71</v>
      </c>
      <c r="AH29" s="12">
        <v>67</v>
      </c>
      <c r="AI29" s="12">
        <v>69</v>
      </c>
      <c r="AJ29" s="12">
        <v>69</v>
      </c>
      <c r="AK29" s="12">
        <v>70</v>
      </c>
      <c r="AL29" s="12">
        <v>74</v>
      </c>
      <c r="AM29" s="12">
        <v>72</v>
      </c>
      <c r="AN29" s="12">
        <v>78</v>
      </c>
    </row>
    <row r="30" spans="1:40">
      <c r="A30" s="8" t="s">
        <v>37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40">
      <c r="A31" s="8" t="s">
        <v>38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40">
      <c r="A32" s="8" t="s">
        <v>39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v>138</v>
      </c>
      <c r="Z32" s="8">
        <v>54</v>
      </c>
      <c r="AA32" s="8">
        <v>58</v>
      </c>
      <c r="AB32" s="8">
        <v>63</v>
      </c>
      <c r="AC32" s="8">
        <v>63</v>
      </c>
      <c r="AD32" s="8">
        <v>61</v>
      </c>
      <c r="AE32" s="8">
        <f>38+28</f>
        <v>66</v>
      </c>
      <c r="AF32" s="8">
        <v>62</v>
      </c>
      <c r="AG32" s="12">
        <v>69</v>
      </c>
      <c r="AH32" s="12">
        <v>69</v>
      </c>
      <c r="AI32" s="12">
        <v>74</v>
      </c>
      <c r="AJ32" s="12">
        <v>69</v>
      </c>
      <c r="AK32" s="12">
        <v>70</v>
      </c>
      <c r="AL32" s="12">
        <v>133</v>
      </c>
      <c r="AM32" s="12">
        <v>133</v>
      </c>
      <c r="AN32" s="12">
        <v>128</v>
      </c>
    </row>
    <row r="33" spans="1:40">
      <c r="A33" s="8" t="s">
        <v>40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80</v>
      </c>
      <c r="Z33" s="8">
        <v>86</v>
      </c>
      <c r="AA33" s="8">
        <v>82</v>
      </c>
      <c r="AB33" s="8">
        <v>86</v>
      </c>
      <c r="AC33" s="8">
        <v>78</v>
      </c>
      <c r="AD33" s="8">
        <v>75</v>
      </c>
      <c r="AE33" s="8">
        <f>51+52</f>
        <v>103</v>
      </c>
      <c r="AF33" s="8">
        <v>95</v>
      </c>
      <c r="AG33" s="12">
        <v>111</v>
      </c>
      <c r="AH33" s="12">
        <v>110</v>
      </c>
      <c r="AI33" s="12">
        <v>110</v>
      </c>
      <c r="AJ33" s="12">
        <v>113</v>
      </c>
      <c r="AK33" s="12">
        <v>98</v>
      </c>
      <c r="AL33" s="12">
        <v>114</v>
      </c>
      <c r="AM33" s="12">
        <v>105</v>
      </c>
      <c r="AN33" s="12">
        <v>100</v>
      </c>
    </row>
    <row r="34" spans="1:40">
      <c r="A34" s="8" t="s">
        <v>41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109</v>
      </c>
      <c r="Z34" s="8">
        <v>114</v>
      </c>
      <c r="AA34" s="8">
        <v>125</v>
      </c>
      <c r="AB34" s="8">
        <v>121</v>
      </c>
      <c r="AC34" s="8">
        <v>122</v>
      </c>
      <c r="AD34" s="8">
        <v>121</v>
      </c>
      <c r="AE34" s="8">
        <f>55+69</f>
        <v>124</v>
      </c>
      <c r="AF34" s="8">
        <v>129</v>
      </c>
      <c r="AG34" s="12">
        <v>138</v>
      </c>
      <c r="AH34" s="12">
        <v>138</v>
      </c>
      <c r="AI34" s="12">
        <v>142</v>
      </c>
      <c r="AJ34" s="12">
        <v>146</v>
      </c>
      <c r="AK34" s="12">
        <v>165</v>
      </c>
      <c r="AL34" s="12">
        <v>163</v>
      </c>
      <c r="AM34" s="12">
        <v>164</v>
      </c>
      <c r="AN34" s="12">
        <v>166</v>
      </c>
    </row>
    <row r="35" spans="1:40">
      <c r="A35" s="8" t="s">
        <v>42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107</v>
      </c>
      <c r="Z35" s="8">
        <v>101</v>
      </c>
      <c r="AA35" s="8">
        <v>103</v>
      </c>
      <c r="AB35" s="8">
        <v>103</v>
      </c>
      <c r="AC35" s="8">
        <v>102</v>
      </c>
      <c r="AD35" s="8">
        <v>82</v>
      </c>
      <c r="AE35" s="8">
        <f>56+26</f>
        <v>82</v>
      </c>
      <c r="AF35" s="8">
        <v>82</v>
      </c>
      <c r="AG35" s="12">
        <v>86</v>
      </c>
      <c r="AH35" s="12">
        <v>102</v>
      </c>
      <c r="AI35" s="12">
        <v>104</v>
      </c>
      <c r="AJ35" s="12">
        <v>122</v>
      </c>
      <c r="AK35" s="12">
        <v>128</v>
      </c>
      <c r="AL35" s="12">
        <v>125</v>
      </c>
      <c r="AM35" s="12">
        <v>126</v>
      </c>
      <c r="AN35" s="12">
        <v>126</v>
      </c>
    </row>
    <row r="36" spans="1:40">
      <c r="A36" s="8" t="s">
        <v>43</v>
      </c>
      <c r="B36" s="6"/>
      <c r="C36" s="6"/>
      <c r="D36" s="6"/>
      <c r="E36" s="17"/>
      <c r="F36" s="8"/>
      <c r="G36" s="8"/>
      <c r="H36" s="8"/>
      <c r="I36" s="8"/>
      <c r="J36" s="8"/>
      <c r="K36" s="8"/>
      <c r="L36" s="8"/>
      <c r="M36" s="8"/>
      <c r="N36" s="15"/>
      <c r="O36" s="8"/>
      <c r="P36" s="8"/>
      <c r="Q36" s="8"/>
      <c r="R36" s="8"/>
      <c r="S36" s="8"/>
      <c r="T36" s="8"/>
      <c r="U36" s="8"/>
      <c r="V36" s="8"/>
      <c r="W36" s="8"/>
      <c r="X36" s="8"/>
      <c r="Y36" s="8">
        <v>179</v>
      </c>
      <c r="Z36" s="8">
        <v>182</v>
      </c>
      <c r="AA36" s="8">
        <v>192</v>
      </c>
      <c r="AB36" s="8">
        <v>198</v>
      </c>
      <c r="AC36" s="8">
        <v>221</v>
      </c>
      <c r="AD36" s="8">
        <v>220</v>
      </c>
      <c r="AE36" s="8">
        <f>104+114</f>
        <v>218</v>
      </c>
      <c r="AF36" s="8">
        <v>220</v>
      </c>
      <c r="AG36" s="12">
        <v>220</v>
      </c>
      <c r="AH36" s="12">
        <v>237</v>
      </c>
      <c r="AI36" s="12">
        <v>241</v>
      </c>
      <c r="AJ36" s="12">
        <v>246</v>
      </c>
      <c r="AK36" s="12">
        <v>271</v>
      </c>
      <c r="AL36" s="12">
        <v>331</v>
      </c>
      <c r="AM36" s="12">
        <v>330</v>
      </c>
      <c r="AN36" s="12">
        <v>355</v>
      </c>
    </row>
    <row r="37" spans="1:40">
      <c r="A37" s="9" t="s">
        <v>44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0"/>
      <c r="AH37" s="110"/>
      <c r="AI37" s="110"/>
      <c r="AJ37" s="110"/>
      <c r="AK37" s="110"/>
      <c r="AL37" s="110"/>
    </row>
    <row r="38" spans="1:40">
      <c r="A38" s="53" t="s">
        <v>45</v>
      </c>
      <c r="B38" s="21"/>
      <c r="C38" s="21"/>
      <c r="D38" s="21"/>
      <c r="E38" s="53"/>
      <c r="F38" s="53"/>
      <c r="G38" s="53"/>
      <c r="H38" s="53"/>
      <c r="I38" s="53"/>
      <c r="J38" s="53"/>
      <c r="K38" s="53"/>
      <c r="L38" s="53"/>
      <c r="M38" s="53"/>
      <c r="N38" s="56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>
        <f>SUM(Y40:Y51)</f>
        <v>4701</v>
      </c>
      <c r="Z38" s="53">
        <f t="shared" ref="Z38:AD38" si="61">SUM(Z40:Z51)</f>
        <v>4759</v>
      </c>
      <c r="AA38" s="53">
        <f t="shared" si="61"/>
        <v>4853</v>
      </c>
      <c r="AB38" s="53">
        <f t="shared" si="61"/>
        <v>5007</v>
      </c>
      <c r="AC38" s="53">
        <f t="shared" si="61"/>
        <v>4972</v>
      </c>
      <c r="AD38" s="53">
        <f t="shared" si="61"/>
        <v>4865</v>
      </c>
      <c r="AE38" s="53">
        <f t="shared" ref="AE38:AF38" si="62">SUM(AE40:AE51)</f>
        <v>5122</v>
      </c>
      <c r="AF38" s="53">
        <f t="shared" si="62"/>
        <v>5298</v>
      </c>
      <c r="AG38" s="53">
        <f t="shared" ref="AG38:AH38" si="63">SUM(AG40:AG51)</f>
        <v>5275</v>
      </c>
      <c r="AH38" s="53">
        <f t="shared" si="63"/>
        <v>5389</v>
      </c>
      <c r="AI38" s="53">
        <f t="shared" ref="AI38:AJ38" si="64">SUM(AI40:AI51)</f>
        <v>5512</v>
      </c>
      <c r="AJ38" s="53">
        <f t="shared" si="64"/>
        <v>5627</v>
      </c>
      <c r="AK38" s="53">
        <f t="shared" ref="AK38" si="65">SUM(AK40:AK51)</f>
        <v>5533</v>
      </c>
      <c r="AL38" s="53">
        <f t="shared" ref="AL38:AM38" si="66">SUM(AL40:AL51)</f>
        <v>5633</v>
      </c>
      <c r="AM38" s="53">
        <f t="shared" si="66"/>
        <v>5716</v>
      </c>
      <c r="AN38" s="53">
        <f t="shared" ref="AN38" si="67">SUM(AN40:AN51)</f>
        <v>5691</v>
      </c>
    </row>
    <row r="39" spans="1:40">
      <c r="A39" s="50" t="s">
        <v>14</v>
      </c>
      <c r="B39" s="45">
        <f>(B38/B$4)*100</f>
        <v>0</v>
      </c>
      <c r="C39" s="45">
        <f t="shared" ref="C39" si="68">(C38/C$4)*100</f>
        <v>0</v>
      </c>
      <c r="D39" s="45">
        <f t="shared" ref="D39" si="69">(D38/D$4)*100</f>
        <v>0</v>
      </c>
      <c r="E39" s="54">
        <f t="shared" ref="E39" si="70">(E38/E$4)*100</f>
        <v>0</v>
      </c>
      <c r="F39" s="54">
        <f t="shared" ref="F39" si="71">(F38/F$4)*100</f>
        <v>0</v>
      </c>
      <c r="G39" s="54">
        <f t="shared" ref="G39" si="72">(G38/G$4)*100</f>
        <v>0</v>
      </c>
      <c r="H39" s="54">
        <f t="shared" ref="H39" si="73">(H38/H$4)*100</f>
        <v>0</v>
      </c>
      <c r="I39" s="54">
        <f t="shared" ref="I39" si="74">(I38/I$4)*100</f>
        <v>0</v>
      </c>
      <c r="J39" s="54">
        <f t="shared" ref="J39" si="75">(J38/J$4)*100</f>
        <v>0</v>
      </c>
      <c r="K39" s="54">
        <f t="shared" ref="K39" si="76">(K38/K$4)*100</f>
        <v>0</v>
      </c>
      <c r="L39" s="54">
        <f t="shared" ref="L39" si="77">(L38/L$4)*100</f>
        <v>0</v>
      </c>
      <c r="M39" s="54">
        <f t="shared" ref="M39" si="78">(M38/M$4)*100</f>
        <v>0</v>
      </c>
      <c r="N39" s="57">
        <f t="shared" ref="N39" si="79">(N38/N$4)*100</f>
        <v>0</v>
      </c>
      <c r="O39" s="54">
        <f t="shared" ref="O39" si="80">(O38/O$4)*100</f>
        <v>0</v>
      </c>
      <c r="P39" s="54">
        <f t="shared" ref="P39" si="81">(P38/P$4)*100</f>
        <v>0</v>
      </c>
      <c r="Q39" s="54">
        <f t="shared" ref="Q39" si="82">(Q38/Q$4)*100</f>
        <v>0</v>
      </c>
      <c r="R39" s="54">
        <f t="shared" ref="R39" si="83">(R38/R$4)*100</f>
        <v>0</v>
      </c>
      <c r="S39" s="54">
        <f t="shared" ref="S39" si="84">(S38/S$4)*100</f>
        <v>0</v>
      </c>
      <c r="T39" s="54">
        <f t="shared" ref="T39" si="85">(T38/T$4)*100</f>
        <v>0</v>
      </c>
      <c r="U39" s="54">
        <f t="shared" ref="U39" si="86">(U38/U$4)*100</f>
        <v>0</v>
      </c>
      <c r="V39" s="54">
        <f t="shared" ref="V39" si="87">(V38/V$4)*100</f>
        <v>0</v>
      </c>
      <c r="W39" s="54">
        <f t="shared" ref="W39" si="88">(W38/W$4)*100</f>
        <v>0</v>
      </c>
      <c r="X39" s="54">
        <f t="shared" ref="X39" si="89">(X38/X$4)*100</f>
        <v>0</v>
      </c>
      <c r="Y39" s="54">
        <f t="shared" ref="Y39" si="90">(Y38/Y$4)*100</f>
        <v>27.870990691883556</v>
      </c>
      <c r="Z39" s="54">
        <f t="shared" ref="Z39" si="91">(Z38/Z$4)*100</f>
        <v>27.697590501687813</v>
      </c>
      <c r="AA39" s="54">
        <f t="shared" ref="AA39" si="92">(AA38/AA$4)*100</f>
        <v>27.522259399988659</v>
      </c>
      <c r="AB39" s="54">
        <f t="shared" ref="AB39" si="93">(AB38/AB$4)*100</f>
        <v>27.721182593289779</v>
      </c>
      <c r="AC39" s="54">
        <f t="shared" ref="AC39" si="94">(AC38/AC$4)*100</f>
        <v>27.341215287324715</v>
      </c>
      <c r="AD39" s="54">
        <f t="shared" ref="AD39:AE39" si="95">(AD38/AD$4)*100</f>
        <v>26.441654437741178</v>
      </c>
      <c r="AE39" s="54">
        <f t="shared" si="95"/>
        <v>27.202719209729668</v>
      </c>
      <c r="AF39" s="54">
        <f t="shared" ref="AF39:AG39" si="96">(AF38/AF$4)*100</f>
        <v>27.309278350515463</v>
      </c>
      <c r="AG39" s="54">
        <f t="shared" si="96"/>
        <v>26.741356585217481</v>
      </c>
      <c r="AH39" s="54">
        <f t="shared" ref="AH39:AI39" si="97">(AH38/AH$4)*100</f>
        <v>26.586087814504193</v>
      </c>
      <c r="AI39" s="54">
        <f t="shared" si="97"/>
        <v>26.815859888105081</v>
      </c>
      <c r="AJ39" s="54">
        <f t="shared" ref="AJ39:AK39" si="98">(AJ38/AJ$4)*100</f>
        <v>27.046383080990143</v>
      </c>
      <c r="AK39" s="54">
        <f t="shared" si="98"/>
        <v>26.278793635715981</v>
      </c>
      <c r="AL39" s="54">
        <f t="shared" ref="AL39:AM39" si="99">(AL38/AL$4)*100</f>
        <v>26.245166099799654</v>
      </c>
      <c r="AM39" s="54">
        <f t="shared" si="99"/>
        <v>26.377480387632673</v>
      </c>
      <c r="AN39" s="54">
        <f t="shared" ref="AN39" si="100">(AN38/AN$4)*100</f>
        <v>26.044574619010575</v>
      </c>
    </row>
    <row r="40" spans="1:40">
      <c r="A40" s="8" t="s">
        <v>46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1152</v>
      </c>
      <c r="Z40" s="8">
        <v>1166</v>
      </c>
      <c r="AA40" s="8">
        <v>1173</v>
      </c>
      <c r="AB40" s="8">
        <v>1174</v>
      </c>
      <c r="AC40" s="8">
        <v>1157</v>
      </c>
      <c r="AD40" s="8">
        <v>1160</v>
      </c>
      <c r="AE40" s="8">
        <f>105+89+72+79+89+83+65+73+38+36+47+42+173+162</f>
        <v>1153</v>
      </c>
      <c r="AF40" s="8">
        <v>1172</v>
      </c>
      <c r="AG40" s="12">
        <v>1172</v>
      </c>
      <c r="AH40" s="12">
        <v>1166</v>
      </c>
      <c r="AI40" s="12">
        <v>1176</v>
      </c>
      <c r="AJ40" s="12">
        <v>1181</v>
      </c>
      <c r="AK40" s="12">
        <v>1150</v>
      </c>
      <c r="AL40" s="12">
        <v>1118</v>
      </c>
      <c r="AM40" s="12">
        <v>1189</v>
      </c>
      <c r="AN40" s="12">
        <v>1182</v>
      </c>
    </row>
    <row r="41" spans="1:40">
      <c r="A41" s="8" t="s">
        <v>47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296</v>
      </c>
      <c r="Z41" s="8">
        <v>302</v>
      </c>
      <c r="AA41" s="8">
        <v>299</v>
      </c>
      <c r="AB41" s="8">
        <v>312</v>
      </c>
      <c r="AC41" s="8">
        <v>314</v>
      </c>
      <c r="AD41" s="8">
        <v>329</v>
      </c>
      <c r="AE41" s="8">
        <f>195+144</f>
        <v>339</v>
      </c>
      <c r="AF41" s="8">
        <v>345</v>
      </c>
      <c r="AG41" s="12">
        <v>345</v>
      </c>
      <c r="AH41" s="12">
        <v>361</v>
      </c>
      <c r="AI41" s="12">
        <v>366</v>
      </c>
      <c r="AJ41" s="12">
        <v>383</v>
      </c>
      <c r="AK41" s="12">
        <v>357</v>
      </c>
      <c r="AL41" s="12">
        <v>360</v>
      </c>
      <c r="AM41" s="12">
        <v>370</v>
      </c>
      <c r="AN41" s="12">
        <v>365</v>
      </c>
    </row>
    <row r="42" spans="1:40">
      <c r="A42" s="8" t="s">
        <v>48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148</v>
      </c>
      <c r="Z42" s="8">
        <v>143</v>
      </c>
      <c r="AA42" s="8">
        <v>156</v>
      </c>
      <c r="AB42" s="8">
        <v>158</v>
      </c>
      <c r="AC42" s="8">
        <v>156</v>
      </c>
      <c r="AD42" s="8">
        <v>155</v>
      </c>
      <c r="AE42" s="8">
        <f>91+71</f>
        <v>162</v>
      </c>
      <c r="AF42" s="8">
        <v>157</v>
      </c>
      <c r="AG42" s="12">
        <v>162</v>
      </c>
      <c r="AH42" s="12">
        <v>153</v>
      </c>
      <c r="AI42" s="12">
        <v>159</v>
      </c>
      <c r="AJ42" s="12">
        <v>157</v>
      </c>
      <c r="AK42" s="12">
        <v>155</v>
      </c>
      <c r="AL42" s="12">
        <v>153</v>
      </c>
      <c r="AM42" s="12">
        <v>150</v>
      </c>
      <c r="AN42" s="12">
        <v>152</v>
      </c>
    </row>
    <row r="43" spans="1:40">
      <c r="A43" s="8" t="s">
        <v>49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8"/>
      <c r="M43" s="8"/>
      <c r="N43" s="15"/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175</v>
      </c>
      <c r="Z43" s="8">
        <v>183</v>
      </c>
      <c r="AA43" s="8">
        <v>183</v>
      </c>
      <c r="AB43" s="8">
        <v>186</v>
      </c>
      <c r="AC43" s="8">
        <v>178</v>
      </c>
      <c r="AD43" s="8">
        <v>175</v>
      </c>
      <c r="AE43" s="8">
        <f>110+66</f>
        <v>176</v>
      </c>
      <c r="AF43" s="8">
        <v>197</v>
      </c>
      <c r="AG43" s="12">
        <v>215</v>
      </c>
      <c r="AH43" s="12">
        <v>216</v>
      </c>
      <c r="AI43" s="12">
        <v>211</v>
      </c>
      <c r="AJ43" s="12">
        <v>216</v>
      </c>
      <c r="AK43" s="12">
        <v>214</v>
      </c>
      <c r="AL43" s="12">
        <v>214</v>
      </c>
      <c r="AM43" s="12">
        <v>211</v>
      </c>
      <c r="AN43" s="12">
        <v>211</v>
      </c>
    </row>
    <row r="44" spans="1:40">
      <c r="A44" s="8" t="s">
        <v>50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565</v>
      </c>
      <c r="Z44" s="8">
        <v>576</v>
      </c>
      <c r="AA44" s="8">
        <v>588</v>
      </c>
      <c r="AB44" s="8">
        <v>657</v>
      </c>
      <c r="AC44" s="8">
        <v>637</v>
      </c>
      <c r="AD44" s="8">
        <v>653</v>
      </c>
      <c r="AE44" s="8">
        <f>119+99+86+85+146+156</f>
        <v>691</v>
      </c>
      <c r="AF44" s="8">
        <v>759</v>
      </c>
      <c r="AG44" s="12">
        <v>773</v>
      </c>
      <c r="AH44" s="12">
        <v>878</v>
      </c>
      <c r="AI44" s="12">
        <v>956</v>
      </c>
      <c r="AJ44" s="12">
        <v>985</v>
      </c>
      <c r="AK44" s="12">
        <v>940</v>
      </c>
      <c r="AL44" s="12">
        <v>990</v>
      </c>
      <c r="AM44" s="12">
        <v>983</v>
      </c>
      <c r="AN44" s="12">
        <v>975</v>
      </c>
    </row>
    <row r="45" spans="1:40">
      <c r="A45" s="8" t="s">
        <v>51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8"/>
      <c r="M45" s="8"/>
      <c r="N45" s="15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266</v>
      </c>
      <c r="Z45" s="8">
        <v>262</v>
      </c>
      <c r="AA45" s="8">
        <v>267</v>
      </c>
      <c r="AB45" s="8">
        <v>288</v>
      </c>
      <c r="AC45" s="8">
        <v>285</v>
      </c>
      <c r="AD45" s="8">
        <v>285</v>
      </c>
      <c r="AE45" s="8">
        <f>21+27+117+117</f>
        <v>282</v>
      </c>
      <c r="AF45" s="8">
        <v>284</v>
      </c>
      <c r="AG45" s="12">
        <v>281</v>
      </c>
      <c r="AH45" s="12">
        <v>286</v>
      </c>
      <c r="AI45" s="12">
        <v>290</v>
      </c>
      <c r="AJ45" s="12">
        <v>291</v>
      </c>
      <c r="AK45" s="12">
        <v>281</v>
      </c>
      <c r="AL45" s="12">
        <v>356</v>
      </c>
      <c r="AM45" s="12">
        <v>359</v>
      </c>
      <c r="AN45" s="12">
        <v>351</v>
      </c>
    </row>
    <row r="46" spans="1:40">
      <c r="A46" s="8" t="s">
        <v>52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467</v>
      </c>
      <c r="Z46" s="8">
        <v>477</v>
      </c>
      <c r="AA46" s="8">
        <v>533</v>
      </c>
      <c r="AB46" s="8">
        <v>529</v>
      </c>
      <c r="AC46" s="8">
        <v>514</v>
      </c>
      <c r="AD46" s="8">
        <v>528</v>
      </c>
      <c r="AE46" s="8">
        <f>99+80+55+50+61+65+60+62</f>
        <v>532</v>
      </c>
      <c r="AF46" s="8">
        <v>543</v>
      </c>
      <c r="AG46" s="12">
        <v>534</v>
      </c>
      <c r="AH46" s="12">
        <v>528</v>
      </c>
      <c r="AI46" s="12">
        <v>533</v>
      </c>
      <c r="AJ46" s="12">
        <v>519</v>
      </c>
      <c r="AK46" s="12">
        <v>532</v>
      </c>
      <c r="AL46" s="12">
        <v>542</v>
      </c>
      <c r="AM46" s="12">
        <v>526</v>
      </c>
      <c r="AN46" s="12">
        <v>509</v>
      </c>
    </row>
    <row r="47" spans="1:40">
      <c r="A47" s="8" t="s">
        <v>53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242</v>
      </c>
      <c r="Z47" s="8">
        <v>244</v>
      </c>
      <c r="AA47" s="8">
        <v>247</v>
      </c>
      <c r="AB47" s="8">
        <v>252</v>
      </c>
      <c r="AC47" s="8">
        <v>254</v>
      </c>
      <c r="AD47" s="8">
        <v>255</v>
      </c>
      <c r="AE47" s="8">
        <f>83+70+76+53</f>
        <v>282</v>
      </c>
      <c r="AF47" s="8">
        <v>282</v>
      </c>
      <c r="AG47" s="12">
        <v>283</v>
      </c>
      <c r="AH47" s="12">
        <v>283</v>
      </c>
      <c r="AI47" s="12">
        <v>281</v>
      </c>
      <c r="AJ47" s="12">
        <v>286</v>
      </c>
      <c r="AK47" s="12">
        <v>283</v>
      </c>
      <c r="AL47" s="12">
        <v>283</v>
      </c>
      <c r="AM47" s="12">
        <v>297</v>
      </c>
      <c r="AN47" s="12">
        <v>301</v>
      </c>
    </row>
    <row r="48" spans="1:40">
      <c r="A48" s="8" t="s">
        <v>54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64</v>
      </c>
      <c r="Z48" s="8">
        <v>63</v>
      </c>
      <c r="AA48" s="8">
        <v>62</v>
      </c>
      <c r="AB48" s="8">
        <v>66</v>
      </c>
      <c r="AC48" s="8">
        <v>66</v>
      </c>
      <c r="AD48" s="8">
        <v>66</v>
      </c>
      <c r="AE48" s="8">
        <f>37+29</f>
        <v>66</v>
      </c>
      <c r="AF48" s="8">
        <v>65</v>
      </c>
      <c r="AG48" s="12">
        <v>76</v>
      </c>
      <c r="AH48" s="12">
        <v>70</v>
      </c>
      <c r="AI48" s="12">
        <v>78</v>
      </c>
      <c r="AJ48" s="12">
        <v>76</v>
      </c>
      <c r="AK48" s="12">
        <v>84</v>
      </c>
      <c r="AL48" s="12">
        <v>87</v>
      </c>
      <c r="AM48" s="12">
        <v>78</v>
      </c>
      <c r="AN48" s="12">
        <v>76</v>
      </c>
    </row>
    <row r="49" spans="1:40">
      <c r="A49" s="8" t="s">
        <v>55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8"/>
      <c r="M49" s="8"/>
      <c r="N49" s="15"/>
      <c r="O49" s="8"/>
      <c r="P49" s="8"/>
      <c r="Q49" s="8"/>
      <c r="R49" s="8"/>
      <c r="S49" s="8"/>
      <c r="T49" s="8"/>
      <c r="U49" s="8"/>
      <c r="V49" s="8"/>
      <c r="W49" s="8"/>
      <c r="X49" s="8"/>
      <c r="Y49" s="8">
        <v>917</v>
      </c>
      <c r="Z49" s="8">
        <v>921</v>
      </c>
      <c r="AA49" s="8">
        <v>935</v>
      </c>
      <c r="AB49" s="8">
        <v>964</v>
      </c>
      <c r="AC49" s="8">
        <v>976</v>
      </c>
      <c r="AD49" s="8">
        <v>995</v>
      </c>
      <c r="AE49" s="8">
        <f>107+94+65+57+125+102+84+85+98+78+57+50</f>
        <v>1002</v>
      </c>
      <c r="AF49" s="8">
        <v>1052</v>
      </c>
      <c r="AG49" s="12">
        <v>987</v>
      </c>
      <c r="AH49" s="12">
        <v>991</v>
      </c>
      <c r="AI49" s="12">
        <v>1016</v>
      </c>
      <c r="AJ49" s="12">
        <v>1056</v>
      </c>
      <c r="AK49" s="12">
        <v>1017</v>
      </c>
      <c r="AL49" s="12">
        <v>1013</v>
      </c>
      <c r="AM49" s="12">
        <v>1049</v>
      </c>
      <c r="AN49" s="12">
        <v>1063</v>
      </c>
    </row>
    <row r="50" spans="1:40">
      <c r="A50" s="8" t="s">
        <v>56</v>
      </c>
      <c r="B50" s="21"/>
      <c r="C50" s="21"/>
      <c r="D50" s="21"/>
      <c r="E50" s="8"/>
      <c r="F50" s="8"/>
      <c r="G50" s="8"/>
      <c r="H50" s="8"/>
      <c r="I50" s="8"/>
      <c r="J50" s="8"/>
      <c r="K50" s="8"/>
      <c r="L50" s="8"/>
      <c r="M50" s="8"/>
      <c r="N50" s="15"/>
      <c r="O50" s="8"/>
      <c r="P50" s="8"/>
      <c r="Q50" s="8"/>
      <c r="R50" s="8"/>
      <c r="S50" s="8"/>
      <c r="T50" s="8"/>
      <c r="U50" s="8"/>
      <c r="V50" s="8"/>
      <c r="W50" s="8"/>
      <c r="X50" s="8"/>
      <c r="Y50" s="8">
        <v>51</v>
      </c>
      <c r="Z50" s="8">
        <v>50</v>
      </c>
      <c r="AA50" s="8">
        <v>51</v>
      </c>
      <c r="AB50" s="8">
        <v>54</v>
      </c>
      <c r="AC50" s="8">
        <v>55</v>
      </c>
      <c r="AD50" s="8">
        <v>55</v>
      </c>
      <c r="AE50" s="8">
        <f>32+22</f>
        <v>54</v>
      </c>
      <c r="AF50" s="8">
        <v>54</v>
      </c>
      <c r="AG50" s="12">
        <v>58</v>
      </c>
      <c r="AH50" s="12">
        <v>58</v>
      </c>
      <c r="AI50" s="12">
        <v>59</v>
      </c>
      <c r="AJ50" s="12">
        <v>68</v>
      </c>
      <c r="AK50" s="12">
        <v>71</v>
      </c>
      <c r="AL50" s="12">
        <v>71</v>
      </c>
      <c r="AM50" s="12">
        <v>68</v>
      </c>
      <c r="AN50" s="12">
        <v>74</v>
      </c>
    </row>
    <row r="51" spans="1:40">
      <c r="A51" s="9" t="s">
        <v>57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358</v>
      </c>
      <c r="Z51" s="9">
        <v>372</v>
      </c>
      <c r="AA51" s="9">
        <v>359</v>
      </c>
      <c r="AB51" s="9">
        <v>367</v>
      </c>
      <c r="AC51" s="9">
        <v>380</v>
      </c>
      <c r="AD51" s="9">
        <v>209</v>
      </c>
      <c r="AE51" s="9">
        <f>113+96+92+82</f>
        <v>383</v>
      </c>
      <c r="AF51" s="9">
        <v>388</v>
      </c>
      <c r="AG51" s="110">
        <v>389</v>
      </c>
      <c r="AH51" s="110">
        <v>399</v>
      </c>
      <c r="AI51" s="110">
        <v>387</v>
      </c>
      <c r="AJ51" s="110">
        <v>409</v>
      </c>
      <c r="AK51" s="110">
        <v>449</v>
      </c>
      <c r="AL51" s="110">
        <v>446</v>
      </c>
      <c r="AM51" s="12">
        <v>436</v>
      </c>
      <c r="AN51" s="12">
        <v>432</v>
      </c>
    </row>
    <row r="52" spans="1:40">
      <c r="A52" s="53" t="s">
        <v>58</v>
      </c>
      <c r="B52" s="21"/>
      <c r="C52" s="21"/>
      <c r="D52" s="21"/>
      <c r="E52" s="53"/>
      <c r="F52" s="53"/>
      <c r="G52" s="53"/>
      <c r="H52" s="53"/>
      <c r="I52" s="53"/>
      <c r="J52" s="53"/>
      <c r="K52" s="53"/>
      <c r="L52" s="53"/>
      <c r="M52" s="53"/>
      <c r="N52" s="56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>
        <f>SUM(Y54:Y62)</f>
        <v>4079</v>
      </c>
      <c r="Z52" s="53">
        <f t="shared" ref="Z52:AD52" si="101">SUM(Z54:Z62)</f>
        <v>4240</v>
      </c>
      <c r="AA52" s="53">
        <f t="shared" si="101"/>
        <v>4359</v>
      </c>
      <c r="AB52" s="53">
        <f t="shared" si="101"/>
        <v>4444</v>
      </c>
      <c r="AC52" s="53">
        <f t="shared" si="101"/>
        <v>4460</v>
      </c>
      <c r="AD52" s="53">
        <f t="shared" si="101"/>
        <v>4567</v>
      </c>
      <c r="AE52" s="53">
        <f t="shared" ref="AE52:AF52" si="102">SUM(AE54:AE62)</f>
        <v>4549</v>
      </c>
      <c r="AF52" s="53">
        <f t="shared" si="102"/>
        <v>4647</v>
      </c>
      <c r="AG52" s="53">
        <f t="shared" ref="AG52:AH52" si="103">SUM(AG54:AG62)</f>
        <v>4723</v>
      </c>
      <c r="AH52" s="53">
        <f t="shared" si="103"/>
        <v>4877</v>
      </c>
      <c r="AI52" s="53">
        <f t="shared" ref="AI52:AJ52" si="104">SUM(AI54:AI62)</f>
        <v>4922</v>
      </c>
      <c r="AJ52" s="53">
        <f t="shared" si="104"/>
        <v>5013</v>
      </c>
      <c r="AK52" s="53">
        <f t="shared" ref="AK52" si="105">SUM(AK54:AK62)</f>
        <v>5015</v>
      </c>
      <c r="AL52" s="53">
        <f t="shared" ref="AL52:AM52" si="106">SUM(AL54:AL62)</f>
        <v>5108</v>
      </c>
      <c r="AM52" s="53">
        <f t="shared" si="106"/>
        <v>5234</v>
      </c>
      <c r="AN52" s="53">
        <f t="shared" ref="AN52" si="107">SUM(AN54:AN62)</f>
        <v>5259</v>
      </c>
    </row>
    <row r="53" spans="1:40">
      <c r="A53" s="50" t="s">
        <v>14</v>
      </c>
      <c r="B53" s="45">
        <f>(B52/B$4)*100</f>
        <v>0</v>
      </c>
      <c r="C53" s="45">
        <f t="shared" ref="C53" si="108">(C52/C$4)*100</f>
        <v>0</v>
      </c>
      <c r="D53" s="45">
        <f t="shared" ref="D53" si="109">(D52/D$4)*100</f>
        <v>0</v>
      </c>
      <c r="E53" s="54">
        <f t="shared" ref="E53" si="110">(E52/E$4)*100</f>
        <v>0</v>
      </c>
      <c r="F53" s="54">
        <f t="shared" ref="F53" si="111">(F52/F$4)*100</f>
        <v>0</v>
      </c>
      <c r="G53" s="54">
        <f t="shared" ref="G53" si="112">(G52/G$4)*100</f>
        <v>0</v>
      </c>
      <c r="H53" s="54">
        <f t="shared" ref="H53" si="113">(H52/H$4)*100</f>
        <v>0</v>
      </c>
      <c r="I53" s="54">
        <f t="shared" ref="I53" si="114">(I52/I$4)*100</f>
        <v>0</v>
      </c>
      <c r="J53" s="54">
        <f t="shared" ref="J53" si="115">(J52/J$4)*100</f>
        <v>0</v>
      </c>
      <c r="K53" s="54">
        <f t="shared" ref="K53" si="116">(K52/K$4)*100</f>
        <v>0</v>
      </c>
      <c r="L53" s="54">
        <f t="shared" ref="L53" si="117">(L52/L$4)*100</f>
        <v>0</v>
      </c>
      <c r="M53" s="54">
        <f t="shared" ref="M53" si="118">(M52/M$4)*100</f>
        <v>0</v>
      </c>
      <c r="N53" s="57">
        <f t="shared" ref="N53" si="119">(N52/N$4)*100</f>
        <v>0</v>
      </c>
      <c r="O53" s="54">
        <f t="shared" ref="O53" si="120">(O52/O$4)*100</f>
        <v>0</v>
      </c>
      <c r="P53" s="54">
        <f t="shared" ref="P53" si="121">(P52/P$4)*100</f>
        <v>0</v>
      </c>
      <c r="Q53" s="54">
        <f t="shared" ref="Q53" si="122">(Q52/Q$4)*100</f>
        <v>0</v>
      </c>
      <c r="R53" s="54">
        <f t="shared" ref="R53" si="123">(R52/R$4)*100</f>
        <v>0</v>
      </c>
      <c r="S53" s="54">
        <f t="shared" ref="S53" si="124">(S52/S$4)*100</f>
        <v>0</v>
      </c>
      <c r="T53" s="54">
        <f t="shared" ref="T53" si="125">(T52/T$4)*100</f>
        <v>0</v>
      </c>
      <c r="U53" s="54">
        <f t="shared" ref="U53" si="126">(U52/U$4)*100</f>
        <v>0</v>
      </c>
      <c r="V53" s="54">
        <f t="shared" ref="V53" si="127">(V52/V$4)*100</f>
        <v>0</v>
      </c>
      <c r="W53" s="54">
        <f t="shared" ref="W53" si="128">(W52/W$4)*100</f>
        <v>0</v>
      </c>
      <c r="X53" s="54">
        <f t="shared" ref="X53" si="129">(X52/X$4)*100</f>
        <v>0</v>
      </c>
      <c r="Y53" s="54">
        <f t="shared" ref="Y53" si="130">(Y52/Y$4)*100</f>
        <v>24.183316535246338</v>
      </c>
      <c r="Z53" s="54">
        <f t="shared" ref="Z53" si="131">(Z52/Z$4)*100</f>
        <v>24.676987545105341</v>
      </c>
      <c r="AA53" s="54">
        <f t="shared" ref="AA53" si="132">(AA52/AA$4)*100</f>
        <v>24.720694153008562</v>
      </c>
      <c r="AB53" s="54">
        <f t="shared" ref="AB53" si="133">(AB52/AB$4)*100</f>
        <v>24.604141291108405</v>
      </c>
      <c r="AC53" s="54">
        <f t="shared" ref="AC53" si="134">(AC52/AC$4)*100</f>
        <v>24.525708001099808</v>
      </c>
      <c r="AD53" s="54">
        <f t="shared" ref="AD53:AE53" si="135">(AD52/AD$4)*100</f>
        <v>24.822001195717156</v>
      </c>
      <c r="AE53" s="54">
        <f t="shared" si="135"/>
        <v>24.159541133358118</v>
      </c>
      <c r="AF53" s="54">
        <f t="shared" ref="AF53:AG53" si="136">(AF52/AF$4)*100</f>
        <v>23.953608247422682</v>
      </c>
      <c r="AG53" s="54">
        <f t="shared" si="136"/>
        <v>23.943019365304675</v>
      </c>
      <c r="AH53" s="54">
        <f t="shared" ref="AH53:AI53" si="137">(AH52/AH$4)*100</f>
        <v>24.060187469166255</v>
      </c>
      <c r="AI53" s="54">
        <f t="shared" si="137"/>
        <v>23.945512040865967</v>
      </c>
      <c r="AJ53" s="54">
        <f t="shared" ref="AJ53:AK53" si="138">(AJ52/AJ$4)*100</f>
        <v>24.095169430425379</v>
      </c>
      <c r="AK53" s="54">
        <f t="shared" si="138"/>
        <v>23.818570410828784</v>
      </c>
      <c r="AL53" s="54">
        <f t="shared" ref="AL53:AM53" si="139">(AL52/AL$4)*100</f>
        <v>23.799096118902298</v>
      </c>
      <c r="AM53" s="54">
        <f t="shared" si="139"/>
        <v>24.153207198892478</v>
      </c>
      <c r="AN53" s="54">
        <f t="shared" ref="AN53" si="140">(AN52/AN$4)*100</f>
        <v>24.067548395954418</v>
      </c>
    </row>
    <row r="54" spans="1:40">
      <c r="A54" s="8" t="s">
        <v>59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>
        <v>180</v>
      </c>
      <c r="Z54" s="8">
        <v>179</v>
      </c>
      <c r="AA54" s="8">
        <v>177</v>
      </c>
      <c r="AB54" s="8">
        <v>186</v>
      </c>
      <c r="AC54" s="8">
        <v>187</v>
      </c>
      <c r="AD54" s="8">
        <v>187</v>
      </c>
      <c r="AE54" s="8">
        <f>39+52+51+49</f>
        <v>191</v>
      </c>
      <c r="AF54" s="8">
        <v>191</v>
      </c>
      <c r="AG54" s="12">
        <v>194</v>
      </c>
      <c r="AH54" s="12">
        <v>254</v>
      </c>
      <c r="AI54" s="12">
        <v>296</v>
      </c>
      <c r="AJ54" s="12">
        <v>294</v>
      </c>
      <c r="AK54" s="12">
        <v>297</v>
      </c>
      <c r="AL54" s="12">
        <v>305</v>
      </c>
      <c r="AM54" s="12">
        <v>310</v>
      </c>
      <c r="AN54" s="12">
        <v>307</v>
      </c>
    </row>
    <row r="55" spans="1:40">
      <c r="A55" s="8" t="s">
        <v>60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8"/>
      <c r="M55" s="8"/>
      <c r="N55" s="1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40">
      <c r="A56" s="8" t="s">
        <v>61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598</v>
      </c>
      <c r="Z56" s="8">
        <v>600</v>
      </c>
      <c r="AA56" s="8">
        <v>624</v>
      </c>
      <c r="AB56" s="8">
        <v>622</v>
      </c>
      <c r="AC56" s="8">
        <v>645</v>
      </c>
      <c r="AD56" s="8">
        <v>671</v>
      </c>
      <c r="AE56" s="8">
        <f>87+93+92+74+107+96+58+70</f>
        <v>677</v>
      </c>
      <c r="AF56" s="8">
        <v>674</v>
      </c>
      <c r="AG56" s="12">
        <v>680</v>
      </c>
      <c r="AH56" s="12">
        <v>679</v>
      </c>
      <c r="AI56" s="12">
        <v>657</v>
      </c>
      <c r="AJ56" s="12">
        <v>672</v>
      </c>
      <c r="AK56" s="12">
        <v>721</v>
      </c>
      <c r="AL56" s="12">
        <v>715</v>
      </c>
      <c r="AM56" s="12">
        <v>702</v>
      </c>
      <c r="AN56" s="12">
        <v>690</v>
      </c>
    </row>
    <row r="57" spans="1:40">
      <c r="A57" s="8" t="s">
        <v>62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86</v>
      </c>
      <c r="AA57" s="8">
        <v>84</v>
      </c>
      <c r="AB57" s="8">
        <v>74</v>
      </c>
      <c r="AC57" s="8">
        <v>81</v>
      </c>
      <c r="AD57" s="8">
        <v>86</v>
      </c>
      <c r="AE57" s="8">
        <f>48+45</f>
        <v>93</v>
      </c>
      <c r="AF57" s="8">
        <v>90</v>
      </c>
      <c r="AG57" s="12">
        <v>88</v>
      </c>
      <c r="AH57" s="12">
        <v>85</v>
      </c>
      <c r="AI57" s="12">
        <v>94</v>
      </c>
      <c r="AJ57" s="12">
        <v>94</v>
      </c>
      <c r="AK57" s="12">
        <v>92</v>
      </c>
      <c r="AL57" s="12">
        <v>93</v>
      </c>
      <c r="AM57" s="12">
        <v>93</v>
      </c>
      <c r="AN57" s="12">
        <v>92</v>
      </c>
    </row>
    <row r="58" spans="1:40">
      <c r="A58" s="8" t="s">
        <v>63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324</v>
      </c>
      <c r="Z58" s="8">
        <v>335</v>
      </c>
      <c r="AA58" s="8">
        <v>343</v>
      </c>
      <c r="AB58" s="8">
        <v>349</v>
      </c>
      <c r="AC58" s="8">
        <v>367</v>
      </c>
      <c r="AD58" s="8">
        <v>347</v>
      </c>
      <c r="AE58" s="8">
        <f>100+86+55+60</f>
        <v>301</v>
      </c>
      <c r="AF58" s="8">
        <v>313</v>
      </c>
      <c r="AG58" s="12">
        <v>365</v>
      </c>
      <c r="AH58" s="12">
        <v>362</v>
      </c>
      <c r="AI58" s="12">
        <v>392</v>
      </c>
      <c r="AJ58" s="12">
        <v>448</v>
      </c>
      <c r="AK58" s="12">
        <v>426</v>
      </c>
      <c r="AL58" s="12">
        <v>452</v>
      </c>
      <c r="AM58" s="12">
        <v>528</v>
      </c>
      <c r="AN58" s="12">
        <v>552</v>
      </c>
    </row>
    <row r="59" spans="1:40">
      <c r="A59" s="8" t="s">
        <v>64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8"/>
      <c r="M59" s="8"/>
      <c r="N59" s="15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1720</v>
      </c>
      <c r="Z59" s="8">
        <v>1748</v>
      </c>
      <c r="AA59" s="8">
        <v>1779</v>
      </c>
      <c r="AB59" s="8">
        <v>1812</v>
      </c>
      <c r="AC59" s="8">
        <v>1817</v>
      </c>
      <c r="AD59" s="8">
        <v>1826</v>
      </c>
      <c r="AE59" s="8">
        <f>83+57+99+98+84+80+74+69+90+109+79+83+108+82+94+81+69+57+79+66+56+48+54+49</f>
        <v>1848</v>
      </c>
      <c r="AF59" s="8">
        <v>1887</v>
      </c>
      <c r="AG59" s="12">
        <v>1889</v>
      </c>
      <c r="AH59" s="12">
        <v>1923</v>
      </c>
      <c r="AI59" s="12">
        <v>1910</v>
      </c>
      <c r="AJ59" s="12">
        <v>1930</v>
      </c>
      <c r="AK59" s="12">
        <v>1902</v>
      </c>
      <c r="AL59" s="12">
        <v>1932</v>
      </c>
      <c r="AM59" s="12">
        <v>2015</v>
      </c>
      <c r="AN59" s="12">
        <v>2036</v>
      </c>
    </row>
    <row r="60" spans="1:40">
      <c r="A60" s="8" t="s">
        <v>65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1091</v>
      </c>
      <c r="Z60" s="8">
        <v>1110</v>
      </c>
      <c r="AA60" s="8">
        <v>1151</v>
      </c>
      <c r="AB60" s="8">
        <v>1193</v>
      </c>
      <c r="AC60" s="8">
        <v>1151</v>
      </c>
      <c r="AD60" s="8">
        <v>1242</v>
      </c>
      <c r="AE60" s="8">
        <f>131+129+133+133+70+74+82+82+98+82+41+24+78+70</f>
        <v>1227</v>
      </c>
      <c r="AF60" s="8">
        <v>1270</v>
      </c>
      <c r="AG60" s="12">
        <v>1275</v>
      </c>
      <c r="AH60" s="12">
        <v>1334</v>
      </c>
      <c r="AI60" s="12">
        <v>1324</v>
      </c>
      <c r="AJ60" s="12">
        <v>1313</v>
      </c>
      <c r="AK60" s="12">
        <v>1346</v>
      </c>
      <c r="AL60" s="12">
        <v>1375</v>
      </c>
      <c r="AM60" s="12">
        <v>1321</v>
      </c>
      <c r="AN60" s="12">
        <v>1313</v>
      </c>
    </row>
    <row r="61" spans="1:40">
      <c r="A61" s="8" t="s">
        <v>66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8"/>
      <c r="M61" s="8"/>
      <c r="N61" s="15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68</v>
      </c>
      <c r="Z61" s="8">
        <v>75</v>
      </c>
      <c r="AA61" s="8">
        <v>93</v>
      </c>
      <c r="AB61" s="8">
        <v>97</v>
      </c>
      <c r="AC61" s="8">
        <v>99</v>
      </c>
      <c r="AD61" s="8">
        <v>95</v>
      </c>
      <c r="AE61" s="8">
        <f>43+58</f>
        <v>101</v>
      </c>
      <c r="AF61" s="8">
        <v>111</v>
      </c>
      <c r="AG61" s="12">
        <v>121</v>
      </c>
      <c r="AH61" s="12">
        <v>123</v>
      </c>
      <c r="AI61" s="12">
        <v>131</v>
      </c>
      <c r="AJ61" s="12">
        <v>148</v>
      </c>
      <c r="AK61" s="12">
        <v>111</v>
      </c>
      <c r="AL61" s="12">
        <v>113</v>
      </c>
      <c r="AM61" s="12">
        <v>146</v>
      </c>
      <c r="AN61" s="12">
        <v>144</v>
      </c>
    </row>
    <row r="62" spans="1:40">
      <c r="A62" s="9" t="s">
        <v>67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9"/>
      <c r="M62" s="9"/>
      <c r="N62" s="16"/>
      <c r="O62" s="9"/>
      <c r="P62" s="9"/>
      <c r="Q62" s="9"/>
      <c r="R62" s="9"/>
      <c r="S62" s="9"/>
      <c r="T62" s="9"/>
      <c r="U62" s="9"/>
      <c r="V62" s="9"/>
      <c r="W62" s="9"/>
      <c r="X62" s="9"/>
      <c r="Y62" s="9">
        <v>98</v>
      </c>
      <c r="Z62" s="9">
        <v>107</v>
      </c>
      <c r="AA62" s="9">
        <v>108</v>
      </c>
      <c r="AB62" s="9">
        <v>111</v>
      </c>
      <c r="AC62" s="9">
        <v>113</v>
      </c>
      <c r="AD62" s="9">
        <v>113</v>
      </c>
      <c r="AE62" s="9">
        <f>59+52</f>
        <v>111</v>
      </c>
      <c r="AF62" s="9">
        <v>111</v>
      </c>
      <c r="AG62" s="110">
        <v>111</v>
      </c>
      <c r="AH62" s="110">
        <v>117</v>
      </c>
      <c r="AI62" s="110">
        <v>118</v>
      </c>
      <c r="AJ62" s="110">
        <v>114</v>
      </c>
      <c r="AK62" s="110">
        <v>120</v>
      </c>
      <c r="AL62" s="110">
        <v>123</v>
      </c>
      <c r="AM62" s="12">
        <v>119</v>
      </c>
      <c r="AN62" s="12">
        <v>125</v>
      </c>
    </row>
    <row r="63" spans="1:40">
      <c r="A63" s="51" t="s">
        <v>68</v>
      </c>
      <c r="B63" s="7"/>
      <c r="C63" s="7"/>
      <c r="D63" s="7"/>
      <c r="E63" s="9"/>
      <c r="F63" s="51"/>
      <c r="G63" s="51"/>
      <c r="H63" s="51"/>
      <c r="I63" s="51"/>
      <c r="J63" s="51"/>
      <c r="K63" s="51"/>
      <c r="L63" s="51"/>
      <c r="M63" s="51"/>
      <c r="N63" s="58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>
        <v>482</v>
      </c>
      <c r="Z63" s="51">
        <v>502</v>
      </c>
      <c r="AA63" s="51">
        <v>508</v>
      </c>
      <c r="AB63" s="51">
        <v>507</v>
      </c>
      <c r="AC63" s="51">
        <v>503</v>
      </c>
      <c r="AD63" s="51">
        <v>501</v>
      </c>
      <c r="AE63" s="51">
        <f>89+100+106+91+55+60</f>
        <v>501</v>
      </c>
      <c r="AF63" s="51">
        <v>502</v>
      </c>
      <c r="AG63" s="110">
        <v>489</v>
      </c>
      <c r="AH63" s="110">
        <v>514</v>
      </c>
      <c r="AI63" s="110">
        <v>498</v>
      </c>
      <c r="AJ63" s="110">
        <v>502</v>
      </c>
      <c r="AK63" s="110">
        <v>497</v>
      </c>
      <c r="AL63" s="110">
        <v>497</v>
      </c>
      <c r="AM63" s="117">
        <v>523</v>
      </c>
      <c r="AN63" s="117">
        <v>519</v>
      </c>
    </row>
    <row r="64" spans="1:40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32" ht="246" customHeight="1"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</row>
    <row r="66" spans="1:3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B66" s="60"/>
    </row>
    <row r="67" spans="1:32">
      <c r="A67" s="47"/>
      <c r="B67" s="47"/>
      <c r="C67" s="47"/>
      <c r="D67" s="6"/>
      <c r="E67" s="47"/>
      <c r="F67" s="6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32">
      <c r="A68" s="47"/>
      <c r="B68" s="47"/>
      <c r="C68" s="47"/>
      <c r="D68" s="6"/>
      <c r="E68" s="47"/>
      <c r="F68" s="6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32">
      <c r="A69" s="47"/>
      <c r="B69" s="47"/>
      <c r="C69" s="47"/>
      <c r="D69" s="6"/>
      <c r="E69" s="47"/>
      <c r="F69" s="6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32">
      <c r="A70" s="47" t="s">
        <v>152</v>
      </c>
      <c r="B70" s="47" t="s">
        <v>152</v>
      </c>
      <c r="C70" s="47"/>
      <c r="D70" s="6"/>
      <c r="E70" s="47"/>
      <c r="F70" s="6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32">
      <c r="A71" s="47"/>
      <c r="B71" s="47"/>
      <c r="C71" s="47"/>
      <c r="D71" s="6"/>
      <c r="E71" s="47"/>
      <c r="F71" s="6"/>
      <c r="G71" s="38"/>
      <c r="H71" s="38"/>
      <c r="I71" s="38"/>
      <c r="J71" s="38"/>
      <c r="K71" s="38"/>
      <c r="L71" s="38"/>
      <c r="M71" s="38"/>
      <c r="N71" s="38"/>
      <c r="O71" s="38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32">
      <c r="A72" s="47"/>
      <c r="B72" s="47"/>
      <c r="C72" s="47"/>
      <c r="D72" s="6"/>
      <c r="E72" s="47"/>
      <c r="F72" s="6"/>
      <c r="G72" s="6"/>
      <c r="H72" s="6"/>
      <c r="I72" s="6"/>
      <c r="J72" s="6"/>
      <c r="K72" s="6"/>
      <c r="L72" s="6"/>
      <c r="M72" s="6"/>
      <c r="N72" s="6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32">
      <c r="A73" s="47"/>
      <c r="B73" s="47"/>
      <c r="C73" s="47"/>
      <c r="D73" s="6"/>
      <c r="E73" s="47"/>
      <c r="F73" s="6"/>
      <c r="G73" s="6"/>
      <c r="H73" s="6"/>
      <c r="I73" s="6"/>
      <c r="J73" s="6"/>
      <c r="K73" s="6"/>
      <c r="L73" s="6"/>
      <c r="M73" s="6"/>
      <c r="N73" s="6"/>
      <c r="O73" s="47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32">
      <c r="A74" s="47"/>
      <c r="B74" s="47"/>
      <c r="C74" s="47"/>
      <c r="D74" s="6"/>
      <c r="E74" s="47"/>
      <c r="F74" s="6"/>
      <c r="G74" s="6"/>
      <c r="H74" s="6"/>
      <c r="I74" s="6"/>
      <c r="J74" s="6"/>
      <c r="K74" s="6"/>
      <c r="L74" s="6"/>
      <c r="M74" s="6"/>
      <c r="N74" s="6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32">
      <c r="A75" s="47"/>
      <c r="B75" s="38"/>
      <c r="C75" s="47"/>
      <c r="D75" s="6"/>
      <c r="E75" s="47"/>
      <c r="F75" s="6"/>
      <c r="G75" s="6"/>
      <c r="H75" s="6"/>
      <c r="I75" s="6"/>
      <c r="J75" s="6"/>
      <c r="K75" s="6"/>
      <c r="L75" s="6"/>
      <c r="M75" s="6"/>
      <c r="N75" s="6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32">
      <c r="A76" s="47"/>
      <c r="B76" s="47"/>
      <c r="C76" s="47"/>
      <c r="D76" s="25"/>
      <c r="E76" s="47"/>
      <c r="F76" s="47"/>
      <c r="G76" s="6"/>
      <c r="H76" s="6"/>
      <c r="I76" s="6"/>
      <c r="J76" s="6"/>
      <c r="K76" s="6"/>
      <c r="L76" s="6"/>
      <c r="M76" s="6"/>
      <c r="N76" s="6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32">
      <c r="A77" s="47"/>
      <c r="B77" s="47"/>
      <c r="C77" s="47"/>
      <c r="D77" s="25"/>
      <c r="E77" s="38"/>
      <c r="F77" s="47"/>
      <c r="G77" s="6"/>
      <c r="H77" s="6"/>
      <c r="I77" s="6"/>
      <c r="J77" s="6"/>
      <c r="K77" s="6"/>
      <c r="L77" s="6"/>
      <c r="M77" s="6"/>
      <c r="N77" s="6"/>
      <c r="O77" s="47"/>
      <c r="P77" s="47"/>
      <c r="Q77" s="47"/>
      <c r="R77" s="47"/>
      <c r="S77" s="47"/>
      <c r="T77" s="48"/>
      <c r="U77" s="48"/>
      <c r="V77" s="48"/>
      <c r="W77" s="48"/>
      <c r="X77" s="48"/>
      <c r="Y77" s="48"/>
      <c r="Z77" s="48"/>
    </row>
    <row r="78" spans="1:32">
      <c r="A78" s="47"/>
      <c r="B78" s="47"/>
      <c r="C78" s="47"/>
      <c r="D78" s="25"/>
      <c r="E78" s="47"/>
      <c r="F78" s="47"/>
      <c r="G78" s="6"/>
      <c r="H78" s="6"/>
      <c r="I78" s="6"/>
      <c r="J78" s="6"/>
      <c r="K78" s="6"/>
      <c r="L78" s="6"/>
      <c r="M78" s="6"/>
      <c r="N78" s="6"/>
      <c r="O78" s="6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32">
      <c r="A79" s="47"/>
      <c r="B79" s="47"/>
      <c r="C79" s="47"/>
      <c r="D79" s="25"/>
      <c r="E79" s="47"/>
      <c r="F79" s="47"/>
      <c r="G79" s="6"/>
      <c r="H79" s="6"/>
      <c r="I79" s="6"/>
      <c r="J79" s="6"/>
      <c r="K79" s="6"/>
      <c r="L79" s="6"/>
      <c r="M79" s="6"/>
      <c r="N79" s="6"/>
      <c r="O79" s="6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32">
      <c r="A80" s="38"/>
      <c r="B80" s="47"/>
      <c r="C80" s="38"/>
      <c r="D80" s="61"/>
      <c r="E80" s="47"/>
      <c r="F80" s="38"/>
      <c r="G80" s="6"/>
      <c r="H80" s="6"/>
      <c r="I80" s="6"/>
      <c r="J80" s="6"/>
      <c r="K80" s="6"/>
      <c r="L80" s="6"/>
      <c r="M80" s="6"/>
      <c r="N80" s="6"/>
      <c r="O80" s="6"/>
      <c r="P80" s="6"/>
      <c r="R80" s="47"/>
      <c r="S80" s="62"/>
    </row>
    <row r="81" spans="1:19">
      <c r="A81" s="47"/>
      <c r="B81" s="47"/>
      <c r="C81" s="47"/>
      <c r="D81" s="6"/>
      <c r="E81" s="4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7"/>
      <c r="S81" s="62"/>
    </row>
    <row r="82" spans="1:19">
      <c r="A82" s="47"/>
      <c r="B82" s="47"/>
      <c r="C82" s="47"/>
      <c r="D82" s="6"/>
      <c r="E82" s="4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7"/>
      <c r="S82" s="62"/>
    </row>
    <row r="83" spans="1:19">
      <c r="A83" s="47"/>
      <c r="B83" s="47"/>
      <c r="C83" s="47"/>
      <c r="D83" s="6"/>
      <c r="E83" s="4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47"/>
      <c r="S83" s="62"/>
    </row>
    <row r="84" spans="1:19">
      <c r="A84" s="47"/>
      <c r="B84" s="47"/>
      <c r="C84" s="47"/>
      <c r="D84" s="6"/>
      <c r="E84" s="4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47"/>
      <c r="S84" s="62"/>
    </row>
    <row r="85" spans="1:19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2"/>
      <c r="S85" s="62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1"/>
  </sheetPr>
  <dimension ref="A1:Z145"/>
  <sheetViews>
    <sheetView workbookViewId="0">
      <selection activeCell="N49" sqref="N49"/>
    </sheetView>
  </sheetViews>
  <sheetFormatPr defaultColWidth="9.1796875" defaultRowHeight="12.5"/>
  <cols>
    <col min="1" max="1" width="20.54296875" style="12" customWidth="1"/>
    <col min="2" max="16" width="8.7265625" style="12" customWidth="1"/>
    <col min="17" max="16384" width="9.1796875" style="12"/>
  </cols>
  <sheetData>
    <row r="1" spans="1:26" ht="13">
      <c r="A1" s="39"/>
      <c r="B1" s="39" t="s">
        <v>155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0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</row>
    <row r="2" spans="1:26" ht="13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1" t="s">
        <v>74</v>
      </c>
      <c r="O2" s="6"/>
      <c r="P2" s="6"/>
      <c r="Q2" s="6"/>
      <c r="R2" s="6"/>
    </row>
    <row r="3" spans="1:26" s="63" customFormat="1">
      <c r="A3" s="42"/>
      <c r="B3" s="37" t="s">
        <v>75</v>
      </c>
      <c r="C3" s="37" t="s">
        <v>76</v>
      </c>
      <c r="D3" s="37" t="s">
        <v>77</v>
      </c>
      <c r="E3" s="37" t="s">
        <v>78</v>
      </c>
      <c r="F3" s="37" t="s">
        <v>79</v>
      </c>
      <c r="G3" s="37" t="s">
        <v>80</v>
      </c>
      <c r="H3" s="37" t="s">
        <v>81</v>
      </c>
      <c r="I3" s="37" t="s">
        <v>82</v>
      </c>
      <c r="J3" s="37" t="s">
        <v>83</v>
      </c>
      <c r="K3" s="37" t="s">
        <v>84</v>
      </c>
      <c r="L3" s="37" t="s">
        <v>85</v>
      </c>
      <c r="M3" s="37" t="s">
        <v>86</v>
      </c>
      <c r="N3" s="43" t="s">
        <v>87</v>
      </c>
      <c r="O3" s="37" t="s">
        <v>88</v>
      </c>
      <c r="P3" s="37" t="s">
        <v>89</v>
      </c>
      <c r="Q3" s="37" t="s">
        <v>90</v>
      </c>
      <c r="R3" s="37" t="s">
        <v>91</v>
      </c>
      <c r="S3" s="37" t="s">
        <v>92</v>
      </c>
      <c r="T3" s="37" t="s">
        <v>93</v>
      </c>
      <c r="U3" s="37" t="s">
        <v>94</v>
      </c>
      <c r="V3" s="37" t="s">
        <v>95</v>
      </c>
      <c r="W3" s="37" t="s">
        <v>96</v>
      </c>
      <c r="X3" s="37" t="s">
        <v>97</v>
      </c>
      <c r="Y3" s="42" t="s">
        <v>98</v>
      </c>
      <c r="Z3" s="42" t="s">
        <v>99</v>
      </c>
    </row>
    <row r="4" spans="1:26">
      <c r="A4" s="52" t="s">
        <v>112</v>
      </c>
      <c r="B4" s="7">
        <v>44646</v>
      </c>
      <c r="C4" s="7">
        <v>51749</v>
      </c>
      <c r="D4" s="7">
        <v>52092</v>
      </c>
      <c r="E4" s="52">
        <v>52976</v>
      </c>
      <c r="F4" s="52">
        <v>51384</v>
      </c>
      <c r="G4" s="52">
        <v>53168</v>
      </c>
      <c r="H4" s="52">
        <v>53894</v>
      </c>
      <c r="I4" s="52">
        <v>65523</v>
      </c>
      <c r="J4" s="52">
        <v>66271</v>
      </c>
      <c r="K4" s="52">
        <v>68790</v>
      </c>
      <c r="L4" s="52">
        <v>70770</v>
      </c>
      <c r="M4" s="52">
        <v>69429</v>
      </c>
      <c r="N4" s="55">
        <f>72483-(84+49+388)</f>
        <v>71962</v>
      </c>
      <c r="O4" s="52">
        <f>73791-68-83-399</f>
        <v>73241</v>
      </c>
      <c r="P4" s="52">
        <f>73664-132-74-411</f>
        <v>73047</v>
      </c>
      <c r="Q4" s="52">
        <f>76198-96-79-321</f>
        <v>75702</v>
      </c>
      <c r="R4" s="52">
        <f>73564-75-84-822</f>
        <v>72583</v>
      </c>
      <c r="S4" s="52">
        <f>77292-104-77-406</f>
        <v>76705</v>
      </c>
      <c r="T4" s="52">
        <f>73486-122-70</f>
        <v>73294</v>
      </c>
      <c r="U4" s="52">
        <f>75751-122-60-405</f>
        <v>75164</v>
      </c>
      <c r="V4" s="52">
        <f>77940-89-64-107</f>
        <v>77680</v>
      </c>
      <c r="W4" s="52">
        <f>77604-78-55-391</f>
        <v>77080</v>
      </c>
      <c r="X4" s="52">
        <f>80728-543</f>
        <v>80185</v>
      </c>
      <c r="Y4" s="49">
        <f>SUM(Y7:Y55)</f>
        <v>75546</v>
      </c>
      <c r="Z4" s="49" t="s">
        <v>156</v>
      </c>
    </row>
    <row r="5" spans="1:26">
      <c r="A5" s="53" t="s">
        <v>113</v>
      </c>
      <c r="B5" s="44">
        <f t="shared" ref="B5:H5" si="0">SUM(B7:B19)</f>
        <v>4560</v>
      </c>
      <c r="C5" s="44">
        <f t="shared" si="0"/>
        <v>5496</v>
      </c>
      <c r="D5" s="44">
        <f t="shared" si="0"/>
        <v>5709</v>
      </c>
      <c r="E5" s="53">
        <f t="shared" si="0"/>
        <v>5883</v>
      </c>
      <c r="F5" s="53">
        <f t="shared" si="0"/>
        <v>5800</v>
      </c>
      <c r="G5" s="53">
        <f t="shared" si="0"/>
        <v>6183</v>
      </c>
      <c r="H5" s="53">
        <f t="shared" si="0"/>
        <v>6088</v>
      </c>
      <c r="I5" s="53">
        <v>18052</v>
      </c>
      <c r="J5" s="53">
        <v>18405</v>
      </c>
      <c r="K5" s="53">
        <f t="shared" ref="K5:Y5" si="1">SUM(K7:K19)</f>
        <v>7331</v>
      </c>
      <c r="L5" s="53">
        <f t="shared" si="1"/>
        <v>7820</v>
      </c>
      <c r="M5" s="53">
        <f t="shared" si="1"/>
        <v>7844</v>
      </c>
      <c r="N5" s="56">
        <f t="shared" si="1"/>
        <v>8399</v>
      </c>
      <c r="O5" s="53">
        <f t="shared" si="1"/>
        <v>8760</v>
      </c>
      <c r="P5" s="53">
        <f t="shared" si="1"/>
        <v>8685</v>
      </c>
      <c r="Q5" s="53">
        <f t="shared" si="1"/>
        <v>8685</v>
      </c>
      <c r="R5" s="53">
        <f t="shared" si="1"/>
        <v>8663</v>
      </c>
      <c r="S5" s="53">
        <f t="shared" si="1"/>
        <v>8542</v>
      </c>
      <c r="T5" s="53">
        <f t="shared" si="1"/>
        <v>8613</v>
      </c>
      <c r="U5" s="53">
        <f t="shared" si="1"/>
        <v>8658</v>
      </c>
      <c r="V5" s="53">
        <f t="shared" si="1"/>
        <v>8491</v>
      </c>
      <c r="W5" s="53">
        <f t="shared" si="1"/>
        <v>9020</v>
      </c>
      <c r="X5" s="53">
        <f t="shared" si="1"/>
        <v>9234</v>
      </c>
      <c r="Y5" s="53">
        <f t="shared" si="1"/>
        <v>27760</v>
      </c>
      <c r="Z5" s="53"/>
    </row>
    <row r="6" spans="1:26">
      <c r="A6" s="50" t="s">
        <v>14</v>
      </c>
      <c r="B6" s="45">
        <f t="shared" ref="B6:R6" si="2">(B5/B4)*100</f>
        <v>10.213680956860637</v>
      </c>
      <c r="C6" s="45">
        <f t="shared" si="2"/>
        <v>10.620495082030571</v>
      </c>
      <c r="D6" s="45">
        <f t="shared" si="2"/>
        <v>10.959456346463949</v>
      </c>
      <c r="E6" s="54">
        <f t="shared" si="2"/>
        <v>11.105028692237994</v>
      </c>
      <c r="F6" s="54">
        <f t="shared" si="2"/>
        <v>11.287560330063833</v>
      </c>
      <c r="G6" s="54">
        <f t="shared" si="2"/>
        <v>11.629175443876015</v>
      </c>
      <c r="H6" s="54">
        <f t="shared" si="2"/>
        <v>11.296248190893236</v>
      </c>
      <c r="I6" s="54">
        <f t="shared" si="2"/>
        <v>27.550631076110676</v>
      </c>
      <c r="J6" s="54">
        <f t="shared" si="2"/>
        <v>27.772328771257413</v>
      </c>
      <c r="K6" s="54">
        <f t="shared" si="2"/>
        <v>10.657072248873382</v>
      </c>
      <c r="L6" s="54">
        <f t="shared" si="2"/>
        <v>11.049879892609862</v>
      </c>
      <c r="M6" s="54">
        <f t="shared" si="2"/>
        <v>11.297872646876666</v>
      </c>
      <c r="N6" s="57">
        <f t="shared" si="2"/>
        <v>11.671437703232261</v>
      </c>
      <c r="O6" s="54">
        <f t="shared" si="2"/>
        <v>11.96051391979902</v>
      </c>
      <c r="P6" s="54">
        <f t="shared" si="2"/>
        <v>11.889605322600518</v>
      </c>
      <c r="Q6" s="54">
        <f t="shared" si="2"/>
        <v>11.472616311325989</v>
      </c>
      <c r="R6" s="54">
        <f t="shared" si="2"/>
        <v>11.935301654657426</v>
      </c>
      <c r="S6" s="54">
        <f t="shared" ref="S6:Y6" si="3">(S5/S4)*100</f>
        <v>11.136171044912327</v>
      </c>
      <c r="T6" s="54">
        <f t="shared" si="3"/>
        <v>11.751302971593855</v>
      </c>
      <c r="U6" s="54">
        <f t="shared" si="3"/>
        <v>11.518812197328508</v>
      </c>
      <c r="V6" s="54">
        <f t="shared" si="3"/>
        <v>10.930741503604532</v>
      </c>
      <c r="W6" s="54">
        <f t="shared" si="3"/>
        <v>11.702127659574469</v>
      </c>
      <c r="X6" s="54">
        <f t="shared" si="3"/>
        <v>11.515869551661782</v>
      </c>
      <c r="Y6" s="54">
        <f t="shared" si="3"/>
        <v>36.745823736531385</v>
      </c>
      <c r="Z6" s="54"/>
    </row>
    <row r="7" spans="1:26">
      <c r="A7" s="8" t="s">
        <v>15</v>
      </c>
      <c r="B7" s="21">
        <f>532+116</f>
        <v>648</v>
      </c>
      <c r="C7" s="21">
        <f>493+141</f>
        <v>634</v>
      </c>
      <c r="D7" s="21">
        <f>505+136</f>
        <v>641</v>
      </c>
      <c r="E7" s="8">
        <v>616</v>
      </c>
      <c r="F7" s="8">
        <f>459+96</f>
        <v>555</v>
      </c>
      <c r="G7" s="8">
        <v>776</v>
      </c>
      <c r="H7" s="8">
        <v>692</v>
      </c>
      <c r="I7" s="8">
        <f>675+176</f>
        <v>851</v>
      </c>
      <c r="J7" s="8">
        <f>650+171</f>
        <v>821</v>
      </c>
      <c r="K7" s="8">
        <f>650+172</f>
        <v>822</v>
      </c>
      <c r="L7" s="8">
        <f>675+191</f>
        <v>866</v>
      </c>
      <c r="M7" s="8">
        <f>594+207</f>
        <v>801</v>
      </c>
      <c r="N7" s="15">
        <f>703+225</f>
        <v>928</v>
      </c>
      <c r="O7" s="8">
        <f>749+219</f>
        <v>968</v>
      </c>
      <c r="P7" s="8">
        <f>608+211</f>
        <v>819</v>
      </c>
      <c r="Q7" s="8">
        <f>578+205</f>
        <v>783</v>
      </c>
      <c r="R7" s="8">
        <f>564+241</f>
        <v>805</v>
      </c>
      <c r="S7" s="8">
        <f>553+212</f>
        <v>765</v>
      </c>
      <c r="T7" s="8">
        <f>563+211</f>
        <v>774</v>
      </c>
      <c r="U7" s="8">
        <f>567+266</f>
        <v>833</v>
      </c>
      <c r="V7" s="8">
        <f>582+102</f>
        <v>684</v>
      </c>
      <c r="W7" s="8">
        <f>602+204</f>
        <v>806</v>
      </c>
      <c r="X7" s="8">
        <f>706+211</f>
        <v>917</v>
      </c>
      <c r="Y7" s="8">
        <v>968</v>
      </c>
      <c r="Z7" s="8"/>
    </row>
    <row r="8" spans="1:26">
      <c r="A8" s="8" t="s">
        <v>16</v>
      </c>
      <c r="B8" s="21"/>
      <c r="C8" s="21"/>
      <c r="D8" s="21"/>
      <c r="E8" s="8"/>
      <c r="F8" s="8"/>
      <c r="G8" s="8"/>
      <c r="H8" s="8"/>
      <c r="I8" s="8"/>
      <c r="J8" s="8"/>
      <c r="K8" s="8"/>
      <c r="L8" s="8"/>
      <c r="M8" s="8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>
        <v>7370</v>
      </c>
      <c r="Z8" s="8"/>
    </row>
    <row r="9" spans="1:26">
      <c r="A9" s="8" t="s">
        <v>17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>
        <v>1040</v>
      </c>
      <c r="Z9" s="8"/>
    </row>
    <row r="10" spans="1:26">
      <c r="A10" s="8" t="s">
        <v>18</v>
      </c>
      <c r="B10" s="21">
        <f>552+238</f>
        <v>790</v>
      </c>
      <c r="C10" s="21">
        <f>605+304+0+6</f>
        <v>915</v>
      </c>
      <c r="D10" s="21">
        <f>585+323+11</f>
        <v>919</v>
      </c>
      <c r="E10" s="8">
        <v>1020</v>
      </c>
      <c r="F10" s="8">
        <f>623+342+44+15</f>
        <v>1024</v>
      </c>
      <c r="G10" s="8">
        <v>1103</v>
      </c>
      <c r="H10" s="8">
        <v>1140</v>
      </c>
      <c r="I10" s="8">
        <f>804+468+141+20</f>
        <v>1433</v>
      </c>
      <c r="J10" s="8">
        <f>816+400+59+22</f>
        <v>1297</v>
      </c>
      <c r="K10" s="8">
        <f>843+408+61+22</f>
        <v>1334</v>
      </c>
      <c r="L10" s="8">
        <f>857+417+59+28</f>
        <v>1361</v>
      </c>
      <c r="M10" s="8">
        <f>914+329+64+44</f>
        <v>1351</v>
      </c>
      <c r="N10" s="15">
        <f>971+401+61+73</f>
        <v>1506</v>
      </c>
      <c r="O10" s="8">
        <f>968+415+70+90</f>
        <v>1543</v>
      </c>
      <c r="P10" s="8">
        <f>996+416+84+98</f>
        <v>1594</v>
      </c>
      <c r="Q10" s="8">
        <f>948+336+94+95</f>
        <v>1473</v>
      </c>
      <c r="R10" s="8">
        <f>946+375+196+90</f>
        <v>1607</v>
      </c>
      <c r="S10" s="8">
        <f>936+362+198+100</f>
        <v>1596</v>
      </c>
      <c r="T10" s="8">
        <f>921+376+185+98</f>
        <v>1580</v>
      </c>
      <c r="U10" s="8">
        <f>943+373+184+105</f>
        <v>1605</v>
      </c>
      <c r="V10" s="8">
        <f>1018+392+188+99</f>
        <v>1697</v>
      </c>
      <c r="W10" s="8">
        <f>1021+393+185+107</f>
        <v>1706</v>
      </c>
      <c r="X10" s="8">
        <f>1018+390+182+124</f>
        <v>1714</v>
      </c>
      <c r="Y10" s="8">
        <v>1805</v>
      </c>
      <c r="Z10" s="8"/>
    </row>
    <row r="11" spans="1:26">
      <c r="A11" s="8" t="s">
        <v>19</v>
      </c>
      <c r="B11" s="21"/>
      <c r="C11" s="21"/>
      <c r="D11" s="21"/>
      <c r="E11" s="8"/>
      <c r="F11" s="8"/>
      <c r="G11" s="8"/>
      <c r="H11" s="8"/>
      <c r="I11" s="8"/>
      <c r="J11" s="8"/>
      <c r="K11" s="8"/>
      <c r="L11" s="8"/>
      <c r="M11" s="8"/>
      <c r="N11" s="15"/>
      <c r="O11" s="8"/>
      <c r="P11" s="8"/>
      <c r="Q11" s="8"/>
      <c r="R11" s="8"/>
      <c r="S11" s="8"/>
      <c r="T11" s="8"/>
      <c r="U11" s="8"/>
      <c r="V11" s="8"/>
      <c r="W11" s="8"/>
      <c r="X11" s="8"/>
      <c r="Y11" s="8">
        <v>229</v>
      </c>
      <c r="Z11" s="8"/>
    </row>
    <row r="12" spans="1:26">
      <c r="A12" s="8" t="s">
        <v>20</v>
      </c>
      <c r="B12" s="21">
        <f>255+162+286</f>
        <v>703</v>
      </c>
      <c r="C12" s="21">
        <f>383+215+437</f>
        <v>1035</v>
      </c>
      <c r="D12" s="21">
        <f>407+240+422</f>
        <v>1069</v>
      </c>
      <c r="E12" s="8">
        <v>1074</v>
      </c>
      <c r="F12" s="8">
        <f>313+271+418</f>
        <v>1002</v>
      </c>
      <c r="G12" s="8">
        <v>1024</v>
      </c>
      <c r="H12" s="8">
        <v>996</v>
      </c>
      <c r="I12" s="8">
        <f>432+266+440</f>
        <v>1138</v>
      </c>
      <c r="J12" s="8">
        <f>478+251+436</f>
        <v>1165</v>
      </c>
      <c r="K12" s="8">
        <f>477+208+416</f>
        <v>1101</v>
      </c>
      <c r="L12" s="8">
        <f>528+235+450</f>
        <v>1213</v>
      </c>
      <c r="M12" s="8">
        <f>551+209+453</f>
        <v>1213</v>
      </c>
      <c r="N12" s="15">
        <f>589+242+466</f>
        <v>1297</v>
      </c>
      <c r="O12" s="8">
        <f>564+212+488</f>
        <v>1264</v>
      </c>
      <c r="P12" s="8">
        <f>593+276+469</f>
        <v>1338</v>
      </c>
      <c r="Q12" s="8">
        <f>585+313+509</f>
        <v>1407</v>
      </c>
      <c r="R12" s="8">
        <f>597+322+400</f>
        <v>1319</v>
      </c>
      <c r="S12" s="8">
        <f>574+237+471</f>
        <v>1282</v>
      </c>
      <c r="T12" s="8">
        <f>593+331+412</f>
        <v>1336</v>
      </c>
      <c r="U12" s="8">
        <f>569+251+401</f>
        <v>1221</v>
      </c>
      <c r="V12" s="8">
        <f>576+200+347</f>
        <v>1123</v>
      </c>
      <c r="W12" s="8">
        <f>619+372+443</f>
        <v>1434</v>
      </c>
      <c r="X12" s="8">
        <f>599+362+523</f>
        <v>1484</v>
      </c>
      <c r="Y12" s="8">
        <v>1594</v>
      </c>
      <c r="Z12" s="8"/>
    </row>
    <row r="13" spans="1:26">
      <c r="A13" s="8" t="s">
        <v>21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8"/>
      <c r="M13" s="8"/>
      <c r="N13" s="15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>
      <c r="A14" s="8" t="s">
        <v>22</v>
      </c>
      <c r="B14" s="21"/>
      <c r="C14" s="21"/>
      <c r="D14" s="21"/>
      <c r="E14" s="8"/>
      <c r="F14" s="8"/>
      <c r="G14" s="8"/>
      <c r="H14" s="8"/>
      <c r="I14" s="8"/>
      <c r="J14" s="8"/>
      <c r="K14" s="8"/>
      <c r="L14" s="8"/>
      <c r="M14" s="8"/>
      <c r="N14" s="15"/>
      <c r="O14" s="8"/>
      <c r="P14" s="8"/>
      <c r="Q14" s="8"/>
      <c r="R14" s="8"/>
      <c r="S14" s="8"/>
      <c r="T14" s="8"/>
      <c r="U14" s="8"/>
      <c r="V14" s="8"/>
      <c r="W14" s="8"/>
      <c r="X14" s="8"/>
      <c r="Y14" s="8">
        <v>6331</v>
      </c>
      <c r="Z14" s="8"/>
    </row>
    <row r="15" spans="1:26">
      <c r="A15" s="8" t="s">
        <v>23</v>
      </c>
      <c r="B15" s="21"/>
      <c r="C15" s="21"/>
      <c r="D15" s="21"/>
      <c r="E15" s="8"/>
      <c r="F15" s="8"/>
      <c r="G15" s="8"/>
      <c r="H15" s="8"/>
      <c r="I15" s="8"/>
      <c r="J15" s="8"/>
      <c r="K15" s="8"/>
      <c r="L15" s="8"/>
      <c r="M15" s="8"/>
      <c r="N15" s="15"/>
      <c r="O15" s="8"/>
      <c r="P15" s="8"/>
      <c r="Q15" s="8"/>
      <c r="R15" s="8"/>
      <c r="S15" s="8"/>
      <c r="T15" s="8"/>
      <c r="U15" s="8"/>
      <c r="V15" s="8"/>
      <c r="W15" s="8"/>
      <c r="X15" s="8"/>
      <c r="Y15" s="8">
        <v>2242</v>
      </c>
      <c r="Z15" s="8"/>
    </row>
    <row r="16" spans="1:26">
      <c r="A16" s="8" t="s">
        <v>24</v>
      </c>
      <c r="B16" s="21"/>
      <c r="C16" s="21"/>
      <c r="D16" s="21"/>
      <c r="E16" s="8"/>
      <c r="F16" s="8"/>
      <c r="G16" s="8"/>
      <c r="H16" s="8"/>
      <c r="I16" s="8"/>
      <c r="J16" s="8"/>
      <c r="K16" s="8"/>
      <c r="L16" s="8"/>
      <c r="M16" s="8"/>
      <c r="N16" s="15"/>
      <c r="O16" s="8"/>
      <c r="P16" s="8"/>
      <c r="Q16" s="8"/>
      <c r="R16" s="8"/>
      <c r="S16" s="8"/>
      <c r="T16" s="8"/>
      <c r="U16" s="8"/>
      <c r="V16" s="8"/>
      <c r="W16" s="8"/>
      <c r="X16" s="8"/>
      <c r="Y16" s="8">
        <v>95</v>
      </c>
      <c r="Z16" s="8"/>
    </row>
    <row r="17" spans="1:26">
      <c r="A17" s="8" t="s">
        <v>25</v>
      </c>
      <c r="B17" s="21"/>
      <c r="C17" s="21"/>
      <c r="D17" s="21"/>
      <c r="E17" s="8"/>
      <c r="F17" s="8"/>
      <c r="G17" s="8"/>
      <c r="H17" s="8"/>
      <c r="I17" s="8"/>
      <c r="J17" s="8"/>
      <c r="K17" s="8"/>
      <c r="L17" s="8"/>
      <c r="M17" s="8"/>
      <c r="N17" s="15"/>
      <c r="O17" s="8"/>
      <c r="P17" s="8"/>
      <c r="Q17" s="8"/>
      <c r="R17" s="8"/>
      <c r="S17" s="8"/>
      <c r="T17" s="8"/>
      <c r="U17" s="8"/>
      <c r="V17" s="8"/>
      <c r="W17" s="8"/>
      <c r="X17" s="8"/>
      <c r="Y17" s="8">
        <v>495</v>
      </c>
      <c r="Z17" s="8"/>
    </row>
    <row r="18" spans="1:26">
      <c r="A18" s="8" t="s">
        <v>26</v>
      </c>
      <c r="B18" s="21"/>
      <c r="C18" s="21"/>
      <c r="D18" s="21"/>
      <c r="E18" s="8"/>
      <c r="F18" s="8"/>
      <c r="G18" s="8"/>
      <c r="H18" s="8"/>
      <c r="I18" s="8"/>
      <c r="J18" s="8"/>
      <c r="K18" s="8"/>
      <c r="L18" s="8"/>
      <c r="M18" s="8"/>
      <c r="N18" s="15"/>
      <c r="O18" s="8"/>
      <c r="P18" s="8"/>
      <c r="Q18" s="8"/>
      <c r="R18" s="8"/>
      <c r="S18" s="8"/>
      <c r="T18" s="8"/>
      <c r="U18" s="8"/>
      <c r="V18" s="8"/>
      <c r="W18" s="8"/>
      <c r="X18" s="8"/>
      <c r="Y18" s="8">
        <v>98</v>
      </c>
      <c r="Z18" s="8"/>
    </row>
    <row r="19" spans="1:26">
      <c r="A19" s="8" t="s">
        <v>27</v>
      </c>
      <c r="B19" s="21">
        <f>587+323+295+384+584+91+155</f>
        <v>2419</v>
      </c>
      <c r="C19" s="21">
        <f>742+392+358+404+652+120+244</f>
        <v>2912</v>
      </c>
      <c r="D19" s="21">
        <f>777+412+366+429+712+126+258</f>
        <v>3080</v>
      </c>
      <c r="E19" s="8">
        <v>3173</v>
      </c>
      <c r="F19" s="8">
        <f>811+377+408+446+744+132+301</f>
        <v>3219</v>
      </c>
      <c r="G19" s="8">
        <v>3280</v>
      </c>
      <c r="H19" s="8">
        <v>3260</v>
      </c>
      <c r="I19" s="8">
        <f>987+478+504+636+905+145+238</f>
        <v>3893</v>
      </c>
      <c r="J19" s="8">
        <f>1022+481+531+556+908+152+333</f>
        <v>3983</v>
      </c>
      <c r="K19" s="8">
        <f>1058+481+476+591+971+154+343</f>
        <v>4074</v>
      </c>
      <c r="L19" s="8">
        <f>1056+451+711+577+1040+183+362</f>
        <v>4380</v>
      </c>
      <c r="M19" s="8">
        <f>1075+477+741+586+1043+173+384</f>
        <v>4479</v>
      </c>
      <c r="N19" s="15">
        <f>1118+497+689+597+1107+220+440</f>
        <v>4668</v>
      </c>
      <c r="O19" s="8">
        <f>1154+233+468+521+845+643+1121</f>
        <v>4985</v>
      </c>
      <c r="P19" s="8">
        <f>1134+225+484+564+837+667+1023</f>
        <v>4934</v>
      </c>
      <c r="Q19" s="8">
        <f>1124+245+495+563+803+649+1143</f>
        <v>5022</v>
      </c>
      <c r="R19" s="8">
        <f>1120+262+478+580+776+633+1083</f>
        <v>4932</v>
      </c>
      <c r="S19" s="8">
        <f>1111+266+477+589+716+629+1111</f>
        <v>4899</v>
      </c>
      <c r="T19" s="8">
        <f>1114+257+486+557+720+696+1093</f>
        <v>4923</v>
      </c>
      <c r="U19" s="8">
        <f>1143+262+495+559+725+711+1104</f>
        <v>4999</v>
      </c>
      <c r="V19" s="8">
        <f>1173+289+510+609+737+686+983</f>
        <v>4987</v>
      </c>
      <c r="W19" s="8">
        <f>1199+298+500+537+755+625+1160</f>
        <v>5074</v>
      </c>
      <c r="X19" s="8">
        <f>1245+285+514+365+796+663+1251</f>
        <v>5119</v>
      </c>
      <c r="Y19" s="8">
        <v>5493</v>
      </c>
      <c r="Z19" s="8"/>
    </row>
    <row r="20" spans="1:26">
      <c r="A20" s="8" t="s">
        <v>28</v>
      </c>
      <c r="B20" s="21"/>
      <c r="C20" s="21"/>
      <c r="D20" s="21"/>
      <c r="E20" s="8"/>
      <c r="F20" s="8"/>
      <c r="G20" s="8"/>
      <c r="H20" s="8"/>
      <c r="I20" s="8"/>
      <c r="J20" s="8"/>
      <c r="K20" s="8"/>
      <c r="L20" s="8"/>
      <c r="M20" s="8"/>
      <c r="N20" s="15"/>
      <c r="O20" s="8"/>
      <c r="P20" s="8"/>
      <c r="Q20" s="8"/>
      <c r="R20" s="8"/>
      <c r="S20" s="8"/>
      <c r="T20" s="8"/>
      <c r="U20" s="8"/>
      <c r="V20" s="8"/>
      <c r="W20" s="8"/>
      <c r="X20" s="8"/>
      <c r="Y20" s="8">
        <v>571</v>
      </c>
      <c r="Z20" s="8"/>
    </row>
    <row r="21" spans="1:26">
      <c r="A21" s="8" t="s">
        <v>29</v>
      </c>
      <c r="B21" s="21"/>
      <c r="C21" s="21"/>
      <c r="D21" s="21"/>
      <c r="E21" s="8"/>
      <c r="F21" s="8"/>
      <c r="G21" s="8"/>
      <c r="H21" s="8"/>
      <c r="I21" s="8"/>
      <c r="J21" s="8"/>
      <c r="K21" s="8"/>
      <c r="L21" s="8"/>
      <c r="M21" s="8"/>
      <c r="N21" s="15"/>
      <c r="O21" s="8"/>
      <c r="P21" s="8"/>
      <c r="Q21" s="8"/>
      <c r="R21" s="8"/>
      <c r="S21" s="8"/>
      <c r="T21" s="8"/>
      <c r="U21" s="8"/>
      <c r="V21" s="8"/>
      <c r="W21" s="8"/>
      <c r="X21" s="8"/>
      <c r="Y21" s="8">
        <v>1137</v>
      </c>
      <c r="Z21" s="8"/>
    </row>
    <row r="22" spans="1:26">
      <c r="A22" s="9" t="s">
        <v>30</v>
      </c>
      <c r="B22" s="7"/>
      <c r="C22" s="7"/>
      <c r="D22" s="7"/>
      <c r="E22" s="9"/>
      <c r="F22" s="9"/>
      <c r="G22" s="9"/>
      <c r="H22" s="9"/>
      <c r="I22" s="9"/>
      <c r="J22" s="9"/>
      <c r="K22" s="9"/>
      <c r="L22" s="9"/>
      <c r="M22" s="9"/>
      <c r="N22" s="16"/>
      <c r="O22" s="9"/>
      <c r="P22" s="9"/>
      <c r="Q22" s="9"/>
      <c r="R22" s="9"/>
      <c r="S22" s="9"/>
      <c r="T22" s="9"/>
      <c r="U22" s="9"/>
      <c r="V22" s="9"/>
      <c r="W22" s="9"/>
      <c r="X22" s="9"/>
      <c r="Y22" s="9">
        <v>1304</v>
      </c>
      <c r="Z22" s="9"/>
    </row>
    <row r="23" spans="1:26">
      <c r="A23" s="53" t="s">
        <v>31</v>
      </c>
      <c r="B23" s="21"/>
      <c r="C23" s="21"/>
      <c r="D23" s="21"/>
      <c r="E23" s="53"/>
      <c r="F23" s="53"/>
      <c r="G23" s="53"/>
      <c r="H23" s="53"/>
      <c r="I23" s="53"/>
      <c r="J23" s="53"/>
      <c r="K23" s="53"/>
      <c r="L23" s="53"/>
      <c r="M23" s="53"/>
      <c r="N23" s="56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>
      <c r="A24" s="50" t="s">
        <v>14</v>
      </c>
      <c r="B24" s="45"/>
      <c r="C24" s="45"/>
      <c r="D24" s="45"/>
      <c r="E24" s="54"/>
      <c r="F24" s="54"/>
      <c r="G24" s="54"/>
      <c r="H24" s="54"/>
      <c r="I24" s="54"/>
      <c r="J24" s="54"/>
      <c r="K24" s="54"/>
      <c r="L24" s="54"/>
      <c r="M24" s="54"/>
      <c r="N24" s="57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>
      <c r="A25" s="8" t="s">
        <v>32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3">
        <v>353</v>
      </c>
      <c r="Z25" s="53"/>
    </row>
    <row r="26" spans="1:26">
      <c r="A26" s="8" t="s">
        <v>33</v>
      </c>
      <c r="B26" s="21">
        <v>261</v>
      </c>
      <c r="C26" s="46">
        <v>306</v>
      </c>
      <c r="D26" s="46">
        <v>304</v>
      </c>
      <c r="E26" s="8">
        <v>292</v>
      </c>
      <c r="F26" s="8">
        <v>343</v>
      </c>
      <c r="G26" s="8">
        <v>348</v>
      </c>
      <c r="H26" s="8">
        <v>351</v>
      </c>
      <c r="I26" s="8">
        <v>363</v>
      </c>
      <c r="J26" s="8">
        <v>407</v>
      </c>
      <c r="K26" s="8">
        <v>404</v>
      </c>
      <c r="L26" s="8">
        <v>392</v>
      </c>
      <c r="M26" s="8">
        <v>438</v>
      </c>
      <c r="N26" s="15">
        <v>454</v>
      </c>
      <c r="O26" s="8">
        <v>476</v>
      </c>
      <c r="P26" s="8">
        <v>480</v>
      </c>
      <c r="Q26" s="8">
        <v>479</v>
      </c>
      <c r="R26" s="8">
        <v>489</v>
      </c>
      <c r="S26" s="8">
        <v>495</v>
      </c>
      <c r="T26" s="8">
        <v>497</v>
      </c>
      <c r="U26" s="8">
        <v>499</v>
      </c>
      <c r="V26" s="8">
        <v>504</v>
      </c>
      <c r="W26" s="8">
        <v>531</v>
      </c>
      <c r="X26" s="8">
        <v>532</v>
      </c>
      <c r="Y26" s="8">
        <v>529</v>
      </c>
      <c r="Z26" s="8"/>
    </row>
    <row r="27" spans="1:26">
      <c r="A27" s="8" t="s">
        <v>34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872</v>
      </c>
      <c r="Z27" s="8"/>
    </row>
    <row r="28" spans="1:26">
      <c r="A28" s="8" t="s">
        <v>35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1454</v>
      </c>
      <c r="Z28" s="8"/>
    </row>
    <row r="29" spans="1:26">
      <c r="A29" s="8" t="s">
        <v>36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>
      <c r="A30" s="8" t="s">
        <v>37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>
        <v>4395</v>
      </c>
      <c r="Z30" s="8"/>
    </row>
    <row r="31" spans="1:26">
      <c r="A31" s="8" t="s">
        <v>38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>
        <v>646</v>
      </c>
      <c r="Z31" s="8"/>
    </row>
    <row r="32" spans="1:26">
      <c r="A32" s="8" t="s">
        <v>39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>
      <c r="A33" s="8" t="s">
        <v>40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13462</v>
      </c>
      <c r="Z33" s="8"/>
    </row>
    <row r="34" spans="1:26">
      <c r="A34" s="8" t="s">
        <v>41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4591</v>
      </c>
      <c r="Z34" s="8"/>
    </row>
    <row r="35" spans="1:26">
      <c r="A35" s="8" t="s">
        <v>42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241</v>
      </c>
      <c r="Z35" s="8"/>
    </row>
    <row r="36" spans="1:26">
      <c r="A36" s="8" t="s">
        <v>43</v>
      </c>
      <c r="B36" s="6">
        <f>20+85</f>
        <v>105</v>
      </c>
      <c r="C36" s="6">
        <f>62+192</f>
        <v>254</v>
      </c>
      <c r="D36" s="6">
        <f>71+190</f>
        <v>261</v>
      </c>
      <c r="E36" s="17">
        <v>265</v>
      </c>
      <c r="F36" s="8">
        <f>78+196</f>
        <v>274</v>
      </c>
      <c r="G36" s="8">
        <v>249</v>
      </c>
      <c r="H36" s="8">
        <v>281</v>
      </c>
      <c r="I36" s="8">
        <f>84+207</f>
        <v>291</v>
      </c>
      <c r="J36" s="8">
        <f>94+225</f>
        <v>319</v>
      </c>
      <c r="K36" s="8">
        <f>82+207</f>
        <v>289</v>
      </c>
      <c r="L36" s="8">
        <f>89+217</f>
        <v>306</v>
      </c>
      <c r="M36" s="8">
        <f>96+226</f>
        <v>322</v>
      </c>
      <c r="N36" s="15">
        <f>106+242</f>
        <v>348</v>
      </c>
      <c r="O36" s="8">
        <f>129+281</f>
        <v>410</v>
      </c>
      <c r="P36" s="8">
        <f>128+295</f>
        <v>423</v>
      </c>
      <c r="Q36" s="8">
        <f>135+290</f>
        <v>425</v>
      </c>
      <c r="R36" s="8">
        <f>129+275</f>
        <v>404</v>
      </c>
      <c r="S36" s="8">
        <f>134+300</f>
        <v>434</v>
      </c>
      <c r="T36" s="8">
        <f>132+287</f>
        <v>419</v>
      </c>
      <c r="U36" s="8">
        <f>133+302</f>
        <v>435</v>
      </c>
      <c r="V36" s="8">
        <f>96+316</f>
        <v>412</v>
      </c>
      <c r="W36" s="8">
        <f>123+311</f>
        <v>434</v>
      </c>
      <c r="X36" s="8">
        <f>78+442</f>
        <v>520</v>
      </c>
      <c r="Y36" s="8">
        <v>450</v>
      </c>
      <c r="Z36" s="8"/>
    </row>
    <row r="37" spans="1:26">
      <c r="A37" s="9" t="s">
        <v>44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53" t="s">
        <v>45</v>
      </c>
      <c r="B38" s="21"/>
      <c r="C38" s="21"/>
      <c r="D38" s="21"/>
      <c r="E38" s="53"/>
      <c r="F38" s="53"/>
      <c r="G38" s="53"/>
      <c r="H38" s="53"/>
      <c r="I38" s="53"/>
      <c r="J38" s="53"/>
      <c r="K38" s="53"/>
      <c r="L38" s="53"/>
      <c r="M38" s="53"/>
      <c r="N38" s="56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>
      <c r="A39" s="50" t="s">
        <v>14</v>
      </c>
      <c r="B39" s="45"/>
      <c r="C39" s="45"/>
      <c r="D39" s="45"/>
      <c r="E39" s="54"/>
      <c r="F39" s="54"/>
      <c r="G39" s="54"/>
      <c r="H39" s="54"/>
      <c r="I39" s="54"/>
      <c r="J39" s="54"/>
      <c r="K39" s="54"/>
      <c r="L39" s="54"/>
      <c r="M39" s="54"/>
      <c r="N39" s="57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>
      <c r="A40" s="8" t="s">
        <v>46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1025</v>
      </c>
      <c r="Z40" s="8"/>
    </row>
    <row r="41" spans="1:26">
      <c r="A41" s="8" t="s">
        <v>47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721</v>
      </c>
      <c r="Z41" s="8"/>
    </row>
    <row r="42" spans="1:26">
      <c r="A42" s="8" t="s">
        <v>48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681</v>
      </c>
      <c r="Z42" s="8"/>
    </row>
    <row r="43" spans="1:26">
      <c r="A43" s="8" t="s">
        <v>49</v>
      </c>
      <c r="B43" s="21">
        <f>262+307</f>
        <v>569</v>
      </c>
      <c r="C43" s="21">
        <f>320+387</f>
        <v>707</v>
      </c>
      <c r="D43" s="21">
        <f>283+362</f>
        <v>645</v>
      </c>
      <c r="E43" s="8">
        <v>661</v>
      </c>
      <c r="F43" s="8">
        <f>321+375</f>
        <v>696</v>
      </c>
      <c r="G43" s="8">
        <v>691</v>
      </c>
      <c r="H43" s="8">
        <v>745</v>
      </c>
      <c r="I43" s="8">
        <f>369+448</f>
        <v>817</v>
      </c>
      <c r="J43" s="8">
        <f>380+493</f>
        <v>873</v>
      </c>
      <c r="K43" s="8">
        <f>390+509</f>
        <v>899</v>
      </c>
      <c r="L43" s="8">
        <f>416+516</f>
        <v>932</v>
      </c>
      <c r="M43" s="8">
        <f>441+507</f>
        <v>948</v>
      </c>
      <c r="N43" s="15">
        <f>429+488</f>
        <v>917</v>
      </c>
      <c r="O43" s="8">
        <f>427+533</f>
        <v>960</v>
      </c>
      <c r="P43" s="8">
        <f>420+473</f>
        <v>893</v>
      </c>
      <c r="Q43" s="8">
        <f>431+508</f>
        <v>939</v>
      </c>
      <c r="R43" s="8">
        <f>443+529</f>
        <v>972</v>
      </c>
      <c r="S43" s="8">
        <f>444+542</f>
        <v>986</v>
      </c>
      <c r="T43" s="8">
        <f>449+526</f>
        <v>975</v>
      </c>
      <c r="U43" s="8">
        <f>434+554</f>
        <v>988</v>
      </c>
      <c r="V43" s="8">
        <f>458+528</f>
        <v>986</v>
      </c>
      <c r="W43" s="8">
        <f>446+565</f>
        <v>1011</v>
      </c>
      <c r="X43" s="8">
        <f>455+549</f>
        <v>1004</v>
      </c>
      <c r="Y43" s="8">
        <v>1091</v>
      </c>
      <c r="Z43" s="8"/>
    </row>
    <row r="44" spans="1:26">
      <c r="A44" s="8" t="s">
        <v>50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2133</v>
      </c>
      <c r="Z44" s="8"/>
    </row>
    <row r="45" spans="1:26">
      <c r="A45" s="8" t="s">
        <v>51</v>
      </c>
      <c r="B45" s="21">
        <v>263</v>
      </c>
      <c r="C45" s="21">
        <v>251</v>
      </c>
      <c r="D45" s="21">
        <v>257</v>
      </c>
      <c r="E45" s="8">
        <v>299</v>
      </c>
      <c r="F45" s="8">
        <v>300</v>
      </c>
      <c r="G45" s="8">
        <v>283</v>
      </c>
      <c r="H45" s="8">
        <v>275</v>
      </c>
      <c r="I45" s="8">
        <v>301</v>
      </c>
      <c r="J45" s="8">
        <v>310</v>
      </c>
      <c r="K45" s="8">
        <v>261</v>
      </c>
      <c r="L45" s="8">
        <v>322</v>
      </c>
      <c r="M45" s="8">
        <v>319</v>
      </c>
      <c r="N45" s="15">
        <v>266</v>
      </c>
      <c r="O45" s="8">
        <v>267</v>
      </c>
      <c r="P45" s="8">
        <v>412</v>
      </c>
      <c r="Q45" s="8">
        <v>378</v>
      </c>
      <c r="R45" s="8" t="s">
        <v>157</v>
      </c>
      <c r="S45" s="8">
        <v>394</v>
      </c>
      <c r="T45" s="8">
        <v>324</v>
      </c>
      <c r="U45" s="8">
        <v>320</v>
      </c>
      <c r="V45" s="8">
        <v>405</v>
      </c>
      <c r="W45" s="8">
        <v>422</v>
      </c>
      <c r="X45" s="8">
        <v>429</v>
      </c>
      <c r="Y45" s="8">
        <v>430</v>
      </c>
      <c r="Z45" s="8"/>
    </row>
    <row r="46" spans="1:26">
      <c r="A46" s="8" t="s">
        <v>52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>
      <c r="A47" s="8" t="s">
        <v>53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568</v>
      </c>
      <c r="Z47" s="8"/>
    </row>
    <row r="48" spans="1:26">
      <c r="A48" s="8" t="s">
        <v>54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3663</v>
      </c>
      <c r="Z48" s="8"/>
    </row>
    <row r="49" spans="1:26">
      <c r="A49" s="8" t="s">
        <v>55</v>
      </c>
      <c r="B49" s="21">
        <f>354+0</f>
        <v>354</v>
      </c>
      <c r="C49" s="21">
        <f>396+16</f>
        <v>412</v>
      </c>
      <c r="D49" s="21">
        <f>427+30</f>
        <v>457</v>
      </c>
      <c r="E49" s="8">
        <v>639</v>
      </c>
      <c r="F49" s="8">
        <f>433+54</f>
        <v>487</v>
      </c>
      <c r="G49" s="8">
        <v>465</v>
      </c>
      <c r="H49" s="8">
        <v>434</v>
      </c>
      <c r="I49" s="8">
        <f>584+43</f>
        <v>627</v>
      </c>
      <c r="J49" s="8">
        <v>619</v>
      </c>
      <c r="K49" s="8">
        <v>596</v>
      </c>
      <c r="L49" s="8">
        <v>703</v>
      </c>
      <c r="M49" s="8">
        <v>589</v>
      </c>
      <c r="N49" s="15">
        <v>486</v>
      </c>
      <c r="O49" s="8">
        <v>475</v>
      </c>
      <c r="P49" s="8">
        <v>615</v>
      </c>
      <c r="Q49" s="8">
        <v>606</v>
      </c>
      <c r="R49" s="8">
        <v>566</v>
      </c>
      <c r="S49" s="8">
        <v>578</v>
      </c>
      <c r="T49" s="8">
        <v>561</v>
      </c>
      <c r="U49" s="8">
        <v>575</v>
      </c>
      <c r="V49" s="8">
        <v>424</v>
      </c>
      <c r="W49" s="8">
        <v>433</v>
      </c>
      <c r="X49" s="8">
        <v>613</v>
      </c>
      <c r="Y49" s="8">
        <v>615</v>
      </c>
      <c r="Z49" s="8"/>
    </row>
    <row r="50" spans="1:26">
      <c r="A50" s="8" t="s">
        <v>56</v>
      </c>
      <c r="B50" s="21">
        <f>52+80+538+359</f>
        <v>1029</v>
      </c>
      <c r="C50" s="21">
        <f>90+79+578+387</f>
        <v>1134</v>
      </c>
      <c r="D50" s="21">
        <f>112+86+674+391</f>
        <v>1263</v>
      </c>
      <c r="E50" s="8">
        <v>1199</v>
      </c>
      <c r="F50" s="8">
        <f>108+87+598+410</f>
        <v>1203</v>
      </c>
      <c r="G50" s="8">
        <v>1245</v>
      </c>
      <c r="H50" s="8">
        <v>1321</v>
      </c>
      <c r="I50" s="8">
        <f>148+101+666+476</f>
        <v>1391</v>
      </c>
      <c r="J50" s="8">
        <f>151+103+765+528</f>
        <v>1547</v>
      </c>
      <c r="K50" s="8">
        <f>148+75+821+547</f>
        <v>1591</v>
      </c>
      <c r="L50" s="8">
        <f>170+69+692+595</f>
        <v>1526</v>
      </c>
      <c r="M50" s="8">
        <f>176+69+721+625</f>
        <v>1591</v>
      </c>
      <c r="N50" s="15">
        <f>195+69+778+639</f>
        <v>1681</v>
      </c>
      <c r="O50" s="8">
        <f>206+72+665+670</f>
        <v>1613</v>
      </c>
      <c r="P50" s="8">
        <f>211+77+594+646</f>
        <v>1528</v>
      </c>
      <c r="Q50" s="8">
        <f>232+75+770+616</f>
        <v>1693</v>
      </c>
      <c r="R50" s="8">
        <f>228+70+963+620</f>
        <v>1881</v>
      </c>
      <c r="S50" s="8">
        <f>270+73+755+619</f>
        <v>1717</v>
      </c>
      <c r="T50" s="8">
        <f>74+748+635</f>
        <v>1457</v>
      </c>
      <c r="U50" s="8">
        <f>181+75+729+658</f>
        <v>1643</v>
      </c>
      <c r="V50" s="8">
        <f>248+57+724+672</f>
        <v>1701</v>
      </c>
      <c r="W50" s="8">
        <f>250+76+689+667</f>
        <v>1682</v>
      </c>
      <c r="X50" s="8">
        <f>240+76+584+727</f>
        <v>1627</v>
      </c>
      <c r="Y50" s="8">
        <v>1958</v>
      </c>
      <c r="Z50" s="8"/>
    </row>
    <row r="51" spans="1:26">
      <c r="A51" s="9" t="s">
        <v>57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>
      <c r="A52" s="53" t="s">
        <v>58</v>
      </c>
      <c r="B52" s="21"/>
      <c r="C52" s="21"/>
      <c r="D52" s="21"/>
      <c r="E52" s="53"/>
      <c r="F52" s="53"/>
      <c r="G52" s="53"/>
      <c r="H52" s="53"/>
      <c r="I52" s="53"/>
      <c r="J52" s="53"/>
      <c r="K52" s="53"/>
      <c r="L52" s="53"/>
      <c r="M52" s="53"/>
      <c r="N52" s="56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>
      <c r="A53" s="50" t="s">
        <v>14</v>
      </c>
      <c r="B53" s="45"/>
      <c r="C53" s="45"/>
      <c r="D53" s="45"/>
      <c r="E53" s="54"/>
      <c r="F53" s="54"/>
      <c r="G53" s="54"/>
      <c r="H53" s="54"/>
      <c r="I53" s="54"/>
      <c r="J53" s="54"/>
      <c r="K53" s="54"/>
      <c r="L53" s="54"/>
      <c r="M53" s="54"/>
      <c r="N53" s="57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pans="1:26">
      <c r="A54" s="8" t="s">
        <v>59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>
      <c r="A55" s="8" t="s">
        <v>60</v>
      </c>
      <c r="B55" s="21">
        <f>420+397+0</f>
        <v>817</v>
      </c>
      <c r="C55" s="21">
        <f>435+388</f>
        <v>823</v>
      </c>
      <c r="D55" s="21">
        <f>461+382</f>
        <v>843</v>
      </c>
      <c r="E55" s="8">
        <v>875</v>
      </c>
      <c r="F55" s="8">
        <f>511+385</f>
        <v>896</v>
      </c>
      <c r="G55" s="8">
        <v>892</v>
      </c>
      <c r="H55" s="8">
        <v>969</v>
      </c>
      <c r="I55" s="8">
        <f>794+646</f>
        <v>1440</v>
      </c>
      <c r="J55" s="8">
        <f>791+572+20</f>
        <v>1383</v>
      </c>
      <c r="K55" s="8">
        <f>824+587</f>
        <v>1411</v>
      </c>
      <c r="L55" s="8">
        <f>833+631+50</f>
        <v>1514</v>
      </c>
      <c r="M55" s="8">
        <f>839+620+1271</f>
        <v>2730</v>
      </c>
      <c r="N55" s="15">
        <f>903+660+1006</f>
        <v>2569</v>
      </c>
      <c r="O55" s="8">
        <f>929+922+665</f>
        <v>2516</v>
      </c>
      <c r="P55" s="8">
        <f>952+903+640</f>
        <v>2495</v>
      </c>
      <c r="Q55" s="8">
        <f>929+960+625</f>
        <v>2514</v>
      </c>
      <c r="R55" s="8">
        <f>1001+1249+588</f>
        <v>2838</v>
      </c>
      <c r="S55" s="8">
        <f>1011+2270+655</f>
        <v>3936</v>
      </c>
      <c r="T55" s="8">
        <f>1065+2184+676</f>
        <v>3925</v>
      </c>
      <c r="U55" s="8">
        <f>1143+2185+668</f>
        <v>3996</v>
      </c>
      <c r="V55" s="8">
        <f>1063+2711+700</f>
        <v>4474</v>
      </c>
      <c r="W55" s="8">
        <f>1085+2741+720</f>
        <v>4546</v>
      </c>
      <c r="X55" s="8">
        <f>1233+2739+682</f>
        <v>4654</v>
      </c>
      <c r="Y55" s="8">
        <v>4896</v>
      </c>
      <c r="Z55" s="8"/>
    </row>
    <row r="56" spans="1:26">
      <c r="A56" s="8" t="s">
        <v>61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2824</v>
      </c>
      <c r="Z56" s="8"/>
    </row>
    <row r="57" spans="1:26">
      <c r="A57" s="8" t="s">
        <v>62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>
        <v>1213</v>
      </c>
      <c r="Z57" s="8"/>
    </row>
    <row r="58" spans="1:26">
      <c r="A58" s="8" t="s">
        <v>63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486</v>
      </c>
      <c r="Z58" s="8"/>
    </row>
    <row r="59" spans="1:26">
      <c r="A59" s="8" t="s">
        <v>64</v>
      </c>
      <c r="B59" s="21">
        <f>282+499+50+301</f>
        <v>1132</v>
      </c>
      <c r="C59" s="21">
        <f>336+515+92+388</f>
        <v>1331</v>
      </c>
      <c r="D59" s="21">
        <f>328+540+94+396</f>
        <v>1358</v>
      </c>
      <c r="E59" s="8">
        <v>1338</v>
      </c>
      <c r="F59" s="8">
        <f>320+559+117+389</f>
        <v>1385</v>
      </c>
      <c r="G59" s="8">
        <v>1426</v>
      </c>
      <c r="H59" s="8">
        <v>1452</v>
      </c>
      <c r="I59" s="8">
        <f>372+810+140+501</f>
        <v>1823</v>
      </c>
      <c r="J59" s="8">
        <f>396+890+152+540</f>
        <v>1978</v>
      </c>
      <c r="K59" s="8">
        <f>399+890+180+557</f>
        <v>2026</v>
      </c>
      <c r="L59" s="8">
        <f>449+881+178+588</f>
        <v>2096</v>
      </c>
      <c r="M59" s="8">
        <f>456+721+194+468</f>
        <v>1839</v>
      </c>
      <c r="N59" s="15">
        <f>468+912+208+658</f>
        <v>2246</v>
      </c>
      <c r="O59" s="8">
        <f>491+860+241+623</f>
        <v>2215</v>
      </c>
      <c r="P59" s="8">
        <f>496+539+265+545</f>
        <v>1845</v>
      </c>
      <c r="Q59" s="8">
        <f>509+821+274+605</f>
        <v>2209</v>
      </c>
      <c r="R59" s="8">
        <f>495+522+261+660</f>
        <v>1938</v>
      </c>
      <c r="S59" s="8">
        <f>499+528+262+626</f>
        <v>1915</v>
      </c>
      <c r="T59" s="8">
        <f>508+594+279+633</f>
        <v>2014</v>
      </c>
      <c r="U59" s="8">
        <f>517+791+672</f>
        <v>1980</v>
      </c>
      <c r="V59" s="8">
        <f>251+551+682+553</f>
        <v>2037</v>
      </c>
      <c r="W59" s="8">
        <f>286+482+661+570</f>
        <v>1999</v>
      </c>
      <c r="X59" s="8">
        <f>286+717+691+581</f>
        <v>2275</v>
      </c>
      <c r="Y59" s="8">
        <v>2516</v>
      </c>
      <c r="Z59" s="8"/>
    </row>
    <row r="60" spans="1:26">
      <c r="A60" s="8" t="s">
        <v>65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620</v>
      </c>
      <c r="Z60" s="8"/>
    </row>
    <row r="61" spans="1:26">
      <c r="A61" s="8" t="s">
        <v>66</v>
      </c>
      <c r="B61" s="21">
        <f>612+105</f>
        <v>717</v>
      </c>
      <c r="C61" s="21">
        <f>140+777</f>
        <v>917</v>
      </c>
      <c r="D61" s="21">
        <f>640+148</f>
        <v>788</v>
      </c>
      <c r="E61" s="8">
        <v>163</v>
      </c>
      <c r="F61" s="8">
        <v>163</v>
      </c>
      <c r="G61" s="8">
        <v>1046</v>
      </c>
      <c r="H61" s="8">
        <v>604</v>
      </c>
      <c r="I61" s="8">
        <f>412+200</f>
        <v>612</v>
      </c>
      <c r="J61" s="8">
        <f>203+422</f>
        <v>625</v>
      </c>
      <c r="K61" s="8">
        <f>220+429</f>
        <v>649</v>
      </c>
      <c r="L61" s="8">
        <f>230+432</f>
        <v>662</v>
      </c>
      <c r="M61" s="8">
        <f>223+483</f>
        <v>706</v>
      </c>
      <c r="N61" s="15">
        <f>223+491</f>
        <v>714</v>
      </c>
      <c r="O61" s="8">
        <f>348+221</f>
        <v>569</v>
      </c>
      <c r="P61" s="8">
        <f>492+219</f>
        <v>711</v>
      </c>
      <c r="Q61" s="8">
        <f>479+226</f>
        <v>705</v>
      </c>
      <c r="R61" s="8">
        <f>547+196</f>
        <v>743</v>
      </c>
      <c r="S61" s="8">
        <f>468+221</f>
        <v>689</v>
      </c>
      <c r="T61" s="8">
        <f>509+224</f>
        <v>733</v>
      </c>
      <c r="U61" s="8">
        <f>482+221</f>
        <v>703</v>
      </c>
      <c r="V61" s="8">
        <f>478+211</f>
        <v>689</v>
      </c>
      <c r="W61" s="8">
        <f>519+215</f>
        <v>734</v>
      </c>
      <c r="X61" s="8">
        <f>492+228</f>
        <v>720</v>
      </c>
      <c r="Y61" s="8">
        <v>698</v>
      </c>
      <c r="Z61" s="8"/>
    </row>
    <row r="62" spans="1:26">
      <c r="A62" s="9" t="s">
        <v>67</v>
      </c>
      <c r="B62" s="7">
        <f>196+491+295</f>
        <v>982</v>
      </c>
      <c r="C62" s="7">
        <f>244+577+349</f>
        <v>1170</v>
      </c>
      <c r="D62" s="7">
        <f>248+594+358</f>
        <v>1200</v>
      </c>
      <c r="E62" s="9">
        <v>1276</v>
      </c>
      <c r="F62" s="9">
        <f>272+370</f>
        <v>642</v>
      </c>
      <c r="G62" s="9">
        <v>1292</v>
      </c>
      <c r="H62" s="9">
        <v>1266</v>
      </c>
      <c r="I62" s="9">
        <f>214+619+493</f>
        <v>1326</v>
      </c>
      <c r="J62" s="9">
        <f>287+633+465</f>
        <v>1385</v>
      </c>
      <c r="K62" s="9">
        <f>291+667+512</f>
        <v>1470</v>
      </c>
      <c r="L62" s="9">
        <f>312+691+513</f>
        <v>1516</v>
      </c>
      <c r="M62" s="9">
        <f>325+709+512</f>
        <v>1546</v>
      </c>
      <c r="N62" s="16">
        <f>317+731+544</f>
        <v>1592</v>
      </c>
      <c r="O62" s="9">
        <f>303+535+681</f>
        <v>1519</v>
      </c>
      <c r="P62" s="9">
        <f>292+560+568</f>
        <v>1420</v>
      </c>
      <c r="Q62" s="9">
        <f>289+563+510</f>
        <v>1362</v>
      </c>
      <c r="R62" s="9">
        <f>263+534+496</f>
        <v>1293</v>
      </c>
      <c r="S62" s="9">
        <f>280+586+592</f>
        <v>1458</v>
      </c>
      <c r="T62" s="9">
        <f>275+598+561</f>
        <v>1434</v>
      </c>
      <c r="U62" s="9">
        <f>265+616+570</f>
        <v>1451</v>
      </c>
      <c r="V62" s="9">
        <f>278+632+599</f>
        <v>1509</v>
      </c>
      <c r="W62" s="9">
        <f>271+624+487</f>
        <v>1382</v>
      </c>
      <c r="X62" s="9">
        <f>303+625+593</f>
        <v>1521</v>
      </c>
      <c r="Y62" s="9">
        <v>1808</v>
      </c>
      <c r="Z62" s="9"/>
    </row>
    <row r="63" spans="1:26">
      <c r="A63" s="51" t="s">
        <v>68</v>
      </c>
      <c r="B63" s="7">
        <f>306+451+260</f>
        <v>1017</v>
      </c>
      <c r="C63" s="7">
        <f>312+391+231</f>
        <v>934</v>
      </c>
      <c r="D63" s="7">
        <f>329+416+283</f>
        <v>1028</v>
      </c>
      <c r="E63" s="9">
        <v>1130</v>
      </c>
      <c r="F63" s="51">
        <f>330+470+320</f>
        <v>1120</v>
      </c>
      <c r="G63" s="51">
        <v>1151</v>
      </c>
      <c r="H63" s="51">
        <v>1256</v>
      </c>
      <c r="I63" s="51">
        <f>789+623+334</f>
        <v>1746</v>
      </c>
      <c r="J63" s="51">
        <f>468+754+471</f>
        <v>1693</v>
      </c>
      <c r="K63" s="51">
        <f>645+866+382</f>
        <v>1893</v>
      </c>
      <c r="L63" s="51">
        <f>790+904+413</f>
        <v>2107</v>
      </c>
      <c r="M63" s="51">
        <f>797+920+454</f>
        <v>2171</v>
      </c>
      <c r="N63" s="58">
        <f>824+879+458</f>
        <v>2161</v>
      </c>
      <c r="O63" s="51">
        <f>733+797+485</f>
        <v>2015</v>
      </c>
      <c r="P63" s="51">
        <f>588+934+477</f>
        <v>1999</v>
      </c>
      <c r="Q63" s="51">
        <f>830+766+486</f>
        <v>2082</v>
      </c>
      <c r="R63" s="51">
        <f>821+832+489</f>
        <v>2142</v>
      </c>
      <c r="S63" s="51">
        <f>870+832+498</f>
        <v>2200</v>
      </c>
      <c r="T63" s="51">
        <f>774+867+483</f>
        <v>2124</v>
      </c>
      <c r="U63" s="51">
        <f>805+848+548</f>
        <v>2201</v>
      </c>
      <c r="V63" s="51">
        <f>820+827+512</f>
        <v>2159</v>
      </c>
      <c r="W63" s="51">
        <f>0+857+859+367</f>
        <v>2083</v>
      </c>
      <c r="X63" s="51">
        <f>866+945+530</f>
        <v>2341</v>
      </c>
      <c r="Y63" s="51">
        <v>2621</v>
      </c>
      <c r="Z63" s="51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26" ht="246" customHeight="1"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>
      <c r="A67" s="47"/>
      <c r="B67" s="47"/>
      <c r="C67" s="47"/>
      <c r="D67" s="6"/>
      <c r="E67" s="47"/>
      <c r="F67" s="6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>
      <c r="A68" s="47"/>
      <c r="B68" s="47" t="s">
        <v>158</v>
      </c>
      <c r="C68" s="47" t="s">
        <v>158</v>
      </c>
      <c r="D68" s="6" t="s">
        <v>159</v>
      </c>
      <c r="E68" s="47" t="s">
        <v>160</v>
      </c>
      <c r="F68" s="6"/>
      <c r="G68" s="47" t="s">
        <v>159</v>
      </c>
      <c r="H68" s="47" t="s">
        <v>161</v>
      </c>
      <c r="I68" s="47" t="s">
        <v>162</v>
      </c>
      <c r="J68" s="47" t="s">
        <v>162</v>
      </c>
      <c r="K68" s="47" t="s">
        <v>162</v>
      </c>
      <c r="L68" s="47" t="s">
        <v>162</v>
      </c>
      <c r="M68" s="47" t="s">
        <v>162</v>
      </c>
      <c r="N68" s="47" t="s">
        <v>162</v>
      </c>
      <c r="O68" s="47" t="s">
        <v>162</v>
      </c>
      <c r="P68" s="47" t="s">
        <v>162</v>
      </c>
      <c r="Q68" s="47" t="s">
        <v>163</v>
      </c>
      <c r="R68" s="47" t="s">
        <v>163</v>
      </c>
      <c r="S68" s="47" t="s">
        <v>163</v>
      </c>
      <c r="T68" s="47" t="s">
        <v>163</v>
      </c>
      <c r="U68" s="47" t="s">
        <v>163</v>
      </c>
      <c r="V68" s="47" t="s">
        <v>163</v>
      </c>
      <c r="W68" s="47" t="s">
        <v>163</v>
      </c>
      <c r="X68" s="47" t="s">
        <v>163</v>
      </c>
      <c r="Y68" s="47" t="s">
        <v>163</v>
      </c>
      <c r="Z68" s="47"/>
    </row>
    <row r="69" spans="1:26">
      <c r="A69" s="47"/>
      <c r="B69" s="47" t="s">
        <v>164</v>
      </c>
      <c r="C69" s="47" t="s">
        <v>164</v>
      </c>
      <c r="D69" s="6" t="s">
        <v>163</v>
      </c>
      <c r="E69" s="47" t="s">
        <v>165</v>
      </c>
      <c r="F69" s="6"/>
      <c r="G69" s="47" t="s">
        <v>163</v>
      </c>
      <c r="H69" s="47" t="s">
        <v>166</v>
      </c>
      <c r="I69" s="47" t="s">
        <v>167</v>
      </c>
      <c r="J69" s="47" t="s">
        <v>167</v>
      </c>
      <c r="K69" s="47" t="s">
        <v>167</v>
      </c>
      <c r="L69" s="47" t="s">
        <v>167</v>
      </c>
      <c r="M69" s="47" t="s">
        <v>167</v>
      </c>
      <c r="N69" s="47" t="s">
        <v>167</v>
      </c>
      <c r="O69" s="47" t="s">
        <v>167</v>
      </c>
      <c r="P69" s="47" t="s">
        <v>167</v>
      </c>
      <c r="Q69" s="47" t="s">
        <v>168</v>
      </c>
      <c r="R69" s="47" t="s">
        <v>168</v>
      </c>
      <c r="S69" s="47" t="s">
        <v>168</v>
      </c>
      <c r="T69" s="47" t="s">
        <v>168</v>
      </c>
      <c r="U69" s="47" t="s">
        <v>168</v>
      </c>
      <c r="V69" s="47" t="s">
        <v>168</v>
      </c>
      <c r="W69" s="47" t="s">
        <v>168</v>
      </c>
      <c r="X69" s="47" t="s">
        <v>168</v>
      </c>
      <c r="Y69" s="47" t="s">
        <v>168</v>
      </c>
      <c r="Z69" s="47"/>
    </row>
    <row r="70" spans="1:26">
      <c r="A70" s="47" t="s">
        <v>152</v>
      </c>
      <c r="B70" s="47" t="s">
        <v>169</v>
      </c>
      <c r="C70" s="47" t="s">
        <v>169</v>
      </c>
      <c r="D70" s="6" t="s">
        <v>168</v>
      </c>
      <c r="E70" s="47" t="s">
        <v>170</v>
      </c>
      <c r="F70" s="6"/>
      <c r="G70" s="47" t="s">
        <v>168</v>
      </c>
      <c r="H70" s="47" t="s">
        <v>171</v>
      </c>
      <c r="I70" s="47" t="s">
        <v>163</v>
      </c>
      <c r="J70" s="47" t="s">
        <v>163</v>
      </c>
      <c r="K70" s="47" t="s">
        <v>163</v>
      </c>
      <c r="L70" s="47" t="s">
        <v>163</v>
      </c>
      <c r="M70" s="47" t="s">
        <v>163</v>
      </c>
      <c r="N70" s="47" t="s">
        <v>163</v>
      </c>
      <c r="O70" s="47" t="s">
        <v>163</v>
      </c>
      <c r="P70" s="47" t="s">
        <v>163</v>
      </c>
      <c r="Q70" s="47" t="s">
        <v>172</v>
      </c>
      <c r="R70" s="47" t="s">
        <v>172</v>
      </c>
      <c r="S70" s="47" t="s">
        <v>172</v>
      </c>
      <c r="T70" s="47" t="s">
        <v>172</v>
      </c>
      <c r="U70" s="47" t="s">
        <v>172</v>
      </c>
      <c r="V70" s="47" t="s">
        <v>172</v>
      </c>
      <c r="W70" s="47" t="s">
        <v>172</v>
      </c>
      <c r="X70" s="47" t="s">
        <v>172</v>
      </c>
      <c r="Y70" s="47" t="s">
        <v>172</v>
      </c>
      <c r="Z70" s="47"/>
    </row>
    <row r="71" spans="1:26">
      <c r="A71" s="47"/>
      <c r="B71" s="47" t="s">
        <v>173</v>
      </c>
      <c r="C71" s="47" t="s">
        <v>173</v>
      </c>
      <c r="D71" s="6" t="s">
        <v>172</v>
      </c>
      <c r="E71" s="47" t="s">
        <v>158</v>
      </c>
      <c r="F71" s="6"/>
      <c r="G71" s="38" t="s">
        <v>172</v>
      </c>
      <c r="H71" s="38" t="s">
        <v>174</v>
      </c>
      <c r="I71" s="38" t="s">
        <v>168</v>
      </c>
      <c r="J71" s="38" t="s">
        <v>168</v>
      </c>
      <c r="K71" s="38" t="s">
        <v>168</v>
      </c>
      <c r="L71" s="38" t="s">
        <v>168</v>
      </c>
      <c r="M71" s="38" t="s">
        <v>168</v>
      </c>
      <c r="N71" s="38" t="s">
        <v>168</v>
      </c>
      <c r="O71" s="38" t="s">
        <v>168</v>
      </c>
      <c r="P71" s="47" t="s">
        <v>168</v>
      </c>
      <c r="Q71" s="47" t="s">
        <v>162</v>
      </c>
      <c r="R71" s="47" t="s">
        <v>162</v>
      </c>
      <c r="S71" s="47" t="s">
        <v>162</v>
      </c>
      <c r="T71" s="47" t="s">
        <v>162</v>
      </c>
      <c r="U71" s="47" t="s">
        <v>162</v>
      </c>
      <c r="V71" s="47" t="s">
        <v>162</v>
      </c>
      <c r="W71" s="47" t="s">
        <v>162</v>
      </c>
      <c r="X71" s="47" t="s">
        <v>162</v>
      </c>
      <c r="Y71" s="47" t="s">
        <v>162</v>
      </c>
      <c r="Z71" s="47"/>
    </row>
    <row r="72" spans="1:26">
      <c r="A72" s="47"/>
      <c r="B72" s="47" t="s">
        <v>175</v>
      </c>
      <c r="C72" s="47" t="s">
        <v>175</v>
      </c>
      <c r="D72" s="6" t="s">
        <v>162</v>
      </c>
      <c r="E72" s="47" t="s">
        <v>164</v>
      </c>
      <c r="F72" s="6"/>
      <c r="G72" s="6" t="s">
        <v>162</v>
      </c>
      <c r="H72" s="6" t="s">
        <v>176</v>
      </c>
      <c r="I72" s="6" t="s">
        <v>172</v>
      </c>
      <c r="J72" s="6" t="s">
        <v>172</v>
      </c>
      <c r="K72" s="6" t="s">
        <v>172</v>
      </c>
      <c r="L72" s="6" t="s">
        <v>172</v>
      </c>
      <c r="M72" s="6" t="s">
        <v>172</v>
      </c>
      <c r="N72" s="6" t="s">
        <v>172</v>
      </c>
      <c r="O72" s="47" t="s">
        <v>172</v>
      </c>
      <c r="P72" s="47" t="s">
        <v>172</v>
      </c>
      <c r="Q72" s="47" t="s">
        <v>167</v>
      </c>
      <c r="R72" s="47" t="s">
        <v>167</v>
      </c>
      <c r="S72" s="47" t="s">
        <v>167</v>
      </c>
      <c r="T72" s="47" t="s">
        <v>167</v>
      </c>
      <c r="U72" s="47" t="s">
        <v>167</v>
      </c>
      <c r="V72" s="47" t="s">
        <v>167</v>
      </c>
      <c r="W72" s="47" t="s">
        <v>167</v>
      </c>
      <c r="X72" s="47" t="s">
        <v>167</v>
      </c>
      <c r="Y72" s="47" t="s">
        <v>167</v>
      </c>
      <c r="Z72" s="47"/>
    </row>
    <row r="73" spans="1:26">
      <c r="A73" s="47"/>
      <c r="B73" s="47" t="s">
        <v>159</v>
      </c>
      <c r="C73" s="47" t="s">
        <v>159</v>
      </c>
      <c r="D73" s="6" t="s">
        <v>167</v>
      </c>
      <c r="E73" s="47" t="s">
        <v>169</v>
      </c>
      <c r="F73" s="6"/>
      <c r="G73" s="6" t="s">
        <v>167</v>
      </c>
      <c r="H73" s="6" t="s">
        <v>177</v>
      </c>
      <c r="I73" s="6" t="s">
        <v>178</v>
      </c>
      <c r="J73" s="6" t="s">
        <v>179</v>
      </c>
      <c r="K73" s="6" t="s">
        <v>180</v>
      </c>
      <c r="L73" s="6" t="s">
        <v>181</v>
      </c>
      <c r="M73" s="6" t="s">
        <v>182</v>
      </c>
      <c r="N73" s="6" t="s">
        <v>183</v>
      </c>
      <c r="O73" s="47" t="s">
        <v>183</v>
      </c>
      <c r="P73" s="38" t="s">
        <v>184</v>
      </c>
      <c r="Q73" s="38" t="s">
        <v>163</v>
      </c>
      <c r="R73" s="38" t="s">
        <v>163</v>
      </c>
      <c r="S73" s="38" t="s">
        <v>163</v>
      </c>
      <c r="T73" s="38" t="s">
        <v>163</v>
      </c>
      <c r="U73" s="38" t="s">
        <v>163</v>
      </c>
      <c r="V73" s="38" t="s">
        <v>163</v>
      </c>
      <c r="W73" s="38" t="s">
        <v>163</v>
      </c>
      <c r="X73" s="38" t="s">
        <v>163</v>
      </c>
      <c r="Y73" s="38" t="s">
        <v>163</v>
      </c>
      <c r="Z73" s="38"/>
    </row>
    <row r="74" spans="1:26">
      <c r="A74" s="47"/>
      <c r="B74" s="47" t="s">
        <v>163</v>
      </c>
      <c r="C74" s="47" t="s">
        <v>163</v>
      </c>
      <c r="D74" s="6" t="s">
        <v>163</v>
      </c>
      <c r="E74" s="47" t="s">
        <v>173</v>
      </c>
      <c r="F74" s="6"/>
      <c r="G74" s="6" t="s">
        <v>163</v>
      </c>
      <c r="H74" s="6" t="s">
        <v>185</v>
      </c>
      <c r="I74" s="6" t="s">
        <v>186</v>
      </c>
      <c r="J74" s="6" t="s">
        <v>187</v>
      </c>
      <c r="K74" s="6" t="s">
        <v>188</v>
      </c>
      <c r="L74" s="6" t="s">
        <v>189</v>
      </c>
      <c r="M74" s="6" t="s">
        <v>189</v>
      </c>
      <c r="N74" s="6" t="s">
        <v>189</v>
      </c>
      <c r="O74" s="47" t="s">
        <v>189</v>
      </c>
      <c r="P74" s="47" t="s">
        <v>189</v>
      </c>
      <c r="Q74" s="47" t="s">
        <v>168</v>
      </c>
      <c r="R74" s="47" t="s">
        <v>168</v>
      </c>
      <c r="S74" s="47" t="s">
        <v>168</v>
      </c>
      <c r="T74" s="47" t="s">
        <v>168</v>
      </c>
      <c r="U74" s="47" t="s">
        <v>168</v>
      </c>
      <c r="V74" s="47" t="s">
        <v>168</v>
      </c>
      <c r="W74" s="47" t="s">
        <v>168</v>
      </c>
      <c r="X74" s="47" t="s">
        <v>168</v>
      </c>
      <c r="Y74" s="47" t="s">
        <v>168</v>
      </c>
      <c r="Z74" s="47"/>
    </row>
    <row r="75" spans="1:26">
      <c r="A75" s="47"/>
      <c r="B75" s="38" t="s">
        <v>168</v>
      </c>
      <c r="C75" s="47" t="s">
        <v>168</v>
      </c>
      <c r="D75" s="6" t="s">
        <v>168</v>
      </c>
      <c r="E75" s="47" t="s">
        <v>175</v>
      </c>
      <c r="F75" s="6"/>
      <c r="G75" s="6" t="s">
        <v>168</v>
      </c>
      <c r="H75" s="6" t="s">
        <v>190</v>
      </c>
      <c r="I75" s="6" t="s">
        <v>191</v>
      </c>
      <c r="J75" s="6" t="s">
        <v>192</v>
      </c>
      <c r="K75" s="6" t="s">
        <v>193</v>
      </c>
      <c r="L75" s="6" t="s">
        <v>194</v>
      </c>
      <c r="M75" s="6" t="s">
        <v>195</v>
      </c>
      <c r="N75" s="6" t="s">
        <v>196</v>
      </c>
      <c r="O75" s="47" t="s">
        <v>196</v>
      </c>
      <c r="P75" s="47" t="s">
        <v>197</v>
      </c>
      <c r="Q75" s="47" t="s">
        <v>172</v>
      </c>
      <c r="R75" s="47" t="s">
        <v>172</v>
      </c>
      <c r="S75" s="47" t="s">
        <v>172</v>
      </c>
      <c r="T75" s="47" t="s">
        <v>172</v>
      </c>
      <c r="U75" s="47" t="s">
        <v>172</v>
      </c>
      <c r="V75" s="47" t="s">
        <v>172</v>
      </c>
      <c r="W75" s="47" t="s">
        <v>172</v>
      </c>
      <c r="X75" s="47" t="s">
        <v>172</v>
      </c>
      <c r="Y75" s="47" t="s">
        <v>172</v>
      </c>
      <c r="Z75" s="47"/>
    </row>
    <row r="76" spans="1:26">
      <c r="A76" s="47"/>
      <c r="B76" s="47" t="s">
        <v>172</v>
      </c>
      <c r="C76" s="47" t="s">
        <v>172</v>
      </c>
      <c r="D76" s="25" t="s">
        <v>172</v>
      </c>
      <c r="E76" s="47" t="s">
        <v>159</v>
      </c>
      <c r="F76" s="47"/>
      <c r="G76" s="6" t="s">
        <v>172</v>
      </c>
      <c r="H76" s="6" t="s">
        <v>198</v>
      </c>
      <c r="I76" s="6" t="s">
        <v>199</v>
      </c>
      <c r="J76" s="6" t="s">
        <v>199</v>
      </c>
      <c r="K76" s="6" t="s">
        <v>200</v>
      </c>
      <c r="L76" s="6" t="s">
        <v>199</v>
      </c>
      <c r="M76" s="6" t="s">
        <v>199</v>
      </c>
      <c r="N76" s="6" t="s">
        <v>199</v>
      </c>
      <c r="O76" s="47" t="s">
        <v>199</v>
      </c>
      <c r="P76" s="47" t="s">
        <v>199</v>
      </c>
      <c r="Q76" s="47" t="s">
        <v>201</v>
      </c>
      <c r="R76" s="47" t="s">
        <v>202</v>
      </c>
      <c r="S76" s="47" t="s">
        <v>203</v>
      </c>
      <c r="T76" s="47" t="s">
        <v>204</v>
      </c>
      <c r="U76" s="47" t="s">
        <v>205</v>
      </c>
      <c r="V76" s="47" t="s">
        <v>206</v>
      </c>
      <c r="W76" s="47" t="s">
        <v>207</v>
      </c>
      <c r="X76" s="47" t="s">
        <v>208</v>
      </c>
      <c r="Y76" s="47" t="s">
        <v>209</v>
      </c>
      <c r="Z76" s="47"/>
    </row>
    <row r="77" spans="1:26">
      <c r="A77" s="47"/>
      <c r="B77" s="47" t="s">
        <v>162</v>
      </c>
      <c r="C77" s="47" t="s">
        <v>162</v>
      </c>
      <c r="D77" s="25" t="s">
        <v>210</v>
      </c>
      <c r="E77" s="38" t="s">
        <v>163</v>
      </c>
      <c r="F77" s="47"/>
      <c r="G77" s="6" t="s">
        <v>211</v>
      </c>
      <c r="H77" s="6" t="s">
        <v>212</v>
      </c>
      <c r="I77" s="6" t="s">
        <v>213</v>
      </c>
      <c r="J77" s="6" t="s">
        <v>213</v>
      </c>
      <c r="K77" s="6" t="s">
        <v>199</v>
      </c>
      <c r="L77" s="6" t="s">
        <v>214</v>
      </c>
      <c r="M77" s="6" t="s">
        <v>214</v>
      </c>
      <c r="N77" s="6" t="s">
        <v>214</v>
      </c>
      <c r="O77" s="47" t="s">
        <v>214</v>
      </c>
      <c r="P77" s="47" t="s">
        <v>214</v>
      </c>
      <c r="Q77" s="47" t="s">
        <v>215</v>
      </c>
      <c r="R77" s="47" t="s">
        <v>215</v>
      </c>
      <c r="S77" s="47" t="s">
        <v>215</v>
      </c>
      <c r="T77" s="48" t="s">
        <v>215</v>
      </c>
      <c r="U77" s="48" t="s">
        <v>215</v>
      </c>
      <c r="V77" s="48" t="s">
        <v>215</v>
      </c>
      <c r="W77" s="48" t="s">
        <v>215</v>
      </c>
      <c r="X77" s="48" t="s">
        <v>215</v>
      </c>
      <c r="Y77" s="48" t="s">
        <v>215</v>
      </c>
      <c r="Z77" s="48"/>
    </row>
    <row r="78" spans="1:26">
      <c r="A78" s="47"/>
      <c r="B78" s="47" t="s">
        <v>167</v>
      </c>
      <c r="C78" s="47" t="s">
        <v>167</v>
      </c>
      <c r="D78" s="25" t="s">
        <v>216</v>
      </c>
      <c r="E78" s="47" t="s">
        <v>168</v>
      </c>
      <c r="F78" s="47"/>
      <c r="G78" s="6" t="s">
        <v>217</v>
      </c>
      <c r="H78" s="6" t="s">
        <v>218</v>
      </c>
      <c r="I78" s="6" t="s">
        <v>219</v>
      </c>
      <c r="J78" s="6" t="s">
        <v>219</v>
      </c>
      <c r="K78" s="6" t="s">
        <v>213</v>
      </c>
      <c r="L78" s="6" t="s">
        <v>220</v>
      </c>
      <c r="M78" s="6" t="s">
        <v>220</v>
      </c>
      <c r="N78" s="6" t="s">
        <v>220</v>
      </c>
      <c r="O78" s="6" t="s">
        <v>220</v>
      </c>
      <c r="P78" s="47" t="s">
        <v>220</v>
      </c>
      <c r="Q78" s="47" t="s">
        <v>221</v>
      </c>
      <c r="R78" s="47" t="s">
        <v>221</v>
      </c>
      <c r="S78" s="47" t="s">
        <v>221</v>
      </c>
      <c r="T78" s="47" t="s">
        <v>221</v>
      </c>
      <c r="U78" s="47" t="s">
        <v>221</v>
      </c>
      <c r="V78" s="47" t="s">
        <v>221</v>
      </c>
      <c r="W78" s="47" t="s">
        <v>221</v>
      </c>
      <c r="X78" s="47" t="s">
        <v>221</v>
      </c>
      <c r="Y78" s="47" t="s">
        <v>221</v>
      </c>
      <c r="Z78" s="47"/>
    </row>
    <row r="79" spans="1:26">
      <c r="A79" s="47"/>
      <c r="B79" s="47" t="s">
        <v>163</v>
      </c>
      <c r="C79" s="47" t="s">
        <v>163</v>
      </c>
      <c r="D79" s="25" t="s">
        <v>221</v>
      </c>
      <c r="E79" s="47" t="s">
        <v>172</v>
      </c>
      <c r="F79" s="47"/>
      <c r="G79" s="6" t="s">
        <v>222</v>
      </c>
      <c r="H79" s="6" t="s">
        <v>223</v>
      </c>
      <c r="I79" s="6"/>
      <c r="J79" s="6"/>
      <c r="K79" s="6" t="s">
        <v>220</v>
      </c>
      <c r="L79" s="6"/>
      <c r="M79" s="6"/>
      <c r="N79" s="6"/>
      <c r="O79" s="6"/>
      <c r="P79" s="47"/>
      <c r="Q79" s="47" t="s">
        <v>224</v>
      </c>
      <c r="R79" s="47" t="s">
        <v>225</v>
      </c>
      <c r="S79" s="47" t="s">
        <v>226</v>
      </c>
      <c r="T79" s="47" t="s">
        <v>227</v>
      </c>
      <c r="U79" s="47" t="s">
        <v>228</v>
      </c>
      <c r="V79" s="47" t="s">
        <v>229</v>
      </c>
      <c r="W79" s="47" t="s">
        <v>230</v>
      </c>
      <c r="X79" s="47" t="s">
        <v>231</v>
      </c>
      <c r="Y79" s="47" t="s">
        <v>232</v>
      </c>
      <c r="Z79" s="47"/>
    </row>
    <row r="80" spans="1:26">
      <c r="A80" s="38"/>
      <c r="B80" s="47" t="s">
        <v>168</v>
      </c>
      <c r="C80" s="38" t="s">
        <v>168</v>
      </c>
      <c r="D80" s="61" t="s">
        <v>233</v>
      </c>
      <c r="E80" s="47" t="s">
        <v>162</v>
      </c>
      <c r="F80" s="38"/>
      <c r="G80" s="6" t="s">
        <v>234</v>
      </c>
      <c r="H80" s="6" t="s">
        <v>235</v>
      </c>
      <c r="I80" s="6"/>
      <c r="J80" s="6"/>
      <c r="K80" s="6"/>
      <c r="L80" s="6"/>
      <c r="M80" s="6"/>
      <c r="N80" s="6"/>
      <c r="O80" s="6"/>
      <c r="P80" s="6"/>
      <c r="Q80" s="12" t="s">
        <v>236</v>
      </c>
      <c r="R80" s="47" t="s">
        <v>236</v>
      </c>
      <c r="S80" s="62" t="s">
        <v>236</v>
      </c>
      <c r="T80" s="12" t="s">
        <v>236</v>
      </c>
      <c r="U80" s="12" t="s">
        <v>236</v>
      </c>
      <c r="V80" s="12" t="s">
        <v>236</v>
      </c>
      <c r="W80" s="12" t="s">
        <v>236</v>
      </c>
      <c r="X80" s="12" t="s">
        <v>236</v>
      </c>
      <c r="Y80" s="12" t="s">
        <v>236</v>
      </c>
    </row>
    <row r="81" spans="1:25">
      <c r="A81" s="47"/>
      <c r="B81" s="47" t="s">
        <v>172</v>
      </c>
      <c r="C81" s="47" t="s">
        <v>172</v>
      </c>
      <c r="D81" s="6" t="s">
        <v>237</v>
      </c>
      <c r="E81" s="47" t="s">
        <v>167</v>
      </c>
      <c r="F81" s="6"/>
      <c r="G81" s="6"/>
      <c r="H81" s="6" t="s">
        <v>238</v>
      </c>
      <c r="I81" s="6"/>
      <c r="J81" s="6"/>
      <c r="K81" s="6"/>
      <c r="L81" s="6"/>
      <c r="M81" s="6"/>
      <c r="N81" s="6"/>
      <c r="O81" s="6"/>
      <c r="P81" s="6"/>
      <c r="Q81" s="12" t="s">
        <v>239</v>
      </c>
      <c r="R81" s="47" t="s">
        <v>239</v>
      </c>
      <c r="S81" s="62" t="s">
        <v>239</v>
      </c>
      <c r="T81" s="12" t="s">
        <v>239</v>
      </c>
      <c r="U81" s="12" t="s">
        <v>239</v>
      </c>
      <c r="V81" s="12" t="s">
        <v>239</v>
      </c>
      <c r="W81" s="12" t="s">
        <v>239</v>
      </c>
      <c r="X81" s="12" t="s">
        <v>239</v>
      </c>
      <c r="Y81" s="12" t="s">
        <v>239</v>
      </c>
    </row>
    <row r="82" spans="1:25">
      <c r="A82" s="47"/>
      <c r="B82" s="47" t="s">
        <v>240</v>
      </c>
      <c r="C82" s="47" t="s">
        <v>241</v>
      </c>
      <c r="D82" s="6" t="s">
        <v>242</v>
      </c>
      <c r="E82" s="47" t="s">
        <v>163</v>
      </c>
      <c r="F82" s="6"/>
      <c r="G82" s="6"/>
      <c r="H82" s="6" t="s">
        <v>243</v>
      </c>
      <c r="I82" s="6"/>
      <c r="J82" s="6"/>
      <c r="K82" s="6"/>
      <c r="L82" s="6"/>
      <c r="M82" s="6"/>
      <c r="N82" s="6"/>
      <c r="O82" s="6"/>
      <c r="P82" s="6"/>
      <c r="R82" s="47"/>
      <c r="S82" s="62"/>
      <c r="T82" s="12" t="s">
        <v>244</v>
      </c>
      <c r="U82" s="12" t="s">
        <v>244</v>
      </c>
    </row>
    <row r="83" spans="1:25">
      <c r="A83" s="47"/>
      <c r="B83" s="47" t="s">
        <v>245</v>
      </c>
      <c r="C83" s="47" t="s">
        <v>216</v>
      </c>
      <c r="D83" s="6"/>
      <c r="E83" s="47" t="s">
        <v>168</v>
      </c>
      <c r="F83" s="6"/>
      <c r="G83" s="6"/>
      <c r="H83" s="6" t="s">
        <v>185</v>
      </c>
      <c r="I83" s="6"/>
      <c r="J83" s="6"/>
      <c r="K83" s="6"/>
      <c r="L83" s="6"/>
      <c r="M83" s="6"/>
      <c r="N83" s="6"/>
      <c r="O83" s="6"/>
      <c r="P83" s="6"/>
      <c r="R83" s="47"/>
      <c r="S83" s="62"/>
      <c r="T83" s="12" t="s">
        <v>246</v>
      </c>
      <c r="U83" s="12" t="s">
        <v>246</v>
      </c>
    </row>
    <row r="84" spans="1:25">
      <c r="A84" s="47"/>
      <c r="B84" s="47" t="s">
        <v>247</v>
      </c>
      <c r="C84" s="47" t="s">
        <v>221</v>
      </c>
      <c r="D84" s="6"/>
      <c r="E84" s="47" t="s">
        <v>172</v>
      </c>
      <c r="F84" s="6"/>
      <c r="G84" s="6"/>
      <c r="H84" s="6" t="s">
        <v>248</v>
      </c>
      <c r="I84" s="6"/>
      <c r="J84" s="6"/>
      <c r="K84" s="6"/>
      <c r="L84" s="6"/>
      <c r="M84" s="6"/>
      <c r="N84" s="6"/>
      <c r="O84" s="6"/>
      <c r="P84" s="6"/>
      <c r="R84" s="47"/>
      <c r="S84" s="62"/>
      <c r="T84" s="12" t="s">
        <v>249</v>
      </c>
      <c r="U84" s="12" t="s">
        <v>249</v>
      </c>
    </row>
    <row r="85" spans="1:25">
      <c r="A85" s="25"/>
      <c r="B85" s="6" t="s">
        <v>250</v>
      </c>
      <c r="C85" s="6" t="s">
        <v>251</v>
      </c>
      <c r="D85" s="6"/>
      <c r="E85" s="6" t="s">
        <v>252</v>
      </c>
      <c r="F85" s="6"/>
      <c r="G85" s="6"/>
      <c r="H85" s="6" t="s">
        <v>253</v>
      </c>
      <c r="I85" s="6"/>
      <c r="J85" s="6"/>
      <c r="K85" s="6"/>
      <c r="L85" s="6"/>
      <c r="M85" s="6"/>
      <c r="N85" s="6"/>
      <c r="O85" s="6"/>
      <c r="P85" s="6"/>
      <c r="R85" s="62"/>
      <c r="S85" s="62"/>
      <c r="T85" s="12" t="s">
        <v>254</v>
      </c>
      <c r="U85" s="12" t="s">
        <v>254</v>
      </c>
    </row>
    <row r="86" spans="1:25">
      <c r="A86" s="6"/>
      <c r="B86" s="6"/>
      <c r="C86" s="6"/>
      <c r="D86" s="6"/>
      <c r="E86" s="6" t="s">
        <v>216</v>
      </c>
      <c r="F86" s="6"/>
      <c r="G86" s="6"/>
      <c r="H86" s="6" t="s">
        <v>255</v>
      </c>
      <c r="I86" s="6"/>
      <c r="J86" s="6"/>
      <c r="K86" s="6"/>
      <c r="L86" s="6"/>
      <c r="M86" s="6"/>
      <c r="N86" s="6"/>
      <c r="O86" s="6"/>
      <c r="P86" s="6"/>
      <c r="T86" s="12" t="s">
        <v>256</v>
      </c>
      <c r="U86" s="12" t="s">
        <v>256</v>
      </c>
    </row>
    <row r="87" spans="1:25">
      <c r="A87" s="6"/>
      <c r="B87" s="6"/>
      <c r="C87" s="6"/>
      <c r="D87" s="6"/>
      <c r="E87" s="6" t="s">
        <v>221</v>
      </c>
      <c r="F87" s="6"/>
      <c r="G87" s="6"/>
      <c r="H87" s="6" t="s">
        <v>257</v>
      </c>
      <c r="I87" s="6"/>
      <c r="J87" s="6"/>
      <c r="K87" s="6"/>
      <c r="L87" s="6"/>
      <c r="M87" s="6"/>
      <c r="N87" s="6"/>
      <c r="O87" s="6"/>
      <c r="P87" s="6"/>
      <c r="T87" s="12" t="s">
        <v>258</v>
      </c>
      <c r="U87" s="12" t="s">
        <v>258</v>
      </c>
    </row>
    <row r="88" spans="1:25">
      <c r="A88" s="6"/>
      <c r="B88" s="6"/>
      <c r="C88" s="6"/>
      <c r="D88" s="6"/>
      <c r="E88" s="6" t="s">
        <v>259</v>
      </c>
      <c r="F88" s="6"/>
      <c r="G88" s="6"/>
      <c r="H88" s="6" t="s">
        <v>260</v>
      </c>
      <c r="I88" s="6"/>
      <c r="J88" s="6"/>
      <c r="K88" s="6"/>
      <c r="L88" s="6"/>
      <c r="M88" s="6"/>
      <c r="N88" s="6"/>
      <c r="O88" s="6"/>
      <c r="P88" s="6"/>
    </row>
    <row r="89" spans="1:25">
      <c r="A89" s="6"/>
      <c r="B89" s="6"/>
      <c r="C89" s="6"/>
      <c r="D89" s="6"/>
      <c r="E89" s="6"/>
      <c r="F89" s="6"/>
      <c r="G89" s="6"/>
      <c r="H89" s="6" t="s">
        <v>261</v>
      </c>
      <c r="I89" s="6"/>
      <c r="J89" s="6"/>
      <c r="K89" s="6"/>
      <c r="L89" s="6"/>
      <c r="M89" s="6"/>
      <c r="N89" s="6"/>
      <c r="O89" s="6"/>
      <c r="P89" s="6"/>
    </row>
    <row r="90" spans="1:25">
      <c r="A90" s="6"/>
      <c r="B90" s="6"/>
      <c r="C90" s="6"/>
      <c r="D90" s="6"/>
      <c r="E90" s="6"/>
      <c r="F90" s="6"/>
      <c r="G90" s="6"/>
      <c r="H90" s="6" t="s">
        <v>262</v>
      </c>
      <c r="I90" s="6"/>
      <c r="J90" s="6"/>
      <c r="K90" s="6"/>
      <c r="L90" s="6"/>
      <c r="M90" s="6"/>
      <c r="N90" s="6"/>
      <c r="O90" s="6"/>
      <c r="P90" s="6"/>
    </row>
    <row r="91" spans="1:25">
      <c r="A91" s="6"/>
      <c r="B91" s="6"/>
      <c r="C91" s="6"/>
      <c r="D91" s="6"/>
      <c r="E91" s="6"/>
      <c r="F91" s="6"/>
      <c r="G91" s="6"/>
      <c r="H91" s="6" t="s">
        <v>263</v>
      </c>
      <c r="I91" s="6"/>
      <c r="J91" s="6"/>
      <c r="K91" s="6"/>
      <c r="L91" s="6"/>
      <c r="M91" s="6"/>
      <c r="N91" s="6"/>
      <c r="O91" s="6"/>
      <c r="P91" s="6"/>
    </row>
    <row r="92" spans="1:25">
      <c r="A92" s="6"/>
      <c r="B92" s="6"/>
      <c r="C92" s="6"/>
      <c r="D92" s="6"/>
      <c r="E92" s="6"/>
      <c r="F92" s="6"/>
      <c r="G92" s="6"/>
      <c r="H92" s="6" t="s">
        <v>264</v>
      </c>
      <c r="I92" s="6"/>
      <c r="J92" s="6"/>
      <c r="K92" s="6"/>
      <c r="L92" s="6"/>
      <c r="M92" s="6"/>
      <c r="N92" s="6"/>
      <c r="O92" s="6"/>
      <c r="P92" s="6"/>
    </row>
    <row r="93" spans="1:25">
      <c r="A93" s="6"/>
      <c r="B93" s="6"/>
      <c r="C93" s="6"/>
      <c r="D93" s="6"/>
      <c r="E93" s="6"/>
      <c r="F93" s="6"/>
      <c r="G93" s="6"/>
      <c r="H93" s="6" t="s">
        <v>265</v>
      </c>
      <c r="I93" s="6"/>
      <c r="J93" s="6"/>
      <c r="K93" s="6"/>
      <c r="L93" s="6"/>
      <c r="M93" s="6"/>
      <c r="N93" s="6"/>
      <c r="O93" s="6"/>
      <c r="P93" s="6"/>
    </row>
    <row r="94" spans="1:25">
      <c r="A94" s="6"/>
      <c r="B94" s="6"/>
      <c r="C94" s="6"/>
      <c r="D94" s="6"/>
      <c r="E94" s="6"/>
      <c r="F94" s="6"/>
      <c r="G94" s="6"/>
      <c r="H94" s="6" t="s">
        <v>266</v>
      </c>
      <c r="I94" s="6"/>
      <c r="J94" s="6"/>
      <c r="K94" s="6"/>
      <c r="L94" s="6"/>
      <c r="M94" s="6"/>
      <c r="N94" s="6"/>
      <c r="O94" s="6"/>
      <c r="P94" s="6"/>
    </row>
    <row r="95" spans="1:25">
      <c r="A95" s="6"/>
      <c r="B95" s="6"/>
      <c r="C95" s="6"/>
      <c r="D95" s="6"/>
      <c r="E95" s="6"/>
      <c r="F95" s="6"/>
      <c r="G95" s="6"/>
      <c r="H95" s="6" t="s">
        <v>267</v>
      </c>
      <c r="I95" s="6"/>
      <c r="J95" s="6"/>
      <c r="K95" s="6"/>
      <c r="L95" s="6"/>
      <c r="M95" s="6"/>
      <c r="N95" s="6"/>
      <c r="O95" s="6"/>
      <c r="P95" s="6"/>
    </row>
    <row r="96" spans="1:25">
      <c r="A96" s="6"/>
      <c r="B96" s="6"/>
      <c r="C96" s="6"/>
      <c r="D96" s="6"/>
      <c r="E96" s="6"/>
      <c r="F96" s="6"/>
      <c r="G96" s="6"/>
      <c r="H96" s="6" t="s">
        <v>268</v>
      </c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 t="s">
        <v>269</v>
      </c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 t="s">
        <v>255</v>
      </c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 t="s">
        <v>270</v>
      </c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 t="s">
        <v>159</v>
      </c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 t="s">
        <v>163</v>
      </c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 t="s">
        <v>168</v>
      </c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 t="s">
        <v>172</v>
      </c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 t="s">
        <v>162</v>
      </c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 t="s">
        <v>167</v>
      </c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 t="s">
        <v>163</v>
      </c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 t="s">
        <v>168</v>
      </c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 t="s">
        <v>172</v>
      </c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 t="s">
        <v>271</v>
      </c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 t="s">
        <v>272</v>
      </c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 t="s">
        <v>273</v>
      </c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1"/>
  </sheetPr>
  <dimension ref="A1:Z145"/>
  <sheetViews>
    <sheetView workbookViewId="0">
      <selection activeCell="Y18" sqref="Y18"/>
    </sheetView>
  </sheetViews>
  <sheetFormatPr defaultColWidth="9.1796875" defaultRowHeight="12.5"/>
  <cols>
    <col min="1" max="1" width="20.54296875" style="12" customWidth="1"/>
    <col min="2" max="16" width="8.7265625" style="12" customWidth="1"/>
    <col min="17" max="16384" width="9.1796875" style="12"/>
  </cols>
  <sheetData>
    <row r="1" spans="1:26" ht="13">
      <c r="A1" s="39"/>
      <c r="B1" s="39" t="s">
        <v>274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0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</row>
    <row r="2" spans="1:26" ht="13">
      <c r="C2" s="6"/>
      <c r="D2" s="6"/>
      <c r="E2" s="6"/>
      <c r="F2" s="6"/>
      <c r="G2" s="6"/>
      <c r="H2" s="6"/>
      <c r="I2" s="6"/>
      <c r="J2" s="6"/>
      <c r="K2" s="6"/>
      <c r="L2" s="6" t="s">
        <v>74</v>
      </c>
      <c r="M2" s="6"/>
      <c r="N2" s="41"/>
      <c r="O2" s="6"/>
      <c r="P2" s="6"/>
      <c r="Q2" s="6"/>
      <c r="R2" s="6"/>
    </row>
    <row r="3" spans="1:26" s="63" customFormat="1">
      <c r="A3" s="42"/>
      <c r="B3" s="37" t="s">
        <v>77</v>
      </c>
      <c r="C3" s="37" t="s">
        <v>78</v>
      </c>
      <c r="D3" s="37" t="s">
        <v>79</v>
      </c>
      <c r="E3" s="37" t="s">
        <v>80</v>
      </c>
      <c r="F3" s="37" t="s">
        <v>81</v>
      </c>
      <c r="G3" s="37" t="s">
        <v>82</v>
      </c>
      <c r="H3" s="37" t="s">
        <v>83</v>
      </c>
      <c r="I3" s="37" t="s">
        <v>84</v>
      </c>
      <c r="J3" s="37" t="s">
        <v>85</v>
      </c>
      <c r="K3" s="37" t="s">
        <v>86</v>
      </c>
      <c r="L3" s="37" t="s">
        <v>87</v>
      </c>
      <c r="M3" s="37" t="s">
        <v>88</v>
      </c>
      <c r="N3" s="43" t="s">
        <v>89</v>
      </c>
      <c r="O3" s="37" t="s">
        <v>90</v>
      </c>
      <c r="P3" s="37" t="s">
        <v>91</v>
      </c>
      <c r="Q3" s="37" t="s">
        <v>92</v>
      </c>
      <c r="R3" s="37" t="s">
        <v>93</v>
      </c>
      <c r="S3" s="37" t="s">
        <v>94</v>
      </c>
      <c r="T3" s="37" t="s">
        <v>95</v>
      </c>
      <c r="U3" s="37" t="s">
        <v>96</v>
      </c>
      <c r="V3" s="37" t="s">
        <v>97</v>
      </c>
      <c r="W3" s="37" t="s">
        <v>98</v>
      </c>
      <c r="X3" s="37" t="s">
        <v>99</v>
      </c>
      <c r="Y3" s="42"/>
      <c r="Z3" s="42"/>
    </row>
    <row r="4" spans="1:26">
      <c r="A4" s="52" t="s">
        <v>112</v>
      </c>
      <c r="B4" s="7">
        <f>8967+3179</f>
        <v>12146</v>
      </c>
      <c r="C4" s="7">
        <v>16275</v>
      </c>
      <c r="D4" s="7"/>
      <c r="E4" s="52">
        <v>15994</v>
      </c>
      <c r="F4" s="52">
        <v>15802</v>
      </c>
      <c r="G4" s="52">
        <v>15859</v>
      </c>
      <c r="H4" s="52">
        <v>15723</v>
      </c>
      <c r="I4" s="52">
        <v>11055</v>
      </c>
      <c r="J4" s="52">
        <v>10973</v>
      </c>
      <c r="K4" s="52">
        <v>11035</v>
      </c>
      <c r="L4" s="52">
        <f>11124-(56+52+97)</f>
        <v>10919</v>
      </c>
      <c r="M4" s="52">
        <f>11091-41-54-104</f>
        <v>10892</v>
      </c>
      <c r="N4" s="55">
        <f>11160-43-53-111</f>
        <v>10953</v>
      </c>
      <c r="O4" s="52">
        <f>11202-45-47-111</f>
        <v>10999</v>
      </c>
      <c r="P4" s="52">
        <f>11157-40-52-108</f>
        <v>10957</v>
      </c>
      <c r="Q4" s="52">
        <f>11142-42-42-111</f>
        <v>10947</v>
      </c>
      <c r="R4" s="52">
        <f>10994-45-48-103</f>
        <v>10798</v>
      </c>
      <c r="S4" s="52">
        <f>10962-28-48-106</f>
        <v>10780</v>
      </c>
      <c r="T4" s="52">
        <f>10817-46-40-108</f>
        <v>10623</v>
      </c>
      <c r="U4" s="52">
        <f>10844-52-58-113</f>
        <v>10621</v>
      </c>
      <c r="V4" s="52">
        <f>10589-207</f>
        <v>10382</v>
      </c>
      <c r="W4" s="52">
        <f>SUM(W7:W55)</f>
        <v>8433</v>
      </c>
      <c r="X4" s="52" t="s">
        <v>156</v>
      </c>
      <c r="Y4" s="49"/>
      <c r="Z4" s="49"/>
    </row>
    <row r="5" spans="1:26">
      <c r="A5" s="53" t="s">
        <v>113</v>
      </c>
      <c r="B5" s="44">
        <f>SUM(B7:B19)</f>
        <v>1772</v>
      </c>
      <c r="C5" s="44">
        <f>SUM(C7:C19)</f>
        <v>1937</v>
      </c>
      <c r="D5" s="44"/>
      <c r="E5" s="53">
        <f t="shared" ref="E5:W5" si="0">SUM(E7:E19)</f>
        <v>1997</v>
      </c>
      <c r="F5" s="53">
        <f t="shared" si="0"/>
        <v>1989</v>
      </c>
      <c r="G5" s="53">
        <f t="shared" si="0"/>
        <v>1988</v>
      </c>
      <c r="H5" s="53">
        <f t="shared" si="0"/>
        <v>2014</v>
      </c>
      <c r="I5" s="53">
        <f t="shared" si="0"/>
        <v>1768</v>
      </c>
      <c r="J5" s="53">
        <f t="shared" si="0"/>
        <v>1762</v>
      </c>
      <c r="K5" s="53">
        <f t="shared" si="0"/>
        <v>1785</v>
      </c>
      <c r="L5" s="53">
        <f t="shared" si="0"/>
        <v>1810</v>
      </c>
      <c r="M5" s="53">
        <f t="shared" si="0"/>
        <v>1769</v>
      </c>
      <c r="N5" s="56">
        <f t="shared" si="0"/>
        <v>1854</v>
      </c>
      <c r="O5" s="53">
        <f t="shared" si="0"/>
        <v>1817</v>
      </c>
      <c r="P5" s="53">
        <f t="shared" si="0"/>
        <v>1844</v>
      </c>
      <c r="Q5" s="53">
        <f t="shared" si="0"/>
        <v>1861</v>
      </c>
      <c r="R5" s="53">
        <f t="shared" si="0"/>
        <v>1856</v>
      </c>
      <c r="S5" s="53">
        <f t="shared" si="0"/>
        <v>1855</v>
      </c>
      <c r="T5" s="53">
        <f t="shared" si="0"/>
        <v>1853</v>
      </c>
      <c r="U5" s="53">
        <f t="shared" si="0"/>
        <v>1892</v>
      </c>
      <c r="V5" s="53">
        <f t="shared" si="0"/>
        <v>1886</v>
      </c>
      <c r="W5" s="53">
        <f t="shared" si="0"/>
        <v>3290</v>
      </c>
      <c r="X5" s="53"/>
      <c r="Y5" s="53"/>
      <c r="Z5" s="53"/>
    </row>
    <row r="6" spans="1:26">
      <c r="A6" s="50" t="s">
        <v>14</v>
      </c>
      <c r="B6" s="45">
        <f>(B5/B4)*100</f>
        <v>14.589165157253417</v>
      </c>
      <c r="C6" s="45">
        <f>(C5/C4)*100</f>
        <v>11.901689708141321</v>
      </c>
      <c r="D6" s="45"/>
      <c r="E6" s="54">
        <f t="shared" ref="E6:O6" si="1">(E5/E4)*100</f>
        <v>12.48593222458422</v>
      </c>
      <c r="F6" s="54">
        <f t="shared" si="1"/>
        <v>12.587014301987089</v>
      </c>
      <c r="G6" s="54">
        <f t="shared" si="1"/>
        <v>12.53546881896715</v>
      </c>
      <c r="H6" s="54">
        <f t="shared" si="1"/>
        <v>12.80926031927749</v>
      </c>
      <c r="I6" s="54">
        <f t="shared" si="1"/>
        <v>15.992763455450024</v>
      </c>
      <c r="J6" s="54">
        <f t="shared" si="1"/>
        <v>16.057595917251437</v>
      </c>
      <c r="K6" s="54">
        <f t="shared" si="1"/>
        <v>16.175804259175351</v>
      </c>
      <c r="L6" s="54">
        <f t="shared" si="1"/>
        <v>16.576609579631835</v>
      </c>
      <c r="M6" s="54">
        <f t="shared" si="1"/>
        <v>16.241278002203451</v>
      </c>
      <c r="N6" s="57">
        <f t="shared" si="1"/>
        <v>16.926869350862777</v>
      </c>
      <c r="O6" s="54">
        <f t="shared" si="1"/>
        <v>16.51968360760069</v>
      </c>
      <c r="P6" s="54">
        <f t="shared" ref="P6:U6" si="2">(P5/P4)*100</f>
        <v>16.829424112439536</v>
      </c>
      <c r="Q6" s="54">
        <f t="shared" si="2"/>
        <v>17.0000913492281</v>
      </c>
      <c r="R6" s="54">
        <f t="shared" si="2"/>
        <v>17.188368216336357</v>
      </c>
      <c r="S6" s="54">
        <f t="shared" si="2"/>
        <v>17.20779220779221</v>
      </c>
      <c r="T6" s="54">
        <f t="shared" si="2"/>
        <v>17.443283441589006</v>
      </c>
      <c r="U6" s="54">
        <f t="shared" si="2"/>
        <v>17.813765182186234</v>
      </c>
      <c r="V6" s="54">
        <f>(V5/V4)*100</f>
        <v>18.166056636486228</v>
      </c>
      <c r="W6" s="54">
        <f>(W5/W4)*100</f>
        <v>39.013399739120125</v>
      </c>
      <c r="X6" s="54"/>
      <c r="Y6" s="54"/>
      <c r="Z6" s="54"/>
    </row>
    <row r="7" spans="1:26">
      <c r="A7" s="8" t="s">
        <v>15</v>
      </c>
      <c r="B7" s="21">
        <f>144+64</f>
        <v>208</v>
      </c>
      <c r="C7" s="21">
        <v>236</v>
      </c>
      <c r="D7" s="21"/>
      <c r="E7" s="8">
        <v>233</v>
      </c>
      <c r="F7" s="8">
        <v>216</v>
      </c>
      <c r="G7" s="8">
        <v>218</v>
      </c>
      <c r="H7" s="8">
        <v>221</v>
      </c>
      <c r="I7" s="8">
        <f>132+51</f>
        <v>183</v>
      </c>
      <c r="J7" s="8">
        <f>132+44</f>
        <v>176</v>
      </c>
      <c r="K7" s="8">
        <f>133+58</f>
        <v>191</v>
      </c>
      <c r="L7" s="8">
        <f>151+58</f>
        <v>209</v>
      </c>
      <c r="M7" s="8">
        <f>132+58</f>
        <v>190</v>
      </c>
      <c r="N7" s="15">
        <f>142+57</f>
        <v>199</v>
      </c>
      <c r="O7" s="8">
        <f>137+59</f>
        <v>196</v>
      </c>
      <c r="P7" s="8">
        <f>143+60</f>
        <v>203</v>
      </c>
      <c r="Q7" s="8">
        <f>149+62</f>
        <v>211</v>
      </c>
      <c r="R7" s="8">
        <f>141+57</f>
        <v>198</v>
      </c>
      <c r="S7" s="8">
        <f>148+60</f>
        <v>208</v>
      </c>
      <c r="T7" s="8">
        <f>140+54</f>
        <v>194</v>
      </c>
      <c r="U7" s="8">
        <f>139+60</f>
        <v>199</v>
      </c>
      <c r="V7" s="8">
        <f>144+57</f>
        <v>201</v>
      </c>
      <c r="W7" s="8">
        <v>198</v>
      </c>
      <c r="X7" s="8"/>
      <c r="Y7" s="8"/>
      <c r="Z7" s="8"/>
    </row>
    <row r="8" spans="1:26">
      <c r="A8" s="8" t="s">
        <v>16</v>
      </c>
      <c r="B8" s="21"/>
      <c r="C8" s="21"/>
      <c r="D8" s="21"/>
      <c r="E8" s="8"/>
      <c r="F8" s="8"/>
      <c r="G8" s="8"/>
      <c r="H8" s="8"/>
      <c r="I8" s="8"/>
      <c r="J8" s="8"/>
      <c r="K8" s="8"/>
      <c r="L8" s="8"/>
      <c r="M8" s="8"/>
      <c r="N8" s="15"/>
      <c r="O8" s="8"/>
      <c r="P8" s="8"/>
      <c r="Q8" s="8"/>
      <c r="R8" s="8"/>
      <c r="S8" s="8"/>
      <c r="T8" s="8"/>
      <c r="U8" s="8"/>
      <c r="V8" s="8"/>
      <c r="W8" s="8">
        <v>808</v>
      </c>
      <c r="X8" s="8"/>
      <c r="Y8" s="8"/>
      <c r="Z8" s="8"/>
    </row>
    <row r="9" spans="1:26">
      <c r="A9" s="8" t="s">
        <v>17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>
        <v>15</v>
      </c>
      <c r="X9" s="8"/>
      <c r="Y9" s="8"/>
      <c r="Z9" s="8"/>
    </row>
    <row r="10" spans="1:26">
      <c r="A10" s="8" t="s">
        <v>18</v>
      </c>
      <c r="B10" s="21">
        <f>176+57+18+23</f>
        <v>274</v>
      </c>
      <c r="C10" s="21">
        <v>335</v>
      </c>
      <c r="D10" s="21"/>
      <c r="E10" s="8">
        <v>335</v>
      </c>
      <c r="F10" s="8">
        <v>347</v>
      </c>
      <c r="G10" s="8">
        <v>362</v>
      </c>
      <c r="H10" s="8">
        <v>374</v>
      </c>
      <c r="I10" s="8">
        <f>55+171+42+21</f>
        <v>289</v>
      </c>
      <c r="J10" s="8">
        <f>57+173+47+23</f>
        <v>300</v>
      </c>
      <c r="K10" s="8">
        <f>53+176+43+23</f>
        <v>295</v>
      </c>
      <c r="L10" s="8">
        <f>63+179+55+22</f>
        <v>319</v>
      </c>
      <c r="M10" s="8">
        <f>55+178+54+22</f>
        <v>309</v>
      </c>
      <c r="N10" s="15">
        <f>61+176+55+26</f>
        <v>318</v>
      </c>
      <c r="O10" s="8">
        <f>57+177+56+19</f>
        <v>309</v>
      </c>
      <c r="P10" s="8">
        <f>61+179+55+22</f>
        <v>317</v>
      </c>
      <c r="Q10" s="8">
        <f>44+178+54+26</f>
        <v>302</v>
      </c>
      <c r="R10" s="8">
        <f>43+178+54+26</f>
        <v>301</v>
      </c>
      <c r="S10" s="8">
        <f>39+180+55+27</f>
        <v>301</v>
      </c>
      <c r="T10" s="8">
        <f>50+177+58+29</f>
        <v>314</v>
      </c>
      <c r="U10" s="8">
        <f>46+180+56+23</f>
        <v>305</v>
      </c>
      <c r="V10" s="8">
        <f>36+176+60+27</f>
        <v>299</v>
      </c>
      <c r="W10" s="8">
        <v>292</v>
      </c>
      <c r="X10" s="8"/>
      <c r="Y10" s="8"/>
      <c r="Z10" s="8"/>
    </row>
    <row r="11" spans="1:26">
      <c r="A11" s="8" t="s">
        <v>19</v>
      </c>
      <c r="B11" s="21"/>
      <c r="C11" s="21"/>
      <c r="D11" s="21"/>
      <c r="E11" s="8"/>
      <c r="F11" s="8"/>
      <c r="G11" s="8"/>
      <c r="H11" s="8"/>
      <c r="I11" s="8"/>
      <c r="J11" s="8"/>
      <c r="K11" s="8"/>
      <c r="L11" s="8"/>
      <c r="M11" s="8"/>
      <c r="N11" s="15"/>
      <c r="O11" s="8"/>
      <c r="P11" s="8"/>
      <c r="Q11" s="8"/>
      <c r="R11" s="8"/>
      <c r="S11" s="8"/>
      <c r="T11" s="8"/>
      <c r="U11" s="8"/>
      <c r="V11" s="8"/>
      <c r="W11" s="8">
        <v>44</v>
      </c>
      <c r="X11" s="8"/>
      <c r="Y11" s="8"/>
      <c r="Z11" s="8"/>
    </row>
    <row r="12" spans="1:26">
      <c r="A12" s="8" t="s">
        <v>20</v>
      </c>
      <c r="B12" s="21">
        <f>175+101+52</f>
        <v>328</v>
      </c>
      <c r="C12" s="21">
        <v>339</v>
      </c>
      <c r="D12" s="21"/>
      <c r="E12" s="8">
        <v>349</v>
      </c>
      <c r="F12" s="8">
        <v>354</v>
      </c>
      <c r="G12" s="8">
        <v>340</v>
      </c>
      <c r="H12" s="8">
        <v>331</v>
      </c>
      <c r="I12" s="8">
        <f>176+98+24</f>
        <v>298</v>
      </c>
      <c r="J12" s="8">
        <f>175+99+17</f>
        <v>291</v>
      </c>
      <c r="K12" s="8">
        <f>175+99+23</f>
        <v>297</v>
      </c>
      <c r="L12" s="8">
        <f>175+98+26</f>
        <v>299</v>
      </c>
      <c r="M12" s="8">
        <f>175+100+22</f>
        <v>297</v>
      </c>
      <c r="N12" s="15">
        <f>174+101+33</f>
        <v>308</v>
      </c>
      <c r="O12" s="8">
        <f>175+100+24</f>
        <v>299</v>
      </c>
      <c r="P12" s="8">
        <f>167+98+31</f>
        <v>296</v>
      </c>
      <c r="Q12" s="8">
        <f>167+99+33</f>
        <v>299</v>
      </c>
      <c r="R12" s="8">
        <f>165+100+25</f>
        <v>290</v>
      </c>
      <c r="S12" s="8">
        <f>169+100+35</f>
        <v>304</v>
      </c>
      <c r="T12" s="8">
        <f>165+100+32</f>
        <v>297</v>
      </c>
      <c r="U12" s="8">
        <f>165+99+41</f>
        <v>305</v>
      </c>
      <c r="V12" s="8">
        <f>166+101+37</f>
        <v>304</v>
      </c>
      <c r="W12" s="8">
        <v>310</v>
      </c>
      <c r="X12" s="8"/>
      <c r="Y12" s="8"/>
      <c r="Z12" s="8"/>
    </row>
    <row r="13" spans="1:26">
      <c r="A13" s="8" t="s">
        <v>21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8"/>
      <c r="M13" s="8"/>
      <c r="N13" s="15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>
      <c r="A14" s="8" t="s">
        <v>22</v>
      </c>
      <c r="B14" s="21"/>
      <c r="C14" s="21"/>
      <c r="D14" s="21"/>
      <c r="E14" s="8"/>
      <c r="F14" s="8"/>
      <c r="G14" s="8"/>
      <c r="H14" s="8"/>
      <c r="I14" s="8"/>
      <c r="J14" s="8"/>
      <c r="K14" s="8"/>
      <c r="L14" s="8"/>
      <c r="M14" s="8"/>
      <c r="N14" s="15"/>
      <c r="O14" s="8"/>
      <c r="P14" s="8"/>
      <c r="Q14" s="8"/>
      <c r="R14" s="8"/>
      <c r="S14" s="8"/>
      <c r="T14" s="8"/>
      <c r="U14" s="8"/>
      <c r="V14" s="8"/>
      <c r="W14" s="8">
        <v>203</v>
      </c>
      <c r="X14" s="8"/>
      <c r="Y14" s="8"/>
      <c r="Z14" s="8"/>
    </row>
    <row r="15" spans="1:26">
      <c r="A15" s="8" t="s">
        <v>23</v>
      </c>
      <c r="B15" s="21"/>
      <c r="C15" s="21"/>
      <c r="D15" s="21"/>
      <c r="E15" s="8"/>
      <c r="F15" s="8"/>
      <c r="G15" s="8"/>
      <c r="H15" s="8"/>
      <c r="I15" s="8"/>
      <c r="J15" s="8"/>
      <c r="K15" s="8"/>
      <c r="L15" s="8"/>
      <c r="M15" s="8"/>
      <c r="N15" s="15"/>
      <c r="O15" s="8"/>
      <c r="P15" s="8"/>
      <c r="Q15" s="8"/>
      <c r="R15" s="8"/>
      <c r="S15" s="8"/>
      <c r="T15" s="8"/>
      <c r="U15" s="8"/>
      <c r="V15" s="8"/>
      <c r="W15" s="8">
        <v>189</v>
      </c>
      <c r="X15" s="8"/>
      <c r="Y15" s="8"/>
      <c r="Z15" s="8"/>
    </row>
    <row r="16" spans="1:26">
      <c r="A16" s="8" t="s">
        <v>24</v>
      </c>
      <c r="B16" s="21"/>
      <c r="C16" s="21"/>
      <c r="D16" s="21"/>
      <c r="E16" s="8"/>
      <c r="F16" s="8"/>
      <c r="G16" s="8"/>
      <c r="H16" s="8"/>
      <c r="I16" s="8"/>
      <c r="J16" s="8"/>
      <c r="K16" s="8"/>
      <c r="L16" s="8"/>
      <c r="M16" s="8"/>
      <c r="N16" s="15"/>
      <c r="O16" s="8"/>
      <c r="P16" s="8"/>
      <c r="Q16" s="8"/>
      <c r="R16" s="8"/>
      <c r="S16" s="8"/>
      <c r="T16" s="8"/>
      <c r="U16" s="8"/>
      <c r="V16" s="8"/>
      <c r="W16" s="8">
        <v>42</v>
      </c>
      <c r="X16" s="8"/>
      <c r="Y16" s="8"/>
      <c r="Z16" s="8"/>
    </row>
    <row r="17" spans="1:26">
      <c r="A17" s="8" t="s">
        <v>25</v>
      </c>
      <c r="B17" s="21"/>
      <c r="C17" s="21"/>
      <c r="D17" s="21"/>
      <c r="E17" s="8"/>
      <c r="F17" s="8"/>
      <c r="G17" s="8"/>
      <c r="H17" s="8"/>
      <c r="I17" s="8"/>
      <c r="J17" s="8"/>
      <c r="K17" s="8"/>
      <c r="L17" s="8"/>
      <c r="M17" s="8"/>
      <c r="N17" s="15"/>
      <c r="O17" s="8"/>
      <c r="P17" s="8"/>
      <c r="Q17" s="8"/>
      <c r="R17" s="8"/>
      <c r="S17" s="8"/>
      <c r="T17" s="8"/>
      <c r="U17" s="8"/>
      <c r="V17" s="8"/>
      <c r="W17" s="8">
        <v>46</v>
      </c>
      <c r="X17" s="8"/>
      <c r="Y17" s="8"/>
      <c r="Z17" s="8"/>
    </row>
    <row r="18" spans="1:26">
      <c r="A18" s="8" t="s">
        <v>26</v>
      </c>
      <c r="B18" s="21"/>
      <c r="C18" s="21"/>
      <c r="D18" s="21"/>
      <c r="E18" s="8"/>
      <c r="F18" s="8"/>
      <c r="G18" s="8"/>
      <c r="H18" s="8"/>
      <c r="I18" s="8"/>
      <c r="J18" s="8"/>
      <c r="K18" s="8"/>
      <c r="L18" s="8"/>
      <c r="M18" s="8"/>
      <c r="N18" s="15"/>
      <c r="O18" s="8"/>
      <c r="P18" s="8"/>
      <c r="Q18" s="8"/>
      <c r="R18" s="8"/>
      <c r="S18" s="8"/>
      <c r="T18" s="8"/>
      <c r="U18" s="8"/>
      <c r="V18" s="8"/>
      <c r="W18" s="8">
        <v>46</v>
      </c>
      <c r="X18" s="8"/>
      <c r="Y18" s="8"/>
      <c r="Z18" s="8"/>
    </row>
    <row r="19" spans="1:26">
      <c r="A19" s="8" t="s">
        <v>27</v>
      </c>
      <c r="B19" s="21">
        <f>116+175+177+176+177+100+41</f>
        <v>962</v>
      </c>
      <c r="C19" s="21">
        <v>1027</v>
      </c>
      <c r="D19" s="21"/>
      <c r="E19" s="8">
        <v>1080</v>
      </c>
      <c r="F19" s="8">
        <v>1072</v>
      </c>
      <c r="G19" s="8">
        <v>1068</v>
      </c>
      <c r="H19" s="8">
        <v>1088</v>
      </c>
      <c r="I19" s="8">
        <f>115+196+170+190+182+47+98</f>
        <v>998</v>
      </c>
      <c r="J19" s="8">
        <f>112+195+185+185+179+44+95</f>
        <v>995</v>
      </c>
      <c r="K19" s="8">
        <f>114+196+180+190+176+47+99</f>
        <v>1002</v>
      </c>
      <c r="L19" s="8">
        <f>112+190+181+184+169+46+101</f>
        <v>983</v>
      </c>
      <c r="M19" s="8">
        <f>110+48+116+181+175+174+169</f>
        <v>973</v>
      </c>
      <c r="N19" s="15">
        <f>123+64+116+188+183+181+174</f>
        <v>1029</v>
      </c>
      <c r="O19" s="8">
        <f>122+63+112+184+191+175+166</f>
        <v>1013</v>
      </c>
      <c r="P19" s="8">
        <f>122+59+106+193+191+183+174</f>
        <v>1028</v>
      </c>
      <c r="Q19" s="8">
        <f>124+60+117+192+198+187+171</f>
        <v>1049</v>
      </c>
      <c r="R19" s="8">
        <f>129+74+113+194+195+191+171</f>
        <v>1067</v>
      </c>
      <c r="S19" s="8">
        <f>128+63+115+185+191+188+172</f>
        <v>1042</v>
      </c>
      <c r="T19" s="8">
        <f>112+63+124+187+192+193+177</f>
        <v>1048</v>
      </c>
      <c r="U19" s="8">
        <f>121+66+120+191+198+198+189</f>
        <v>1083</v>
      </c>
      <c r="V19" s="8">
        <f>132+64+120+190+192+196+188</f>
        <v>1082</v>
      </c>
      <c r="W19" s="8">
        <v>1097</v>
      </c>
      <c r="X19" s="8"/>
      <c r="Y19" s="8"/>
      <c r="Z19" s="8"/>
    </row>
    <row r="20" spans="1:26">
      <c r="A20" s="8" t="s">
        <v>28</v>
      </c>
      <c r="B20" s="21"/>
      <c r="C20" s="21"/>
      <c r="D20" s="21"/>
      <c r="E20" s="8"/>
      <c r="F20" s="8"/>
      <c r="G20" s="8"/>
      <c r="H20" s="8"/>
      <c r="I20" s="8"/>
      <c r="J20" s="8"/>
      <c r="K20" s="8"/>
      <c r="L20" s="8"/>
      <c r="M20" s="8"/>
      <c r="N20" s="15"/>
      <c r="O20" s="8"/>
      <c r="P20" s="8"/>
      <c r="Q20" s="8"/>
      <c r="R20" s="8"/>
      <c r="S20" s="8"/>
      <c r="T20" s="8"/>
      <c r="U20" s="8"/>
      <c r="V20" s="8"/>
      <c r="W20" s="8">
        <v>76</v>
      </c>
      <c r="X20" s="8"/>
      <c r="Y20" s="8"/>
      <c r="Z20" s="8"/>
    </row>
    <row r="21" spans="1:26">
      <c r="A21" s="8" t="s">
        <v>29</v>
      </c>
      <c r="B21" s="21"/>
      <c r="C21" s="21"/>
      <c r="D21" s="21"/>
      <c r="E21" s="8"/>
      <c r="F21" s="8"/>
      <c r="G21" s="8"/>
      <c r="H21" s="8"/>
      <c r="I21" s="8"/>
      <c r="J21" s="8"/>
      <c r="K21" s="8"/>
      <c r="L21" s="8"/>
      <c r="M21" s="8"/>
      <c r="N21" s="15"/>
      <c r="O21" s="8"/>
      <c r="P21" s="8"/>
      <c r="Q21" s="8"/>
      <c r="R21" s="8"/>
      <c r="S21" s="8"/>
      <c r="T21" s="8"/>
      <c r="U21" s="8"/>
      <c r="V21" s="8"/>
      <c r="W21" s="8">
        <v>109</v>
      </c>
      <c r="X21" s="8"/>
      <c r="Y21" s="8"/>
      <c r="Z21" s="8"/>
    </row>
    <row r="22" spans="1:26">
      <c r="A22" s="9" t="s">
        <v>30</v>
      </c>
      <c r="B22" s="7"/>
      <c r="C22" s="7"/>
      <c r="D22" s="7"/>
      <c r="E22" s="9"/>
      <c r="F22" s="9"/>
      <c r="G22" s="9"/>
      <c r="H22" s="9"/>
      <c r="I22" s="9"/>
      <c r="J22" s="9"/>
      <c r="K22" s="9"/>
      <c r="L22" s="9"/>
      <c r="M22" s="9"/>
      <c r="N22" s="16"/>
      <c r="O22" s="9"/>
      <c r="P22" s="9"/>
      <c r="Q22" s="9"/>
      <c r="R22" s="9"/>
      <c r="S22" s="9"/>
      <c r="T22" s="9"/>
      <c r="U22" s="9"/>
      <c r="V22" s="9"/>
      <c r="W22" s="9">
        <v>199</v>
      </c>
      <c r="X22" s="9"/>
      <c r="Y22" s="9"/>
      <c r="Z22" s="9"/>
    </row>
    <row r="23" spans="1:26">
      <c r="A23" s="53" t="s">
        <v>31</v>
      </c>
      <c r="B23" s="21"/>
      <c r="C23" s="21"/>
      <c r="D23" s="21"/>
      <c r="E23" s="53"/>
      <c r="F23" s="53"/>
      <c r="G23" s="53"/>
      <c r="H23" s="53"/>
      <c r="I23" s="53"/>
      <c r="J23" s="53"/>
      <c r="K23" s="53"/>
      <c r="L23" s="53"/>
      <c r="M23" s="53"/>
      <c r="N23" s="56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>
      <c r="A24" s="50" t="s">
        <v>14</v>
      </c>
      <c r="B24" s="45"/>
      <c r="C24" s="45"/>
      <c r="D24" s="45"/>
      <c r="E24" s="54"/>
      <c r="F24" s="54"/>
      <c r="G24" s="54"/>
      <c r="H24" s="54"/>
      <c r="I24" s="54"/>
      <c r="J24" s="54"/>
      <c r="K24" s="54"/>
      <c r="L24" s="54"/>
      <c r="M24" s="54"/>
      <c r="N24" s="57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>
      <c r="A25" s="8" t="s">
        <v>32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>
        <v>111</v>
      </c>
      <c r="X25" s="8"/>
      <c r="Y25" s="53"/>
      <c r="Z25" s="53"/>
    </row>
    <row r="26" spans="1:26">
      <c r="A26" s="8" t="s">
        <v>33</v>
      </c>
      <c r="B26" s="21">
        <v>134</v>
      </c>
      <c r="C26" s="46">
        <v>142</v>
      </c>
      <c r="D26" s="46"/>
      <c r="E26" s="8">
        <v>144</v>
      </c>
      <c r="F26" s="8">
        <v>147</v>
      </c>
      <c r="G26" s="8">
        <v>147</v>
      </c>
      <c r="H26" s="8">
        <v>144</v>
      </c>
      <c r="I26" s="8">
        <v>134</v>
      </c>
      <c r="J26" s="8">
        <v>136</v>
      </c>
      <c r="K26" s="8">
        <v>138</v>
      </c>
      <c r="L26" s="8">
        <v>137</v>
      </c>
      <c r="M26" s="8">
        <v>140</v>
      </c>
      <c r="N26" s="15">
        <v>139</v>
      </c>
      <c r="O26" s="8">
        <v>138</v>
      </c>
      <c r="P26" s="8">
        <v>141</v>
      </c>
      <c r="Q26" s="8">
        <v>145</v>
      </c>
      <c r="R26" s="8">
        <v>140</v>
      </c>
      <c r="S26" s="8">
        <v>136</v>
      </c>
      <c r="T26" s="8">
        <v>143</v>
      </c>
      <c r="U26" s="8">
        <v>98</v>
      </c>
      <c r="V26" s="8">
        <v>138</v>
      </c>
      <c r="W26" s="8">
        <v>143</v>
      </c>
      <c r="X26" s="8"/>
      <c r="Y26" s="8"/>
      <c r="Z26" s="8"/>
    </row>
    <row r="27" spans="1:26">
      <c r="A27" s="8" t="s">
        <v>34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>
        <v>103</v>
      </c>
      <c r="X27" s="8"/>
      <c r="Y27" s="8"/>
      <c r="Z27" s="8"/>
    </row>
    <row r="28" spans="1:26">
      <c r="A28" s="8" t="s">
        <v>35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>
        <v>67</v>
      </c>
      <c r="X28" s="8"/>
      <c r="Y28" s="8"/>
      <c r="Z28" s="8"/>
    </row>
    <row r="29" spans="1:26">
      <c r="A29" s="8" t="s">
        <v>36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>
      <c r="A30" s="8" t="s">
        <v>37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>
        <v>605</v>
      </c>
      <c r="X30" s="8"/>
      <c r="Y30" s="8"/>
      <c r="Z30" s="8"/>
    </row>
    <row r="31" spans="1:26">
      <c r="A31" s="8" t="s">
        <v>38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>
        <v>115</v>
      </c>
      <c r="X31" s="8"/>
      <c r="Y31" s="8"/>
      <c r="Z31" s="8"/>
    </row>
    <row r="32" spans="1:26">
      <c r="A32" s="8" t="s">
        <v>39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>
      <c r="A33" s="8" t="s">
        <v>40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>
        <v>912</v>
      </c>
      <c r="X33" s="8"/>
      <c r="Y33" s="8"/>
      <c r="Z33" s="8"/>
    </row>
    <row r="34" spans="1:26">
      <c r="A34" s="8" t="s">
        <v>41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>
        <v>403</v>
      </c>
      <c r="X34" s="8"/>
      <c r="Y34" s="8"/>
      <c r="Z34" s="8"/>
    </row>
    <row r="35" spans="1:26">
      <c r="A35" s="8" t="s">
        <v>42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>
        <v>31</v>
      </c>
      <c r="X35" s="8"/>
      <c r="Y35" s="8"/>
      <c r="Z35" s="8"/>
    </row>
    <row r="36" spans="1:26">
      <c r="A36" s="8" t="s">
        <v>43</v>
      </c>
      <c r="B36" s="6">
        <f>80+43</f>
        <v>123</v>
      </c>
      <c r="C36" s="6">
        <v>139</v>
      </c>
      <c r="D36" s="6"/>
      <c r="E36" s="17">
        <v>136</v>
      </c>
      <c r="F36" s="8">
        <v>123</v>
      </c>
      <c r="G36" s="8">
        <v>112</v>
      </c>
      <c r="H36" s="8">
        <v>120</v>
      </c>
      <c r="I36" s="8">
        <f>38+74</f>
        <v>112</v>
      </c>
      <c r="J36" s="8">
        <f>40+65</f>
        <v>105</v>
      </c>
      <c r="K36" s="8">
        <f>42+72</f>
        <v>114</v>
      </c>
      <c r="L36" s="8">
        <f>42+82</f>
        <v>124</v>
      </c>
      <c r="M36" s="8">
        <f>46+80</f>
        <v>126</v>
      </c>
      <c r="N36" s="15">
        <f>45+85</f>
        <v>130</v>
      </c>
      <c r="O36" s="8">
        <f>45+84</f>
        <v>129</v>
      </c>
      <c r="P36" s="8">
        <f>47+82</f>
        <v>129</v>
      </c>
      <c r="Q36" s="8">
        <f>45+84</f>
        <v>129</v>
      </c>
      <c r="R36" s="8">
        <f>47+83</f>
        <v>130</v>
      </c>
      <c r="S36" s="8">
        <f>45+83</f>
        <v>128</v>
      </c>
      <c r="T36" s="8">
        <f>42+82</f>
        <v>124</v>
      </c>
      <c r="U36" s="8">
        <f>45+86</f>
        <v>131</v>
      </c>
      <c r="V36" s="8">
        <f>47+81</f>
        <v>128</v>
      </c>
      <c r="W36" s="8">
        <v>107</v>
      </c>
      <c r="X36" s="8"/>
      <c r="Y36" s="8"/>
      <c r="Z36" s="8"/>
    </row>
    <row r="37" spans="1:26">
      <c r="A37" s="9" t="s">
        <v>44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53" t="s">
        <v>45</v>
      </c>
      <c r="B38" s="21"/>
      <c r="C38" s="21"/>
      <c r="D38" s="21"/>
      <c r="E38" s="53"/>
      <c r="F38" s="53"/>
      <c r="G38" s="53"/>
      <c r="H38" s="53"/>
      <c r="I38" s="53"/>
      <c r="J38" s="53"/>
      <c r="K38" s="53"/>
      <c r="L38" s="53"/>
      <c r="M38" s="53"/>
      <c r="N38" s="56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>
      <c r="A39" s="50" t="s">
        <v>14</v>
      </c>
      <c r="B39" s="45"/>
      <c r="C39" s="45"/>
      <c r="D39" s="45"/>
      <c r="E39" s="54"/>
      <c r="F39" s="54"/>
      <c r="G39" s="54"/>
      <c r="H39" s="54"/>
      <c r="I39" s="54"/>
      <c r="J39" s="54"/>
      <c r="K39" s="54"/>
      <c r="L39" s="54"/>
      <c r="M39" s="54"/>
      <c r="N39" s="57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>
      <c r="A40" s="8" t="s">
        <v>46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>
        <v>246</v>
      </c>
      <c r="X40" s="8"/>
      <c r="Y40" s="8"/>
      <c r="Z40" s="8"/>
    </row>
    <row r="41" spans="1:26">
      <c r="A41" s="8" t="s">
        <v>47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>
        <v>93</v>
      </c>
      <c r="X41" s="8"/>
      <c r="Y41" s="8"/>
      <c r="Z41" s="8"/>
    </row>
    <row r="42" spans="1:26">
      <c r="A42" s="8" t="s">
        <v>48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>
        <v>147</v>
      </c>
      <c r="X42" s="8"/>
      <c r="Y42" s="8"/>
      <c r="Z42" s="8"/>
    </row>
    <row r="43" spans="1:26">
      <c r="A43" s="8" t="s">
        <v>49</v>
      </c>
      <c r="B43" s="21">
        <f>85+119</f>
        <v>204</v>
      </c>
      <c r="C43" s="21">
        <v>232</v>
      </c>
      <c r="D43" s="21"/>
      <c r="E43" s="8">
        <v>225</v>
      </c>
      <c r="F43" s="8">
        <v>222</v>
      </c>
      <c r="G43" s="8">
        <v>212</v>
      </c>
      <c r="H43" s="8">
        <v>222</v>
      </c>
      <c r="I43" s="8">
        <f>89+123</f>
        <v>212</v>
      </c>
      <c r="J43" s="8">
        <f>82+115</f>
        <v>197</v>
      </c>
      <c r="K43" s="8">
        <f>80+123</f>
        <v>203</v>
      </c>
      <c r="L43" s="8">
        <f>81+123</f>
        <v>204</v>
      </c>
      <c r="M43" s="8">
        <f>84+124</f>
        <v>208</v>
      </c>
      <c r="N43" s="15">
        <f>84+122</f>
        <v>206</v>
      </c>
      <c r="O43" s="8">
        <f>84+124</f>
        <v>208</v>
      </c>
      <c r="P43" s="8">
        <f>91+125</f>
        <v>216</v>
      </c>
      <c r="Q43" s="8">
        <f>87+124</f>
        <v>211</v>
      </c>
      <c r="R43" s="8">
        <f>87+124</f>
        <v>211</v>
      </c>
      <c r="S43" s="8">
        <f>85+119</f>
        <v>204</v>
      </c>
      <c r="T43" s="8">
        <f>88+126</f>
        <v>214</v>
      </c>
      <c r="U43" s="8">
        <f>89+129</f>
        <v>218</v>
      </c>
      <c r="V43" s="8">
        <f>85+121</f>
        <v>206</v>
      </c>
      <c r="W43" s="8">
        <v>203</v>
      </c>
      <c r="X43" s="8"/>
      <c r="Y43" s="8"/>
      <c r="Z43" s="8"/>
    </row>
    <row r="44" spans="1:26">
      <c r="A44" s="8" t="s">
        <v>50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>
        <v>229</v>
      </c>
      <c r="X44" s="8"/>
      <c r="Y44" s="8"/>
      <c r="Z44" s="8"/>
    </row>
    <row r="45" spans="1:26">
      <c r="A45" s="8" t="s">
        <v>51</v>
      </c>
      <c r="B45" s="21">
        <v>135</v>
      </c>
      <c r="C45" s="21">
        <v>146</v>
      </c>
      <c r="D45" s="21"/>
      <c r="E45" s="8">
        <v>136</v>
      </c>
      <c r="F45" s="8">
        <v>137</v>
      </c>
      <c r="G45" s="8">
        <v>139</v>
      </c>
      <c r="H45" s="8">
        <v>130</v>
      </c>
      <c r="I45" s="8">
        <v>100</v>
      </c>
      <c r="J45" s="8">
        <v>100</v>
      </c>
      <c r="K45" s="8">
        <v>100</v>
      </c>
      <c r="L45" s="8">
        <v>100</v>
      </c>
      <c r="M45" s="8">
        <v>100</v>
      </c>
      <c r="N45" s="15">
        <v>100</v>
      </c>
      <c r="O45" s="8">
        <v>100</v>
      </c>
      <c r="P45" s="8">
        <v>100</v>
      </c>
      <c r="Q45" s="8">
        <v>100</v>
      </c>
      <c r="R45" s="8">
        <v>100</v>
      </c>
      <c r="S45" s="8">
        <v>100</v>
      </c>
      <c r="T45" s="8">
        <v>100</v>
      </c>
      <c r="U45" s="8">
        <v>100</v>
      </c>
      <c r="V45" s="8">
        <v>100</v>
      </c>
      <c r="W45" s="8">
        <v>100</v>
      </c>
      <c r="X45" s="8"/>
      <c r="Y45" s="8"/>
      <c r="Z45" s="8"/>
    </row>
    <row r="46" spans="1:26">
      <c r="A46" s="8" t="s">
        <v>52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>
      <c r="A47" s="8" t="s">
        <v>53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>
        <v>47</v>
      </c>
      <c r="X47" s="8"/>
      <c r="Y47" s="8"/>
      <c r="Z47" s="8"/>
    </row>
    <row r="48" spans="1:26">
      <c r="A48" s="8" t="s">
        <v>54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>
        <v>599</v>
      </c>
      <c r="X48" s="8"/>
      <c r="Y48" s="8"/>
      <c r="Z48" s="8"/>
    </row>
    <row r="49" spans="1:26">
      <c r="A49" s="8" t="s">
        <v>55</v>
      </c>
      <c r="B49" s="21">
        <f>160+0</f>
        <v>160</v>
      </c>
      <c r="C49" s="21">
        <v>179</v>
      </c>
      <c r="D49" s="21"/>
      <c r="E49" s="8">
        <v>153</v>
      </c>
      <c r="F49" s="8">
        <v>135</v>
      </c>
      <c r="G49" s="8">
        <v>153</v>
      </c>
      <c r="H49" s="8">
        <v>154</v>
      </c>
      <c r="I49" s="8">
        <v>138</v>
      </c>
      <c r="J49" s="8">
        <v>140</v>
      </c>
      <c r="K49" s="8">
        <v>138</v>
      </c>
      <c r="L49" s="8">
        <v>137</v>
      </c>
      <c r="M49" s="8">
        <v>128</v>
      </c>
      <c r="N49" s="15">
        <v>132</v>
      </c>
      <c r="O49" s="8">
        <v>135</v>
      </c>
      <c r="P49" s="8">
        <v>141</v>
      </c>
      <c r="Q49" s="8">
        <v>144</v>
      </c>
      <c r="R49" s="8">
        <v>139</v>
      </c>
      <c r="S49" s="8">
        <v>132</v>
      </c>
      <c r="T49" s="8">
        <v>140</v>
      </c>
      <c r="U49" s="8">
        <v>137</v>
      </c>
      <c r="V49" s="8">
        <v>135</v>
      </c>
      <c r="W49" s="8">
        <v>142</v>
      </c>
      <c r="X49" s="8"/>
      <c r="Y49" s="8"/>
      <c r="Z49" s="8"/>
    </row>
    <row r="50" spans="1:26">
      <c r="A50" s="8" t="s">
        <v>56</v>
      </c>
      <c r="B50" s="21">
        <f>158+53+18+14</f>
        <v>243</v>
      </c>
      <c r="C50" s="21">
        <v>280</v>
      </c>
      <c r="D50" s="21"/>
      <c r="E50" s="8">
        <v>259</v>
      </c>
      <c r="F50" s="8">
        <v>254</v>
      </c>
      <c r="G50" s="8">
        <v>240</v>
      </c>
      <c r="H50" s="8">
        <v>259</v>
      </c>
      <c r="I50" s="8">
        <f>56+12+119+9</f>
        <v>196</v>
      </c>
      <c r="J50" s="8">
        <f>48+11+141+11</f>
        <v>211</v>
      </c>
      <c r="K50" s="8">
        <f>50+11+146+11</f>
        <v>218</v>
      </c>
      <c r="L50" s="8">
        <f>55+11+148+17</f>
        <v>231</v>
      </c>
      <c r="M50" s="8">
        <f>51+8+151+14</f>
        <v>224</v>
      </c>
      <c r="N50" s="15">
        <f>51+9+151+10</f>
        <v>221</v>
      </c>
      <c r="O50" s="8">
        <f>54+17+146+14</f>
        <v>231</v>
      </c>
      <c r="P50" s="8">
        <f>54+12+143+19</f>
        <v>228</v>
      </c>
      <c r="Q50" s="8">
        <f>52+15+146+18</f>
        <v>231</v>
      </c>
      <c r="R50" s="8">
        <f>50+18+144+10</f>
        <v>222</v>
      </c>
      <c r="S50" s="8">
        <f>54+21+151+18</f>
        <v>244</v>
      </c>
      <c r="T50" s="8">
        <f>57+20+139+7</f>
        <v>223</v>
      </c>
      <c r="U50" s="8">
        <f>53+18+147+20</f>
        <v>238</v>
      </c>
      <c r="V50" s="8">
        <f>54+16+141+16</f>
        <v>227</v>
      </c>
      <c r="W50" s="8">
        <v>219</v>
      </c>
      <c r="X50" s="8"/>
      <c r="Y50" s="8"/>
      <c r="Z50" s="8"/>
    </row>
    <row r="51" spans="1:26">
      <c r="A51" s="9" t="s">
        <v>57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>
      <c r="A52" s="53" t="s">
        <v>58</v>
      </c>
      <c r="B52" s="21"/>
      <c r="C52" s="21"/>
      <c r="D52" s="21"/>
      <c r="E52" s="53"/>
      <c r="F52" s="53"/>
      <c r="G52" s="53"/>
      <c r="H52" s="53"/>
      <c r="I52" s="53"/>
      <c r="J52" s="53"/>
      <c r="K52" s="53"/>
      <c r="L52" s="53"/>
      <c r="M52" s="53"/>
      <c r="N52" s="56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>
      <c r="A53" s="50" t="s">
        <v>14</v>
      </c>
      <c r="B53" s="45"/>
      <c r="C53" s="45"/>
      <c r="D53" s="45"/>
      <c r="E53" s="54"/>
      <c r="F53" s="54"/>
      <c r="G53" s="54"/>
      <c r="H53" s="54"/>
      <c r="I53" s="54"/>
      <c r="J53" s="54"/>
      <c r="K53" s="54"/>
      <c r="L53" s="54"/>
      <c r="M53" s="54"/>
      <c r="N53" s="57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pans="1:26">
      <c r="A54" s="8" t="s">
        <v>59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>
      <c r="A55" s="8" t="s">
        <v>60</v>
      </c>
      <c r="B55" s="21">
        <f>21+140+9</f>
        <v>170</v>
      </c>
      <c r="C55" s="21">
        <v>359</v>
      </c>
      <c r="D55" s="21"/>
      <c r="E55" s="8">
        <v>368</v>
      </c>
      <c r="F55" s="8">
        <v>395</v>
      </c>
      <c r="G55" s="8">
        <v>391</v>
      </c>
      <c r="H55" s="8">
        <v>401</v>
      </c>
      <c r="I55" s="8">
        <f>16+111+11</f>
        <v>138</v>
      </c>
      <c r="J55" s="8">
        <f>15+121+9</f>
        <v>145</v>
      </c>
      <c r="K55" s="8">
        <f>16+134+8</f>
        <v>158</v>
      </c>
      <c r="L55" s="8">
        <f>17+143+13</f>
        <v>173</v>
      </c>
      <c r="M55" s="8">
        <f>15+12+120</f>
        <v>147</v>
      </c>
      <c r="N55" s="15">
        <f>18+11+121</f>
        <v>150</v>
      </c>
      <c r="O55" s="8">
        <f>18+14+126</f>
        <v>158</v>
      </c>
      <c r="P55" s="8">
        <f>18+14+127</f>
        <v>159</v>
      </c>
      <c r="Q55" s="8">
        <f>16+10+124</f>
        <v>150</v>
      </c>
      <c r="R55" s="8">
        <f>15+16+115</f>
        <v>146</v>
      </c>
      <c r="S55" s="8">
        <f>17+12+117</f>
        <v>146</v>
      </c>
      <c r="T55" s="8">
        <f>7+13+122</f>
        <v>142</v>
      </c>
      <c r="U55" s="8">
        <f>22+9+130</f>
        <v>161</v>
      </c>
      <c r="V55" s="8">
        <f>18+12+112</f>
        <v>142</v>
      </c>
      <c r="W55" s="8">
        <v>137</v>
      </c>
      <c r="X55" s="8"/>
      <c r="Y55" s="8"/>
      <c r="Z55" s="8"/>
    </row>
    <row r="56" spans="1:26">
      <c r="A56" s="8" t="s">
        <v>61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>
        <v>384</v>
      </c>
      <c r="X56" s="8"/>
      <c r="Y56" s="8"/>
      <c r="Z56" s="8"/>
    </row>
    <row r="57" spans="1:26">
      <c r="A57" s="8" t="s">
        <v>62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>
        <v>282</v>
      </c>
      <c r="X57" s="8"/>
      <c r="Y57" s="8"/>
      <c r="Z57" s="8"/>
    </row>
    <row r="58" spans="1:26">
      <c r="A58" s="8" t="s">
        <v>63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>
        <v>71</v>
      </c>
      <c r="X58" s="8"/>
      <c r="Y58" s="8"/>
      <c r="Z58" s="8"/>
    </row>
    <row r="59" spans="1:26">
      <c r="A59" s="8" t="s">
        <v>64</v>
      </c>
      <c r="B59" s="21">
        <f>65+33+139+63</f>
        <v>300</v>
      </c>
      <c r="C59" s="21">
        <v>332</v>
      </c>
      <c r="D59" s="21"/>
      <c r="E59" s="8">
        <v>341</v>
      </c>
      <c r="F59" s="8">
        <v>329</v>
      </c>
      <c r="G59" s="8">
        <v>338</v>
      </c>
      <c r="H59" s="8">
        <v>326</v>
      </c>
      <c r="I59" s="8">
        <f>60+22+72+150</f>
        <v>304</v>
      </c>
      <c r="J59" s="8">
        <f>55+37+72+144</f>
        <v>308</v>
      </c>
      <c r="K59" s="8">
        <f>64+29+72+150</f>
        <v>315</v>
      </c>
      <c r="L59" s="8">
        <f>59+24+71+144</f>
        <v>298</v>
      </c>
      <c r="M59" s="8">
        <f>56+32+72+149</f>
        <v>309</v>
      </c>
      <c r="N59" s="15">
        <f>61+33+72+143</f>
        <v>309</v>
      </c>
      <c r="O59" s="8">
        <f>63+32+71+142</f>
        <v>308</v>
      </c>
      <c r="P59" s="8">
        <f>55+29+72+146</f>
        <v>302</v>
      </c>
      <c r="Q59" s="8">
        <f>58+16+72+140</f>
        <v>286</v>
      </c>
      <c r="R59" s="8">
        <f>67+17+72+140</f>
        <v>296</v>
      </c>
      <c r="S59" s="8">
        <f>51+13+72+140</f>
        <v>276</v>
      </c>
      <c r="T59" s="8">
        <f>72+11+143+54</f>
        <v>280</v>
      </c>
      <c r="U59" s="8">
        <f>72+17+143+38</f>
        <v>270</v>
      </c>
      <c r="V59" s="8">
        <f>72+13+139+42</f>
        <v>266</v>
      </c>
      <c r="W59" s="8">
        <v>271</v>
      </c>
      <c r="X59" s="8"/>
      <c r="Y59" s="8"/>
      <c r="Z59" s="8"/>
    </row>
    <row r="60" spans="1:26">
      <c r="A60" s="8" t="s">
        <v>65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>
        <v>8</v>
      </c>
      <c r="X60" s="8"/>
      <c r="Y60" s="8"/>
      <c r="Z60" s="8"/>
    </row>
    <row r="61" spans="1:26">
      <c r="A61" s="8" t="s">
        <v>66</v>
      </c>
      <c r="B61" s="21">
        <f>141+54</f>
        <v>195</v>
      </c>
      <c r="C61" s="21">
        <v>230</v>
      </c>
      <c r="D61" s="21"/>
      <c r="E61" s="8">
        <v>192</v>
      </c>
      <c r="F61" s="8">
        <v>186</v>
      </c>
      <c r="G61" s="8">
        <v>184</v>
      </c>
      <c r="H61" s="8">
        <v>194</v>
      </c>
      <c r="I61" s="8">
        <f>114+55</f>
        <v>169</v>
      </c>
      <c r="J61" s="8">
        <f>57+113</f>
        <v>170</v>
      </c>
      <c r="K61" s="8">
        <f>59+105</f>
        <v>164</v>
      </c>
      <c r="L61" s="8">
        <f>66+122</f>
        <v>188</v>
      </c>
      <c r="M61" s="8">
        <f>116+70</f>
        <v>186</v>
      </c>
      <c r="N61" s="15">
        <f>127+64</f>
        <v>191</v>
      </c>
      <c r="O61" s="8">
        <f>128+67</f>
        <v>195</v>
      </c>
      <c r="P61" s="8">
        <f>131+71</f>
        <v>202</v>
      </c>
      <c r="Q61" s="8">
        <f>135+69</f>
        <v>204</v>
      </c>
      <c r="R61" s="8">
        <f>133+70</f>
        <v>203</v>
      </c>
      <c r="S61" s="8">
        <f>135+66</f>
        <v>201</v>
      </c>
      <c r="T61" s="8">
        <f>136+61</f>
        <v>197</v>
      </c>
      <c r="U61" s="8">
        <f>134+69</f>
        <v>203</v>
      </c>
      <c r="V61" s="8">
        <f>133+69</f>
        <v>202</v>
      </c>
      <c r="W61" s="8">
        <v>199</v>
      </c>
      <c r="X61" s="8"/>
      <c r="Y61" s="8"/>
      <c r="Z61" s="8"/>
    </row>
    <row r="62" spans="1:26">
      <c r="A62" s="9" t="s">
        <v>67</v>
      </c>
      <c r="B62" s="7">
        <f>98+126+85</f>
        <v>309</v>
      </c>
      <c r="C62" s="7">
        <v>400</v>
      </c>
      <c r="D62" s="7"/>
      <c r="E62" s="9">
        <v>398</v>
      </c>
      <c r="F62" s="9">
        <v>363</v>
      </c>
      <c r="G62" s="9">
        <v>357</v>
      </c>
      <c r="H62" s="9">
        <v>354</v>
      </c>
      <c r="I62" s="9">
        <f>75+137+92</f>
        <v>304</v>
      </c>
      <c r="J62" s="9">
        <f>52+133+92</f>
        <v>277</v>
      </c>
      <c r="K62" s="9">
        <f>62+135+95</f>
        <v>292</v>
      </c>
      <c r="L62" s="9">
        <f>41+120+101</f>
        <v>262</v>
      </c>
      <c r="M62" s="9">
        <f>62+98+119</f>
        <v>279</v>
      </c>
      <c r="N62" s="16">
        <f>76+98+124</f>
        <v>298</v>
      </c>
      <c r="O62" s="9">
        <f>81+91+119</f>
        <v>291</v>
      </c>
      <c r="P62" s="9">
        <f>70+100+123</f>
        <v>293</v>
      </c>
      <c r="Q62" s="9">
        <f>71+107+120</f>
        <v>298</v>
      </c>
      <c r="R62" s="9">
        <f>69+93+121</f>
        <v>283</v>
      </c>
      <c r="S62" s="9">
        <f>76+98+114</f>
        <v>288</v>
      </c>
      <c r="T62" s="9">
        <f>80+82+112</f>
        <v>274</v>
      </c>
      <c r="U62" s="9">
        <f>70+87+115</f>
        <v>272</v>
      </c>
      <c r="V62" s="9">
        <f>58+91+100</f>
        <v>249</v>
      </c>
      <c r="W62" s="9">
        <v>270</v>
      </c>
      <c r="X62" s="9"/>
      <c r="Y62" s="9"/>
      <c r="Z62" s="9"/>
    </row>
    <row r="63" spans="1:26">
      <c r="A63" s="51" t="s">
        <v>68</v>
      </c>
      <c r="B63" s="7">
        <f>124+111+95</f>
        <v>330</v>
      </c>
      <c r="C63" s="7">
        <v>444</v>
      </c>
      <c r="D63" s="7"/>
      <c r="E63" s="9">
        <v>487</v>
      </c>
      <c r="F63" s="51">
        <v>511</v>
      </c>
      <c r="G63" s="51">
        <v>481</v>
      </c>
      <c r="H63" s="51">
        <v>510</v>
      </c>
      <c r="I63" s="51">
        <f>112+124+96</f>
        <v>332</v>
      </c>
      <c r="J63" s="51">
        <f>112+129+96</f>
        <v>337</v>
      </c>
      <c r="K63" s="51">
        <f>107+114+94</f>
        <v>315</v>
      </c>
      <c r="L63" s="51">
        <f>108+117+95</f>
        <v>320</v>
      </c>
      <c r="M63" s="51">
        <f>113+26+95</f>
        <v>234</v>
      </c>
      <c r="N63" s="58">
        <f>110+136+95</f>
        <v>341</v>
      </c>
      <c r="O63" s="51">
        <f>110+136+96</f>
        <v>342</v>
      </c>
      <c r="P63" s="51">
        <f>113+141+96</f>
        <v>350</v>
      </c>
      <c r="Q63" s="51">
        <f>112+139+96</f>
        <v>347</v>
      </c>
      <c r="R63" s="51">
        <f>108+142+96</f>
        <v>346</v>
      </c>
      <c r="S63" s="51">
        <f>112+144+95</f>
        <v>351</v>
      </c>
      <c r="T63" s="51">
        <f>136+135+100</f>
        <v>371</v>
      </c>
      <c r="U63" s="51">
        <f>40+104+127+100</f>
        <v>371</v>
      </c>
      <c r="V63" s="51">
        <f>45+111+106+115</f>
        <v>377</v>
      </c>
      <c r="W63" s="51">
        <v>418</v>
      </c>
      <c r="X63" s="51"/>
      <c r="Y63" s="51"/>
      <c r="Z63" s="51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26" ht="246" customHeight="1"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>
      <c r="A67" s="47"/>
      <c r="B67" s="47"/>
      <c r="C67" s="47"/>
      <c r="D67" s="6"/>
      <c r="E67" s="47"/>
      <c r="F67" s="6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>
      <c r="A68" s="47"/>
      <c r="B68" s="47"/>
      <c r="C68" s="47"/>
      <c r="D68" s="6"/>
      <c r="E68" s="47"/>
      <c r="F68" s="6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>
      <c r="A69" s="47"/>
      <c r="B69" s="47" t="s">
        <v>159</v>
      </c>
      <c r="C69" s="47" t="s">
        <v>170</v>
      </c>
      <c r="D69" s="6"/>
      <c r="E69" s="47" t="s">
        <v>159</v>
      </c>
      <c r="F69" s="6" t="s">
        <v>159</v>
      </c>
      <c r="G69" s="47" t="s">
        <v>158</v>
      </c>
      <c r="H69" s="47" t="s">
        <v>158</v>
      </c>
      <c r="I69" s="47" t="s">
        <v>162</v>
      </c>
      <c r="J69" s="47" t="s">
        <v>162</v>
      </c>
      <c r="K69" s="47" t="s">
        <v>162</v>
      </c>
      <c r="L69" s="47" t="s">
        <v>162</v>
      </c>
      <c r="M69" s="47" t="s">
        <v>162</v>
      </c>
      <c r="N69" s="47" t="s">
        <v>162</v>
      </c>
      <c r="O69" s="47" t="s">
        <v>162</v>
      </c>
      <c r="P69" s="47" t="s">
        <v>163</v>
      </c>
      <c r="Q69" s="47" t="s">
        <v>163</v>
      </c>
      <c r="R69" s="47" t="s">
        <v>163</v>
      </c>
      <c r="S69" s="47" t="s">
        <v>163</v>
      </c>
      <c r="T69" s="47" t="s">
        <v>163</v>
      </c>
      <c r="U69" s="47" t="s">
        <v>163</v>
      </c>
      <c r="V69" s="47" t="s">
        <v>163</v>
      </c>
      <c r="W69" s="47" t="s">
        <v>163</v>
      </c>
      <c r="X69" s="47"/>
      <c r="Y69" s="47"/>
      <c r="Z69" s="47"/>
    </row>
    <row r="70" spans="1:26">
      <c r="A70" s="47" t="s">
        <v>152</v>
      </c>
      <c r="B70" s="47" t="s">
        <v>163</v>
      </c>
      <c r="C70" s="47" t="s">
        <v>158</v>
      </c>
      <c r="D70" s="6"/>
      <c r="E70" s="47" t="s">
        <v>163</v>
      </c>
      <c r="F70" s="6" t="s">
        <v>163</v>
      </c>
      <c r="G70" s="47" t="s">
        <v>169</v>
      </c>
      <c r="H70" s="47" t="s">
        <v>169</v>
      </c>
      <c r="I70" s="47" t="s">
        <v>167</v>
      </c>
      <c r="J70" s="47" t="s">
        <v>167</v>
      </c>
      <c r="K70" s="47" t="s">
        <v>167</v>
      </c>
      <c r="L70" s="47" t="s">
        <v>167</v>
      </c>
      <c r="M70" s="47" t="s">
        <v>167</v>
      </c>
      <c r="N70" s="47" t="s">
        <v>167</v>
      </c>
      <c r="O70" s="47" t="s">
        <v>167</v>
      </c>
      <c r="P70" s="47" t="s">
        <v>168</v>
      </c>
      <c r="Q70" s="47" t="s">
        <v>168</v>
      </c>
      <c r="R70" s="47" t="s">
        <v>168</v>
      </c>
      <c r="S70" s="47" t="s">
        <v>168</v>
      </c>
      <c r="T70" s="47" t="s">
        <v>168</v>
      </c>
      <c r="U70" s="47" t="s">
        <v>168</v>
      </c>
      <c r="V70" s="47" t="s">
        <v>168</v>
      </c>
      <c r="W70" s="47" t="s">
        <v>168</v>
      </c>
      <c r="X70" s="47"/>
      <c r="Y70" s="47"/>
      <c r="Z70" s="47"/>
    </row>
    <row r="71" spans="1:26">
      <c r="A71" s="47"/>
      <c r="B71" s="47" t="s">
        <v>168</v>
      </c>
      <c r="C71" s="47" t="s">
        <v>164</v>
      </c>
      <c r="D71" s="6"/>
      <c r="E71" s="47" t="s">
        <v>168</v>
      </c>
      <c r="F71" s="6" t="s">
        <v>168</v>
      </c>
      <c r="G71" s="38" t="s">
        <v>275</v>
      </c>
      <c r="H71" s="38" t="s">
        <v>275</v>
      </c>
      <c r="I71" s="38" t="s">
        <v>163</v>
      </c>
      <c r="J71" s="38" t="s">
        <v>163</v>
      </c>
      <c r="K71" s="38" t="s">
        <v>163</v>
      </c>
      <c r="L71" s="38" t="s">
        <v>163</v>
      </c>
      <c r="M71" s="38" t="s">
        <v>163</v>
      </c>
      <c r="N71" s="38" t="s">
        <v>163</v>
      </c>
      <c r="O71" s="38" t="s">
        <v>163</v>
      </c>
      <c r="P71" s="47" t="s">
        <v>172</v>
      </c>
      <c r="Q71" s="47" t="s">
        <v>172</v>
      </c>
      <c r="R71" s="47" t="s">
        <v>172</v>
      </c>
      <c r="S71" s="47" t="s">
        <v>172</v>
      </c>
      <c r="T71" s="47" t="s">
        <v>172</v>
      </c>
      <c r="U71" s="47" t="s">
        <v>172</v>
      </c>
      <c r="V71" s="47" t="s">
        <v>172</v>
      </c>
      <c r="W71" s="47" t="s">
        <v>172</v>
      </c>
      <c r="X71" s="47"/>
      <c r="Y71" s="47"/>
      <c r="Z71" s="47"/>
    </row>
    <row r="72" spans="1:26">
      <c r="A72" s="47"/>
      <c r="B72" s="47" t="s">
        <v>172</v>
      </c>
      <c r="C72" s="47" t="s">
        <v>169</v>
      </c>
      <c r="D72" s="6"/>
      <c r="E72" s="47" t="s">
        <v>172</v>
      </c>
      <c r="F72" s="6" t="s">
        <v>172</v>
      </c>
      <c r="G72" s="6" t="s">
        <v>276</v>
      </c>
      <c r="H72" s="6" t="s">
        <v>276</v>
      </c>
      <c r="I72" s="6" t="s">
        <v>168</v>
      </c>
      <c r="J72" s="6" t="s">
        <v>168</v>
      </c>
      <c r="K72" s="6" t="s">
        <v>168</v>
      </c>
      <c r="L72" s="6" t="s">
        <v>168</v>
      </c>
      <c r="M72" s="6" t="s">
        <v>168</v>
      </c>
      <c r="N72" s="6" t="s">
        <v>168</v>
      </c>
      <c r="O72" s="47" t="s">
        <v>168</v>
      </c>
      <c r="P72" s="47" t="s">
        <v>162</v>
      </c>
      <c r="Q72" s="47" t="s">
        <v>162</v>
      </c>
      <c r="R72" s="47" t="s">
        <v>162</v>
      </c>
      <c r="S72" s="47" t="s">
        <v>162</v>
      </c>
      <c r="T72" s="47" t="s">
        <v>162</v>
      </c>
      <c r="U72" s="47" t="s">
        <v>162</v>
      </c>
      <c r="V72" s="47" t="s">
        <v>162</v>
      </c>
      <c r="W72" s="47" t="s">
        <v>162</v>
      </c>
      <c r="X72" s="47"/>
      <c r="Y72" s="47"/>
      <c r="Z72" s="47"/>
    </row>
    <row r="73" spans="1:26">
      <c r="A73" s="47"/>
      <c r="B73" s="47" t="s">
        <v>162</v>
      </c>
      <c r="C73" s="47" t="s">
        <v>173</v>
      </c>
      <c r="D73" s="6"/>
      <c r="E73" s="47" t="s">
        <v>162</v>
      </c>
      <c r="F73" s="6" t="s">
        <v>162</v>
      </c>
      <c r="G73" s="6" t="s">
        <v>277</v>
      </c>
      <c r="H73" s="6" t="s">
        <v>277</v>
      </c>
      <c r="I73" s="6" t="s">
        <v>172</v>
      </c>
      <c r="J73" s="6" t="s">
        <v>172</v>
      </c>
      <c r="K73" s="6" t="s">
        <v>172</v>
      </c>
      <c r="L73" s="6" t="s">
        <v>172</v>
      </c>
      <c r="M73" s="6" t="s">
        <v>172</v>
      </c>
      <c r="N73" s="6" t="s">
        <v>172</v>
      </c>
      <c r="O73" s="47" t="s">
        <v>172</v>
      </c>
      <c r="P73" s="38" t="s">
        <v>167</v>
      </c>
      <c r="Q73" s="38" t="s">
        <v>167</v>
      </c>
      <c r="R73" s="38" t="s">
        <v>167</v>
      </c>
      <c r="S73" s="38" t="s">
        <v>167</v>
      </c>
      <c r="T73" s="38" t="s">
        <v>167</v>
      </c>
      <c r="U73" s="38" t="s">
        <v>167</v>
      </c>
      <c r="V73" s="38" t="s">
        <v>167</v>
      </c>
      <c r="W73" s="38" t="s">
        <v>167</v>
      </c>
      <c r="X73" s="38"/>
      <c r="Y73" s="38"/>
      <c r="Z73" s="38"/>
    </row>
    <row r="74" spans="1:26">
      <c r="A74" s="47"/>
      <c r="B74" s="47" t="s">
        <v>167</v>
      </c>
      <c r="C74" s="47" t="s">
        <v>175</v>
      </c>
      <c r="D74" s="6"/>
      <c r="E74" s="47" t="s">
        <v>167</v>
      </c>
      <c r="F74" s="6" t="s">
        <v>167</v>
      </c>
      <c r="G74" s="6" t="s">
        <v>159</v>
      </c>
      <c r="H74" s="6" t="s">
        <v>159</v>
      </c>
      <c r="I74" s="6" t="s">
        <v>180</v>
      </c>
      <c r="J74" s="6" t="s">
        <v>181</v>
      </c>
      <c r="K74" s="6" t="s">
        <v>182</v>
      </c>
      <c r="L74" s="6" t="s">
        <v>183</v>
      </c>
      <c r="M74" s="6" t="s">
        <v>278</v>
      </c>
      <c r="N74" s="6" t="s">
        <v>184</v>
      </c>
      <c r="O74" s="47" t="s">
        <v>279</v>
      </c>
      <c r="P74" s="47" t="s">
        <v>163</v>
      </c>
      <c r="Q74" s="47" t="s">
        <v>163</v>
      </c>
      <c r="R74" s="47" t="s">
        <v>163</v>
      </c>
      <c r="S74" s="47" t="s">
        <v>163</v>
      </c>
      <c r="T74" s="47" t="s">
        <v>163</v>
      </c>
      <c r="U74" s="47" t="s">
        <v>163</v>
      </c>
      <c r="V74" s="47" t="s">
        <v>163</v>
      </c>
      <c r="W74" s="47" t="s">
        <v>163</v>
      </c>
      <c r="X74" s="47"/>
      <c r="Y74" s="47"/>
      <c r="Z74" s="47"/>
    </row>
    <row r="75" spans="1:26">
      <c r="A75" s="47"/>
      <c r="B75" s="38" t="s">
        <v>163</v>
      </c>
      <c r="C75" s="47" t="s">
        <v>159</v>
      </c>
      <c r="D75" s="6"/>
      <c r="E75" s="47" t="s">
        <v>163</v>
      </c>
      <c r="F75" s="6" t="s">
        <v>163</v>
      </c>
      <c r="G75" s="6" t="s">
        <v>163</v>
      </c>
      <c r="H75" s="6" t="s">
        <v>163</v>
      </c>
      <c r="I75" s="6" t="s">
        <v>188</v>
      </c>
      <c r="J75" s="6" t="s">
        <v>189</v>
      </c>
      <c r="K75" s="6" t="s">
        <v>189</v>
      </c>
      <c r="L75" s="6" t="s">
        <v>189</v>
      </c>
      <c r="M75" s="6" t="s">
        <v>189</v>
      </c>
      <c r="N75" s="6" t="s">
        <v>189</v>
      </c>
      <c r="O75" s="47" t="s">
        <v>189</v>
      </c>
      <c r="P75" s="47" t="s">
        <v>168</v>
      </c>
      <c r="Q75" s="47" t="s">
        <v>168</v>
      </c>
      <c r="R75" s="47" t="s">
        <v>168</v>
      </c>
      <c r="S75" s="47" t="s">
        <v>168</v>
      </c>
      <c r="T75" s="47" t="s">
        <v>168</v>
      </c>
      <c r="U75" s="47" t="s">
        <v>168</v>
      </c>
      <c r="V75" s="47" t="s">
        <v>168</v>
      </c>
      <c r="W75" s="47" t="s">
        <v>168</v>
      </c>
      <c r="X75" s="47"/>
      <c r="Y75" s="47"/>
      <c r="Z75" s="47"/>
    </row>
    <row r="76" spans="1:26">
      <c r="A76" s="47"/>
      <c r="B76" s="47" t="s">
        <v>168</v>
      </c>
      <c r="C76" s="47" t="s">
        <v>163</v>
      </c>
      <c r="D76" s="25"/>
      <c r="E76" s="47" t="s">
        <v>168</v>
      </c>
      <c r="F76" s="47" t="s">
        <v>168</v>
      </c>
      <c r="G76" s="6" t="s">
        <v>168</v>
      </c>
      <c r="H76" s="6" t="s">
        <v>168</v>
      </c>
      <c r="I76" s="6" t="s">
        <v>193</v>
      </c>
      <c r="J76" s="6" t="s">
        <v>194</v>
      </c>
      <c r="K76" s="6" t="s">
        <v>195</v>
      </c>
      <c r="L76" s="6" t="s">
        <v>196</v>
      </c>
      <c r="M76" s="6" t="s">
        <v>280</v>
      </c>
      <c r="N76" s="6" t="s">
        <v>197</v>
      </c>
      <c r="O76" s="47" t="s">
        <v>281</v>
      </c>
      <c r="P76" s="47" t="s">
        <v>172</v>
      </c>
      <c r="Q76" s="47" t="s">
        <v>172</v>
      </c>
      <c r="R76" s="47" t="s">
        <v>172</v>
      </c>
      <c r="S76" s="47" t="s">
        <v>172</v>
      </c>
      <c r="T76" s="47" t="s">
        <v>172</v>
      </c>
      <c r="U76" s="47" t="s">
        <v>172</v>
      </c>
      <c r="V76" s="47" t="s">
        <v>172</v>
      </c>
      <c r="W76" s="47" t="s">
        <v>172</v>
      </c>
      <c r="X76" s="47"/>
      <c r="Y76" s="47"/>
      <c r="Z76" s="47"/>
    </row>
    <row r="77" spans="1:26">
      <c r="A77" s="47"/>
      <c r="B77" s="47" t="s">
        <v>172</v>
      </c>
      <c r="C77" s="47" t="s">
        <v>168</v>
      </c>
      <c r="D77" s="25"/>
      <c r="E77" s="38" t="s">
        <v>172</v>
      </c>
      <c r="F77" s="47" t="s">
        <v>172</v>
      </c>
      <c r="G77" s="6" t="s">
        <v>172</v>
      </c>
      <c r="H77" s="6" t="s">
        <v>172</v>
      </c>
      <c r="I77" s="6" t="s">
        <v>200</v>
      </c>
      <c r="J77" s="6" t="s">
        <v>199</v>
      </c>
      <c r="K77" s="6" t="s">
        <v>199</v>
      </c>
      <c r="L77" s="6" t="s">
        <v>199</v>
      </c>
      <c r="M77" s="6" t="s">
        <v>199</v>
      </c>
      <c r="N77" s="6" t="s">
        <v>199</v>
      </c>
      <c r="O77" s="47" t="s">
        <v>199</v>
      </c>
      <c r="P77" s="47" t="s">
        <v>202</v>
      </c>
      <c r="Q77" s="47" t="s">
        <v>203</v>
      </c>
      <c r="R77" s="47" t="s">
        <v>204</v>
      </c>
      <c r="S77" s="47" t="s">
        <v>205</v>
      </c>
      <c r="T77" s="48" t="s">
        <v>206</v>
      </c>
      <c r="U77" s="48" t="s">
        <v>207</v>
      </c>
      <c r="V77" s="48" t="s">
        <v>208</v>
      </c>
      <c r="W77" s="48" t="s">
        <v>209</v>
      </c>
      <c r="X77" s="48"/>
      <c r="Y77" s="48"/>
      <c r="Z77" s="48"/>
    </row>
    <row r="78" spans="1:26">
      <c r="A78" s="47"/>
      <c r="B78" s="47" t="s">
        <v>210</v>
      </c>
      <c r="C78" s="47" t="s">
        <v>172</v>
      </c>
      <c r="D78" s="25"/>
      <c r="E78" s="47" t="s">
        <v>211</v>
      </c>
      <c r="F78" s="47" t="s">
        <v>282</v>
      </c>
      <c r="G78" s="6" t="s">
        <v>162</v>
      </c>
      <c r="H78" s="6" t="s">
        <v>162</v>
      </c>
      <c r="I78" s="6"/>
      <c r="J78" s="6" t="s">
        <v>214</v>
      </c>
      <c r="K78" s="6" t="s">
        <v>214</v>
      </c>
      <c r="L78" s="6" t="s">
        <v>214</v>
      </c>
      <c r="M78" s="6" t="s">
        <v>214</v>
      </c>
      <c r="N78" s="6" t="s">
        <v>214</v>
      </c>
      <c r="O78" s="6" t="s">
        <v>214</v>
      </c>
      <c r="P78" s="47" t="s">
        <v>215</v>
      </c>
      <c r="Q78" s="47" t="s">
        <v>215</v>
      </c>
      <c r="R78" s="47" t="s">
        <v>215</v>
      </c>
      <c r="S78" s="47" t="s">
        <v>215</v>
      </c>
      <c r="T78" s="47" t="s">
        <v>215</v>
      </c>
      <c r="U78" s="47" t="s">
        <v>215</v>
      </c>
      <c r="V78" s="47" t="s">
        <v>215</v>
      </c>
      <c r="W78" s="47" t="s">
        <v>215</v>
      </c>
      <c r="X78" s="47"/>
      <c r="Y78" s="47"/>
      <c r="Z78" s="47"/>
    </row>
    <row r="79" spans="1:26">
      <c r="A79" s="47"/>
      <c r="B79" s="47" t="s">
        <v>216</v>
      </c>
      <c r="C79" s="47" t="s">
        <v>162</v>
      </c>
      <c r="D79" s="25"/>
      <c r="E79" s="47" t="s">
        <v>217</v>
      </c>
      <c r="F79" s="47" t="s">
        <v>283</v>
      </c>
      <c r="G79" s="6" t="s">
        <v>167</v>
      </c>
      <c r="H79" s="6" t="s">
        <v>167</v>
      </c>
      <c r="I79" s="6"/>
      <c r="J79" s="6" t="s">
        <v>220</v>
      </c>
      <c r="K79" s="6" t="s">
        <v>220</v>
      </c>
      <c r="L79" s="6" t="s">
        <v>220</v>
      </c>
      <c r="M79" s="6" t="s">
        <v>220</v>
      </c>
      <c r="N79" s="6" t="s">
        <v>220</v>
      </c>
      <c r="O79" s="6" t="s">
        <v>220</v>
      </c>
      <c r="P79" s="47" t="s">
        <v>221</v>
      </c>
      <c r="Q79" s="47" t="s">
        <v>221</v>
      </c>
      <c r="R79" s="47" t="s">
        <v>221</v>
      </c>
      <c r="S79" s="47" t="s">
        <v>221</v>
      </c>
      <c r="T79" s="47" t="s">
        <v>221</v>
      </c>
      <c r="U79" s="47" t="s">
        <v>221</v>
      </c>
      <c r="V79" s="47" t="s">
        <v>221</v>
      </c>
      <c r="W79" s="47" t="s">
        <v>221</v>
      </c>
      <c r="X79" s="47"/>
      <c r="Y79" s="47"/>
      <c r="Z79" s="47"/>
    </row>
    <row r="80" spans="1:26">
      <c r="A80" s="38"/>
      <c r="B80" s="47" t="s">
        <v>221</v>
      </c>
      <c r="C80" s="38" t="s">
        <v>167</v>
      </c>
      <c r="D80" s="61"/>
      <c r="E80" s="47" t="s">
        <v>222</v>
      </c>
      <c r="F80" s="38" t="s">
        <v>284</v>
      </c>
      <c r="G80" s="6" t="s">
        <v>163</v>
      </c>
      <c r="H80" s="6" t="s">
        <v>163</v>
      </c>
      <c r="I80" s="6"/>
      <c r="J80" s="6"/>
      <c r="K80" s="6"/>
      <c r="L80" s="6"/>
      <c r="M80" s="6"/>
      <c r="N80" s="6"/>
      <c r="O80" s="6"/>
      <c r="P80" s="6" t="s">
        <v>225</v>
      </c>
      <c r="Q80" s="12" t="s">
        <v>226</v>
      </c>
      <c r="R80" s="47" t="s">
        <v>227</v>
      </c>
      <c r="S80" s="62" t="s">
        <v>228</v>
      </c>
      <c r="T80" s="12" t="s">
        <v>229</v>
      </c>
      <c r="U80" s="12" t="s">
        <v>230</v>
      </c>
      <c r="V80" s="12" t="s">
        <v>231</v>
      </c>
      <c r="W80" s="12" t="s">
        <v>232</v>
      </c>
    </row>
    <row r="81" spans="1:23">
      <c r="A81" s="47"/>
      <c r="B81" s="47" t="s">
        <v>233</v>
      </c>
      <c r="C81" s="47" t="s">
        <v>163</v>
      </c>
      <c r="D81" s="6"/>
      <c r="E81" s="47" t="s">
        <v>234</v>
      </c>
      <c r="F81" s="6" t="s">
        <v>271</v>
      </c>
      <c r="G81" s="6" t="s">
        <v>168</v>
      </c>
      <c r="H81" s="6" t="s">
        <v>168</v>
      </c>
      <c r="I81" s="6"/>
      <c r="J81" s="6"/>
      <c r="K81" s="6"/>
      <c r="L81" s="6"/>
      <c r="M81" s="6"/>
      <c r="N81" s="6"/>
      <c r="O81" s="6"/>
      <c r="P81" s="6" t="s">
        <v>236</v>
      </c>
      <c r="Q81" s="12" t="s">
        <v>236</v>
      </c>
      <c r="R81" s="47" t="s">
        <v>236</v>
      </c>
      <c r="S81" s="62" t="s">
        <v>236</v>
      </c>
      <c r="T81" s="12" t="s">
        <v>236</v>
      </c>
      <c r="U81" s="12" t="s">
        <v>236</v>
      </c>
      <c r="V81" s="12" t="s">
        <v>236</v>
      </c>
      <c r="W81" s="12" t="s">
        <v>236</v>
      </c>
    </row>
    <row r="82" spans="1:23">
      <c r="A82" s="47"/>
      <c r="B82" s="47" t="s">
        <v>237</v>
      </c>
      <c r="C82" s="47" t="s">
        <v>168</v>
      </c>
      <c r="D82" s="6"/>
      <c r="E82" s="47"/>
      <c r="F82" s="6" t="s">
        <v>272</v>
      </c>
      <c r="G82" s="6" t="s">
        <v>172</v>
      </c>
      <c r="H82" s="6" t="s">
        <v>172</v>
      </c>
      <c r="I82" s="6"/>
      <c r="J82" s="6"/>
      <c r="K82" s="6"/>
      <c r="L82" s="6"/>
      <c r="M82" s="6"/>
      <c r="N82" s="6"/>
      <c r="O82" s="6"/>
      <c r="P82" s="6" t="s">
        <v>239</v>
      </c>
      <c r="Q82" s="12" t="s">
        <v>239</v>
      </c>
      <c r="R82" s="47" t="s">
        <v>239</v>
      </c>
      <c r="S82" s="62" t="s">
        <v>239</v>
      </c>
      <c r="T82" s="12" t="s">
        <v>239</v>
      </c>
      <c r="U82" s="12" t="s">
        <v>239</v>
      </c>
      <c r="V82" s="12" t="s">
        <v>239</v>
      </c>
      <c r="W82" s="12" t="s">
        <v>239</v>
      </c>
    </row>
    <row r="83" spans="1:23">
      <c r="A83" s="47"/>
      <c r="B83" s="47" t="s">
        <v>285</v>
      </c>
      <c r="C83" s="47" t="s">
        <v>172</v>
      </c>
      <c r="D83" s="6"/>
      <c r="E83" s="47"/>
      <c r="F83" s="6" t="s">
        <v>273</v>
      </c>
      <c r="G83" s="6" t="s">
        <v>286</v>
      </c>
      <c r="H83" s="6" t="s">
        <v>287</v>
      </c>
      <c r="I83" s="6"/>
      <c r="J83" s="6"/>
      <c r="K83" s="6"/>
      <c r="L83" s="6"/>
      <c r="M83" s="6"/>
      <c r="N83" s="6"/>
      <c r="O83" s="6"/>
      <c r="P83" s="6"/>
      <c r="R83" s="47"/>
      <c r="S83" s="62"/>
    </row>
    <row r="84" spans="1:23">
      <c r="A84" s="47"/>
      <c r="B84" s="47"/>
      <c r="C84" s="47" t="s">
        <v>252</v>
      </c>
      <c r="D84" s="6"/>
      <c r="E84" s="47"/>
      <c r="F84" s="6"/>
      <c r="G84" s="6" t="s">
        <v>217</v>
      </c>
      <c r="H84" s="6" t="s">
        <v>288</v>
      </c>
      <c r="I84" s="6"/>
      <c r="J84" s="6"/>
      <c r="K84" s="6"/>
      <c r="L84" s="6"/>
      <c r="M84" s="6"/>
      <c r="N84" s="6"/>
      <c r="O84" s="6"/>
      <c r="P84" s="6"/>
      <c r="R84" s="47"/>
      <c r="S84" s="62"/>
    </row>
    <row r="85" spans="1:23">
      <c r="A85" s="25"/>
      <c r="B85" s="6"/>
      <c r="C85" s="6" t="s">
        <v>216</v>
      </c>
      <c r="D85" s="6"/>
      <c r="E85" s="6"/>
      <c r="F85" s="6"/>
      <c r="G85" s="6" t="s">
        <v>289</v>
      </c>
      <c r="H85" s="6" t="s">
        <v>290</v>
      </c>
      <c r="I85" s="6"/>
      <c r="J85" s="6"/>
      <c r="K85" s="6"/>
      <c r="L85" s="6"/>
      <c r="M85" s="6"/>
      <c r="N85" s="6"/>
      <c r="O85" s="6"/>
      <c r="P85" s="6"/>
      <c r="R85" s="62"/>
      <c r="S85" s="62"/>
    </row>
    <row r="86" spans="1:23">
      <c r="A86" s="6"/>
      <c r="B86" s="6"/>
      <c r="C86" s="6" t="s">
        <v>221</v>
      </c>
      <c r="D86" s="6"/>
      <c r="E86" s="6"/>
      <c r="F86" s="6"/>
      <c r="G86" s="6" t="s">
        <v>291</v>
      </c>
      <c r="H86" s="6" t="s">
        <v>292</v>
      </c>
      <c r="I86" s="6"/>
      <c r="J86" s="6"/>
      <c r="K86" s="6"/>
      <c r="L86" s="6"/>
      <c r="M86" s="6"/>
      <c r="N86" s="6"/>
      <c r="O86" s="6"/>
      <c r="P86" s="6"/>
    </row>
    <row r="87" spans="1:23">
      <c r="A87" s="6"/>
      <c r="B87" s="6"/>
      <c r="C87" s="6" t="s">
        <v>259</v>
      </c>
      <c r="D87" s="6"/>
      <c r="E87" s="6"/>
      <c r="F87" s="6"/>
      <c r="G87" s="6" t="s">
        <v>293</v>
      </c>
      <c r="H87" s="6" t="s">
        <v>293</v>
      </c>
      <c r="I87" s="6"/>
      <c r="J87" s="6"/>
      <c r="K87" s="6"/>
      <c r="L87" s="6"/>
      <c r="M87" s="6"/>
      <c r="N87" s="6"/>
      <c r="O87" s="6"/>
      <c r="P87" s="6"/>
    </row>
    <row r="88" spans="1:2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2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2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2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2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2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2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2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2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indexed="61"/>
  </sheetPr>
  <dimension ref="A1:CM143"/>
  <sheetViews>
    <sheetView zoomScale="80" zoomScaleNormal="80" workbookViewId="0">
      <pane xSplit="1" ySplit="2" topLeftCell="BR3" activePane="bottomRight" state="frozen"/>
      <selection pane="topRight" activeCell="B1" sqref="B1"/>
      <selection pane="bottomLeft" activeCell="A4" sqref="A4"/>
      <selection pane="bottomRight" activeCell="A15" sqref="A15:XFD15"/>
    </sheetView>
  </sheetViews>
  <sheetFormatPr defaultColWidth="9.1796875" defaultRowHeight="12.5"/>
  <cols>
    <col min="1" max="1" width="37.7265625" style="12" customWidth="1"/>
    <col min="2" max="16" width="8.7265625" style="12" customWidth="1"/>
    <col min="17" max="74" width="9.1796875" style="12"/>
    <col min="75" max="75" width="9.1796875" style="12" customWidth="1"/>
    <col min="76" max="76" width="0.81640625" style="12" hidden="1" customWidth="1"/>
    <col min="77" max="84" width="9.1796875" style="12"/>
    <col min="85" max="85" width="9.1796875" style="107"/>
    <col min="86" max="87" width="9.1796875" style="12"/>
    <col min="88" max="88" width="9.1796875" style="107"/>
    <col min="89" max="16384" width="9.1796875" style="12"/>
  </cols>
  <sheetData>
    <row r="1" spans="1:91" ht="13">
      <c r="B1" s="39" t="s">
        <v>294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89"/>
      <c r="O1" s="6"/>
      <c r="P1" s="6"/>
      <c r="Q1" s="6"/>
      <c r="R1" s="6"/>
    </row>
    <row r="2" spans="1:91" s="113" customFormat="1">
      <c r="A2" s="42"/>
      <c r="B2" s="37" t="s">
        <v>77</v>
      </c>
      <c r="C2" s="37" t="s">
        <v>78</v>
      </c>
      <c r="D2" s="37" t="s">
        <v>79</v>
      </c>
      <c r="E2" s="37" t="s">
        <v>80</v>
      </c>
      <c r="F2" s="37" t="s">
        <v>81</v>
      </c>
      <c r="G2" s="37" t="s">
        <v>82</v>
      </c>
      <c r="H2" s="37" t="s">
        <v>83</v>
      </c>
      <c r="I2" s="37" t="s">
        <v>84</v>
      </c>
      <c r="J2" s="37" t="s">
        <v>85</v>
      </c>
      <c r="K2" s="37" t="s">
        <v>86</v>
      </c>
      <c r="L2" s="43" t="s">
        <v>87</v>
      </c>
      <c r="M2" s="37" t="s">
        <v>295</v>
      </c>
      <c r="N2" s="37" t="s">
        <v>296</v>
      </c>
      <c r="O2" s="37" t="s">
        <v>88</v>
      </c>
      <c r="P2" s="43" t="s">
        <v>89</v>
      </c>
      <c r="Q2" s="37" t="s">
        <v>295</v>
      </c>
      <c r="R2" s="37" t="s">
        <v>296</v>
      </c>
      <c r="S2" s="43" t="s">
        <v>90</v>
      </c>
      <c r="T2" s="37" t="s">
        <v>295</v>
      </c>
      <c r="U2" s="37" t="s">
        <v>296</v>
      </c>
      <c r="V2" s="43" t="s">
        <v>91</v>
      </c>
      <c r="W2" s="37" t="s">
        <v>295</v>
      </c>
      <c r="X2" s="37" t="s">
        <v>296</v>
      </c>
      <c r="Y2" s="43" t="s">
        <v>92</v>
      </c>
      <c r="Z2" s="37" t="s">
        <v>295</v>
      </c>
      <c r="AA2" s="37" t="s">
        <v>296</v>
      </c>
      <c r="AB2" s="43" t="s">
        <v>93</v>
      </c>
      <c r="AC2" s="37" t="s">
        <v>295</v>
      </c>
      <c r="AD2" s="37" t="s">
        <v>296</v>
      </c>
      <c r="AE2" s="43" t="s">
        <v>94</v>
      </c>
      <c r="AF2" s="37" t="s">
        <v>295</v>
      </c>
      <c r="AG2" s="37" t="s">
        <v>296</v>
      </c>
      <c r="AH2" s="43" t="s">
        <v>95</v>
      </c>
      <c r="AI2" s="37" t="s">
        <v>295</v>
      </c>
      <c r="AJ2" s="37" t="s">
        <v>296</v>
      </c>
      <c r="AK2" s="43" t="s">
        <v>96</v>
      </c>
      <c r="AL2" s="37" t="s">
        <v>295</v>
      </c>
      <c r="AM2" s="37" t="s">
        <v>296</v>
      </c>
      <c r="AN2" s="43" t="s">
        <v>97</v>
      </c>
      <c r="AO2" s="37" t="s">
        <v>295</v>
      </c>
      <c r="AP2" s="37" t="s">
        <v>296</v>
      </c>
      <c r="AQ2" s="43" t="s">
        <v>98</v>
      </c>
      <c r="AR2" s="37" t="s">
        <v>295</v>
      </c>
      <c r="AS2" s="37" t="s">
        <v>296</v>
      </c>
      <c r="AT2" s="43" t="s">
        <v>99</v>
      </c>
      <c r="AU2" s="37" t="s">
        <v>295</v>
      </c>
      <c r="AV2" s="37" t="s">
        <v>296</v>
      </c>
      <c r="AW2" s="43" t="s">
        <v>100</v>
      </c>
      <c r="AX2" s="37" t="s">
        <v>295</v>
      </c>
      <c r="AY2" s="37" t="s">
        <v>296</v>
      </c>
      <c r="AZ2" s="43" t="s">
        <v>101</v>
      </c>
      <c r="BA2" s="37" t="s">
        <v>295</v>
      </c>
      <c r="BB2" s="129" t="s">
        <v>296</v>
      </c>
      <c r="BC2" s="37" t="s">
        <v>102</v>
      </c>
      <c r="BD2" s="37" t="s">
        <v>295</v>
      </c>
      <c r="BE2" s="37" t="s">
        <v>297</v>
      </c>
      <c r="BF2" s="43" t="s">
        <v>103</v>
      </c>
      <c r="BG2" s="37" t="s">
        <v>295</v>
      </c>
      <c r="BH2" s="37" t="s">
        <v>296</v>
      </c>
      <c r="BI2" s="43" t="s">
        <v>104</v>
      </c>
      <c r="BJ2" s="37" t="s">
        <v>295</v>
      </c>
      <c r="BK2" s="37" t="s">
        <v>296</v>
      </c>
      <c r="BL2" s="43" t="s">
        <v>105</v>
      </c>
      <c r="BM2" s="37" t="s">
        <v>295</v>
      </c>
      <c r="BN2" s="37" t="s">
        <v>296</v>
      </c>
      <c r="BO2" s="112" t="s">
        <v>106</v>
      </c>
      <c r="BP2" s="113" t="s">
        <v>295</v>
      </c>
      <c r="BQ2" s="114" t="s">
        <v>297</v>
      </c>
      <c r="BR2" s="123" t="s">
        <v>107</v>
      </c>
      <c r="BS2" s="42" t="s">
        <v>295</v>
      </c>
      <c r="BT2" s="124" t="s">
        <v>297</v>
      </c>
      <c r="BU2" s="113" t="s">
        <v>11</v>
      </c>
      <c r="BV2" s="113" t="s">
        <v>295</v>
      </c>
      <c r="BW2" s="113" t="s">
        <v>297</v>
      </c>
      <c r="BY2" s="112" t="s">
        <v>108</v>
      </c>
      <c r="BZ2" s="113" t="s">
        <v>295</v>
      </c>
      <c r="CA2" s="113" t="s">
        <v>297</v>
      </c>
      <c r="CB2" s="112" t="s">
        <v>109</v>
      </c>
      <c r="CC2" s="113" t="s">
        <v>295</v>
      </c>
      <c r="CD2" s="113" t="s">
        <v>297</v>
      </c>
      <c r="CE2" s="112" t="s">
        <v>110</v>
      </c>
      <c r="CF2" s="113" t="s">
        <v>295</v>
      </c>
      <c r="CG2" s="114" t="s">
        <v>297</v>
      </c>
      <c r="CH2" s="113" t="s">
        <v>111</v>
      </c>
      <c r="CI2" s="113" t="s">
        <v>295</v>
      </c>
      <c r="CJ2" s="114" t="s">
        <v>297</v>
      </c>
      <c r="CK2" s="113" t="s">
        <v>10</v>
      </c>
      <c r="CL2" s="113" t="s">
        <v>295</v>
      </c>
      <c r="CM2" s="113" t="s">
        <v>297</v>
      </c>
    </row>
    <row r="3" spans="1:91">
      <c r="A3" s="52" t="s">
        <v>112</v>
      </c>
      <c r="B3" s="7">
        <f>395+288+526+261+169+363+299+260+833+100+363+622+722+227</f>
        <v>5428</v>
      </c>
      <c r="C3" s="7">
        <f>400+332+529+274+199+420+335+246+833+180+387+622+714+234</f>
        <v>5705</v>
      </c>
      <c r="D3" s="7">
        <v>6608</v>
      </c>
      <c r="E3" s="52">
        <v>6640</v>
      </c>
      <c r="F3" s="52">
        <v>6586</v>
      </c>
      <c r="G3" s="52">
        <v>6614</v>
      </c>
      <c r="H3" s="52">
        <v>6615</v>
      </c>
      <c r="I3" s="52">
        <v>6792</v>
      </c>
      <c r="J3" s="52">
        <v>7012</v>
      </c>
      <c r="K3" s="52">
        <v>7375</v>
      </c>
      <c r="L3" s="55">
        <v>7822</v>
      </c>
      <c r="M3" s="52">
        <v>5108</v>
      </c>
      <c r="N3" s="52">
        <v>2714</v>
      </c>
      <c r="O3" s="52">
        <v>8146</v>
      </c>
      <c r="P3" s="55">
        <v>8475</v>
      </c>
      <c r="Q3" s="52">
        <v>5400</v>
      </c>
      <c r="R3" s="52">
        <v>3075</v>
      </c>
      <c r="S3" s="55">
        <v>8961</v>
      </c>
      <c r="T3" s="52">
        <v>5653</v>
      </c>
      <c r="U3" s="52">
        <v>3308</v>
      </c>
      <c r="V3" s="55">
        <v>9434</v>
      </c>
      <c r="W3" s="52">
        <v>5843</v>
      </c>
      <c r="X3" s="52">
        <v>3591</v>
      </c>
      <c r="Y3" s="55">
        <v>9882</v>
      </c>
      <c r="Z3" s="52">
        <v>6020</v>
      </c>
      <c r="AA3" s="52">
        <v>3862</v>
      </c>
      <c r="AB3" s="55">
        <v>10388</v>
      </c>
      <c r="AC3" s="52">
        <v>6207</v>
      </c>
      <c r="AD3" s="52">
        <v>4181</v>
      </c>
      <c r="AE3" s="91">
        <f>+AE4+AE22+AE37+AE51+AE62</f>
        <v>10817</v>
      </c>
      <c r="AF3" s="49">
        <f t="shared" ref="AF3:AG3" si="0">+AF4+AF22+AF37+AF51+AF62</f>
        <v>5818</v>
      </c>
      <c r="AG3" s="49">
        <f t="shared" si="0"/>
        <v>4999</v>
      </c>
      <c r="AH3" s="91">
        <f>+AH4+AH22+AH37+AH51+AH62</f>
        <v>11101</v>
      </c>
      <c r="AI3" s="49">
        <f t="shared" ref="AI3:AJ3" si="1">+AI4+AI22+AI37+AI51+AI62</f>
        <v>5864</v>
      </c>
      <c r="AJ3" s="49">
        <f t="shared" si="1"/>
        <v>5237</v>
      </c>
      <c r="AK3" s="91">
        <f>+AK4+AK22+AK37+AK51+AK62</f>
        <v>11432</v>
      </c>
      <c r="AL3" s="49">
        <f t="shared" ref="AL3:AM3" si="2">+AL4+AL22+AL37+AL51+AL62</f>
        <v>5865</v>
      </c>
      <c r="AM3" s="49">
        <f t="shared" si="2"/>
        <v>5567</v>
      </c>
      <c r="AN3" s="91">
        <f>+AN4+AN22+AN37+AN51+AN62</f>
        <v>11857</v>
      </c>
      <c r="AO3" s="49">
        <f t="shared" ref="AO3:AP3" si="3">+AO4+AO22+AO37+AO51+AO62</f>
        <v>5875</v>
      </c>
      <c r="AP3" s="49">
        <f t="shared" si="3"/>
        <v>5982</v>
      </c>
      <c r="AQ3" s="91">
        <f>+AQ4+AQ22+AQ37+AQ51+AQ62</f>
        <v>12525</v>
      </c>
      <c r="AR3" s="49">
        <f t="shared" ref="AR3:AS3" si="4">+AR4+AR22+AR37+AR51+AR62</f>
        <v>6410</v>
      </c>
      <c r="AS3" s="49">
        <f t="shared" si="4"/>
        <v>6115</v>
      </c>
      <c r="AT3" s="91">
        <f>+AT4+AT22+AT37+AT51+AT62</f>
        <v>13406</v>
      </c>
      <c r="AU3" s="49">
        <f t="shared" ref="AU3:AV3" si="5">+AU4+AU22+AU37+AU51+AU62</f>
        <v>6751</v>
      </c>
      <c r="AV3" s="49">
        <f t="shared" si="5"/>
        <v>6655</v>
      </c>
      <c r="AW3" s="91">
        <f>+AW4+AW22+AW37+AW51+AW62</f>
        <v>14409</v>
      </c>
      <c r="AX3" s="49">
        <f t="shared" ref="AX3:AY3" si="6">+AX4+AX22+AX37+AX51+AX62</f>
        <v>7200</v>
      </c>
      <c r="AY3" s="49">
        <f t="shared" si="6"/>
        <v>7209</v>
      </c>
      <c r="AZ3" s="91">
        <f>+AZ4+AZ22+AZ37+AZ51+AZ62</f>
        <v>15634</v>
      </c>
      <c r="BA3" s="49">
        <f t="shared" ref="BA3:BB3" si="7">+BA4+BA22+BA37+BA51+BA62</f>
        <v>7961</v>
      </c>
      <c r="BB3" s="121">
        <f t="shared" si="7"/>
        <v>7673</v>
      </c>
      <c r="BC3" s="49">
        <f t="shared" ref="BC3:BE3" si="8">+BC4+BC22+BC37+BC51+BC62</f>
        <v>16893</v>
      </c>
      <c r="BD3" s="49">
        <f t="shared" si="8"/>
        <v>8707</v>
      </c>
      <c r="BE3" s="49">
        <f t="shared" si="8"/>
        <v>8186</v>
      </c>
      <c r="BF3" s="91">
        <f>+BF4+BF22+BF37+BF51+BF62</f>
        <v>18143</v>
      </c>
      <c r="BG3" s="49">
        <f t="shared" ref="BG3" si="9">+BG4+BG22+BG37+BG51+BG62</f>
        <v>9497</v>
      </c>
      <c r="BH3" s="49">
        <f t="shared" ref="BH3" si="10">+BH4+BH22+BH37+BH51+BH62</f>
        <v>8646</v>
      </c>
      <c r="BI3" s="91">
        <f>+BI4+BI22+BI37+BI51+BI62</f>
        <v>19427</v>
      </c>
      <c r="BJ3" s="49">
        <f t="shared" ref="BJ3:BK3" si="11">+BJ4+BJ22+BJ37+BJ51+BJ62</f>
        <v>10259</v>
      </c>
      <c r="BK3" s="49">
        <f t="shared" si="11"/>
        <v>9168</v>
      </c>
      <c r="BL3" s="91">
        <f>+BL4+BL22+BL37+BL51+BL62</f>
        <v>20663</v>
      </c>
      <c r="BM3" s="49">
        <f t="shared" ref="BM3:BQ3" si="12">+BM4+BM22+BM37+BM51+BM62</f>
        <v>11117</v>
      </c>
      <c r="BN3" s="121">
        <f t="shared" si="12"/>
        <v>9546</v>
      </c>
      <c r="BO3" s="49">
        <f t="shared" si="12"/>
        <v>21064</v>
      </c>
      <c r="BP3" s="49">
        <f t="shared" si="12"/>
        <v>11818</v>
      </c>
      <c r="BQ3" s="121">
        <f t="shared" si="12"/>
        <v>9923</v>
      </c>
      <c r="BR3" s="49">
        <f t="shared" ref="BR3:BT3" si="13">+BR4+BR22+BR37+BR51+BR62</f>
        <v>23071</v>
      </c>
      <c r="BS3" s="49">
        <f t="shared" si="13"/>
        <v>12670</v>
      </c>
      <c r="BT3" s="121">
        <f t="shared" si="13"/>
        <v>10401</v>
      </c>
      <c r="BU3" s="121">
        <f t="shared" ref="BU3:CA3" si="14">+BU4+BU22+BU37+BU51+BU62</f>
        <v>24564</v>
      </c>
      <c r="BV3" s="121">
        <f t="shared" si="14"/>
        <v>13661</v>
      </c>
      <c r="BW3" s="121">
        <f t="shared" si="14"/>
        <v>10903</v>
      </c>
      <c r="BX3" s="49">
        <f t="shared" si="14"/>
        <v>0</v>
      </c>
      <c r="BY3" s="144">
        <f t="shared" si="14"/>
        <v>25876</v>
      </c>
      <c r="BZ3" s="121">
        <f t="shared" si="14"/>
        <v>14393</v>
      </c>
      <c r="CA3" s="121">
        <f t="shared" si="14"/>
        <v>11483</v>
      </c>
      <c r="CB3" s="121">
        <f t="shared" ref="CB3:CD3" si="15">+CB4+CB22+CB37+CB51+CB62</f>
        <v>27485</v>
      </c>
      <c r="CC3" s="121">
        <f t="shared" si="15"/>
        <v>15206</v>
      </c>
      <c r="CD3" s="121">
        <f t="shared" si="15"/>
        <v>12279</v>
      </c>
      <c r="CE3" s="121">
        <f t="shared" ref="CE3:CG3" si="16">+CE4+CE22+CE37+CE51+CE62</f>
        <v>28981</v>
      </c>
      <c r="CF3" s="121">
        <f t="shared" si="16"/>
        <v>15949</v>
      </c>
      <c r="CG3" s="121">
        <f t="shared" si="16"/>
        <v>13021</v>
      </c>
      <c r="CH3" s="121">
        <f t="shared" ref="CH3:CM3" si="17">+CH4+CH22+CH37+CH51+CH62</f>
        <v>30367</v>
      </c>
      <c r="CI3" s="121">
        <f t="shared" si="17"/>
        <v>16044</v>
      </c>
      <c r="CJ3" s="121">
        <f t="shared" si="17"/>
        <v>13862</v>
      </c>
      <c r="CK3" s="121">
        <f t="shared" si="17"/>
        <v>31663</v>
      </c>
      <c r="CL3" s="121">
        <f t="shared" si="17"/>
        <v>16562</v>
      </c>
      <c r="CM3" s="121">
        <f t="shared" si="17"/>
        <v>15088</v>
      </c>
    </row>
    <row r="4" spans="1:91">
      <c r="A4" s="53" t="s">
        <v>113</v>
      </c>
      <c r="B4" s="44">
        <f>SUM(B6:B21)</f>
        <v>950</v>
      </c>
      <c r="C4" s="44">
        <f t="shared" ref="C4:BK4" si="18">SUM(C6:C21)</f>
        <v>1047</v>
      </c>
      <c r="D4" s="44">
        <f t="shared" si="18"/>
        <v>1279</v>
      </c>
      <c r="E4" s="53">
        <f t="shared" si="18"/>
        <v>1289</v>
      </c>
      <c r="F4" s="53">
        <f t="shared" si="18"/>
        <v>1300</v>
      </c>
      <c r="G4" s="53">
        <f t="shared" si="18"/>
        <v>1297</v>
      </c>
      <c r="H4" s="53">
        <f t="shared" si="18"/>
        <v>1281</v>
      </c>
      <c r="I4" s="53">
        <f t="shared" si="18"/>
        <v>1311</v>
      </c>
      <c r="J4" s="53">
        <f t="shared" si="18"/>
        <v>1352</v>
      </c>
      <c r="K4" s="53">
        <f t="shared" si="18"/>
        <v>1462</v>
      </c>
      <c r="L4" s="56">
        <f t="shared" si="18"/>
        <v>1509</v>
      </c>
      <c r="M4" s="64">
        <f t="shared" si="18"/>
        <v>1022</v>
      </c>
      <c r="N4" s="64">
        <f t="shared" si="18"/>
        <v>487</v>
      </c>
      <c r="O4" s="64">
        <f t="shared" si="18"/>
        <v>1539</v>
      </c>
      <c r="P4" s="56">
        <f t="shared" si="18"/>
        <v>1573</v>
      </c>
      <c r="Q4" s="64">
        <f t="shared" si="18"/>
        <v>1032</v>
      </c>
      <c r="R4" s="64">
        <f t="shared" si="18"/>
        <v>541</v>
      </c>
      <c r="S4" s="56">
        <f t="shared" si="18"/>
        <v>1599</v>
      </c>
      <c r="T4" s="64">
        <f t="shared" si="18"/>
        <v>1022</v>
      </c>
      <c r="U4" s="64">
        <f t="shared" si="18"/>
        <v>577</v>
      </c>
      <c r="V4" s="56">
        <f t="shared" si="18"/>
        <v>1698</v>
      </c>
      <c r="W4" s="64">
        <f t="shared" si="18"/>
        <v>1064</v>
      </c>
      <c r="X4" s="64">
        <f t="shared" si="18"/>
        <v>634</v>
      </c>
      <c r="Y4" s="56">
        <f t="shared" si="18"/>
        <v>1770</v>
      </c>
      <c r="Z4" s="64">
        <f t="shared" si="18"/>
        <v>1109</v>
      </c>
      <c r="AA4" s="64">
        <f t="shared" si="18"/>
        <v>661</v>
      </c>
      <c r="AB4" s="56">
        <f t="shared" si="18"/>
        <v>1912</v>
      </c>
      <c r="AC4" s="64">
        <f t="shared" si="18"/>
        <v>1178</v>
      </c>
      <c r="AD4" s="64">
        <f t="shared" si="18"/>
        <v>734</v>
      </c>
      <c r="AE4" s="56">
        <f t="shared" ref="AE4:AG4" si="19">SUM(AE6:AE21)</f>
        <v>2011</v>
      </c>
      <c r="AF4" s="64">
        <f t="shared" si="19"/>
        <v>1099</v>
      </c>
      <c r="AG4" s="64">
        <f t="shared" si="19"/>
        <v>912</v>
      </c>
      <c r="AH4" s="56">
        <f t="shared" si="18"/>
        <v>2088</v>
      </c>
      <c r="AI4" s="64">
        <f t="shared" si="18"/>
        <v>1114</v>
      </c>
      <c r="AJ4" s="64">
        <f t="shared" si="18"/>
        <v>974</v>
      </c>
      <c r="AK4" s="56">
        <f t="shared" ref="AK4:AM4" si="20">SUM(AK6:AK21)</f>
        <v>2143</v>
      </c>
      <c r="AL4" s="64">
        <f t="shared" si="20"/>
        <v>1119</v>
      </c>
      <c r="AM4" s="64">
        <f t="shared" si="20"/>
        <v>1024</v>
      </c>
      <c r="AN4" s="56">
        <f t="shared" si="18"/>
        <v>2355</v>
      </c>
      <c r="AO4" s="64">
        <f t="shared" si="18"/>
        <v>1165</v>
      </c>
      <c r="AP4" s="64">
        <f t="shared" si="18"/>
        <v>1190</v>
      </c>
      <c r="AQ4" s="56">
        <f t="shared" ref="AQ4:AS4" si="21">SUM(AQ6:AQ21)</f>
        <v>2753</v>
      </c>
      <c r="AR4" s="64">
        <f t="shared" si="21"/>
        <v>1420</v>
      </c>
      <c r="AS4" s="64">
        <f t="shared" si="21"/>
        <v>1333</v>
      </c>
      <c r="AT4" s="56">
        <f t="shared" ref="AT4:AV4" si="22">SUM(AT6:AT21)</f>
        <v>3242</v>
      </c>
      <c r="AU4" s="64">
        <f t="shared" si="22"/>
        <v>1663</v>
      </c>
      <c r="AV4" s="64">
        <f t="shared" si="22"/>
        <v>1579</v>
      </c>
      <c r="AW4" s="56">
        <f t="shared" ref="AW4:AY4" si="23">SUM(AW6:AW21)</f>
        <v>3845</v>
      </c>
      <c r="AX4" s="64">
        <f t="shared" si="23"/>
        <v>1926</v>
      </c>
      <c r="AY4" s="64">
        <f t="shared" si="23"/>
        <v>1919</v>
      </c>
      <c r="AZ4" s="56">
        <f t="shared" ref="AZ4:BB4" si="24">SUM(AZ6:AZ21)</f>
        <v>4433</v>
      </c>
      <c r="BA4" s="64">
        <f t="shared" si="24"/>
        <v>2240</v>
      </c>
      <c r="BB4" s="120">
        <f t="shared" si="24"/>
        <v>2193</v>
      </c>
      <c r="BC4" s="64">
        <f t="shared" ref="BC4:BE4" si="25">SUM(BC6:BC21)</f>
        <v>5133</v>
      </c>
      <c r="BD4" s="64">
        <f t="shared" si="25"/>
        <v>2486</v>
      </c>
      <c r="BE4" s="64">
        <f t="shared" si="25"/>
        <v>2397</v>
      </c>
      <c r="BF4" s="56">
        <f t="shared" si="18"/>
        <v>5197</v>
      </c>
      <c r="BG4" s="64">
        <f t="shared" si="18"/>
        <v>2746</v>
      </c>
      <c r="BH4" s="64">
        <f t="shared" si="18"/>
        <v>2451</v>
      </c>
      <c r="BI4" s="56">
        <f t="shared" si="18"/>
        <v>5574</v>
      </c>
      <c r="BJ4" s="64">
        <f t="shared" si="18"/>
        <v>3000</v>
      </c>
      <c r="BK4" s="64">
        <f t="shared" si="18"/>
        <v>2574</v>
      </c>
      <c r="BL4" s="56">
        <f t="shared" ref="BL4:BN4" si="26">SUM(BL6:BL21)</f>
        <v>6056</v>
      </c>
      <c r="BM4" s="64">
        <f t="shared" si="26"/>
        <v>3313</v>
      </c>
      <c r="BN4" s="120">
        <f t="shared" si="26"/>
        <v>2743</v>
      </c>
      <c r="BO4" s="64">
        <f t="shared" ref="BO4:BQ4" si="27">SUM(BO6:BO21)</f>
        <v>6654</v>
      </c>
      <c r="BP4" s="64">
        <f t="shared" si="27"/>
        <v>3636</v>
      </c>
      <c r="BQ4" s="120">
        <f t="shared" si="27"/>
        <v>3018</v>
      </c>
      <c r="BR4" s="64">
        <f t="shared" ref="BR4:BT4" si="28">SUM(BR6:BR21)</f>
        <v>7501</v>
      </c>
      <c r="BS4" s="64">
        <f t="shared" si="28"/>
        <v>4074</v>
      </c>
      <c r="BT4" s="120">
        <f t="shared" si="28"/>
        <v>3427</v>
      </c>
      <c r="BU4" s="120">
        <f t="shared" ref="BU4:BW4" si="29">SUM(BU6:BU21)</f>
        <v>8384</v>
      </c>
      <c r="BV4" s="120">
        <f t="shared" si="29"/>
        <v>4616</v>
      </c>
      <c r="BW4" s="120">
        <f t="shared" si="29"/>
        <v>3768</v>
      </c>
      <c r="BX4" s="64">
        <f t="shared" ref="BX4:CA4" si="30">SUM(BX6:BX21)</f>
        <v>0</v>
      </c>
      <c r="BY4" s="145">
        <f t="shared" si="30"/>
        <v>9144</v>
      </c>
      <c r="BZ4" s="120">
        <f t="shared" si="30"/>
        <v>4996</v>
      </c>
      <c r="CA4" s="120">
        <f t="shared" si="30"/>
        <v>4148</v>
      </c>
      <c r="CB4" s="120">
        <f t="shared" ref="CB4:CG4" si="31">SUM(CB6:CB21)</f>
        <v>9840</v>
      </c>
      <c r="CC4" s="120">
        <f t="shared" si="31"/>
        <v>5391</v>
      </c>
      <c r="CD4" s="120">
        <f t="shared" si="31"/>
        <v>4449</v>
      </c>
      <c r="CE4" s="120">
        <f t="shared" si="31"/>
        <v>10528</v>
      </c>
      <c r="CF4" s="120">
        <f t="shared" si="31"/>
        <v>5705</v>
      </c>
      <c r="CG4" s="120">
        <f t="shared" si="31"/>
        <v>4822</v>
      </c>
      <c r="CH4" s="120">
        <f t="shared" ref="CH4:CM4" si="32">SUM(CH6:CH21)</f>
        <v>10987</v>
      </c>
      <c r="CI4" s="120">
        <f t="shared" si="32"/>
        <v>5524</v>
      </c>
      <c r="CJ4" s="120">
        <f t="shared" si="32"/>
        <v>5013</v>
      </c>
      <c r="CK4" s="120">
        <f t="shared" si="32"/>
        <v>11449</v>
      </c>
      <c r="CL4" s="120">
        <f t="shared" si="32"/>
        <v>5825</v>
      </c>
      <c r="CM4" s="120">
        <f t="shared" si="32"/>
        <v>5624</v>
      </c>
    </row>
    <row r="5" spans="1:91">
      <c r="A5" s="50" t="s">
        <v>14</v>
      </c>
      <c r="B5" s="45">
        <f>(B4/B$3)*100</f>
        <v>17.501842299189388</v>
      </c>
      <c r="C5" s="45">
        <f t="shared" ref="C5:BK5" si="33">(C4/C$3)*100</f>
        <v>18.352322524101666</v>
      </c>
      <c r="D5" s="45">
        <f t="shared" si="33"/>
        <v>19.355326876513317</v>
      </c>
      <c r="E5" s="87">
        <f t="shared" si="33"/>
        <v>19.412650602409638</v>
      </c>
      <c r="F5" s="87">
        <f t="shared" si="33"/>
        <v>19.738839963559066</v>
      </c>
      <c r="G5" s="87">
        <f t="shared" si="33"/>
        <v>19.609918355004535</v>
      </c>
      <c r="H5" s="87">
        <f t="shared" si="33"/>
        <v>19.365079365079367</v>
      </c>
      <c r="I5" s="87">
        <f t="shared" si="33"/>
        <v>19.302120141342758</v>
      </c>
      <c r="J5" s="87">
        <f t="shared" si="33"/>
        <v>19.281232173416999</v>
      </c>
      <c r="K5" s="87">
        <f t="shared" si="33"/>
        <v>19.82372881355932</v>
      </c>
      <c r="L5" s="88">
        <f t="shared" si="33"/>
        <v>19.291741242648939</v>
      </c>
      <c r="M5" s="87">
        <f t="shared" si="33"/>
        <v>20.007830853563039</v>
      </c>
      <c r="N5" s="87">
        <f t="shared" si="33"/>
        <v>17.943994104642595</v>
      </c>
      <c r="O5" s="87">
        <f t="shared" si="33"/>
        <v>18.892708077584093</v>
      </c>
      <c r="P5" s="88">
        <f t="shared" si="33"/>
        <v>18.560471976401178</v>
      </c>
      <c r="Q5" s="87">
        <f t="shared" si="33"/>
        <v>19.111111111111111</v>
      </c>
      <c r="R5" s="87">
        <f t="shared" si="33"/>
        <v>17.59349593495935</v>
      </c>
      <c r="S5" s="88">
        <f t="shared" si="33"/>
        <v>17.8439906260462</v>
      </c>
      <c r="T5" s="87">
        <f t="shared" si="33"/>
        <v>18.078896161330267</v>
      </c>
      <c r="U5" s="87">
        <f t="shared" si="33"/>
        <v>17.442563482466745</v>
      </c>
      <c r="V5" s="88">
        <f t="shared" si="33"/>
        <v>17.99872800508798</v>
      </c>
      <c r="W5" s="87">
        <f t="shared" si="33"/>
        <v>18.209823720691425</v>
      </c>
      <c r="X5" s="87">
        <f t="shared" si="33"/>
        <v>17.655249234196603</v>
      </c>
      <c r="Y5" s="88">
        <f t="shared" si="33"/>
        <v>17.911353976927746</v>
      </c>
      <c r="Z5" s="87">
        <f t="shared" si="33"/>
        <v>18.421926910299003</v>
      </c>
      <c r="AA5" s="87">
        <f t="shared" si="33"/>
        <v>17.115484205075091</v>
      </c>
      <c r="AB5" s="88">
        <f t="shared" si="33"/>
        <v>18.405852907200615</v>
      </c>
      <c r="AC5" s="87">
        <f t="shared" si="33"/>
        <v>18.978572579345901</v>
      </c>
      <c r="AD5" s="87">
        <f t="shared" si="33"/>
        <v>17.555608706051185</v>
      </c>
      <c r="AE5" s="88">
        <f t="shared" ref="AE5:AG5" si="34">(AE4/AE$3)*100</f>
        <v>18.591106591476382</v>
      </c>
      <c r="AF5" s="87">
        <f t="shared" si="34"/>
        <v>18.889652801650051</v>
      </c>
      <c r="AG5" s="87">
        <f t="shared" si="34"/>
        <v>18.243648729745949</v>
      </c>
      <c r="AH5" s="88">
        <f t="shared" si="33"/>
        <v>18.809116295829202</v>
      </c>
      <c r="AI5" s="87">
        <f t="shared" si="33"/>
        <v>18.997271487039562</v>
      </c>
      <c r="AJ5" s="87">
        <f t="shared" si="33"/>
        <v>18.59843421806378</v>
      </c>
      <c r="AK5" s="88">
        <f t="shared" ref="AK5:AM5" si="35">(AK4/AK$3)*100</f>
        <v>18.745626312106367</v>
      </c>
      <c r="AL5" s="87">
        <f t="shared" si="35"/>
        <v>19.079283887468033</v>
      </c>
      <c r="AM5" s="87">
        <f t="shared" si="35"/>
        <v>18.394108137237293</v>
      </c>
      <c r="AN5" s="88">
        <f t="shared" si="33"/>
        <v>19.86168508054314</v>
      </c>
      <c r="AO5" s="87">
        <f t="shared" si="33"/>
        <v>19.829787234042552</v>
      </c>
      <c r="AP5" s="87">
        <f t="shared" si="33"/>
        <v>19.893012370444669</v>
      </c>
      <c r="AQ5" s="88">
        <f t="shared" ref="AQ5:AS5" si="36">(AQ4/AQ$3)*100</f>
        <v>21.98003992015968</v>
      </c>
      <c r="AR5" s="87">
        <f t="shared" si="36"/>
        <v>22.152886115444616</v>
      </c>
      <c r="AS5" s="87">
        <f t="shared" si="36"/>
        <v>21.798855273916597</v>
      </c>
      <c r="AT5" s="88">
        <f t="shared" ref="AT5:AV5" si="37">(AT4/AT$3)*100</f>
        <v>24.183201551544084</v>
      </c>
      <c r="AU5" s="87">
        <f t="shared" si="37"/>
        <v>24.633387646274628</v>
      </c>
      <c r="AV5" s="87">
        <f t="shared" si="37"/>
        <v>23.726521412471826</v>
      </c>
      <c r="AW5" s="88">
        <f t="shared" ref="AW5:AY5" si="38">(AW4/AW$3)*100</f>
        <v>26.684710944548545</v>
      </c>
      <c r="AX5" s="87">
        <f t="shared" si="38"/>
        <v>26.75</v>
      </c>
      <c r="AY5" s="87">
        <f t="shared" si="38"/>
        <v>26.619503398529616</v>
      </c>
      <c r="AZ5" s="88">
        <f t="shared" ref="AZ5:BB5" si="39">(AZ4/AZ$3)*100</f>
        <v>28.354867596264548</v>
      </c>
      <c r="BA5" s="87">
        <f t="shared" si="39"/>
        <v>28.137168697399822</v>
      </c>
      <c r="BB5" s="119">
        <f t="shared" si="39"/>
        <v>28.580737651505277</v>
      </c>
      <c r="BC5" s="87">
        <f t="shared" ref="BC5:BE5" si="40">(BC4/BC$3)*100</f>
        <v>30.385366719943175</v>
      </c>
      <c r="BD5" s="87">
        <f t="shared" si="40"/>
        <v>28.551739979326978</v>
      </c>
      <c r="BE5" s="87">
        <f t="shared" si="40"/>
        <v>29.281700464207184</v>
      </c>
      <c r="BF5" s="88">
        <f t="shared" si="33"/>
        <v>28.644656341288648</v>
      </c>
      <c r="BG5" s="87">
        <f t="shared" si="33"/>
        <v>28.914394019163947</v>
      </c>
      <c r="BH5" s="87">
        <f t="shared" si="33"/>
        <v>28.348369188063842</v>
      </c>
      <c r="BI5" s="88">
        <f t="shared" si="33"/>
        <v>28.692026560971843</v>
      </c>
      <c r="BJ5" s="87">
        <f t="shared" si="33"/>
        <v>29.242616239399549</v>
      </c>
      <c r="BK5" s="87">
        <f t="shared" si="33"/>
        <v>28.075916230366495</v>
      </c>
      <c r="BL5" s="88">
        <f t="shared" ref="BL5:BN5" si="41">(BL4/BL$3)*100</f>
        <v>29.308425688428592</v>
      </c>
      <c r="BM5" s="87">
        <f t="shared" si="41"/>
        <v>29.801205361158583</v>
      </c>
      <c r="BN5" s="119">
        <f t="shared" si="41"/>
        <v>28.734548501990364</v>
      </c>
      <c r="BO5" s="87">
        <f t="shared" ref="BO5:BQ5" si="42">(BO4/BO$3)*100</f>
        <v>31.589441701481203</v>
      </c>
      <c r="BP5" s="87">
        <f t="shared" si="42"/>
        <v>30.766627178879673</v>
      </c>
      <c r="BQ5" s="119">
        <f t="shared" si="42"/>
        <v>30.414189257281066</v>
      </c>
      <c r="BR5" s="87">
        <f t="shared" ref="BR5:BT5" si="43">(BR4/BR$3)*100</f>
        <v>32.512678254085216</v>
      </c>
      <c r="BS5" s="87">
        <f t="shared" si="43"/>
        <v>32.154696132596683</v>
      </c>
      <c r="BT5" s="119">
        <f t="shared" si="43"/>
        <v>32.948754927410832</v>
      </c>
      <c r="BU5" s="119">
        <f t="shared" ref="BU5:BW5" si="44">(BU4/BU$3)*100</f>
        <v>34.131248982250447</v>
      </c>
      <c r="BV5" s="119">
        <f t="shared" si="44"/>
        <v>33.789620086377283</v>
      </c>
      <c r="BW5" s="119">
        <f t="shared" si="44"/>
        <v>34.559295606713746</v>
      </c>
      <c r="BX5" s="87" t="e">
        <f t="shared" ref="BX5:CA5" si="45">(BX4/BX$3)*100</f>
        <v>#DIV/0!</v>
      </c>
      <c r="BY5" s="146">
        <f t="shared" si="45"/>
        <v>35.337764724068634</v>
      </c>
      <c r="BZ5" s="119">
        <f t="shared" si="45"/>
        <v>34.711318001806433</v>
      </c>
      <c r="CA5" s="119">
        <f t="shared" si="45"/>
        <v>36.122964382130107</v>
      </c>
      <c r="CB5" s="119">
        <f t="shared" ref="CB5:CD5" si="46">(CB4/CB$3)*100</f>
        <v>35.801346188830266</v>
      </c>
      <c r="CC5" s="119">
        <f t="shared" si="46"/>
        <v>35.453110614231228</v>
      </c>
      <c r="CD5" s="119">
        <f t="shared" si="46"/>
        <v>36.232592230637671</v>
      </c>
      <c r="CE5" s="119">
        <f t="shared" ref="CE5:CG5" si="47">(CE4/CE$3)*100</f>
        <v>36.327248887201961</v>
      </c>
      <c r="CF5" s="119">
        <f t="shared" si="47"/>
        <v>35.770267728384226</v>
      </c>
      <c r="CG5" s="119">
        <f t="shared" si="47"/>
        <v>37.032485984179402</v>
      </c>
      <c r="CH5" s="119">
        <f t="shared" ref="CH5:CM5" si="48">(CH4/CH$3)*100</f>
        <v>36.180722494813452</v>
      </c>
      <c r="CI5" s="119">
        <f t="shared" si="48"/>
        <v>34.430316629269505</v>
      </c>
      <c r="CJ5" s="119">
        <f t="shared" si="48"/>
        <v>36.163612754292309</v>
      </c>
      <c r="CK5" s="119">
        <f t="shared" si="48"/>
        <v>36.158923664845403</v>
      </c>
      <c r="CL5" s="119">
        <f t="shared" si="48"/>
        <v>35.170873082960995</v>
      </c>
      <c r="CM5" s="119">
        <f t="shared" si="48"/>
        <v>37.274655355249202</v>
      </c>
    </row>
    <row r="6" spans="1:91">
      <c r="A6" s="8" t="s">
        <v>298</v>
      </c>
      <c r="B6" s="21"/>
      <c r="C6" s="21"/>
      <c r="D6" s="21"/>
      <c r="E6" s="8"/>
      <c r="F6" s="8"/>
      <c r="G6" s="8"/>
      <c r="H6" s="8"/>
      <c r="I6" s="8"/>
      <c r="J6" s="8"/>
      <c r="K6" s="8"/>
      <c r="L6" s="15"/>
      <c r="M6" s="17"/>
      <c r="N6" s="17"/>
      <c r="O6" s="17"/>
      <c r="P6" s="15"/>
      <c r="Q6" s="17"/>
      <c r="R6" s="17"/>
      <c r="S6" s="15"/>
      <c r="T6" s="17"/>
      <c r="U6" s="17"/>
      <c r="V6" s="15"/>
      <c r="W6" s="17"/>
      <c r="X6" s="17"/>
      <c r="Y6" s="15"/>
      <c r="Z6" s="17"/>
      <c r="AA6" s="17"/>
      <c r="AB6" s="15"/>
      <c r="AC6" s="17"/>
      <c r="AD6" s="17"/>
      <c r="AE6" s="15"/>
      <c r="AF6" s="17"/>
      <c r="AG6" s="17"/>
      <c r="AH6" s="15"/>
      <c r="AI6" s="17"/>
      <c r="AJ6" s="17"/>
      <c r="AK6" s="15"/>
      <c r="AL6" s="17"/>
      <c r="AM6" s="17"/>
      <c r="AN6" s="15"/>
      <c r="AO6" s="17"/>
      <c r="AP6" s="17"/>
      <c r="AQ6" s="15"/>
      <c r="AR6" s="17"/>
      <c r="AS6" s="17"/>
      <c r="AT6" s="15"/>
      <c r="AU6" s="17"/>
      <c r="AV6" s="17"/>
      <c r="AW6" s="15"/>
      <c r="AX6" s="17"/>
      <c r="AY6" s="17"/>
      <c r="AZ6" s="15"/>
      <c r="BA6" s="17"/>
      <c r="BB6" s="130"/>
      <c r="BC6" s="17"/>
      <c r="BD6" s="17"/>
      <c r="BE6" s="17"/>
      <c r="BF6" s="15"/>
      <c r="BG6" s="17"/>
      <c r="BH6" s="17"/>
      <c r="BI6" s="15"/>
      <c r="BJ6" s="17"/>
      <c r="BK6" s="17"/>
      <c r="BL6" s="15"/>
      <c r="BM6" s="17"/>
      <c r="BN6" s="17"/>
      <c r="BO6" s="115"/>
      <c r="BQ6" s="107"/>
      <c r="BR6" s="12">
        <v>162</v>
      </c>
      <c r="BS6" s="12">
        <v>106</v>
      </c>
      <c r="BT6" s="107">
        <v>56</v>
      </c>
      <c r="BU6" s="12">
        <v>316</v>
      </c>
      <c r="BV6" s="12">
        <v>196</v>
      </c>
      <c r="BW6" s="12">
        <v>120</v>
      </c>
      <c r="BY6" s="108">
        <v>622</v>
      </c>
      <c r="BZ6" s="12">
        <v>377</v>
      </c>
      <c r="CA6" s="12">
        <v>245</v>
      </c>
      <c r="CB6" s="12">
        <v>926</v>
      </c>
      <c r="CC6" s="108">
        <v>544</v>
      </c>
      <c r="CD6" s="12">
        <v>382</v>
      </c>
      <c r="CE6" s="108">
        <v>1118</v>
      </c>
      <c r="CF6" s="12">
        <v>629</v>
      </c>
      <c r="CG6" s="107">
        <v>489</v>
      </c>
      <c r="CH6" s="12">
        <v>1283</v>
      </c>
      <c r="CI6" s="12">
        <v>688</v>
      </c>
      <c r="CJ6" s="107">
        <v>595</v>
      </c>
      <c r="CK6" s="12">
        <v>1293</v>
      </c>
      <c r="CL6" s="12">
        <v>666</v>
      </c>
      <c r="CM6" s="12">
        <v>627</v>
      </c>
    </row>
    <row r="7" spans="1:91">
      <c r="A7" s="8" t="s">
        <v>299</v>
      </c>
      <c r="B7" s="21"/>
      <c r="C7" s="21"/>
      <c r="D7" s="21"/>
      <c r="E7" s="8"/>
      <c r="F7" s="8"/>
      <c r="G7" s="8"/>
      <c r="H7" s="8"/>
      <c r="I7" s="8"/>
      <c r="J7" s="8"/>
      <c r="K7" s="8"/>
      <c r="L7" s="15"/>
      <c r="M7" s="17"/>
      <c r="N7" s="17"/>
      <c r="O7" s="17"/>
      <c r="P7" s="15"/>
      <c r="Q7" s="17"/>
      <c r="R7" s="17"/>
      <c r="S7" s="15"/>
      <c r="T7" s="17"/>
      <c r="U7" s="17"/>
      <c r="V7" s="15"/>
      <c r="W7" s="17"/>
      <c r="X7" s="17"/>
      <c r="Y7" s="15"/>
      <c r="Z7" s="17"/>
      <c r="AA7" s="17"/>
      <c r="AB7" s="15"/>
      <c r="AC7" s="17"/>
      <c r="AD7" s="17"/>
      <c r="AE7" s="15"/>
      <c r="AF7" s="17"/>
      <c r="AG7" s="17"/>
      <c r="AH7" s="15"/>
      <c r="AI7" s="17"/>
      <c r="AJ7" s="17"/>
      <c r="AK7" s="15"/>
      <c r="AL7" s="17"/>
      <c r="AM7" s="17"/>
      <c r="AN7" s="15"/>
      <c r="AO7" s="17"/>
      <c r="AP7" s="17"/>
      <c r="AQ7" s="15"/>
      <c r="AR7" s="17"/>
      <c r="AS7" s="17"/>
      <c r="AT7" s="15"/>
      <c r="AU7" s="17"/>
      <c r="AV7" s="17"/>
      <c r="AW7" s="15"/>
      <c r="AX7" s="17"/>
      <c r="AY7" s="17"/>
      <c r="AZ7" s="15"/>
      <c r="BA7" s="17"/>
      <c r="BB7" s="130"/>
      <c r="BC7" s="17"/>
      <c r="BD7" s="17"/>
      <c r="BE7" s="17"/>
      <c r="BF7" s="15"/>
      <c r="BG7" s="17"/>
      <c r="BH7" s="17"/>
      <c r="BI7" s="15"/>
      <c r="BJ7" s="17"/>
      <c r="BK7" s="17"/>
      <c r="BL7" s="15"/>
      <c r="BM7" s="17"/>
      <c r="BN7" s="17"/>
      <c r="BO7" s="115"/>
      <c r="BQ7" s="107"/>
      <c r="BT7" s="107"/>
      <c r="BY7" s="108"/>
      <c r="CC7" s="108"/>
      <c r="CE7" s="108">
        <v>162</v>
      </c>
      <c r="CF7" s="12">
        <v>89</v>
      </c>
      <c r="CG7" s="107">
        <v>73</v>
      </c>
      <c r="CH7" s="12">
        <v>318</v>
      </c>
      <c r="CI7" s="12">
        <v>157</v>
      </c>
      <c r="CJ7" s="107">
        <v>160</v>
      </c>
      <c r="CK7" s="12">
        <v>473</v>
      </c>
      <c r="CL7" s="12">
        <v>238</v>
      </c>
      <c r="CM7" s="12">
        <v>235</v>
      </c>
    </row>
    <row r="8" spans="1:91">
      <c r="A8" s="8" t="s">
        <v>17</v>
      </c>
      <c r="B8" s="21"/>
      <c r="C8" s="21"/>
      <c r="D8" s="21"/>
      <c r="E8" s="8"/>
      <c r="F8" s="8"/>
      <c r="G8" s="8"/>
      <c r="H8" s="8"/>
      <c r="I8" s="8"/>
      <c r="J8" s="8"/>
      <c r="K8" s="8"/>
      <c r="L8" s="15"/>
      <c r="M8" s="17"/>
      <c r="N8" s="17"/>
      <c r="O8" s="17"/>
      <c r="P8" s="15"/>
      <c r="Q8" s="17"/>
      <c r="R8" s="17"/>
      <c r="S8" s="15"/>
      <c r="T8" s="17"/>
      <c r="U8" s="17"/>
      <c r="V8" s="15"/>
      <c r="W8" s="17"/>
      <c r="X8" s="17"/>
      <c r="Y8" s="15"/>
      <c r="Z8" s="17"/>
      <c r="AA8" s="17"/>
      <c r="AB8" s="15"/>
      <c r="AC8" s="17"/>
      <c r="AD8" s="17"/>
      <c r="AE8" s="15"/>
      <c r="AF8" s="17"/>
      <c r="AG8" s="17"/>
      <c r="AH8" s="15"/>
      <c r="AI8" s="17"/>
      <c r="AJ8" s="17"/>
      <c r="AK8" s="15"/>
      <c r="AL8" s="17"/>
      <c r="AM8" s="17"/>
      <c r="AN8" s="15"/>
      <c r="AO8" s="17"/>
      <c r="AP8" s="17"/>
      <c r="AQ8" s="15"/>
      <c r="AR8" s="17"/>
      <c r="AS8" s="17"/>
      <c r="AT8" s="15"/>
      <c r="AU8" s="17"/>
      <c r="AV8" s="17"/>
      <c r="AW8" s="15"/>
      <c r="AX8" s="17"/>
      <c r="AY8" s="17"/>
      <c r="AZ8" s="15"/>
      <c r="BA8" s="17"/>
      <c r="BB8" s="130"/>
      <c r="BC8" s="17"/>
      <c r="BD8" s="17"/>
      <c r="BE8" s="17"/>
      <c r="BF8" s="15"/>
      <c r="BG8" s="17"/>
      <c r="BH8" s="17"/>
      <c r="BI8" s="15"/>
      <c r="BJ8" s="17"/>
      <c r="BK8" s="17"/>
      <c r="BL8" s="15"/>
      <c r="BM8" s="17"/>
      <c r="BN8" s="17"/>
      <c r="BO8" s="115"/>
      <c r="BQ8" s="107"/>
      <c r="BT8" s="107"/>
      <c r="BY8" s="108"/>
      <c r="CC8" s="108"/>
      <c r="CE8" s="108"/>
    </row>
    <row r="9" spans="1:91">
      <c r="A9" s="8" t="s">
        <v>300</v>
      </c>
      <c r="B9" s="21">
        <v>100</v>
      </c>
      <c r="C9" s="21">
        <v>180</v>
      </c>
      <c r="D9" s="21">
        <v>330</v>
      </c>
      <c r="E9" s="8">
        <v>371</v>
      </c>
      <c r="F9" s="8">
        <v>400</v>
      </c>
      <c r="G9" s="8">
        <v>402</v>
      </c>
      <c r="H9" s="8">
        <v>407</v>
      </c>
      <c r="I9" s="8">
        <v>426</v>
      </c>
      <c r="J9" s="8">
        <v>460</v>
      </c>
      <c r="K9" s="8">
        <v>493</v>
      </c>
      <c r="L9" s="15">
        <v>514</v>
      </c>
      <c r="M9" s="17">
        <v>346</v>
      </c>
      <c r="N9" s="17">
        <v>168</v>
      </c>
      <c r="O9" s="17">
        <v>529</v>
      </c>
      <c r="P9" s="15">
        <v>530</v>
      </c>
      <c r="Q9" s="17">
        <v>363</v>
      </c>
      <c r="R9" s="17">
        <v>167</v>
      </c>
      <c r="S9" s="15">
        <v>554</v>
      </c>
      <c r="T9" s="17">
        <v>370</v>
      </c>
      <c r="U9" s="17">
        <v>184</v>
      </c>
      <c r="V9" s="15">
        <v>573</v>
      </c>
      <c r="W9" s="17">
        <v>365</v>
      </c>
      <c r="X9" s="17">
        <v>208</v>
      </c>
      <c r="Y9" s="15">
        <v>587</v>
      </c>
      <c r="Z9" s="17">
        <v>384</v>
      </c>
      <c r="AA9" s="17">
        <v>203</v>
      </c>
      <c r="AB9" s="15">
        <v>653</v>
      </c>
      <c r="AC9" s="17">
        <v>411</v>
      </c>
      <c r="AD9" s="17">
        <v>242</v>
      </c>
      <c r="AE9" s="15">
        <v>680</v>
      </c>
      <c r="AF9" s="17">
        <v>400</v>
      </c>
      <c r="AG9" s="17">
        <v>280</v>
      </c>
      <c r="AH9" s="15">
        <v>735</v>
      </c>
      <c r="AI9" s="17">
        <v>404</v>
      </c>
      <c r="AJ9" s="17">
        <v>331</v>
      </c>
      <c r="AK9" s="15">
        <v>757</v>
      </c>
      <c r="AL9" s="17">
        <v>411</v>
      </c>
      <c r="AM9" s="17">
        <v>346</v>
      </c>
      <c r="AN9" s="15">
        <v>769</v>
      </c>
      <c r="AO9" s="17">
        <v>393</v>
      </c>
      <c r="AP9" s="17">
        <v>376</v>
      </c>
      <c r="AQ9" s="15">
        <v>965</v>
      </c>
      <c r="AR9" s="17">
        <v>504</v>
      </c>
      <c r="AS9" s="17">
        <v>461</v>
      </c>
      <c r="AT9" s="15">
        <v>1145</v>
      </c>
      <c r="AU9" s="17">
        <v>585</v>
      </c>
      <c r="AV9" s="17">
        <v>560</v>
      </c>
      <c r="AW9" s="15">
        <v>1359</v>
      </c>
      <c r="AX9" s="17">
        <v>675</v>
      </c>
      <c r="AY9" s="17">
        <v>684</v>
      </c>
      <c r="AZ9" s="15">
        <v>1543</v>
      </c>
      <c r="BA9" s="17">
        <v>779</v>
      </c>
      <c r="BB9" s="130">
        <v>764</v>
      </c>
      <c r="BC9" s="17">
        <v>1807</v>
      </c>
      <c r="BD9" s="17">
        <v>807</v>
      </c>
      <c r="BE9" s="17">
        <v>750</v>
      </c>
      <c r="BF9" s="15">
        <f>626+928</f>
        <v>1554</v>
      </c>
      <c r="BG9" s="17">
        <f>330+505</f>
        <v>835</v>
      </c>
      <c r="BH9" s="17">
        <f>296+423</f>
        <v>719</v>
      </c>
      <c r="BI9" s="15">
        <f>954+626</f>
        <v>1580</v>
      </c>
      <c r="BJ9" s="17">
        <f>546+331</f>
        <v>877</v>
      </c>
      <c r="BK9" s="17">
        <f>408+295</f>
        <v>703</v>
      </c>
      <c r="BL9" s="15">
        <v>1641</v>
      </c>
      <c r="BM9" s="17">
        <v>942</v>
      </c>
      <c r="BN9" s="17">
        <v>699</v>
      </c>
      <c r="BO9" s="115">
        <v>1684</v>
      </c>
      <c r="BP9" s="12">
        <v>1005</v>
      </c>
      <c r="BQ9" s="107">
        <v>679</v>
      </c>
      <c r="BR9" s="12">
        <v>1728</v>
      </c>
      <c r="BS9" s="12">
        <v>1036</v>
      </c>
      <c r="BT9" s="107">
        <v>692</v>
      </c>
      <c r="BU9" s="12">
        <v>1770</v>
      </c>
      <c r="BV9" s="12">
        <v>1054</v>
      </c>
      <c r="BW9" s="12">
        <v>716</v>
      </c>
      <c r="BY9" s="108">
        <v>1775</v>
      </c>
      <c r="BZ9" s="12">
        <v>1032</v>
      </c>
      <c r="CA9" s="12">
        <v>743</v>
      </c>
      <c r="CB9" s="12">
        <v>1793</v>
      </c>
      <c r="CC9" s="108">
        <v>1028</v>
      </c>
      <c r="CD9" s="12">
        <v>765</v>
      </c>
      <c r="CE9" s="108">
        <v>1804</v>
      </c>
      <c r="CF9" s="12">
        <v>1022</v>
      </c>
      <c r="CG9" s="107">
        <v>782</v>
      </c>
      <c r="CH9" s="12">
        <v>1775</v>
      </c>
      <c r="CI9" s="12">
        <v>966</v>
      </c>
      <c r="CJ9" s="107">
        <v>805</v>
      </c>
      <c r="CK9" s="12">
        <v>1913</v>
      </c>
      <c r="CL9" s="12">
        <v>990</v>
      </c>
      <c r="CM9" s="12">
        <v>923</v>
      </c>
    </row>
    <row r="10" spans="1:91">
      <c r="A10" s="8" t="s">
        <v>301</v>
      </c>
      <c r="B10" s="21"/>
      <c r="C10" s="21"/>
      <c r="D10" s="21"/>
      <c r="E10" s="8"/>
      <c r="F10" s="8"/>
      <c r="G10" s="8"/>
      <c r="H10" s="8"/>
      <c r="I10" s="8"/>
      <c r="J10" s="8"/>
      <c r="K10" s="8"/>
      <c r="L10" s="15"/>
      <c r="M10" s="17"/>
      <c r="N10" s="17"/>
      <c r="O10" s="17"/>
      <c r="P10" s="15"/>
      <c r="Q10" s="17"/>
      <c r="R10" s="17"/>
      <c r="S10" s="15"/>
      <c r="T10" s="17"/>
      <c r="U10" s="17"/>
      <c r="V10" s="15"/>
      <c r="W10" s="17"/>
      <c r="X10" s="17"/>
      <c r="Y10" s="15"/>
      <c r="Z10" s="17"/>
      <c r="AA10" s="17"/>
      <c r="AB10" s="15"/>
      <c r="AC10" s="17"/>
      <c r="AD10" s="17"/>
      <c r="AE10" s="15"/>
      <c r="AF10" s="17"/>
      <c r="AG10" s="17"/>
      <c r="AH10" s="15"/>
      <c r="AI10" s="17"/>
      <c r="AJ10" s="17"/>
      <c r="AK10" s="15"/>
      <c r="AL10" s="17"/>
      <c r="AM10" s="17"/>
      <c r="AN10" s="15"/>
      <c r="AO10" s="17"/>
      <c r="AP10" s="17"/>
      <c r="AQ10" s="15"/>
      <c r="AR10" s="17"/>
      <c r="AS10" s="17"/>
      <c r="AT10" s="15">
        <v>83</v>
      </c>
      <c r="AU10" s="17">
        <v>38</v>
      </c>
      <c r="AV10" s="17">
        <v>45</v>
      </c>
      <c r="AW10" s="15">
        <v>169</v>
      </c>
      <c r="AX10" s="17">
        <v>72</v>
      </c>
      <c r="AY10" s="17">
        <v>97</v>
      </c>
      <c r="AZ10" s="15">
        <v>252</v>
      </c>
      <c r="BA10" s="17">
        <v>103</v>
      </c>
      <c r="BB10" s="130">
        <v>149</v>
      </c>
      <c r="BC10" s="17">
        <v>338</v>
      </c>
      <c r="BD10" s="17">
        <v>154</v>
      </c>
      <c r="BE10" s="17">
        <v>184</v>
      </c>
      <c r="BF10" s="15">
        <v>339</v>
      </c>
      <c r="BG10" s="17">
        <v>160</v>
      </c>
      <c r="BH10" s="17">
        <v>179</v>
      </c>
      <c r="BI10" s="15">
        <v>343</v>
      </c>
      <c r="BJ10" s="17">
        <v>165</v>
      </c>
      <c r="BK10" s="17">
        <v>178</v>
      </c>
      <c r="BL10" s="15">
        <v>390</v>
      </c>
      <c r="BM10" s="17">
        <v>216</v>
      </c>
      <c r="BN10" s="17">
        <v>174</v>
      </c>
      <c r="BO10" s="115">
        <v>435</v>
      </c>
      <c r="BP10" s="12">
        <v>235</v>
      </c>
      <c r="BQ10" s="107">
        <v>200</v>
      </c>
      <c r="BR10" s="12">
        <v>473</v>
      </c>
      <c r="BS10" s="12">
        <v>264</v>
      </c>
      <c r="BT10" s="107">
        <v>209</v>
      </c>
      <c r="BU10" s="12">
        <v>528</v>
      </c>
      <c r="BV10" s="12">
        <v>288</v>
      </c>
      <c r="BW10" s="12">
        <v>240</v>
      </c>
      <c r="BY10" s="108">
        <v>527</v>
      </c>
      <c r="BZ10" s="12">
        <v>266</v>
      </c>
      <c r="CA10" s="12">
        <v>261</v>
      </c>
      <c r="CB10" s="12">
        <v>534</v>
      </c>
      <c r="CC10" s="108">
        <v>259</v>
      </c>
      <c r="CD10" s="12">
        <v>275</v>
      </c>
      <c r="CE10" s="108">
        <v>554</v>
      </c>
      <c r="CF10" s="12">
        <v>261</v>
      </c>
      <c r="CG10" s="107">
        <v>293</v>
      </c>
      <c r="CH10" s="12">
        <v>540</v>
      </c>
      <c r="CI10" s="12">
        <v>258</v>
      </c>
      <c r="CJ10" s="107">
        <v>281</v>
      </c>
      <c r="CK10" s="12">
        <v>590</v>
      </c>
      <c r="CL10" s="12">
        <v>290</v>
      </c>
      <c r="CM10" s="12">
        <v>300</v>
      </c>
    </row>
    <row r="11" spans="1:91">
      <c r="A11" s="8" t="s">
        <v>302</v>
      </c>
      <c r="B11" s="21"/>
      <c r="C11" s="21"/>
      <c r="D11" s="21"/>
      <c r="E11" s="8"/>
      <c r="F11" s="8"/>
      <c r="G11" s="8"/>
      <c r="H11" s="8"/>
      <c r="I11" s="8"/>
      <c r="J11" s="8"/>
      <c r="K11" s="8"/>
      <c r="L11" s="15"/>
      <c r="M11" s="17"/>
      <c r="N11" s="17"/>
      <c r="O11" s="17"/>
      <c r="P11" s="15"/>
      <c r="Q11" s="17"/>
      <c r="R11" s="17"/>
      <c r="S11" s="15"/>
      <c r="T11" s="17"/>
      <c r="U11" s="17"/>
      <c r="V11" s="15">
        <v>60</v>
      </c>
      <c r="W11" s="17">
        <v>46</v>
      </c>
      <c r="X11" s="17">
        <v>14</v>
      </c>
      <c r="Y11" s="15">
        <v>120</v>
      </c>
      <c r="Z11" s="17">
        <v>86</v>
      </c>
      <c r="AA11" s="17">
        <v>34</v>
      </c>
      <c r="AB11" s="15">
        <v>179</v>
      </c>
      <c r="AC11" s="17">
        <v>130</v>
      </c>
      <c r="AD11" s="17">
        <v>49</v>
      </c>
      <c r="AE11" s="15">
        <v>239</v>
      </c>
      <c r="AF11" s="17">
        <v>142</v>
      </c>
      <c r="AG11" s="17">
        <v>97</v>
      </c>
      <c r="AH11" s="15">
        <v>246</v>
      </c>
      <c r="AI11" s="17">
        <v>141</v>
      </c>
      <c r="AJ11" s="17">
        <v>105</v>
      </c>
      <c r="AK11" s="15">
        <v>251</v>
      </c>
      <c r="AL11" s="17">
        <v>134</v>
      </c>
      <c r="AM11" s="17">
        <v>117</v>
      </c>
      <c r="AN11" s="15">
        <v>253</v>
      </c>
      <c r="AO11" s="17">
        <v>128</v>
      </c>
      <c r="AP11" s="17">
        <v>125</v>
      </c>
      <c r="AQ11" s="15">
        <v>265</v>
      </c>
      <c r="AR11" s="17">
        <v>152</v>
      </c>
      <c r="AS11" s="17">
        <v>113</v>
      </c>
      <c r="AT11" s="15">
        <v>278</v>
      </c>
      <c r="AU11" s="17">
        <v>157</v>
      </c>
      <c r="AV11" s="17">
        <v>121</v>
      </c>
      <c r="AW11" s="15">
        <v>301</v>
      </c>
      <c r="AX11" s="17">
        <v>158</v>
      </c>
      <c r="AY11" s="17">
        <v>143</v>
      </c>
      <c r="AZ11" s="15">
        <v>301</v>
      </c>
      <c r="BA11" s="17">
        <v>155</v>
      </c>
      <c r="BB11" s="130">
        <v>146</v>
      </c>
      <c r="BC11" s="17">
        <v>306</v>
      </c>
      <c r="BD11" s="17">
        <v>158</v>
      </c>
      <c r="BE11" s="17">
        <v>148</v>
      </c>
      <c r="BF11" s="15">
        <v>302</v>
      </c>
      <c r="BG11" s="17">
        <v>168</v>
      </c>
      <c r="BH11" s="17">
        <v>134</v>
      </c>
      <c r="BI11" s="15">
        <v>304</v>
      </c>
      <c r="BJ11" s="17">
        <v>162</v>
      </c>
      <c r="BK11" s="17">
        <v>142</v>
      </c>
      <c r="BL11" s="15">
        <v>309</v>
      </c>
      <c r="BM11" s="17">
        <v>175</v>
      </c>
      <c r="BN11" s="17">
        <v>134</v>
      </c>
      <c r="BO11" s="115">
        <v>373</v>
      </c>
      <c r="BP11" s="12">
        <v>199</v>
      </c>
      <c r="BQ11" s="107">
        <v>174</v>
      </c>
      <c r="BR11" s="12">
        <v>432</v>
      </c>
      <c r="BS11" s="12">
        <v>226</v>
      </c>
      <c r="BT11" s="107">
        <v>206</v>
      </c>
      <c r="BU11" s="12">
        <v>481</v>
      </c>
      <c r="BV11" s="12">
        <v>280</v>
      </c>
      <c r="BW11" s="12">
        <v>201</v>
      </c>
      <c r="BY11" s="108">
        <v>532</v>
      </c>
      <c r="BZ11" s="12">
        <v>303</v>
      </c>
      <c r="CA11" s="12">
        <v>229</v>
      </c>
      <c r="CB11" s="12">
        <v>527</v>
      </c>
      <c r="CC11" s="108">
        <v>306</v>
      </c>
      <c r="CD11" s="12">
        <v>221</v>
      </c>
      <c r="CE11" s="108">
        <v>534</v>
      </c>
      <c r="CF11" s="12">
        <v>307</v>
      </c>
      <c r="CG11" s="107">
        <v>227</v>
      </c>
      <c r="CH11" s="12">
        <v>540</v>
      </c>
      <c r="CI11" s="12">
        <v>296</v>
      </c>
      <c r="CJ11" s="107">
        <v>244</v>
      </c>
      <c r="CK11" s="12">
        <v>549</v>
      </c>
      <c r="CL11" s="12">
        <v>283</v>
      </c>
      <c r="CM11" s="12">
        <v>266</v>
      </c>
    </row>
    <row r="12" spans="1:91">
      <c r="A12" s="8" t="s">
        <v>21</v>
      </c>
      <c r="B12" s="21"/>
      <c r="C12" s="21"/>
      <c r="D12" s="21"/>
      <c r="E12" s="8"/>
      <c r="F12" s="8"/>
      <c r="G12" s="8"/>
      <c r="H12" s="8"/>
      <c r="I12" s="8"/>
      <c r="J12" s="8"/>
      <c r="K12" s="8"/>
      <c r="L12" s="15"/>
      <c r="M12" s="17"/>
      <c r="N12" s="17"/>
      <c r="O12" s="17"/>
      <c r="P12" s="15"/>
      <c r="Q12" s="17"/>
      <c r="R12" s="17"/>
      <c r="S12" s="15"/>
      <c r="T12" s="17"/>
      <c r="U12" s="17"/>
      <c r="V12" s="15"/>
      <c r="W12" s="17"/>
      <c r="X12" s="17"/>
      <c r="Y12" s="15"/>
      <c r="Z12" s="17"/>
      <c r="AA12" s="17"/>
      <c r="AB12" s="15"/>
      <c r="AC12" s="17"/>
      <c r="AD12" s="17"/>
      <c r="AE12" s="15"/>
      <c r="AF12" s="17"/>
      <c r="AG12" s="17"/>
      <c r="AH12" s="15"/>
      <c r="AI12" s="17"/>
      <c r="AJ12" s="17"/>
      <c r="AK12" s="15"/>
      <c r="AL12" s="17"/>
      <c r="AM12" s="17"/>
      <c r="AN12" s="15"/>
      <c r="AO12" s="17"/>
      <c r="AP12" s="17"/>
      <c r="AQ12" s="15"/>
      <c r="AR12" s="17"/>
      <c r="AS12" s="17"/>
      <c r="AT12" s="15"/>
      <c r="AU12" s="17"/>
      <c r="AV12" s="17"/>
      <c r="AW12" s="15"/>
      <c r="AX12" s="17"/>
      <c r="AY12" s="17"/>
      <c r="AZ12" s="15"/>
      <c r="BA12" s="17"/>
      <c r="BB12" s="130"/>
      <c r="BC12" s="17"/>
      <c r="BD12" s="17"/>
      <c r="BE12" s="17"/>
      <c r="BF12" s="15"/>
      <c r="BG12" s="17"/>
      <c r="BH12" s="17"/>
      <c r="BI12" s="15"/>
      <c r="BJ12" s="17"/>
      <c r="BK12" s="17"/>
      <c r="BL12" s="15"/>
      <c r="BM12" s="17"/>
      <c r="BN12" s="17"/>
      <c r="BO12" s="115"/>
      <c r="BQ12" s="107"/>
      <c r="BT12" s="107"/>
      <c r="BY12" s="108"/>
      <c r="CC12" s="108"/>
      <c r="CE12" s="108"/>
    </row>
    <row r="13" spans="1:91">
      <c r="A13" s="8" t="s">
        <v>22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15"/>
      <c r="M13" s="17"/>
      <c r="N13" s="17"/>
      <c r="O13" s="17"/>
      <c r="P13" s="15"/>
      <c r="Q13" s="17"/>
      <c r="R13" s="17"/>
      <c r="S13" s="15"/>
      <c r="T13" s="17"/>
      <c r="U13" s="17"/>
      <c r="V13" s="15"/>
      <c r="W13" s="17"/>
      <c r="X13" s="17"/>
      <c r="Y13" s="15"/>
      <c r="Z13" s="17"/>
      <c r="AA13" s="17"/>
      <c r="AB13" s="15"/>
      <c r="AC13" s="17"/>
      <c r="AD13" s="17"/>
      <c r="AE13" s="15"/>
      <c r="AF13" s="17"/>
      <c r="AG13" s="17"/>
      <c r="AH13" s="15"/>
      <c r="AI13" s="17"/>
      <c r="AJ13" s="17"/>
      <c r="AK13" s="15"/>
      <c r="AL13" s="17"/>
      <c r="AM13" s="17"/>
      <c r="AN13" s="15"/>
      <c r="AO13" s="17"/>
      <c r="AP13" s="17"/>
      <c r="AQ13" s="15"/>
      <c r="AR13" s="17"/>
      <c r="AS13" s="17"/>
      <c r="AT13" s="15"/>
      <c r="AU13" s="17"/>
      <c r="AV13" s="17"/>
      <c r="AW13" s="15"/>
      <c r="AX13" s="17"/>
      <c r="AY13" s="17"/>
      <c r="AZ13" s="15"/>
      <c r="BA13" s="17"/>
      <c r="BB13" s="130"/>
      <c r="BC13" s="17"/>
      <c r="BD13" s="17"/>
      <c r="BE13" s="17"/>
      <c r="BF13" s="15"/>
      <c r="BG13" s="17"/>
      <c r="BH13" s="17"/>
      <c r="BI13" s="15"/>
      <c r="BJ13" s="17"/>
      <c r="BK13" s="17"/>
      <c r="BL13" s="15"/>
      <c r="BM13" s="17"/>
      <c r="BN13" s="17"/>
      <c r="BO13" s="115"/>
      <c r="BQ13" s="107"/>
      <c r="BT13" s="107"/>
      <c r="BY13" s="108"/>
      <c r="CC13" s="108"/>
      <c r="CE13" s="108"/>
    </row>
    <row r="14" spans="1:91">
      <c r="A14" s="12" t="s">
        <v>303</v>
      </c>
      <c r="B14" s="21"/>
      <c r="C14" s="21"/>
      <c r="D14" s="21"/>
      <c r="E14" s="8"/>
      <c r="F14" s="8"/>
      <c r="G14" s="8"/>
      <c r="H14" s="8"/>
      <c r="I14" s="8"/>
      <c r="J14" s="8"/>
      <c r="K14" s="8"/>
      <c r="L14" s="15"/>
      <c r="M14" s="17"/>
      <c r="N14" s="17"/>
      <c r="O14" s="17"/>
      <c r="P14" s="15"/>
      <c r="Q14" s="17"/>
      <c r="R14" s="17"/>
      <c r="S14" s="15"/>
      <c r="T14" s="17"/>
      <c r="U14" s="17"/>
      <c r="V14" s="15"/>
      <c r="W14" s="17"/>
      <c r="X14" s="17"/>
      <c r="Y14" s="15"/>
      <c r="Z14" s="17"/>
      <c r="AA14" s="17"/>
      <c r="AB14" s="15"/>
      <c r="AC14" s="17"/>
      <c r="AD14" s="17"/>
      <c r="AE14" s="15"/>
      <c r="AF14" s="17"/>
      <c r="AG14" s="17"/>
      <c r="AH14" s="15"/>
      <c r="AI14" s="17"/>
      <c r="AJ14" s="17"/>
      <c r="AK14" s="15"/>
      <c r="AL14" s="17"/>
      <c r="AM14" s="17"/>
      <c r="AN14" s="15"/>
      <c r="AO14" s="17"/>
      <c r="AP14" s="17"/>
      <c r="AQ14" s="15"/>
      <c r="AR14" s="17"/>
      <c r="AS14" s="17"/>
      <c r="AT14" s="15"/>
      <c r="AU14" s="17"/>
      <c r="AV14" s="17"/>
      <c r="AW14" s="15"/>
      <c r="AX14" s="17"/>
      <c r="AY14" s="17"/>
      <c r="AZ14" s="15"/>
      <c r="BA14" s="17"/>
      <c r="BB14" s="130"/>
      <c r="BC14" s="17"/>
      <c r="BD14" s="17"/>
      <c r="BE14" s="17"/>
      <c r="BF14" s="15"/>
      <c r="BG14" s="17"/>
      <c r="BH14" s="17"/>
      <c r="BI14" s="15">
        <v>110</v>
      </c>
      <c r="BJ14" s="17">
        <v>64</v>
      </c>
      <c r="BK14" s="17">
        <v>46</v>
      </c>
      <c r="BL14" s="15">
        <v>211</v>
      </c>
      <c r="BM14" s="17">
        <v>130</v>
      </c>
      <c r="BN14" s="17">
        <v>81</v>
      </c>
      <c r="BO14" s="115">
        <v>317</v>
      </c>
      <c r="BP14" s="12">
        <v>198</v>
      </c>
      <c r="BQ14" s="107">
        <v>119</v>
      </c>
      <c r="BR14" s="12">
        <v>404</v>
      </c>
      <c r="BS14" s="12">
        <v>237</v>
      </c>
      <c r="BT14" s="107">
        <v>167</v>
      </c>
      <c r="BU14" s="12">
        <v>417</v>
      </c>
      <c r="BV14" s="12">
        <v>247</v>
      </c>
      <c r="BW14" s="12">
        <v>170</v>
      </c>
      <c r="BY14" s="108">
        <v>404</v>
      </c>
      <c r="BZ14" s="12">
        <v>230</v>
      </c>
      <c r="CA14" s="12">
        <v>174</v>
      </c>
      <c r="CB14" s="12">
        <v>408</v>
      </c>
      <c r="CC14" s="108">
        <v>221</v>
      </c>
      <c r="CD14" s="12">
        <v>187</v>
      </c>
      <c r="CE14" s="108">
        <v>412</v>
      </c>
      <c r="CF14" s="12">
        <v>244</v>
      </c>
      <c r="CG14" s="107">
        <v>168</v>
      </c>
      <c r="CH14" s="12">
        <v>414</v>
      </c>
      <c r="CI14" s="12">
        <v>251</v>
      </c>
      <c r="CJ14" s="107">
        <v>163</v>
      </c>
      <c r="CK14" s="12">
        <v>407</v>
      </c>
      <c r="CL14" s="12">
        <v>249</v>
      </c>
      <c r="CM14" s="12">
        <v>158</v>
      </c>
    </row>
    <row r="15" spans="1:91">
      <c r="A15" s="8" t="s">
        <v>24</v>
      </c>
      <c r="B15" s="21"/>
      <c r="C15" s="21"/>
      <c r="D15" s="21"/>
      <c r="E15" s="8"/>
      <c r="F15" s="8"/>
      <c r="G15" s="8"/>
      <c r="H15" s="8"/>
      <c r="I15" s="8"/>
      <c r="J15" s="8"/>
      <c r="K15" s="8"/>
      <c r="L15" s="15"/>
      <c r="M15" s="17"/>
      <c r="N15" s="17"/>
      <c r="O15" s="17"/>
      <c r="P15" s="15"/>
      <c r="Q15" s="17"/>
      <c r="R15" s="17"/>
      <c r="S15" s="15"/>
      <c r="T15" s="17"/>
      <c r="U15" s="17"/>
      <c r="V15" s="15"/>
      <c r="W15" s="17"/>
      <c r="X15" s="17"/>
      <c r="Y15" s="15"/>
      <c r="Z15" s="17"/>
      <c r="AA15" s="17"/>
      <c r="AB15" s="15"/>
      <c r="AC15" s="17"/>
      <c r="AD15" s="17"/>
      <c r="AE15" s="15"/>
      <c r="AF15" s="17"/>
      <c r="AG15" s="17"/>
      <c r="AH15" s="15"/>
      <c r="AI15" s="17"/>
      <c r="AJ15" s="17"/>
      <c r="AK15" s="15"/>
      <c r="AL15" s="17"/>
      <c r="AM15" s="17"/>
      <c r="AN15" s="15"/>
      <c r="AO15" s="17"/>
      <c r="AP15" s="17"/>
      <c r="AQ15" s="15"/>
      <c r="AR15" s="17"/>
      <c r="AS15" s="17"/>
      <c r="AT15" s="15"/>
      <c r="AU15" s="17"/>
      <c r="AV15" s="17"/>
      <c r="AW15" s="15"/>
      <c r="AX15" s="17"/>
      <c r="AY15" s="17"/>
      <c r="AZ15" s="15"/>
      <c r="BA15" s="17"/>
      <c r="BB15" s="130"/>
      <c r="BC15" s="17"/>
      <c r="BD15" s="17"/>
      <c r="BE15" s="17"/>
      <c r="BF15" s="15"/>
      <c r="BG15" s="17"/>
      <c r="BH15" s="17"/>
      <c r="BI15" s="15"/>
      <c r="BJ15" s="17"/>
      <c r="BK15" s="17"/>
      <c r="BL15" s="15"/>
      <c r="BM15" s="17"/>
      <c r="BN15" s="17"/>
      <c r="BO15" s="115"/>
      <c r="BQ15" s="107"/>
      <c r="BR15" s="12">
        <v>162</v>
      </c>
      <c r="BS15" s="12">
        <v>85</v>
      </c>
      <c r="BT15" s="107">
        <v>77</v>
      </c>
      <c r="BU15" s="12">
        <v>320</v>
      </c>
      <c r="BV15" s="12">
        <v>172</v>
      </c>
      <c r="BW15" s="12">
        <v>148</v>
      </c>
      <c r="BY15" s="108">
        <v>477</v>
      </c>
      <c r="BZ15" s="12">
        <v>254</v>
      </c>
      <c r="CA15" s="12">
        <v>223</v>
      </c>
      <c r="CB15" s="12">
        <v>637</v>
      </c>
      <c r="CC15" s="108">
        <v>357</v>
      </c>
      <c r="CD15" s="12">
        <v>280</v>
      </c>
      <c r="CE15" s="108">
        <v>633</v>
      </c>
      <c r="CF15" s="12">
        <v>345</v>
      </c>
      <c r="CG15" s="107">
        <v>287</v>
      </c>
      <c r="CH15" s="12">
        <v>637</v>
      </c>
      <c r="CI15" s="12">
        <v>334</v>
      </c>
      <c r="CJ15" s="107">
        <v>303</v>
      </c>
      <c r="CK15" s="12">
        <v>627</v>
      </c>
      <c r="CL15" s="12">
        <v>324</v>
      </c>
      <c r="CM15" s="12">
        <v>303</v>
      </c>
    </row>
    <row r="16" spans="1:91">
      <c r="A16" s="8" t="s">
        <v>304</v>
      </c>
      <c r="B16" s="21">
        <v>260</v>
      </c>
      <c r="C16" s="21">
        <v>246</v>
      </c>
      <c r="D16" s="21">
        <v>331</v>
      </c>
      <c r="E16" s="8">
        <v>308</v>
      </c>
      <c r="F16" s="8">
        <v>282</v>
      </c>
      <c r="G16" s="8">
        <v>271</v>
      </c>
      <c r="H16" s="8">
        <v>260</v>
      </c>
      <c r="I16" s="8">
        <v>273</v>
      </c>
      <c r="J16" s="8">
        <v>269</v>
      </c>
      <c r="K16" s="8">
        <v>296</v>
      </c>
      <c r="L16" s="15">
        <v>310</v>
      </c>
      <c r="M16" s="17">
        <v>212</v>
      </c>
      <c r="N16" s="17">
        <v>98</v>
      </c>
      <c r="O16" s="17">
        <v>316</v>
      </c>
      <c r="P16" s="15">
        <v>347</v>
      </c>
      <c r="Q16" s="17">
        <v>228</v>
      </c>
      <c r="R16" s="17">
        <v>119</v>
      </c>
      <c r="S16" s="15">
        <v>349</v>
      </c>
      <c r="T16" s="17">
        <v>223</v>
      </c>
      <c r="U16" s="17">
        <v>126</v>
      </c>
      <c r="V16" s="15">
        <v>350</v>
      </c>
      <c r="W16" s="17">
        <v>231</v>
      </c>
      <c r="X16" s="17">
        <v>119</v>
      </c>
      <c r="Y16" s="15">
        <v>350</v>
      </c>
      <c r="Z16" s="17">
        <v>233</v>
      </c>
      <c r="AA16" s="17">
        <v>117</v>
      </c>
      <c r="AB16" s="15">
        <v>353</v>
      </c>
      <c r="AC16" s="17">
        <v>228</v>
      </c>
      <c r="AD16" s="17">
        <v>125</v>
      </c>
      <c r="AE16" s="15">
        <v>352</v>
      </c>
      <c r="AF16" s="17">
        <v>188</v>
      </c>
      <c r="AG16" s="17">
        <v>164</v>
      </c>
      <c r="AH16" s="15">
        <v>346</v>
      </c>
      <c r="AI16" s="17">
        <v>185</v>
      </c>
      <c r="AJ16" s="17">
        <v>161</v>
      </c>
      <c r="AK16" s="15">
        <v>348</v>
      </c>
      <c r="AL16" s="17">
        <v>183</v>
      </c>
      <c r="AM16" s="17">
        <v>165</v>
      </c>
      <c r="AN16" s="15">
        <v>350</v>
      </c>
      <c r="AO16" s="17">
        <v>176</v>
      </c>
      <c r="AP16" s="17">
        <v>174</v>
      </c>
      <c r="AQ16" s="15">
        <v>348</v>
      </c>
      <c r="AR16" s="17">
        <v>189</v>
      </c>
      <c r="AS16" s="17">
        <v>159</v>
      </c>
      <c r="AT16" s="15">
        <v>352</v>
      </c>
      <c r="AU16" s="17">
        <v>188</v>
      </c>
      <c r="AV16" s="17">
        <v>164</v>
      </c>
      <c r="AW16" s="15">
        <v>352</v>
      </c>
      <c r="AX16" s="17">
        <v>182</v>
      </c>
      <c r="AY16" s="17">
        <v>170</v>
      </c>
      <c r="AZ16" s="15">
        <v>343</v>
      </c>
      <c r="BA16" s="17">
        <v>175</v>
      </c>
      <c r="BB16" s="130">
        <v>168</v>
      </c>
      <c r="BC16" s="17">
        <v>354</v>
      </c>
      <c r="BD16" s="17">
        <v>180</v>
      </c>
      <c r="BE16" s="17">
        <v>174</v>
      </c>
      <c r="BF16" s="15">
        <v>357</v>
      </c>
      <c r="BG16" s="17">
        <v>184</v>
      </c>
      <c r="BH16" s="17">
        <v>173</v>
      </c>
      <c r="BI16" s="15">
        <v>359</v>
      </c>
      <c r="BJ16" s="17">
        <v>189</v>
      </c>
      <c r="BK16" s="17">
        <v>170</v>
      </c>
      <c r="BL16" s="15">
        <v>365</v>
      </c>
      <c r="BM16" s="17">
        <v>195</v>
      </c>
      <c r="BN16" s="17">
        <v>170</v>
      </c>
      <c r="BO16" s="115">
        <v>385</v>
      </c>
      <c r="BP16" s="12">
        <v>208</v>
      </c>
      <c r="BQ16" s="107">
        <v>177</v>
      </c>
      <c r="BR16" s="12">
        <v>411</v>
      </c>
      <c r="BS16" s="12">
        <v>229</v>
      </c>
      <c r="BT16" s="107">
        <v>182</v>
      </c>
      <c r="BU16" s="12">
        <v>430</v>
      </c>
      <c r="BV16" s="12">
        <v>243</v>
      </c>
      <c r="BW16" s="12">
        <v>187</v>
      </c>
      <c r="BY16" s="108">
        <v>441</v>
      </c>
      <c r="BZ16" s="12">
        <v>247</v>
      </c>
      <c r="CA16" s="12">
        <v>194</v>
      </c>
      <c r="CB16" s="12">
        <v>446</v>
      </c>
      <c r="CC16" s="108">
        <v>261</v>
      </c>
      <c r="CD16" s="12">
        <v>185</v>
      </c>
      <c r="CE16" s="108">
        <v>458</v>
      </c>
      <c r="CF16" s="12">
        <v>267</v>
      </c>
      <c r="CG16" s="107">
        <v>191</v>
      </c>
      <c r="CH16" s="12">
        <v>467</v>
      </c>
      <c r="CI16" s="12">
        <v>269</v>
      </c>
      <c r="CJ16" s="107">
        <v>198</v>
      </c>
      <c r="CK16" s="12">
        <v>347</v>
      </c>
      <c r="CL16" s="12">
        <v>193</v>
      </c>
      <c r="CM16" s="12">
        <v>154</v>
      </c>
    </row>
    <row r="17" spans="1:91">
      <c r="A17" s="8" t="s">
        <v>305</v>
      </c>
      <c r="B17" s="21"/>
      <c r="C17" s="21"/>
      <c r="D17" s="21"/>
      <c r="E17" s="8"/>
      <c r="F17" s="8"/>
      <c r="G17" s="8"/>
      <c r="H17" s="8"/>
      <c r="I17" s="8"/>
      <c r="J17" s="8"/>
      <c r="K17" s="8"/>
      <c r="L17" s="15"/>
      <c r="M17" s="17"/>
      <c r="N17" s="17"/>
      <c r="O17" s="17"/>
      <c r="P17" s="15"/>
      <c r="Q17" s="17"/>
      <c r="R17" s="17"/>
      <c r="S17" s="15"/>
      <c r="T17" s="17"/>
      <c r="U17" s="17"/>
      <c r="V17" s="15"/>
      <c r="W17" s="17"/>
      <c r="X17" s="17"/>
      <c r="Y17" s="15"/>
      <c r="Z17" s="17"/>
      <c r="AA17" s="17"/>
      <c r="AB17" s="15"/>
      <c r="AC17" s="17"/>
      <c r="AD17" s="17"/>
      <c r="AE17" s="15"/>
      <c r="AF17" s="17"/>
      <c r="AG17" s="17"/>
      <c r="AH17" s="15"/>
      <c r="AI17" s="17"/>
      <c r="AJ17" s="17"/>
      <c r="AK17" s="15"/>
      <c r="AL17" s="17"/>
      <c r="AM17" s="17"/>
      <c r="AN17" s="15"/>
      <c r="AO17" s="17"/>
      <c r="AP17" s="17"/>
      <c r="AQ17" s="15"/>
      <c r="AR17" s="17"/>
      <c r="AS17" s="17"/>
      <c r="AT17" s="15"/>
      <c r="AU17" s="17"/>
      <c r="AV17" s="17"/>
      <c r="AW17" s="15"/>
      <c r="AX17" s="17"/>
      <c r="AY17" s="17"/>
      <c r="AZ17" s="15"/>
      <c r="BA17" s="17"/>
      <c r="BB17" s="130"/>
      <c r="BC17" s="17">
        <v>676</v>
      </c>
      <c r="BD17" s="17">
        <v>317</v>
      </c>
      <c r="BE17" s="17">
        <v>359</v>
      </c>
      <c r="BF17" s="15"/>
      <c r="BG17" s="17"/>
      <c r="BH17" s="17"/>
      <c r="BI17" s="15"/>
      <c r="BJ17" s="17"/>
      <c r="BK17" s="17"/>
      <c r="BL17" s="15">
        <v>162</v>
      </c>
      <c r="BM17" s="17">
        <v>80</v>
      </c>
      <c r="BN17" s="17">
        <v>82</v>
      </c>
      <c r="BO17" s="115">
        <v>321</v>
      </c>
      <c r="BP17" s="12">
        <v>158</v>
      </c>
      <c r="BQ17" s="107">
        <v>163</v>
      </c>
      <c r="BR17" s="12">
        <v>476</v>
      </c>
      <c r="BS17" s="12">
        <v>227</v>
      </c>
      <c r="BT17" s="107">
        <v>249</v>
      </c>
      <c r="BU17" s="12">
        <v>635</v>
      </c>
      <c r="BV17" s="12">
        <v>312</v>
      </c>
      <c r="BW17" s="12">
        <v>323</v>
      </c>
      <c r="BY17" s="108">
        <v>642</v>
      </c>
      <c r="BZ17" s="12">
        <v>314</v>
      </c>
      <c r="CA17" s="12">
        <v>328</v>
      </c>
      <c r="CB17" s="12">
        <v>644</v>
      </c>
      <c r="CC17" s="108">
        <v>313</v>
      </c>
      <c r="CD17" s="12">
        <v>331</v>
      </c>
      <c r="CE17" s="108">
        <v>635</v>
      </c>
      <c r="CF17" s="12">
        <v>322</v>
      </c>
      <c r="CG17" s="107">
        <v>313</v>
      </c>
      <c r="CH17" s="12">
        <v>641</v>
      </c>
      <c r="CI17" s="12">
        <v>307</v>
      </c>
      <c r="CJ17" s="107">
        <v>334</v>
      </c>
      <c r="CK17" s="12">
        <v>639</v>
      </c>
      <c r="CL17" s="12">
        <v>298</v>
      </c>
      <c r="CM17" s="12">
        <v>341</v>
      </c>
    </row>
    <row r="18" spans="1:91">
      <c r="A18" s="8" t="s">
        <v>306</v>
      </c>
      <c r="B18" s="21"/>
      <c r="C18" s="21"/>
      <c r="D18" s="21"/>
      <c r="E18" s="8"/>
      <c r="F18" s="8"/>
      <c r="G18" s="8"/>
      <c r="H18" s="8"/>
      <c r="I18" s="8"/>
      <c r="J18" s="8"/>
      <c r="K18" s="8"/>
      <c r="L18" s="15"/>
      <c r="M18" s="17"/>
      <c r="N18" s="17"/>
      <c r="O18" s="17"/>
      <c r="P18" s="15"/>
      <c r="Q18" s="17"/>
      <c r="R18" s="17"/>
      <c r="S18" s="15"/>
      <c r="T18" s="17"/>
      <c r="U18" s="17"/>
      <c r="V18" s="15"/>
      <c r="W18" s="17"/>
      <c r="X18" s="17"/>
      <c r="Y18" s="15"/>
      <c r="Z18" s="17"/>
      <c r="AA18" s="17"/>
      <c r="AB18" s="15"/>
      <c r="AC18" s="17"/>
      <c r="AD18" s="17"/>
      <c r="AE18" s="15"/>
      <c r="AF18" s="17"/>
      <c r="AG18" s="17"/>
      <c r="AH18" s="15"/>
      <c r="AI18" s="17"/>
      <c r="AJ18" s="17"/>
      <c r="AK18" s="15"/>
      <c r="AL18" s="17"/>
      <c r="AM18" s="17"/>
      <c r="AN18" s="15"/>
      <c r="AO18" s="17"/>
      <c r="AP18" s="17"/>
      <c r="AQ18" s="15"/>
      <c r="AR18" s="17"/>
      <c r="AS18" s="17"/>
      <c r="AT18" s="15"/>
      <c r="AU18" s="17"/>
      <c r="AV18" s="17"/>
      <c r="AW18" s="15"/>
      <c r="AX18" s="17"/>
      <c r="AY18" s="17"/>
      <c r="AZ18" s="15">
        <v>160</v>
      </c>
      <c r="BA18" s="17">
        <v>101</v>
      </c>
      <c r="BB18" s="130">
        <v>59</v>
      </c>
      <c r="BC18" s="17">
        <v>320</v>
      </c>
      <c r="BD18" s="17">
        <v>183</v>
      </c>
      <c r="BE18" s="17">
        <v>137</v>
      </c>
      <c r="BF18" s="15">
        <v>475</v>
      </c>
      <c r="BG18" s="17">
        <v>273</v>
      </c>
      <c r="BH18" s="17">
        <v>202</v>
      </c>
      <c r="BI18" s="15">
        <v>620</v>
      </c>
      <c r="BJ18" s="17">
        <v>371</v>
      </c>
      <c r="BK18" s="17">
        <v>249</v>
      </c>
      <c r="BL18" s="15">
        <v>617</v>
      </c>
      <c r="BM18" s="17">
        <v>347</v>
      </c>
      <c r="BN18" s="17">
        <v>270</v>
      </c>
      <c r="BO18" s="115">
        <v>697</v>
      </c>
      <c r="BP18" s="12">
        <v>394</v>
      </c>
      <c r="BQ18" s="107">
        <v>303</v>
      </c>
      <c r="BR18" s="12">
        <v>779</v>
      </c>
      <c r="BS18" s="12">
        <v>434</v>
      </c>
      <c r="BT18" s="107">
        <v>345</v>
      </c>
      <c r="BU18" s="12">
        <v>837</v>
      </c>
      <c r="BV18" s="12">
        <v>470</v>
      </c>
      <c r="BW18" s="12">
        <v>367</v>
      </c>
      <c r="BY18" s="108">
        <v>912</v>
      </c>
      <c r="BZ18" s="12">
        <v>540</v>
      </c>
      <c r="CA18" s="12">
        <v>372</v>
      </c>
      <c r="CB18" s="12">
        <v>949</v>
      </c>
      <c r="CC18" s="108">
        <v>574</v>
      </c>
      <c r="CD18" s="12">
        <v>375</v>
      </c>
      <c r="CE18" s="108">
        <v>954</v>
      </c>
      <c r="CF18" s="12">
        <v>581</v>
      </c>
      <c r="CG18" s="107">
        <v>373</v>
      </c>
      <c r="CH18" s="12">
        <v>943</v>
      </c>
      <c r="CI18" s="12">
        <v>543</v>
      </c>
      <c r="CJ18" s="107">
        <v>400</v>
      </c>
      <c r="CK18" s="12">
        <v>1083</v>
      </c>
      <c r="CL18" s="12">
        <v>580</v>
      </c>
      <c r="CM18" s="12">
        <v>503</v>
      </c>
    </row>
    <row r="19" spans="1:91">
      <c r="A19" s="8" t="s">
        <v>307</v>
      </c>
      <c r="B19" s="21">
        <v>363</v>
      </c>
      <c r="C19" s="21">
        <v>387</v>
      </c>
      <c r="D19" s="21">
        <v>382</v>
      </c>
      <c r="E19" s="8">
        <v>376</v>
      </c>
      <c r="F19" s="8">
        <v>385</v>
      </c>
      <c r="G19" s="8">
        <v>391</v>
      </c>
      <c r="H19" s="8">
        <v>378</v>
      </c>
      <c r="I19" s="8">
        <v>372</v>
      </c>
      <c r="J19" s="8">
        <v>375</v>
      </c>
      <c r="K19" s="8">
        <v>416</v>
      </c>
      <c r="L19" s="15">
        <v>424</v>
      </c>
      <c r="M19" s="17">
        <v>290</v>
      </c>
      <c r="N19" s="17">
        <v>134</v>
      </c>
      <c r="O19" s="17">
        <v>435</v>
      </c>
      <c r="P19" s="15">
        <v>436</v>
      </c>
      <c r="Q19" s="17">
        <v>275</v>
      </c>
      <c r="R19" s="17">
        <v>161</v>
      </c>
      <c r="S19" s="15">
        <v>435</v>
      </c>
      <c r="T19" s="17">
        <v>271</v>
      </c>
      <c r="U19" s="17">
        <v>164</v>
      </c>
      <c r="V19" s="15">
        <v>454</v>
      </c>
      <c r="W19" s="17">
        <v>267</v>
      </c>
      <c r="X19" s="17">
        <v>187</v>
      </c>
      <c r="Y19" s="15">
        <v>449</v>
      </c>
      <c r="Z19" s="17">
        <v>256</v>
      </c>
      <c r="AA19" s="17">
        <v>193</v>
      </c>
      <c r="AB19" s="15">
        <v>453</v>
      </c>
      <c r="AC19" s="17">
        <v>248</v>
      </c>
      <c r="AD19" s="17">
        <v>205</v>
      </c>
      <c r="AE19" s="15">
        <v>455</v>
      </c>
      <c r="AF19" s="17">
        <v>228</v>
      </c>
      <c r="AG19" s="17">
        <v>227</v>
      </c>
      <c r="AH19" s="15">
        <v>465</v>
      </c>
      <c r="AI19" s="17">
        <v>229</v>
      </c>
      <c r="AJ19" s="17">
        <v>236</v>
      </c>
      <c r="AK19" s="15">
        <v>479</v>
      </c>
      <c r="AL19" s="17">
        <v>240</v>
      </c>
      <c r="AM19" s="17">
        <v>239</v>
      </c>
      <c r="AN19" s="15">
        <v>492</v>
      </c>
      <c r="AO19" s="17">
        <v>228</v>
      </c>
      <c r="AP19" s="17">
        <v>264</v>
      </c>
      <c r="AQ19" s="15">
        <v>501</v>
      </c>
      <c r="AR19" s="17">
        <v>238</v>
      </c>
      <c r="AS19" s="17">
        <v>263</v>
      </c>
      <c r="AT19" s="15">
        <v>520</v>
      </c>
      <c r="AU19" s="17">
        <v>246</v>
      </c>
      <c r="AV19" s="17">
        <v>274</v>
      </c>
      <c r="AW19" s="15">
        <v>555</v>
      </c>
      <c r="AX19" s="17">
        <v>284</v>
      </c>
      <c r="AY19" s="17">
        <v>271</v>
      </c>
      <c r="AZ19" s="15">
        <v>593</v>
      </c>
      <c r="BA19" s="17">
        <v>310</v>
      </c>
      <c r="BB19" s="130">
        <v>283</v>
      </c>
      <c r="BC19" s="17">
        <v>637</v>
      </c>
      <c r="BD19" s="17">
        <v>341</v>
      </c>
      <c r="BE19" s="17">
        <v>296</v>
      </c>
      <c r="BF19" s="15">
        <v>685</v>
      </c>
      <c r="BG19" s="17">
        <v>369</v>
      </c>
      <c r="BH19" s="17">
        <v>316</v>
      </c>
      <c r="BI19" s="15">
        <v>728</v>
      </c>
      <c r="BJ19" s="17">
        <v>376</v>
      </c>
      <c r="BK19" s="17">
        <v>352</v>
      </c>
      <c r="BL19" s="15">
        <v>800</v>
      </c>
      <c r="BM19" s="17">
        <v>388</v>
      </c>
      <c r="BN19" s="17">
        <v>412</v>
      </c>
      <c r="BO19" s="115">
        <v>849</v>
      </c>
      <c r="BP19" s="12">
        <v>399</v>
      </c>
      <c r="BQ19" s="107">
        <v>450</v>
      </c>
      <c r="BR19" s="12">
        <v>907</v>
      </c>
      <c r="BS19" s="12">
        <v>434</v>
      </c>
      <c r="BT19" s="107">
        <v>473</v>
      </c>
      <c r="BU19" s="12">
        <v>927</v>
      </c>
      <c r="BV19" s="12">
        <v>474</v>
      </c>
      <c r="BW19" s="12">
        <v>453</v>
      </c>
      <c r="BY19" s="108">
        <v>919</v>
      </c>
      <c r="BZ19" s="12">
        <v>497</v>
      </c>
      <c r="CA19" s="12">
        <v>422</v>
      </c>
      <c r="CB19" s="12">
        <v>916</v>
      </c>
      <c r="CC19" s="108">
        <v>497</v>
      </c>
      <c r="CD19" s="12">
        <v>419</v>
      </c>
      <c r="CE19" s="108">
        <v>1076</v>
      </c>
      <c r="CF19" s="12">
        <v>557</v>
      </c>
      <c r="CG19" s="107">
        <v>519</v>
      </c>
      <c r="CH19" s="12">
        <v>1236</v>
      </c>
      <c r="CI19" s="12">
        <v>352</v>
      </c>
      <c r="CJ19" s="107">
        <v>440</v>
      </c>
      <c r="CK19" s="12">
        <v>1382</v>
      </c>
      <c r="CL19" s="12">
        <v>631</v>
      </c>
      <c r="CM19" s="12">
        <v>751</v>
      </c>
    </row>
    <row r="20" spans="1:91">
      <c r="A20" s="8" t="s">
        <v>308</v>
      </c>
      <c r="B20" s="21"/>
      <c r="C20" s="21"/>
      <c r="D20" s="21"/>
      <c r="E20" s="8"/>
      <c r="F20" s="8"/>
      <c r="G20" s="8"/>
      <c r="H20" s="8"/>
      <c r="I20" s="8"/>
      <c r="J20" s="8"/>
      <c r="K20" s="8"/>
      <c r="L20" s="15"/>
      <c r="M20" s="17"/>
      <c r="N20" s="17"/>
      <c r="O20" s="17"/>
      <c r="P20" s="15"/>
      <c r="Q20" s="17"/>
      <c r="R20" s="17"/>
      <c r="S20" s="15"/>
      <c r="T20" s="17"/>
      <c r="U20" s="17"/>
      <c r="V20" s="15"/>
      <c r="W20" s="17"/>
      <c r="X20" s="17"/>
      <c r="Y20" s="15"/>
      <c r="Z20" s="17"/>
      <c r="AA20" s="17"/>
      <c r="AB20" s="15"/>
      <c r="AC20" s="17"/>
      <c r="AD20" s="17"/>
      <c r="AE20" s="15"/>
      <c r="AF20" s="17"/>
      <c r="AG20" s="17"/>
      <c r="AH20" s="15"/>
      <c r="AI20" s="17"/>
      <c r="AJ20" s="17"/>
      <c r="AK20" s="15"/>
      <c r="AL20" s="17"/>
      <c r="AM20" s="17"/>
      <c r="AN20" s="15">
        <v>154</v>
      </c>
      <c r="AO20" s="17">
        <v>80</v>
      </c>
      <c r="AP20" s="17">
        <v>74</v>
      </c>
      <c r="AQ20" s="15">
        <v>307</v>
      </c>
      <c r="AR20" s="17">
        <v>154</v>
      </c>
      <c r="AS20" s="17">
        <v>153</v>
      </c>
      <c r="AT20" s="15">
        <v>467</v>
      </c>
      <c r="AU20" s="17">
        <v>238</v>
      </c>
      <c r="AV20" s="17">
        <v>229</v>
      </c>
      <c r="AW20" s="15">
        <v>607</v>
      </c>
      <c r="AX20" s="17">
        <v>295</v>
      </c>
      <c r="AY20" s="17">
        <v>312</v>
      </c>
      <c r="AZ20" s="15">
        <v>645</v>
      </c>
      <c r="BA20" s="17">
        <v>312</v>
      </c>
      <c r="BB20" s="130">
        <v>333</v>
      </c>
      <c r="BC20" s="17"/>
      <c r="BD20" s="17"/>
      <c r="BE20" s="17"/>
      <c r="BF20" s="15">
        <v>707</v>
      </c>
      <c r="BG20" s="17">
        <v>348</v>
      </c>
      <c r="BH20" s="17">
        <v>359</v>
      </c>
      <c r="BI20" s="15">
        <v>719</v>
      </c>
      <c r="BJ20" s="17">
        <v>361</v>
      </c>
      <c r="BK20" s="17">
        <v>358</v>
      </c>
      <c r="BL20" s="15">
        <v>748</v>
      </c>
      <c r="BM20" s="17">
        <v>401</v>
      </c>
      <c r="BN20" s="17">
        <v>347</v>
      </c>
      <c r="BO20" s="115">
        <v>756</v>
      </c>
      <c r="BP20" s="12">
        <v>386</v>
      </c>
      <c r="BQ20" s="107">
        <v>370</v>
      </c>
      <c r="BR20" s="12">
        <v>750</v>
      </c>
      <c r="BS20" s="12">
        <v>360</v>
      </c>
      <c r="BT20" s="107">
        <v>390</v>
      </c>
      <c r="BU20" s="12">
        <v>908</v>
      </c>
      <c r="BV20" s="12">
        <v>451</v>
      </c>
      <c r="BW20" s="12">
        <v>457</v>
      </c>
      <c r="BY20" s="108">
        <v>1062</v>
      </c>
      <c r="BZ20" s="12">
        <v>508</v>
      </c>
      <c r="CA20" s="12">
        <v>554</v>
      </c>
      <c r="CB20" s="12">
        <v>1213</v>
      </c>
      <c r="CC20" s="108">
        <v>602</v>
      </c>
      <c r="CD20" s="12">
        <v>611</v>
      </c>
      <c r="CE20" s="108">
        <v>1341</v>
      </c>
      <c r="CF20" s="12">
        <v>667</v>
      </c>
      <c r="CG20" s="107">
        <v>674</v>
      </c>
      <c r="CH20" s="12">
        <v>1352</v>
      </c>
      <c r="CI20" s="12">
        <v>673</v>
      </c>
      <c r="CJ20" s="107">
        <v>679</v>
      </c>
      <c r="CK20" s="12">
        <v>1340</v>
      </c>
      <c r="CL20" s="12">
        <v>668</v>
      </c>
      <c r="CM20" s="12">
        <v>672</v>
      </c>
    </row>
    <row r="21" spans="1:91">
      <c r="A21" s="17" t="s">
        <v>309</v>
      </c>
      <c r="B21" s="6">
        <v>227</v>
      </c>
      <c r="C21" s="6">
        <v>234</v>
      </c>
      <c r="D21" s="6">
        <v>236</v>
      </c>
      <c r="E21" s="17">
        <v>234</v>
      </c>
      <c r="F21" s="17">
        <v>233</v>
      </c>
      <c r="G21" s="17">
        <v>233</v>
      </c>
      <c r="H21" s="17">
        <v>236</v>
      </c>
      <c r="I21" s="17">
        <v>240</v>
      </c>
      <c r="J21" s="17">
        <v>248</v>
      </c>
      <c r="K21" s="17">
        <v>257</v>
      </c>
      <c r="L21" s="15">
        <v>261</v>
      </c>
      <c r="M21" s="17">
        <v>174</v>
      </c>
      <c r="N21" s="17">
        <v>87</v>
      </c>
      <c r="O21" s="17">
        <v>259</v>
      </c>
      <c r="P21" s="15">
        <v>260</v>
      </c>
      <c r="Q21" s="17">
        <v>166</v>
      </c>
      <c r="R21" s="17">
        <v>94</v>
      </c>
      <c r="S21" s="15">
        <v>261</v>
      </c>
      <c r="T21" s="17">
        <v>158</v>
      </c>
      <c r="U21" s="17">
        <v>103</v>
      </c>
      <c r="V21" s="15">
        <v>261</v>
      </c>
      <c r="W21" s="17">
        <v>155</v>
      </c>
      <c r="X21" s="17">
        <v>106</v>
      </c>
      <c r="Y21" s="15">
        <v>264</v>
      </c>
      <c r="Z21" s="17">
        <v>150</v>
      </c>
      <c r="AA21" s="17">
        <v>114</v>
      </c>
      <c r="AB21" s="15">
        <v>274</v>
      </c>
      <c r="AC21" s="17">
        <v>161</v>
      </c>
      <c r="AD21" s="17">
        <v>113</v>
      </c>
      <c r="AE21" s="15">
        <v>285</v>
      </c>
      <c r="AF21" s="17">
        <v>141</v>
      </c>
      <c r="AG21" s="17">
        <v>144</v>
      </c>
      <c r="AH21" s="15">
        <v>296</v>
      </c>
      <c r="AI21" s="17">
        <v>155</v>
      </c>
      <c r="AJ21" s="17">
        <v>141</v>
      </c>
      <c r="AK21" s="15">
        <v>308</v>
      </c>
      <c r="AL21" s="17">
        <v>151</v>
      </c>
      <c r="AM21" s="17">
        <v>157</v>
      </c>
      <c r="AN21" s="15">
        <v>337</v>
      </c>
      <c r="AO21" s="17">
        <v>160</v>
      </c>
      <c r="AP21" s="17">
        <v>177</v>
      </c>
      <c r="AQ21" s="15">
        <v>367</v>
      </c>
      <c r="AR21" s="17">
        <v>183</v>
      </c>
      <c r="AS21" s="17">
        <v>184</v>
      </c>
      <c r="AT21" s="15">
        <v>397</v>
      </c>
      <c r="AU21" s="17">
        <v>211</v>
      </c>
      <c r="AV21" s="17">
        <v>186</v>
      </c>
      <c r="AW21" s="15">
        <v>502</v>
      </c>
      <c r="AX21" s="17">
        <v>260</v>
      </c>
      <c r="AY21" s="17">
        <v>242</v>
      </c>
      <c r="AZ21" s="15">
        <v>596</v>
      </c>
      <c r="BA21" s="17">
        <v>305</v>
      </c>
      <c r="BB21" s="130">
        <v>291</v>
      </c>
      <c r="BC21" s="17">
        <v>695</v>
      </c>
      <c r="BD21" s="17">
        <v>346</v>
      </c>
      <c r="BE21" s="17">
        <v>349</v>
      </c>
      <c r="BF21" s="15">
        <v>778</v>
      </c>
      <c r="BG21" s="17">
        <v>409</v>
      </c>
      <c r="BH21" s="17">
        <v>369</v>
      </c>
      <c r="BI21" s="15">
        <v>811</v>
      </c>
      <c r="BJ21" s="17">
        <v>435</v>
      </c>
      <c r="BK21" s="17">
        <v>376</v>
      </c>
      <c r="BL21" s="15">
        <v>813</v>
      </c>
      <c r="BM21" s="17">
        <v>439</v>
      </c>
      <c r="BN21" s="17">
        <v>374</v>
      </c>
      <c r="BO21" s="115">
        <v>837</v>
      </c>
      <c r="BP21" s="12">
        <v>454</v>
      </c>
      <c r="BQ21" s="107">
        <v>383</v>
      </c>
      <c r="BR21" s="108">
        <v>817</v>
      </c>
      <c r="BS21" s="12">
        <v>436</v>
      </c>
      <c r="BT21" s="107">
        <v>381</v>
      </c>
      <c r="BU21" s="108">
        <v>815</v>
      </c>
      <c r="BV21" s="12">
        <v>429</v>
      </c>
      <c r="BW21" s="12">
        <v>386</v>
      </c>
      <c r="BY21" s="108">
        <v>831</v>
      </c>
      <c r="BZ21" s="12">
        <v>428</v>
      </c>
      <c r="CA21" s="12">
        <v>403</v>
      </c>
      <c r="CB21" s="12">
        <v>847</v>
      </c>
      <c r="CC21" s="108">
        <v>429</v>
      </c>
      <c r="CD21" s="12">
        <v>418</v>
      </c>
      <c r="CE21" s="108">
        <v>847</v>
      </c>
      <c r="CF21" s="12">
        <v>414</v>
      </c>
      <c r="CG21" s="107">
        <v>433</v>
      </c>
      <c r="CH21" s="12">
        <v>841</v>
      </c>
      <c r="CI21" s="12">
        <v>430</v>
      </c>
      <c r="CJ21" s="107">
        <v>411</v>
      </c>
      <c r="CK21" s="12">
        <v>806</v>
      </c>
      <c r="CL21" s="12">
        <v>415</v>
      </c>
      <c r="CM21" s="12">
        <v>391</v>
      </c>
    </row>
    <row r="22" spans="1:91" s="176" customFormat="1">
      <c r="A22" s="136" t="s">
        <v>31</v>
      </c>
      <c r="B22" s="193"/>
      <c r="C22" s="193"/>
      <c r="D22" s="193"/>
      <c r="E22" s="136"/>
      <c r="F22" s="136"/>
      <c r="G22" s="136"/>
      <c r="H22" s="136"/>
      <c r="I22" s="136"/>
      <c r="J22" s="136"/>
      <c r="K22" s="136"/>
      <c r="L22" s="194"/>
      <c r="M22" s="136"/>
      <c r="N22" s="136"/>
      <c r="O22" s="136"/>
      <c r="P22" s="194"/>
      <c r="Q22" s="136"/>
      <c r="R22" s="136"/>
      <c r="S22" s="194"/>
      <c r="T22" s="136"/>
      <c r="U22" s="136"/>
      <c r="V22" s="194"/>
      <c r="W22" s="136"/>
      <c r="X22" s="136"/>
      <c r="Y22" s="194"/>
      <c r="Z22" s="136"/>
      <c r="AA22" s="136"/>
      <c r="AB22" s="194"/>
      <c r="AC22" s="136"/>
      <c r="AD22" s="136"/>
      <c r="AE22" s="194">
        <f>SUM(AE24:AE36)</f>
        <v>1520</v>
      </c>
      <c r="AF22" s="136">
        <f t="shared" ref="AF22:AG22" si="49">SUM(AF24:AF36)</f>
        <v>824</v>
      </c>
      <c r="AG22" s="136">
        <f t="shared" si="49"/>
        <v>696</v>
      </c>
      <c r="AH22" s="194">
        <f>SUM(AH24:AH36)</f>
        <v>1602</v>
      </c>
      <c r="AI22" s="136">
        <f t="shared" ref="AI22:AJ22" si="50">SUM(AI24:AI36)</f>
        <v>862</v>
      </c>
      <c r="AJ22" s="136">
        <f t="shared" si="50"/>
        <v>740</v>
      </c>
      <c r="AK22" s="194">
        <f>SUM(AK24:AK36)</f>
        <v>1691</v>
      </c>
      <c r="AL22" s="136">
        <f t="shared" ref="AL22:AM22" si="51">SUM(AL24:AL36)</f>
        <v>893</v>
      </c>
      <c r="AM22" s="136">
        <f t="shared" si="51"/>
        <v>798</v>
      </c>
      <c r="AN22" s="194">
        <f>SUM(AN24:AN36)</f>
        <v>1737</v>
      </c>
      <c r="AO22" s="136">
        <f t="shared" ref="AO22:AP22" si="52">SUM(AO24:AO36)</f>
        <v>884</v>
      </c>
      <c r="AP22" s="136">
        <f t="shared" si="52"/>
        <v>853</v>
      </c>
      <c r="AQ22" s="194">
        <f>SUM(AQ24:AQ36)</f>
        <v>1853</v>
      </c>
      <c r="AR22" s="136">
        <f t="shared" ref="AR22:AS22" si="53">SUM(AR24:AR36)</f>
        <v>1009</v>
      </c>
      <c r="AS22" s="136">
        <f t="shared" si="53"/>
        <v>844</v>
      </c>
      <c r="AT22" s="194">
        <f>SUM(AT24:AT36)</f>
        <v>2015</v>
      </c>
      <c r="AU22" s="136">
        <f t="shared" ref="AU22:AV22" si="54">SUM(AU24:AU36)</f>
        <v>1055</v>
      </c>
      <c r="AV22" s="136">
        <f t="shared" si="54"/>
        <v>960</v>
      </c>
      <c r="AW22" s="194">
        <f>SUM(AW24:AW36)</f>
        <v>2214</v>
      </c>
      <c r="AX22" s="136">
        <f t="shared" ref="AX22:AY22" si="55">SUM(AX24:AX36)</f>
        <v>1159</v>
      </c>
      <c r="AY22" s="136">
        <f t="shared" si="55"/>
        <v>1055</v>
      </c>
      <c r="AZ22" s="194">
        <f>SUM(AZ24:AZ36)</f>
        <v>2509</v>
      </c>
      <c r="BA22" s="136">
        <f t="shared" ref="BA22:BB22" si="56">SUM(BA24:BA36)</f>
        <v>1299</v>
      </c>
      <c r="BB22" s="118">
        <f t="shared" si="56"/>
        <v>1210</v>
      </c>
      <c r="BC22" s="136">
        <f t="shared" ref="BC22:BE22" si="57">SUM(BC24:BC36)</f>
        <v>3035</v>
      </c>
      <c r="BD22" s="136">
        <f t="shared" si="57"/>
        <v>1674</v>
      </c>
      <c r="BE22" s="136">
        <f t="shared" si="57"/>
        <v>1361</v>
      </c>
      <c r="BF22" s="194">
        <f>SUM(BF24:BF36)</f>
        <v>3520</v>
      </c>
      <c r="BG22" s="136">
        <f t="shared" ref="BG22:BH22" si="58">SUM(BG24:BG36)</f>
        <v>1942</v>
      </c>
      <c r="BH22" s="136">
        <f t="shared" si="58"/>
        <v>1578</v>
      </c>
      <c r="BI22" s="194">
        <f>SUM(BI24:BI36)</f>
        <v>3967</v>
      </c>
      <c r="BJ22" s="136">
        <f t="shared" ref="BJ22:BK22" si="59">SUM(BJ24:BJ36)</f>
        <v>2197</v>
      </c>
      <c r="BK22" s="136">
        <f t="shared" si="59"/>
        <v>1770</v>
      </c>
      <c r="BL22" s="194">
        <f>SUM(BL24:BL36)</f>
        <v>4417</v>
      </c>
      <c r="BM22" s="136">
        <f t="shared" ref="BM22:BN22" si="60">SUM(BM24:BM36)</f>
        <v>2466</v>
      </c>
      <c r="BN22" s="118">
        <f t="shared" si="60"/>
        <v>1951</v>
      </c>
      <c r="BO22" s="136">
        <f t="shared" ref="BO22:BQ22" si="61">SUM(BO24:BO36)</f>
        <v>4590</v>
      </c>
      <c r="BP22" s="136">
        <f t="shared" si="61"/>
        <v>2624</v>
      </c>
      <c r="BQ22" s="118">
        <f t="shared" si="61"/>
        <v>1966</v>
      </c>
      <c r="BR22" s="136">
        <f t="shared" ref="BR22:BT22" si="62">SUM(BR24:BR36)</f>
        <v>4767</v>
      </c>
      <c r="BS22" s="136">
        <f t="shared" si="62"/>
        <v>2739</v>
      </c>
      <c r="BT22" s="118">
        <f t="shared" si="62"/>
        <v>2028</v>
      </c>
      <c r="BU22" s="118">
        <f t="shared" ref="BU22:BW22" si="63">SUM(BU24:BU36)</f>
        <v>4933</v>
      </c>
      <c r="BV22" s="118">
        <f t="shared" si="63"/>
        <v>2837</v>
      </c>
      <c r="BW22" s="118">
        <f t="shared" si="63"/>
        <v>2096</v>
      </c>
      <c r="BX22" s="136">
        <f t="shared" ref="BX22:CA22" si="64">SUM(BX24:BX36)</f>
        <v>0</v>
      </c>
      <c r="BY22" s="174">
        <f t="shared" si="64"/>
        <v>4986</v>
      </c>
      <c r="BZ22" s="118">
        <f t="shared" si="64"/>
        <v>2864</v>
      </c>
      <c r="CA22" s="118">
        <f t="shared" si="64"/>
        <v>2122</v>
      </c>
      <c r="CB22" s="174">
        <f t="shared" ref="CB22:CD22" si="65">SUM(CB24:CB36)</f>
        <v>5179</v>
      </c>
      <c r="CC22" s="118">
        <f t="shared" si="65"/>
        <v>2872</v>
      </c>
      <c r="CD22" s="118">
        <f t="shared" si="65"/>
        <v>2307</v>
      </c>
      <c r="CE22" s="118">
        <f t="shared" ref="CE22:CG22" si="66">SUM(CE24:CE36)</f>
        <v>5532</v>
      </c>
      <c r="CF22" s="118">
        <f t="shared" si="66"/>
        <v>3087</v>
      </c>
      <c r="CG22" s="118">
        <f t="shared" si="66"/>
        <v>2437</v>
      </c>
      <c r="CH22" s="118">
        <f t="shared" ref="CH22:CJ22" si="67">SUM(CH24:CH36)</f>
        <v>6022</v>
      </c>
      <c r="CI22" s="118">
        <f t="shared" si="67"/>
        <v>3326</v>
      </c>
      <c r="CJ22" s="118">
        <f t="shared" si="67"/>
        <v>2692</v>
      </c>
      <c r="CK22" s="118">
        <f t="shared" ref="CK22:CM22" si="68">SUM(CK24:CK36)</f>
        <v>6561</v>
      </c>
      <c r="CL22" s="118">
        <f t="shared" si="68"/>
        <v>3565</v>
      </c>
      <c r="CM22" s="118">
        <f t="shared" si="68"/>
        <v>2992</v>
      </c>
    </row>
    <row r="23" spans="1:91">
      <c r="A23" s="50" t="s">
        <v>14</v>
      </c>
      <c r="B23" s="45"/>
      <c r="C23" s="45"/>
      <c r="D23" s="45"/>
      <c r="E23" s="54"/>
      <c r="F23" s="54"/>
      <c r="G23" s="54"/>
      <c r="H23" s="54"/>
      <c r="I23" s="54"/>
      <c r="J23" s="54"/>
      <c r="K23" s="54"/>
      <c r="L23" s="57"/>
      <c r="M23" s="54"/>
      <c r="N23" s="54"/>
      <c r="O23" s="54"/>
      <c r="P23" s="57"/>
      <c r="Q23" s="54"/>
      <c r="R23" s="54"/>
      <c r="S23" s="57"/>
      <c r="T23" s="54"/>
      <c r="U23" s="54"/>
      <c r="V23" s="57"/>
      <c r="W23" s="54"/>
      <c r="X23" s="54"/>
      <c r="Y23" s="57"/>
      <c r="Z23" s="54"/>
      <c r="AA23" s="54"/>
      <c r="AB23" s="57"/>
      <c r="AC23" s="54"/>
      <c r="AD23" s="54"/>
      <c r="AE23" s="88">
        <f t="shared" ref="AE23:AG23" si="69">(AE22/AE$3)*100</f>
        <v>14.051955255616161</v>
      </c>
      <c r="AF23" s="87">
        <f t="shared" si="69"/>
        <v>14.162942591955998</v>
      </c>
      <c r="AG23" s="87">
        <f t="shared" si="69"/>
        <v>13.922784556911383</v>
      </c>
      <c r="AH23" s="88">
        <f t="shared" ref="AH23:AJ23" si="70">(AH22/AH$3)*100</f>
        <v>14.431132330420681</v>
      </c>
      <c r="AI23" s="87">
        <f t="shared" si="70"/>
        <v>14.69986357435198</v>
      </c>
      <c r="AJ23" s="87">
        <f t="shared" si="70"/>
        <v>14.130227229329769</v>
      </c>
      <c r="AK23" s="88">
        <f t="shared" ref="AK23:AM23" si="71">(AK22/AK$3)*100</f>
        <v>14.79181245626312</v>
      </c>
      <c r="AL23" s="87">
        <f t="shared" si="71"/>
        <v>15.225916453537938</v>
      </c>
      <c r="AM23" s="87">
        <f t="shared" si="71"/>
        <v>14.334470989761092</v>
      </c>
      <c r="AN23" s="88">
        <f t="shared" ref="AN23:AP23" si="72">(AN22/AN$3)*100</f>
        <v>14.649574091254111</v>
      </c>
      <c r="AO23" s="87">
        <f t="shared" si="72"/>
        <v>15.046808510638298</v>
      </c>
      <c r="AP23" s="87">
        <f t="shared" si="72"/>
        <v>14.259445001671681</v>
      </c>
      <c r="AQ23" s="88">
        <f t="shared" ref="AQ23:AS23" si="73">(AQ22/AQ$3)*100</f>
        <v>14.794411177644712</v>
      </c>
      <c r="AR23" s="87">
        <f t="shared" si="73"/>
        <v>15.741029641185648</v>
      </c>
      <c r="AS23" s="87">
        <f t="shared" si="73"/>
        <v>13.802125919869173</v>
      </c>
      <c r="AT23" s="88">
        <f t="shared" ref="AT23:AV23" si="74">(AT22/AT$3)*100</f>
        <v>15.030583320901089</v>
      </c>
      <c r="AU23" s="87">
        <f t="shared" si="74"/>
        <v>15.627314471930084</v>
      </c>
      <c r="AV23" s="87">
        <f t="shared" si="74"/>
        <v>14.425244177310292</v>
      </c>
      <c r="AW23" s="88">
        <f t="shared" ref="AW23:AY23" si="75">(AW22/AW$3)*100</f>
        <v>15.365396627108058</v>
      </c>
      <c r="AX23" s="87">
        <f t="shared" si="75"/>
        <v>16.097222222222221</v>
      </c>
      <c r="AY23" s="87">
        <f t="shared" si="75"/>
        <v>14.634484671937855</v>
      </c>
      <c r="AZ23" s="88">
        <f t="shared" ref="AZ23:BB23" si="76">(AZ22/AZ$3)*100</f>
        <v>16.048356146859408</v>
      </c>
      <c r="BA23" s="87">
        <f t="shared" si="76"/>
        <v>16.317045597286771</v>
      </c>
      <c r="BB23" s="119">
        <f t="shared" si="76"/>
        <v>15.769581649941353</v>
      </c>
      <c r="BC23" s="87">
        <f t="shared" ref="BC23:BE23" si="77">(BC22/BC$3)*100</f>
        <v>17.966021428994257</v>
      </c>
      <c r="BD23" s="87">
        <f t="shared" si="77"/>
        <v>19.225910187205699</v>
      </c>
      <c r="BE23" s="87">
        <f t="shared" si="77"/>
        <v>16.625946738333742</v>
      </c>
      <c r="BF23" s="88">
        <f t="shared" ref="BF23" si="78">(BF22/BF$3)*100</f>
        <v>19.401422036046963</v>
      </c>
      <c r="BG23" s="87">
        <f t="shared" ref="BG23" si="79">(BG22/BG$3)*100</f>
        <v>20.448562704011795</v>
      </c>
      <c r="BH23" s="87">
        <f t="shared" ref="BH23" si="80">(BH22/BH$3)*100</f>
        <v>18.25121443442054</v>
      </c>
      <c r="BI23" s="88">
        <f t="shared" ref="BI23" si="81">(BI22/BI$3)*100</f>
        <v>20.420033973336079</v>
      </c>
      <c r="BJ23" s="87">
        <f t="shared" ref="BJ23" si="82">(BJ22/BJ$3)*100</f>
        <v>21.415342625986938</v>
      </c>
      <c r="BK23" s="87">
        <f t="shared" ref="BK23:BM23" si="83">(BK22/BK$3)*100</f>
        <v>19.306282722513089</v>
      </c>
      <c r="BL23" s="88">
        <f t="shared" si="83"/>
        <v>21.376373227508104</v>
      </c>
      <c r="BM23" s="87">
        <f t="shared" si="83"/>
        <v>22.182243410992175</v>
      </c>
      <c r="BN23" s="119">
        <f t="shared" ref="BN23:BQ23" si="84">(BN22/BN$3)*100</f>
        <v>20.437879740205322</v>
      </c>
      <c r="BO23" s="87">
        <f t="shared" si="84"/>
        <v>21.790733004177746</v>
      </c>
      <c r="BP23" s="87">
        <f t="shared" si="84"/>
        <v>22.203418514130988</v>
      </c>
      <c r="BQ23" s="119">
        <f t="shared" si="84"/>
        <v>19.812556686485941</v>
      </c>
      <c r="BR23" s="87">
        <f t="shared" ref="BR23:BT23" si="85">(BR22/BR$3)*100</f>
        <v>20.662303324519961</v>
      </c>
      <c r="BS23" s="87">
        <f t="shared" si="85"/>
        <v>21.617995264404104</v>
      </c>
      <c r="BT23" s="119">
        <f t="shared" si="85"/>
        <v>19.498125180271128</v>
      </c>
      <c r="BU23" s="119">
        <f t="shared" ref="BU23:BW23" si="86">(BU22/BU$3)*100</f>
        <v>20.082234163816967</v>
      </c>
      <c r="BV23" s="119">
        <f t="shared" si="86"/>
        <v>20.767147353780835</v>
      </c>
      <c r="BW23" s="119">
        <f t="shared" si="86"/>
        <v>19.224066770613593</v>
      </c>
      <c r="BX23" s="87" t="e">
        <f t="shared" ref="BX23:CA23" si="87">(BX22/BX$3)*100</f>
        <v>#DIV/0!</v>
      </c>
      <c r="BY23" s="146">
        <f t="shared" si="87"/>
        <v>19.268820528675221</v>
      </c>
      <c r="BZ23" s="119">
        <f t="shared" si="87"/>
        <v>19.898561800875424</v>
      </c>
      <c r="CA23" s="119">
        <f t="shared" si="87"/>
        <v>18.479491422102239</v>
      </c>
      <c r="CB23" s="119">
        <f t="shared" ref="CB23:CD23" si="88">(CB22/CB$3)*100</f>
        <v>18.843005275604877</v>
      </c>
      <c r="CC23" s="119">
        <f t="shared" si="88"/>
        <v>18.887281336314611</v>
      </c>
      <c r="CD23" s="119">
        <f t="shared" si="88"/>
        <v>18.788174932812119</v>
      </c>
      <c r="CE23" s="119">
        <f t="shared" ref="CE23:CG23" si="89">(CE22/CE$3)*100</f>
        <v>19.088368241261517</v>
      </c>
      <c r="CF23" s="119">
        <f t="shared" si="89"/>
        <v>19.355445482475389</v>
      </c>
      <c r="CG23" s="119">
        <f t="shared" si="89"/>
        <v>18.715920436218418</v>
      </c>
      <c r="CH23" s="119">
        <f t="shared" ref="CH23:CJ23" si="90">(CH22/CH$3)*100</f>
        <v>19.830737313531134</v>
      </c>
      <c r="CI23" s="119">
        <f t="shared" si="90"/>
        <v>20.730491149339318</v>
      </c>
      <c r="CJ23" s="119">
        <f t="shared" si="90"/>
        <v>19.419997114413505</v>
      </c>
      <c r="CK23" s="119">
        <f t="shared" ref="CK23:CM23" si="91">(CK22/CK$3)*100</f>
        <v>20.721346682247418</v>
      </c>
      <c r="CL23" s="119">
        <f t="shared" si="91"/>
        <v>21.525178118584712</v>
      </c>
      <c r="CM23" s="119">
        <f t="shared" si="91"/>
        <v>19.830328738069987</v>
      </c>
    </row>
    <row r="24" spans="1:91">
      <c r="A24" s="8" t="s">
        <v>32</v>
      </c>
      <c r="B24" s="21"/>
      <c r="C24" s="21"/>
      <c r="D24" s="21"/>
      <c r="E24" s="8"/>
      <c r="F24" s="8"/>
      <c r="G24" s="8"/>
      <c r="H24" s="8"/>
      <c r="I24" s="8"/>
      <c r="J24" s="8"/>
      <c r="K24" s="8"/>
      <c r="L24" s="15"/>
      <c r="M24" s="17"/>
      <c r="N24" s="17"/>
      <c r="O24" s="17"/>
      <c r="P24" s="15"/>
      <c r="Q24" s="17"/>
      <c r="R24" s="17"/>
      <c r="S24" s="15"/>
      <c r="T24" s="17"/>
      <c r="U24" s="17"/>
      <c r="V24" s="15"/>
      <c r="W24" s="17"/>
      <c r="X24" s="17"/>
      <c r="Y24" s="15"/>
      <c r="Z24" s="17"/>
      <c r="AA24" s="17"/>
      <c r="AB24" s="15"/>
      <c r="AC24" s="17"/>
      <c r="AD24" s="17"/>
      <c r="AE24" s="15"/>
      <c r="AF24" s="17"/>
      <c r="AG24" s="17"/>
      <c r="AH24" s="15"/>
      <c r="AI24" s="17"/>
      <c r="AJ24" s="17"/>
      <c r="AK24" s="15"/>
      <c r="AL24" s="17"/>
      <c r="AM24" s="17"/>
      <c r="AN24" s="15"/>
      <c r="AO24" s="17"/>
      <c r="AP24" s="17"/>
      <c r="AQ24" s="15"/>
      <c r="AR24" s="17"/>
      <c r="AS24" s="17"/>
      <c r="AT24" s="15"/>
      <c r="AU24" s="17"/>
      <c r="AV24" s="17"/>
      <c r="AW24" s="15"/>
      <c r="AX24" s="17"/>
      <c r="AY24" s="17"/>
      <c r="AZ24" s="15"/>
      <c r="BA24" s="17"/>
      <c r="BB24" s="130"/>
      <c r="BC24" s="17"/>
      <c r="BD24" s="17"/>
      <c r="BE24" s="17"/>
      <c r="BF24" s="15"/>
      <c r="BG24" s="17"/>
      <c r="BH24" s="17"/>
      <c r="BI24" s="15"/>
      <c r="BJ24" s="17"/>
      <c r="BK24" s="17"/>
      <c r="BL24" s="15"/>
      <c r="BM24" s="17"/>
      <c r="BN24" s="17"/>
      <c r="BO24" s="108"/>
      <c r="BQ24" s="107"/>
      <c r="BT24" s="107"/>
      <c r="BY24" s="108"/>
      <c r="CB24" s="108"/>
      <c r="CE24" s="108"/>
    </row>
    <row r="25" spans="1:91">
      <c r="A25" s="8" t="s">
        <v>310</v>
      </c>
      <c r="B25" s="21"/>
      <c r="C25" s="46"/>
      <c r="D25" s="46"/>
      <c r="E25" s="8"/>
      <c r="F25" s="8"/>
      <c r="G25" s="8"/>
      <c r="H25" s="8"/>
      <c r="I25" s="8"/>
      <c r="J25" s="8"/>
      <c r="K25" s="8"/>
      <c r="L25" s="15"/>
      <c r="M25" s="17"/>
      <c r="N25" s="17"/>
      <c r="O25" s="17"/>
      <c r="P25" s="15"/>
      <c r="Q25" s="17"/>
      <c r="R25" s="17"/>
      <c r="S25" s="15"/>
      <c r="T25" s="17"/>
      <c r="U25" s="17"/>
      <c r="V25" s="15"/>
      <c r="W25" s="17"/>
      <c r="X25" s="17"/>
      <c r="Y25" s="15"/>
      <c r="Z25" s="17"/>
      <c r="AA25" s="17"/>
      <c r="AB25" s="15"/>
      <c r="AC25" s="17"/>
      <c r="AD25" s="17"/>
      <c r="AE25" s="15">
        <v>482</v>
      </c>
      <c r="AF25" s="17">
        <v>277</v>
      </c>
      <c r="AG25" s="17">
        <v>205</v>
      </c>
      <c r="AH25" s="15">
        <v>515</v>
      </c>
      <c r="AI25" s="17">
        <v>281</v>
      </c>
      <c r="AJ25" s="17">
        <v>234</v>
      </c>
      <c r="AK25" s="15">
        <v>546</v>
      </c>
      <c r="AL25" s="17">
        <v>297</v>
      </c>
      <c r="AM25" s="17">
        <v>249</v>
      </c>
      <c r="AN25" s="15">
        <v>547</v>
      </c>
      <c r="AO25" s="17">
        <v>294</v>
      </c>
      <c r="AP25" s="17">
        <v>253</v>
      </c>
      <c r="AQ25" s="15">
        <v>557</v>
      </c>
      <c r="AR25" s="17">
        <f>342</f>
        <v>342</v>
      </c>
      <c r="AS25" s="17">
        <f>215</f>
        <v>215</v>
      </c>
      <c r="AT25" s="15">
        <v>574</v>
      </c>
      <c r="AU25" s="17">
        <f>342</f>
        <v>342</v>
      </c>
      <c r="AV25" s="17">
        <f>232</f>
        <v>232</v>
      </c>
      <c r="AW25" s="103">
        <v>583</v>
      </c>
      <c r="AX25" s="17">
        <v>337</v>
      </c>
      <c r="AY25" s="17">
        <v>246</v>
      </c>
      <c r="AZ25" s="15">
        <v>696</v>
      </c>
      <c r="BA25" s="17">
        <v>388</v>
      </c>
      <c r="BB25" s="130">
        <v>308</v>
      </c>
      <c r="BC25" s="17">
        <v>909</v>
      </c>
      <c r="BD25" s="133">
        <v>536</v>
      </c>
      <c r="BE25" s="17">
        <v>373</v>
      </c>
      <c r="BF25" s="15">
        <f>314+799</f>
        <v>1113</v>
      </c>
      <c r="BG25" s="17">
        <f>167+493</f>
        <v>660</v>
      </c>
      <c r="BH25" s="17">
        <f>147+306</f>
        <v>453</v>
      </c>
      <c r="BI25" s="15">
        <f>409+913</f>
        <v>1322</v>
      </c>
      <c r="BJ25" s="17">
        <f>215+564</f>
        <v>779</v>
      </c>
      <c r="BK25" s="17">
        <f>194+349</f>
        <v>543</v>
      </c>
      <c r="BL25" s="15">
        <v>1429</v>
      </c>
      <c r="BM25" s="99">
        <v>861</v>
      </c>
      <c r="BN25" s="102">
        <v>568</v>
      </c>
      <c r="BO25" s="108">
        <v>1449</v>
      </c>
      <c r="BP25" s="12">
        <v>900</v>
      </c>
      <c r="BQ25" s="107">
        <v>549</v>
      </c>
      <c r="BR25" s="12">
        <v>1458</v>
      </c>
      <c r="BS25" s="12">
        <v>906</v>
      </c>
      <c r="BT25" s="107">
        <v>552</v>
      </c>
      <c r="BU25" s="12">
        <v>1459</v>
      </c>
      <c r="BV25" s="12">
        <v>903</v>
      </c>
      <c r="BW25" s="12">
        <v>556</v>
      </c>
      <c r="BY25" s="108">
        <v>1434</v>
      </c>
      <c r="BZ25" s="12">
        <v>878</v>
      </c>
      <c r="CA25" s="12">
        <v>556</v>
      </c>
      <c r="CB25" s="12">
        <v>1426</v>
      </c>
      <c r="CC25" s="108">
        <v>830</v>
      </c>
      <c r="CD25" s="12">
        <v>596</v>
      </c>
      <c r="CE25" s="108">
        <v>1447</v>
      </c>
      <c r="CF25" s="12">
        <v>837</v>
      </c>
      <c r="CG25" s="107">
        <v>610</v>
      </c>
      <c r="CH25" s="12">
        <v>1433</v>
      </c>
      <c r="CI25" s="12">
        <v>816</v>
      </c>
      <c r="CJ25" s="107">
        <v>616</v>
      </c>
      <c r="CK25" s="12">
        <v>1499</v>
      </c>
      <c r="CL25" s="12">
        <v>819</v>
      </c>
      <c r="CM25" s="12">
        <v>679</v>
      </c>
    </row>
    <row r="26" spans="1:91">
      <c r="A26" s="8" t="s">
        <v>311</v>
      </c>
      <c r="B26" s="21"/>
      <c r="C26" s="21"/>
      <c r="D26" s="21"/>
      <c r="E26" s="8"/>
      <c r="F26" s="8"/>
      <c r="G26" s="8"/>
      <c r="H26" s="8"/>
      <c r="I26" s="8"/>
      <c r="J26" s="8"/>
      <c r="K26" s="8"/>
      <c r="L26" s="15"/>
      <c r="M26" s="17"/>
      <c r="N26" s="17"/>
      <c r="O26" s="17"/>
      <c r="P26" s="15"/>
      <c r="Q26" s="17"/>
      <c r="R26" s="17"/>
      <c r="S26" s="15"/>
      <c r="T26" s="17"/>
      <c r="U26" s="17"/>
      <c r="V26" s="15"/>
      <c r="W26" s="17"/>
      <c r="X26" s="17"/>
      <c r="Y26" s="15"/>
      <c r="Z26" s="17"/>
      <c r="AA26" s="17"/>
      <c r="AB26" s="15"/>
      <c r="AC26" s="17"/>
      <c r="AD26" s="17"/>
      <c r="AE26" s="15">
        <v>1038</v>
      </c>
      <c r="AF26" s="17">
        <v>547</v>
      </c>
      <c r="AG26" s="17">
        <v>491</v>
      </c>
      <c r="AH26" s="15">
        <v>1087</v>
      </c>
      <c r="AI26" s="17">
        <v>581</v>
      </c>
      <c r="AJ26" s="17">
        <v>506</v>
      </c>
      <c r="AK26" s="15">
        <v>1145</v>
      </c>
      <c r="AL26" s="17">
        <v>596</v>
      </c>
      <c r="AM26" s="17">
        <v>549</v>
      </c>
      <c r="AN26" s="15">
        <v>1190</v>
      </c>
      <c r="AO26" s="17">
        <v>590</v>
      </c>
      <c r="AP26" s="17">
        <v>600</v>
      </c>
      <c r="AQ26" s="15">
        <f>508+710</f>
        <v>1218</v>
      </c>
      <c r="AR26" s="17">
        <f>249+366</f>
        <v>615</v>
      </c>
      <c r="AS26" s="17">
        <f>259+344</f>
        <v>603</v>
      </c>
      <c r="AT26" s="15">
        <f>533+724</f>
        <v>1257</v>
      </c>
      <c r="AU26" s="17">
        <f>246+359</f>
        <v>605</v>
      </c>
      <c r="AV26" s="17">
        <f>287+365</f>
        <v>652</v>
      </c>
      <c r="AW26" s="103">
        <v>1311</v>
      </c>
      <c r="AX26" s="17">
        <v>638</v>
      </c>
      <c r="AY26" s="17">
        <v>673</v>
      </c>
      <c r="AZ26" s="15">
        <v>1373</v>
      </c>
      <c r="BA26" s="17">
        <v>668</v>
      </c>
      <c r="BB26" s="130">
        <v>705</v>
      </c>
      <c r="BC26" s="17">
        <v>1398</v>
      </c>
      <c r="BD26" s="17">
        <v>722</v>
      </c>
      <c r="BE26" s="17">
        <v>676</v>
      </c>
      <c r="BF26" s="15">
        <f>550+873</f>
        <v>1423</v>
      </c>
      <c r="BG26" s="17">
        <f>259+461</f>
        <v>720</v>
      </c>
      <c r="BH26" s="17">
        <f>291+412</f>
        <v>703</v>
      </c>
      <c r="BI26" s="15">
        <f>551+875</f>
        <v>1426</v>
      </c>
      <c r="BJ26" s="17">
        <f>268+466</f>
        <v>734</v>
      </c>
      <c r="BK26" s="17">
        <f>283+409</f>
        <v>692</v>
      </c>
      <c r="BL26" s="15">
        <v>1548</v>
      </c>
      <c r="BM26" s="17">
        <v>807</v>
      </c>
      <c r="BN26" s="17">
        <v>741</v>
      </c>
      <c r="BO26" s="108">
        <v>1669</v>
      </c>
      <c r="BP26" s="12">
        <v>898</v>
      </c>
      <c r="BQ26" s="107">
        <v>771</v>
      </c>
      <c r="BR26" s="12">
        <v>1775</v>
      </c>
      <c r="BS26" s="12">
        <v>959</v>
      </c>
      <c r="BT26" s="107">
        <v>816</v>
      </c>
      <c r="BU26" s="12">
        <v>1884</v>
      </c>
      <c r="BV26" s="12">
        <v>1020</v>
      </c>
      <c r="BW26" s="12">
        <v>864</v>
      </c>
      <c r="BY26" s="108">
        <v>1879</v>
      </c>
      <c r="BZ26" s="12">
        <v>1023</v>
      </c>
      <c r="CA26" s="12">
        <v>856</v>
      </c>
      <c r="CB26" s="12">
        <v>1847</v>
      </c>
      <c r="CC26" s="108">
        <v>975</v>
      </c>
      <c r="CD26" s="12">
        <v>872</v>
      </c>
      <c r="CE26" s="108">
        <v>1899</v>
      </c>
      <c r="CF26" s="12">
        <v>1000</v>
      </c>
      <c r="CG26" s="107">
        <v>892</v>
      </c>
      <c r="CH26" s="12">
        <v>1897</v>
      </c>
      <c r="CI26" s="12">
        <v>996</v>
      </c>
      <c r="CJ26" s="107">
        <v>899</v>
      </c>
      <c r="CK26" s="12">
        <v>1876</v>
      </c>
      <c r="CL26" s="12">
        <v>977</v>
      </c>
      <c r="CM26" s="12">
        <v>899</v>
      </c>
    </row>
    <row r="27" spans="1:91">
      <c r="A27" s="8" t="s">
        <v>312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15"/>
      <c r="M27" s="17"/>
      <c r="N27" s="17"/>
      <c r="O27" s="17"/>
      <c r="P27" s="15"/>
      <c r="Q27" s="17"/>
      <c r="R27" s="17"/>
      <c r="S27" s="15"/>
      <c r="T27" s="17"/>
      <c r="U27" s="17"/>
      <c r="V27" s="15"/>
      <c r="W27" s="17"/>
      <c r="X27" s="17"/>
      <c r="Y27" s="15"/>
      <c r="Z27" s="17"/>
      <c r="AA27" s="17"/>
      <c r="AB27" s="15"/>
      <c r="AC27" s="17"/>
      <c r="AD27" s="17"/>
      <c r="AE27" s="15"/>
      <c r="AF27" s="17"/>
      <c r="AG27" s="17"/>
      <c r="AH27" s="15"/>
      <c r="AI27" s="17"/>
      <c r="AJ27" s="17"/>
      <c r="AK27" s="15"/>
      <c r="AL27" s="17"/>
      <c r="AM27" s="17"/>
      <c r="AN27" s="15"/>
      <c r="AO27" s="17"/>
      <c r="AP27" s="17"/>
      <c r="AQ27" s="15"/>
      <c r="AR27" s="17"/>
      <c r="AS27" s="17"/>
      <c r="AT27" s="15"/>
      <c r="AU27" s="17"/>
      <c r="AV27" s="17"/>
      <c r="AW27" s="15"/>
      <c r="AX27" s="17"/>
      <c r="AY27" s="17"/>
      <c r="AZ27" s="15"/>
      <c r="BA27" s="17"/>
      <c r="BB27" s="130"/>
      <c r="BC27" s="17">
        <v>159</v>
      </c>
      <c r="BD27" s="17">
        <v>80</v>
      </c>
      <c r="BE27" s="17">
        <v>79</v>
      </c>
      <c r="BF27" s="15">
        <v>312</v>
      </c>
      <c r="BG27" s="17">
        <v>158</v>
      </c>
      <c r="BH27" s="17">
        <v>154</v>
      </c>
      <c r="BI27" s="15">
        <v>464</v>
      </c>
      <c r="BJ27" s="17">
        <v>237</v>
      </c>
      <c r="BK27" s="17">
        <v>227</v>
      </c>
      <c r="BL27" s="15">
        <v>608</v>
      </c>
      <c r="BM27" s="17">
        <v>315</v>
      </c>
      <c r="BN27" s="17">
        <v>293</v>
      </c>
      <c r="BO27" s="108">
        <v>631</v>
      </c>
      <c r="BP27" s="12">
        <v>341</v>
      </c>
      <c r="BQ27" s="107">
        <v>290</v>
      </c>
      <c r="BR27" s="12">
        <v>624</v>
      </c>
      <c r="BS27" s="12">
        <v>351</v>
      </c>
      <c r="BT27" s="107">
        <v>273</v>
      </c>
      <c r="BU27" s="12">
        <v>623</v>
      </c>
      <c r="BV27" s="12">
        <v>354</v>
      </c>
      <c r="BW27" s="12">
        <v>269</v>
      </c>
      <c r="BY27" s="108">
        <v>632</v>
      </c>
      <c r="BZ27" s="12">
        <v>357</v>
      </c>
      <c r="CA27" s="12">
        <v>275</v>
      </c>
      <c r="CB27" s="12">
        <v>630</v>
      </c>
      <c r="CC27" s="108">
        <v>340</v>
      </c>
      <c r="CD27" s="12">
        <v>290</v>
      </c>
      <c r="CE27" s="108">
        <v>754</v>
      </c>
      <c r="CF27" s="12">
        <v>450</v>
      </c>
      <c r="CG27" s="107">
        <v>304</v>
      </c>
      <c r="CH27" s="12">
        <v>891</v>
      </c>
      <c r="CI27" s="12">
        <v>528</v>
      </c>
      <c r="CJ27" s="107">
        <v>363</v>
      </c>
      <c r="CK27" s="12">
        <v>1024</v>
      </c>
      <c r="CL27" s="12">
        <v>618</v>
      </c>
      <c r="CM27" s="12">
        <v>405</v>
      </c>
    </row>
    <row r="28" spans="1:91">
      <c r="A28" s="8" t="s">
        <v>36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15"/>
      <c r="M28" s="17"/>
      <c r="N28" s="17"/>
      <c r="O28" s="17"/>
      <c r="P28" s="15"/>
      <c r="Q28" s="17"/>
      <c r="R28" s="17"/>
      <c r="S28" s="15"/>
      <c r="T28" s="17"/>
      <c r="U28" s="17"/>
      <c r="V28" s="15"/>
      <c r="W28" s="17"/>
      <c r="X28" s="17"/>
      <c r="Y28" s="15"/>
      <c r="Z28" s="17"/>
      <c r="AA28" s="17"/>
      <c r="AB28" s="15"/>
      <c r="AC28" s="17"/>
      <c r="AD28" s="17"/>
      <c r="AE28" s="15"/>
      <c r="AF28" s="17"/>
      <c r="AG28" s="17"/>
      <c r="AH28" s="15"/>
      <c r="AI28" s="17"/>
      <c r="AJ28" s="17"/>
      <c r="AK28" s="15"/>
      <c r="AL28" s="17"/>
      <c r="AM28" s="17"/>
      <c r="AN28" s="15"/>
      <c r="AO28" s="17"/>
      <c r="AP28" s="17"/>
      <c r="AQ28" s="15"/>
      <c r="AR28" s="17"/>
      <c r="AS28" s="17"/>
      <c r="AT28" s="15"/>
      <c r="AU28" s="17"/>
      <c r="AV28" s="17"/>
      <c r="AW28" s="15"/>
      <c r="AX28" s="17"/>
      <c r="AY28" s="17"/>
      <c r="AZ28" s="15"/>
      <c r="BA28" s="17"/>
      <c r="BB28" s="130"/>
      <c r="BC28" s="17"/>
      <c r="BD28" s="17"/>
      <c r="BE28" s="17"/>
      <c r="BF28" s="15"/>
      <c r="BG28" s="17"/>
      <c r="BH28" s="17"/>
      <c r="BI28" s="15"/>
      <c r="BJ28" s="17"/>
      <c r="BK28" s="17"/>
      <c r="BL28" s="15"/>
      <c r="BM28" s="17"/>
      <c r="BN28" s="17"/>
      <c r="BO28" s="108"/>
      <c r="BQ28" s="107"/>
      <c r="BT28" s="107"/>
      <c r="BY28" s="108"/>
      <c r="CC28" s="108"/>
      <c r="CE28" s="108"/>
    </row>
    <row r="29" spans="1:91">
      <c r="A29" s="8" t="s">
        <v>37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15"/>
      <c r="M29" s="17"/>
      <c r="N29" s="17"/>
      <c r="O29" s="17"/>
      <c r="P29" s="15"/>
      <c r="Q29" s="17"/>
      <c r="R29" s="17"/>
      <c r="S29" s="15"/>
      <c r="T29" s="17"/>
      <c r="U29" s="17"/>
      <c r="V29" s="15"/>
      <c r="W29" s="17"/>
      <c r="X29" s="17"/>
      <c r="Y29" s="15"/>
      <c r="Z29" s="17"/>
      <c r="AA29" s="17"/>
      <c r="AB29" s="15"/>
      <c r="AC29" s="17"/>
      <c r="AD29" s="17"/>
      <c r="AE29" s="15"/>
      <c r="AF29" s="17"/>
      <c r="AG29" s="17"/>
      <c r="AH29" s="15"/>
      <c r="AI29" s="17"/>
      <c r="AJ29" s="17"/>
      <c r="AK29" s="15"/>
      <c r="AL29" s="17"/>
      <c r="AM29" s="17"/>
      <c r="AN29" s="15"/>
      <c r="AO29" s="17"/>
      <c r="AP29" s="17"/>
      <c r="AQ29" s="15"/>
      <c r="AR29" s="17"/>
      <c r="AS29" s="17"/>
      <c r="AT29" s="15"/>
      <c r="AU29" s="17"/>
      <c r="AV29" s="17"/>
      <c r="AW29" s="15"/>
      <c r="AX29" s="17"/>
      <c r="AY29" s="17"/>
      <c r="AZ29" s="15"/>
      <c r="BA29" s="17"/>
      <c r="BB29" s="130"/>
      <c r="BC29" s="17"/>
      <c r="BD29" s="17"/>
      <c r="BE29" s="17"/>
      <c r="BF29" s="15"/>
      <c r="BG29" s="17"/>
      <c r="BH29" s="17"/>
      <c r="BI29" s="15"/>
      <c r="BJ29" s="17"/>
      <c r="BK29" s="17"/>
      <c r="BL29" s="15"/>
      <c r="BM29" s="17"/>
      <c r="BN29" s="17"/>
      <c r="BO29" s="108"/>
      <c r="BQ29" s="107"/>
      <c r="BT29" s="107"/>
      <c r="BY29" s="108"/>
      <c r="CC29" s="108"/>
      <c r="CE29" s="108"/>
      <c r="CH29" s="12">
        <v>162</v>
      </c>
      <c r="CI29" s="12">
        <v>105</v>
      </c>
      <c r="CJ29" s="107">
        <v>57</v>
      </c>
      <c r="CK29" s="12">
        <v>330</v>
      </c>
      <c r="CL29" s="12">
        <v>210</v>
      </c>
      <c r="CM29" s="12">
        <v>120</v>
      </c>
    </row>
    <row r="30" spans="1:91">
      <c r="A30" s="8" t="s">
        <v>38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15"/>
      <c r="M30" s="17"/>
      <c r="N30" s="17"/>
      <c r="O30" s="17"/>
      <c r="P30" s="15"/>
      <c r="Q30" s="17"/>
      <c r="R30" s="17"/>
      <c r="S30" s="15"/>
      <c r="T30" s="17"/>
      <c r="U30" s="17"/>
      <c r="V30" s="15"/>
      <c r="W30" s="17"/>
      <c r="X30" s="17"/>
      <c r="Y30" s="15"/>
      <c r="Z30" s="17"/>
      <c r="AA30" s="17"/>
      <c r="AB30" s="15"/>
      <c r="AC30" s="17"/>
      <c r="AD30" s="17"/>
      <c r="AE30" s="15"/>
      <c r="AF30" s="17"/>
      <c r="AG30" s="17"/>
      <c r="AH30" s="15"/>
      <c r="AI30" s="17"/>
      <c r="AJ30" s="17"/>
      <c r="AK30" s="15"/>
      <c r="AL30" s="17"/>
      <c r="AM30" s="17"/>
      <c r="AN30" s="15"/>
      <c r="AO30" s="17"/>
      <c r="AP30" s="17"/>
      <c r="AQ30" s="15"/>
      <c r="AR30" s="17"/>
      <c r="AS30" s="17"/>
      <c r="AT30" s="15"/>
      <c r="AU30" s="17"/>
      <c r="AV30" s="17"/>
      <c r="AW30" s="15"/>
      <c r="AX30" s="17"/>
      <c r="AY30" s="17"/>
      <c r="AZ30" s="15"/>
      <c r="BA30" s="17"/>
      <c r="BB30" s="130"/>
      <c r="BC30" s="17"/>
      <c r="BD30" s="17"/>
      <c r="BE30" s="17"/>
      <c r="BF30" s="15"/>
      <c r="BG30" s="17"/>
      <c r="BH30" s="17"/>
      <c r="BI30" s="15"/>
      <c r="BJ30" s="17"/>
      <c r="BK30" s="17"/>
      <c r="BL30" s="15"/>
      <c r="BM30" s="17"/>
      <c r="BN30" s="17"/>
      <c r="BO30" s="108"/>
      <c r="BQ30" s="107"/>
      <c r="BT30" s="107"/>
      <c r="BY30" s="108"/>
      <c r="CC30" s="108"/>
      <c r="CE30" s="108"/>
    </row>
    <row r="31" spans="1:91">
      <c r="A31" s="8" t="s">
        <v>313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15"/>
      <c r="M31" s="17"/>
      <c r="N31" s="17"/>
      <c r="O31" s="17"/>
      <c r="P31" s="15"/>
      <c r="Q31" s="17"/>
      <c r="R31" s="17"/>
      <c r="S31" s="15"/>
      <c r="T31" s="17"/>
      <c r="U31" s="17"/>
      <c r="V31" s="15"/>
      <c r="W31" s="17"/>
      <c r="X31" s="17"/>
      <c r="Y31" s="15"/>
      <c r="Z31" s="17"/>
      <c r="AA31" s="17"/>
      <c r="AB31" s="15"/>
      <c r="AC31" s="17"/>
      <c r="AD31" s="17"/>
      <c r="AE31" s="15"/>
      <c r="AF31" s="17"/>
      <c r="AG31" s="17"/>
      <c r="AH31" s="15"/>
      <c r="AI31" s="17"/>
      <c r="AJ31" s="17"/>
      <c r="AK31" s="15"/>
      <c r="AL31" s="17"/>
      <c r="AM31" s="17"/>
      <c r="AN31" s="15"/>
      <c r="AO31" s="17"/>
      <c r="AP31" s="17"/>
      <c r="AQ31" s="15">
        <f>78</f>
        <v>78</v>
      </c>
      <c r="AR31" s="17">
        <f>52</f>
        <v>52</v>
      </c>
      <c r="AS31" s="17">
        <f>26</f>
        <v>26</v>
      </c>
      <c r="AT31" s="15">
        <f>184</f>
        <v>184</v>
      </c>
      <c r="AU31" s="17">
        <v>108</v>
      </c>
      <c r="AV31" s="17">
        <v>76</v>
      </c>
      <c r="AW31" s="103">
        <v>320</v>
      </c>
      <c r="AX31" s="17">
        <v>184</v>
      </c>
      <c r="AY31" s="17">
        <v>136</v>
      </c>
      <c r="AZ31" s="15">
        <v>440</v>
      </c>
      <c r="BA31" s="17">
        <v>243</v>
      </c>
      <c r="BB31" s="130">
        <v>197</v>
      </c>
      <c r="BC31" s="17">
        <v>494</v>
      </c>
      <c r="BD31" s="17">
        <v>298</v>
      </c>
      <c r="BE31" s="17">
        <v>196</v>
      </c>
      <c r="BF31" s="15">
        <v>523</v>
      </c>
      <c r="BG31" s="17">
        <v>322</v>
      </c>
      <c r="BH31" s="17">
        <v>201</v>
      </c>
      <c r="BI31" s="15">
        <v>531</v>
      </c>
      <c r="BJ31" s="17">
        <v>330</v>
      </c>
      <c r="BK31" s="17">
        <v>201</v>
      </c>
      <c r="BL31" s="15">
        <v>538</v>
      </c>
      <c r="BM31" s="17">
        <v>323</v>
      </c>
      <c r="BN31" s="17">
        <v>215</v>
      </c>
      <c r="BO31" s="108">
        <v>541</v>
      </c>
      <c r="BP31" s="12">
        <v>326</v>
      </c>
      <c r="BQ31" s="107">
        <v>215</v>
      </c>
      <c r="BR31" s="12">
        <v>548</v>
      </c>
      <c r="BS31" s="12">
        <v>336</v>
      </c>
      <c r="BT31" s="107">
        <v>212</v>
      </c>
      <c r="BU31" s="12">
        <v>536</v>
      </c>
      <c r="BV31" s="12">
        <v>326</v>
      </c>
      <c r="BW31" s="12">
        <v>210</v>
      </c>
      <c r="BY31" s="108">
        <v>546</v>
      </c>
      <c r="BZ31" s="12">
        <v>351</v>
      </c>
      <c r="CA31" s="12">
        <v>195</v>
      </c>
      <c r="CB31" s="12">
        <v>546</v>
      </c>
      <c r="CC31" s="108">
        <v>343</v>
      </c>
      <c r="CD31" s="12">
        <v>203</v>
      </c>
      <c r="CE31" s="108">
        <v>539</v>
      </c>
      <c r="CF31" s="12">
        <v>342</v>
      </c>
      <c r="CG31" s="107">
        <v>197</v>
      </c>
      <c r="CH31" s="12">
        <v>587</v>
      </c>
      <c r="CI31" s="12">
        <v>363</v>
      </c>
      <c r="CJ31" s="107">
        <v>224</v>
      </c>
      <c r="CK31" s="12">
        <v>631</v>
      </c>
      <c r="CL31" s="12">
        <v>364</v>
      </c>
      <c r="CM31" s="12">
        <v>267</v>
      </c>
    </row>
    <row r="32" spans="1:91">
      <c r="A32" s="8" t="s">
        <v>40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15"/>
      <c r="M32" s="17"/>
      <c r="N32" s="17"/>
      <c r="O32" s="17"/>
      <c r="P32" s="15"/>
      <c r="Q32" s="17"/>
      <c r="R32" s="17"/>
      <c r="S32" s="15"/>
      <c r="T32" s="17"/>
      <c r="U32" s="17"/>
      <c r="V32" s="15"/>
      <c r="W32" s="17"/>
      <c r="X32" s="17"/>
      <c r="Y32" s="15"/>
      <c r="Z32" s="17"/>
      <c r="AA32" s="17"/>
      <c r="AB32" s="15"/>
      <c r="AC32" s="17"/>
      <c r="AD32" s="17"/>
      <c r="AE32" s="15"/>
      <c r="AF32" s="17"/>
      <c r="AG32" s="17"/>
      <c r="AH32" s="15"/>
      <c r="AI32" s="17"/>
      <c r="AJ32" s="17"/>
      <c r="AK32" s="15"/>
      <c r="AL32" s="17"/>
      <c r="AM32" s="17"/>
      <c r="AN32" s="15"/>
      <c r="AO32" s="17"/>
      <c r="AP32" s="17"/>
      <c r="AQ32" s="15"/>
      <c r="AR32" s="17"/>
      <c r="AS32" s="17"/>
      <c r="AT32" s="15"/>
      <c r="AU32" s="17"/>
      <c r="AV32" s="17"/>
      <c r="AW32" s="15"/>
      <c r="AX32" s="17"/>
      <c r="AY32" s="17"/>
      <c r="AZ32" s="15"/>
      <c r="BA32" s="17"/>
      <c r="BB32" s="130"/>
      <c r="BC32" s="17"/>
      <c r="BD32" s="17"/>
      <c r="BE32" s="17"/>
      <c r="BF32" s="15"/>
      <c r="BG32" s="17"/>
      <c r="BH32" s="17"/>
      <c r="BI32" s="15"/>
      <c r="BJ32" s="17"/>
      <c r="BK32" s="17"/>
      <c r="BL32" s="15"/>
      <c r="BM32" s="17"/>
      <c r="BN32" s="17"/>
      <c r="BO32" s="108"/>
      <c r="BQ32" s="107"/>
      <c r="BT32" s="107"/>
      <c r="BY32" s="108"/>
      <c r="CB32" s="12">
        <v>162</v>
      </c>
      <c r="CC32" s="108">
        <v>88</v>
      </c>
      <c r="CD32" s="12">
        <v>74</v>
      </c>
      <c r="CE32" s="108">
        <v>320</v>
      </c>
      <c r="CF32" s="12">
        <v>163</v>
      </c>
      <c r="CG32" s="107">
        <v>156</v>
      </c>
      <c r="CH32" s="12">
        <v>476</v>
      </c>
      <c r="CI32" s="12">
        <v>240</v>
      </c>
      <c r="CJ32" s="107">
        <v>235</v>
      </c>
      <c r="CK32" s="12">
        <v>621</v>
      </c>
      <c r="CL32" s="12">
        <v>312</v>
      </c>
      <c r="CM32" s="12">
        <v>309</v>
      </c>
    </row>
    <row r="33" spans="1:91">
      <c r="A33" s="8" t="s">
        <v>41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15"/>
      <c r="M33" s="17"/>
      <c r="N33" s="17"/>
      <c r="O33" s="17"/>
      <c r="P33" s="15"/>
      <c r="Q33" s="17"/>
      <c r="R33" s="17"/>
      <c r="S33" s="15"/>
      <c r="T33" s="17"/>
      <c r="U33" s="17"/>
      <c r="V33" s="15"/>
      <c r="W33" s="17"/>
      <c r="X33" s="17"/>
      <c r="Y33" s="15"/>
      <c r="Z33" s="17"/>
      <c r="AA33" s="17"/>
      <c r="AB33" s="15"/>
      <c r="AC33" s="17"/>
      <c r="AD33" s="17"/>
      <c r="AE33" s="15"/>
      <c r="AF33" s="17"/>
      <c r="AG33" s="17"/>
      <c r="AH33" s="15"/>
      <c r="AI33" s="17"/>
      <c r="AJ33" s="17"/>
      <c r="AK33" s="15"/>
      <c r="AL33" s="17"/>
      <c r="AM33" s="17"/>
      <c r="AN33" s="15"/>
      <c r="AO33" s="17"/>
      <c r="AP33" s="17"/>
      <c r="AQ33" s="15"/>
      <c r="AR33" s="17"/>
      <c r="AS33" s="17"/>
      <c r="AT33" s="15"/>
      <c r="AU33" s="17"/>
      <c r="AV33" s="17"/>
      <c r="AW33" s="15"/>
      <c r="AX33" s="17"/>
      <c r="AY33" s="17"/>
      <c r="AZ33" s="15"/>
      <c r="BA33" s="17"/>
      <c r="BB33" s="130"/>
      <c r="BC33" s="17"/>
      <c r="BD33" s="17"/>
      <c r="BE33" s="17"/>
      <c r="BF33" s="15"/>
      <c r="BG33" s="17"/>
      <c r="BH33" s="17"/>
      <c r="BI33" s="15"/>
      <c r="BJ33" s="17"/>
      <c r="BK33" s="17"/>
      <c r="BL33" s="15"/>
      <c r="BM33" s="17"/>
      <c r="BN33" s="17"/>
      <c r="BO33" s="108"/>
      <c r="BQ33" s="107"/>
      <c r="BT33" s="107"/>
      <c r="BY33" s="108"/>
      <c r="CC33" s="108"/>
      <c r="CE33" s="108"/>
    </row>
    <row r="34" spans="1:91">
      <c r="A34" s="8" t="s">
        <v>42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15"/>
      <c r="M34" s="17"/>
      <c r="N34" s="17"/>
      <c r="O34" s="17"/>
      <c r="P34" s="15"/>
      <c r="Q34" s="17"/>
      <c r="R34" s="17"/>
      <c r="S34" s="15"/>
      <c r="T34" s="17"/>
      <c r="U34" s="17"/>
      <c r="V34" s="15"/>
      <c r="W34" s="17"/>
      <c r="X34" s="17"/>
      <c r="Y34" s="15"/>
      <c r="Z34" s="17"/>
      <c r="AA34" s="17"/>
      <c r="AB34" s="15"/>
      <c r="AC34" s="17"/>
      <c r="AD34" s="17"/>
      <c r="AE34" s="15"/>
      <c r="AF34" s="17"/>
      <c r="AG34" s="17"/>
      <c r="AH34" s="15"/>
      <c r="AI34" s="17"/>
      <c r="AJ34" s="17"/>
      <c r="AK34" s="15"/>
      <c r="AL34" s="17"/>
      <c r="AM34" s="17"/>
      <c r="AN34" s="15"/>
      <c r="AO34" s="17"/>
      <c r="AP34" s="17"/>
      <c r="AQ34" s="15"/>
      <c r="AR34" s="17"/>
      <c r="AS34" s="17"/>
      <c r="AT34" s="15"/>
      <c r="AU34" s="17"/>
      <c r="AV34" s="17"/>
      <c r="AW34" s="15"/>
      <c r="AX34" s="17"/>
      <c r="AY34" s="17"/>
      <c r="AZ34" s="15"/>
      <c r="BA34" s="17"/>
      <c r="BB34" s="130"/>
      <c r="BC34" s="17"/>
      <c r="BD34" s="17"/>
      <c r="BE34" s="17"/>
      <c r="BF34" s="15"/>
      <c r="BG34" s="17"/>
      <c r="BH34" s="17"/>
      <c r="BI34" s="15"/>
      <c r="BJ34" s="17"/>
      <c r="BK34" s="17"/>
      <c r="BL34" s="15"/>
      <c r="BM34" s="17"/>
      <c r="BN34" s="17"/>
      <c r="BO34" s="108"/>
      <c r="BQ34" s="107"/>
      <c r="BT34" s="107"/>
      <c r="BY34" s="108"/>
      <c r="CC34" s="108"/>
      <c r="CE34" s="108"/>
    </row>
    <row r="35" spans="1:91">
      <c r="A35" s="8" t="s">
        <v>314</v>
      </c>
      <c r="B35" s="6"/>
      <c r="C35" s="6"/>
      <c r="D35" s="6"/>
      <c r="E35" s="17"/>
      <c r="F35" s="8"/>
      <c r="G35" s="8"/>
      <c r="H35" s="8"/>
      <c r="I35" s="8"/>
      <c r="J35" s="8"/>
      <c r="K35" s="8"/>
      <c r="L35" s="15"/>
      <c r="M35" s="17"/>
      <c r="N35" s="17"/>
      <c r="O35" s="17"/>
      <c r="P35" s="15"/>
      <c r="Q35" s="17"/>
      <c r="R35" s="17"/>
      <c r="S35" s="15"/>
      <c r="T35" s="17"/>
      <c r="U35" s="17"/>
      <c r="V35" s="15"/>
      <c r="W35" s="17"/>
      <c r="X35" s="17"/>
      <c r="Y35" s="15"/>
      <c r="Z35" s="17"/>
      <c r="AA35" s="17"/>
      <c r="AB35" s="15"/>
      <c r="AC35" s="17"/>
      <c r="AD35" s="17"/>
      <c r="AE35" s="15"/>
      <c r="AF35" s="17"/>
      <c r="AG35" s="17"/>
      <c r="AH35" s="15"/>
      <c r="AI35" s="17"/>
      <c r="AJ35" s="17"/>
      <c r="AK35" s="15"/>
      <c r="AL35" s="17"/>
      <c r="AM35" s="17"/>
      <c r="AN35" s="15"/>
      <c r="AO35" s="17"/>
      <c r="AP35" s="17"/>
      <c r="AQ35" s="15"/>
      <c r="AR35" s="17"/>
      <c r="AS35" s="17"/>
      <c r="AT35" s="15"/>
      <c r="AU35" s="17"/>
      <c r="AV35" s="17"/>
      <c r="AW35" s="15"/>
      <c r="AX35" s="17"/>
      <c r="AY35" s="17"/>
      <c r="AZ35" s="15"/>
      <c r="BA35" s="17"/>
      <c r="BB35" s="130"/>
      <c r="BC35" s="17">
        <v>75</v>
      </c>
      <c r="BD35" s="17">
        <v>38</v>
      </c>
      <c r="BE35" s="17">
        <v>37</v>
      </c>
      <c r="BF35" s="15">
        <v>149</v>
      </c>
      <c r="BG35" s="17">
        <v>82</v>
      </c>
      <c r="BH35" s="17">
        <v>67</v>
      </c>
      <c r="BI35" s="15">
        <v>224</v>
      </c>
      <c r="BJ35" s="17">
        <v>117</v>
      </c>
      <c r="BK35" s="17">
        <v>107</v>
      </c>
      <c r="BL35" s="15">
        <v>294</v>
      </c>
      <c r="BM35" s="17">
        <v>160</v>
      </c>
      <c r="BN35" s="17">
        <v>134</v>
      </c>
      <c r="BO35" s="108">
        <v>300</v>
      </c>
      <c r="BP35" s="12">
        <v>159</v>
      </c>
      <c r="BQ35" s="107">
        <v>141</v>
      </c>
      <c r="BR35" s="12">
        <v>362</v>
      </c>
      <c r="BS35" s="12">
        <v>187</v>
      </c>
      <c r="BT35" s="107">
        <v>175</v>
      </c>
      <c r="BU35" s="12">
        <v>431</v>
      </c>
      <c r="BV35" s="12">
        <v>234</v>
      </c>
      <c r="BW35" s="12">
        <v>197</v>
      </c>
      <c r="BY35" s="108">
        <v>495</v>
      </c>
      <c r="BZ35" s="12">
        <v>255</v>
      </c>
      <c r="CA35" s="12">
        <v>240</v>
      </c>
      <c r="CB35" s="12">
        <v>568</v>
      </c>
      <c r="CC35" s="108">
        <v>296</v>
      </c>
      <c r="CD35" s="12">
        <v>272</v>
      </c>
      <c r="CE35" s="108">
        <v>573</v>
      </c>
      <c r="CF35" s="12">
        <v>295</v>
      </c>
      <c r="CG35" s="107">
        <v>278</v>
      </c>
      <c r="CH35" s="12">
        <v>576</v>
      </c>
      <c r="CI35" s="12">
        <v>278</v>
      </c>
      <c r="CJ35" s="107">
        <v>298</v>
      </c>
      <c r="CK35" s="12">
        <v>580</v>
      </c>
      <c r="CL35" s="12">
        <v>265</v>
      </c>
      <c r="CM35" s="12">
        <v>313</v>
      </c>
    </row>
    <row r="36" spans="1:91">
      <c r="A36" s="17" t="s">
        <v>44</v>
      </c>
      <c r="B36" s="6"/>
      <c r="C36" s="6"/>
      <c r="D36" s="6"/>
      <c r="E36" s="17"/>
      <c r="F36" s="17"/>
      <c r="G36" s="17"/>
      <c r="H36" s="17"/>
      <c r="I36" s="17"/>
      <c r="J36" s="17"/>
      <c r="K36" s="17"/>
      <c r="L36" s="15"/>
      <c r="M36" s="17"/>
      <c r="N36" s="17"/>
      <c r="O36" s="17"/>
      <c r="P36" s="15"/>
      <c r="Q36" s="17"/>
      <c r="R36" s="17"/>
      <c r="S36" s="15"/>
      <c r="T36" s="17"/>
      <c r="U36" s="17"/>
      <c r="V36" s="15"/>
      <c r="W36" s="17"/>
      <c r="X36" s="17"/>
      <c r="Y36" s="15"/>
      <c r="Z36" s="17"/>
      <c r="AA36" s="17"/>
      <c r="AB36" s="15"/>
      <c r="AC36" s="17"/>
      <c r="AD36" s="17"/>
      <c r="AE36" s="15"/>
      <c r="AF36" s="17"/>
      <c r="AG36" s="17"/>
      <c r="AH36" s="15"/>
      <c r="AI36" s="17"/>
      <c r="AJ36" s="17"/>
      <c r="AK36" s="15"/>
      <c r="AL36" s="17"/>
      <c r="AM36" s="17"/>
      <c r="AN36" s="15"/>
      <c r="AO36" s="17"/>
      <c r="AP36" s="17"/>
      <c r="AQ36" s="15"/>
      <c r="AR36" s="17"/>
      <c r="AS36" s="17"/>
      <c r="AT36" s="15"/>
      <c r="AU36" s="17"/>
      <c r="AV36" s="17"/>
      <c r="AW36" s="15"/>
      <c r="AX36" s="17"/>
      <c r="AY36" s="17"/>
      <c r="AZ36" s="15"/>
      <c r="BA36" s="17"/>
      <c r="BB36" s="130"/>
      <c r="BC36" s="17"/>
      <c r="BD36" s="17"/>
      <c r="BE36" s="17"/>
      <c r="BF36" s="15"/>
      <c r="BG36" s="17"/>
      <c r="BH36" s="17"/>
      <c r="BI36" s="15"/>
      <c r="BJ36" s="17"/>
      <c r="BK36" s="17"/>
      <c r="BL36" s="15"/>
      <c r="BM36" s="17"/>
      <c r="BN36" s="17"/>
      <c r="BO36" s="108"/>
      <c r="BQ36" s="107"/>
      <c r="BR36" s="108"/>
      <c r="BT36" s="107"/>
      <c r="BU36" s="108"/>
      <c r="BY36" s="108"/>
      <c r="CC36" s="108"/>
      <c r="CE36" s="108"/>
    </row>
    <row r="37" spans="1:91" s="176" customFormat="1">
      <c r="A37" s="136" t="s">
        <v>45</v>
      </c>
      <c r="B37" s="193"/>
      <c r="C37" s="193"/>
      <c r="D37" s="193"/>
      <c r="E37" s="136"/>
      <c r="F37" s="136"/>
      <c r="G37" s="136"/>
      <c r="H37" s="136"/>
      <c r="I37" s="136"/>
      <c r="J37" s="136"/>
      <c r="K37" s="136"/>
      <c r="L37" s="194"/>
      <c r="M37" s="136"/>
      <c r="N37" s="136"/>
      <c r="O37" s="136"/>
      <c r="P37" s="194"/>
      <c r="Q37" s="136"/>
      <c r="R37" s="136"/>
      <c r="S37" s="194"/>
      <c r="T37" s="136"/>
      <c r="U37" s="136"/>
      <c r="V37" s="194"/>
      <c r="W37" s="136"/>
      <c r="X37" s="136"/>
      <c r="Y37" s="194"/>
      <c r="Z37" s="136"/>
      <c r="AA37" s="136"/>
      <c r="AB37" s="194"/>
      <c r="AC37" s="136"/>
      <c r="AD37" s="136"/>
      <c r="AE37" s="194">
        <f>SUM(AE39:AE50)</f>
        <v>3871</v>
      </c>
      <c r="AF37" s="136">
        <f t="shared" ref="AF37:AG37" si="92">SUM(AF39:AF50)</f>
        <v>2133</v>
      </c>
      <c r="AG37" s="136">
        <f t="shared" si="92"/>
        <v>1738</v>
      </c>
      <c r="AH37" s="194">
        <f>SUM(AH39:AH50)</f>
        <v>3890</v>
      </c>
      <c r="AI37" s="136">
        <f t="shared" ref="AI37:AJ37" si="93">SUM(AI39:AI50)</f>
        <v>2126</v>
      </c>
      <c r="AJ37" s="136">
        <f t="shared" si="93"/>
        <v>1764</v>
      </c>
      <c r="AK37" s="194">
        <f>SUM(AK39:AK50)</f>
        <v>3922</v>
      </c>
      <c r="AL37" s="136">
        <f t="shared" ref="AL37:AM37" si="94">SUM(AL39:AL50)</f>
        <v>2051</v>
      </c>
      <c r="AM37" s="136">
        <f t="shared" si="94"/>
        <v>1871</v>
      </c>
      <c r="AN37" s="194">
        <f>SUM(AN39:AN50)</f>
        <v>3947</v>
      </c>
      <c r="AO37" s="136">
        <f t="shared" ref="AO37:AP37" si="95">SUM(AO39:AO50)</f>
        <v>1972</v>
      </c>
      <c r="AP37" s="136">
        <f t="shared" si="95"/>
        <v>1975</v>
      </c>
      <c r="AQ37" s="194">
        <f>SUM(AQ39:AQ50)</f>
        <v>4024</v>
      </c>
      <c r="AR37" s="136">
        <f t="shared" ref="AR37:AS37" si="96">SUM(AR39:AR50)</f>
        <v>2109</v>
      </c>
      <c r="AS37" s="136">
        <f t="shared" si="96"/>
        <v>1915</v>
      </c>
      <c r="AT37" s="194">
        <f>SUM(AT39:AT50)</f>
        <v>4164</v>
      </c>
      <c r="AU37" s="136">
        <f t="shared" ref="AU37:AV37" si="97">SUM(AU39:AU50)</f>
        <v>2119</v>
      </c>
      <c r="AV37" s="136">
        <f t="shared" si="97"/>
        <v>2045</v>
      </c>
      <c r="AW37" s="194">
        <f>SUM(AW39:AW50)</f>
        <v>4290</v>
      </c>
      <c r="AX37" s="136">
        <f t="shared" ref="AX37:AY37" si="98">SUM(AX39:AX50)</f>
        <v>2147</v>
      </c>
      <c r="AY37" s="136">
        <f t="shared" si="98"/>
        <v>2143</v>
      </c>
      <c r="AZ37" s="194">
        <f>SUM(AZ39:AZ50)</f>
        <v>4415</v>
      </c>
      <c r="BA37" s="136">
        <f t="shared" ref="BA37:BB37" si="99">SUM(BA39:BA50)</f>
        <v>2273</v>
      </c>
      <c r="BB37" s="118">
        <f t="shared" si="99"/>
        <v>2142</v>
      </c>
      <c r="BC37" s="136">
        <f t="shared" ref="BC37:BE37" si="100">SUM(BC39:BC50)</f>
        <v>4538</v>
      </c>
      <c r="BD37" s="136">
        <f t="shared" si="100"/>
        <v>2336</v>
      </c>
      <c r="BE37" s="136">
        <f t="shared" si="100"/>
        <v>2202</v>
      </c>
      <c r="BF37" s="194">
        <f>SUM(BF39:BF50)</f>
        <v>4724</v>
      </c>
      <c r="BG37" s="136">
        <f t="shared" ref="BG37:BH37" si="101">SUM(BG39:BG50)</f>
        <v>2502</v>
      </c>
      <c r="BH37" s="136">
        <f t="shared" si="101"/>
        <v>2222</v>
      </c>
      <c r="BI37" s="194">
        <f>SUM(BI39:BI50)</f>
        <v>4844</v>
      </c>
      <c r="BJ37" s="136">
        <f t="shared" ref="BJ37:BK37" si="102">SUM(BJ39:BJ50)</f>
        <v>2558</v>
      </c>
      <c r="BK37" s="136">
        <f t="shared" si="102"/>
        <v>2286</v>
      </c>
      <c r="BL37" s="194">
        <f>SUM(BL39:BL50)</f>
        <v>4987</v>
      </c>
      <c r="BM37" s="136">
        <f t="shared" ref="BM37:BN37" si="103">SUM(BM39:BM50)</f>
        <v>2699</v>
      </c>
      <c r="BN37" s="118">
        <f t="shared" si="103"/>
        <v>2288</v>
      </c>
      <c r="BO37" s="136">
        <f t="shared" ref="BO37:BQ37" si="104">SUM(BO39:BO50)</f>
        <v>5125</v>
      </c>
      <c r="BP37" s="136">
        <f t="shared" si="104"/>
        <v>2824</v>
      </c>
      <c r="BQ37" s="118">
        <f t="shared" si="104"/>
        <v>2301</v>
      </c>
      <c r="BR37" s="136">
        <f t="shared" ref="BR37:BT37" si="105">SUM(BR39:BR50)</f>
        <v>5310</v>
      </c>
      <c r="BS37" s="136">
        <f t="shared" si="105"/>
        <v>2972</v>
      </c>
      <c r="BT37" s="118">
        <f t="shared" si="105"/>
        <v>2338</v>
      </c>
      <c r="BU37" s="118">
        <f t="shared" ref="BU37:BW37" si="106">SUM(BU39:BU50)</f>
        <v>5566</v>
      </c>
      <c r="BV37" s="118">
        <f t="shared" si="106"/>
        <v>3152</v>
      </c>
      <c r="BW37" s="118">
        <f t="shared" si="106"/>
        <v>2414</v>
      </c>
      <c r="BX37" s="136">
        <f t="shared" ref="BX37:CA37" si="107">SUM(BX39:BX50)</f>
        <v>0</v>
      </c>
      <c r="BY37" s="174">
        <f t="shared" si="107"/>
        <v>5857</v>
      </c>
      <c r="BZ37" s="118">
        <f t="shared" si="107"/>
        <v>3350</v>
      </c>
      <c r="CA37" s="118">
        <f t="shared" si="107"/>
        <v>2507</v>
      </c>
      <c r="CB37" s="174">
        <f t="shared" ref="CB37:CD37" si="108">SUM(CB39:CB50)</f>
        <v>6203</v>
      </c>
      <c r="CC37" s="118">
        <f t="shared" si="108"/>
        <v>3570</v>
      </c>
      <c r="CD37" s="118">
        <f t="shared" si="108"/>
        <v>2633</v>
      </c>
      <c r="CE37" s="118">
        <f t="shared" ref="CE37:CG37" si="109">SUM(CE39:CE50)</f>
        <v>6388</v>
      </c>
      <c r="CF37" s="118">
        <f t="shared" si="109"/>
        <v>3639</v>
      </c>
      <c r="CG37" s="118">
        <f t="shared" si="109"/>
        <v>2747</v>
      </c>
      <c r="CH37" s="118">
        <f t="shared" ref="CH37:CJ37" si="110">SUM(CH39:CH50)</f>
        <v>6646</v>
      </c>
      <c r="CI37" s="118">
        <f t="shared" si="110"/>
        <v>3712</v>
      </c>
      <c r="CJ37" s="118">
        <f t="shared" si="110"/>
        <v>2931</v>
      </c>
      <c r="CK37" s="118">
        <f t="shared" ref="CK37:CM37" si="111">SUM(CK39:CK50)</f>
        <v>6794</v>
      </c>
      <c r="CL37" s="118">
        <f t="shared" si="111"/>
        <v>3687</v>
      </c>
      <c r="CM37" s="118">
        <f t="shared" si="111"/>
        <v>3103</v>
      </c>
    </row>
    <row r="38" spans="1:91">
      <c r="A38" s="50" t="s">
        <v>14</v>
      </c>
      <c r="B38" s="45"/>
      <c r="C38" s="45"/>
      <c r="D38" s="45"/>
      <c r="E38" s="54"/>
      <c r="F38" s="54"/>
      <c r="G38" s="54"/>
      <c r="H38" s="54"/>
      <c r="I38" s="54"/>
      <c r="J38" s="54"/>
      <c r="K38" s="54"/>
      <c r="L38" s="57"/>
      <c r="M38" s="54"/>
      <c r="N38" s="54"/>
      <c r="O38" s="54"/>
      <c r="P38" s="57"/>
      <c r="Q38" s="54"/>
      <c r="R38" s="54"/>
      <c r="S38" s="57"/>
      <c r="T38" s="54"/>
      <c r="U38" s="54"/>
      <c r="V38" s="57"/>
      <c r="W38" s="54"/>
      <c r="X38" s="54"/>
      <c r="Y38" s="57"/>
      <c r="Z38" s="54"/>
      <c r="AA38" s="54"/>
      <c r="AB38" s="57"/>
      <c r="AC38" s="54"/>
      <c r="AD38" s="54"/>
      <c r="AE38" s="88">
        <f t="shared" ref="AE38:AG38" si="112">(AE37/AE$3)*100</f>
        <v>35.786262364796158</v>
      </c>
      <c r="AF38" s="87">
        <f t="shared" si="112"/>
        <v>36.662083190099693</v>
      </c>
      <c r="AG38" s="87">
        <f t="shared" si="112"/>
        <v>34.766953390678133</v>
      </c>
      <c r="AH38" s="88">
        <f t="shared" ref="AH38:AJ38" si="113">(AH37/AH$3)*100</f>
        <v>35.041888118187551</v>
      </c>
      <c r="AI38" s="87">
        <f t="shared" si="113"/>
        <v>36.255115961800819</v>
      </c>
      <c r="AJ38" s="87">
        <f t="shared" si="113"/>
        <v>33.683406530456367</v>
      </c>
      <c r="AK38" s="88">
        <f t="shared" ref="AK38:AM38" si="114">(AK37/AK$3)*100</f>
        <v>34.307207837648704</v>
      </c>
      <c r="AL38" s="87">
        <f t="shared" si="114"/>
        <v>34.970161977834614</v>
      </c>
      <c r="AM38" s="87">
        <f t="shared" si="114"/>
        <v>33.608765942159152</v>
      </c>
      <c r="AN38" s="88">
        <f t="shared" ref="AN38:AP38" si="115">(AN37/AN$3)*100</f>
        <v>33.288352871721344</v>
      </c>
      <c r="AO38" s="87">
        <f t="shared" si="115"/>
        <v>33.565957446808511</v>
      </c>
      <c r="AP38" s="87">
        <f t="shared" si="115"/>
        <v>33.015713808090943</v>
      </c>
      <c r="AQ38" s="88">
        <f t="shared" ref="AQ38:AS38" si="116">(AQ37/AQ$3)*100</f>
        <v>32.127744510978047</v>
      </c>
      <c r="AR38" s="87">
        <f t="shared" si="116"/>
        <v>32.901716068642742</v>
      </c>
      <c r="AS38" s="87">
        <f t="shared" si="116"/>
        <v>31.316434995911692</v>
      </c>
      <c r="AT38" s="88">
        <f t="shared" ref="AT38:AV38" si="117">(AT37/AT$3)*100</f>
        <v>31.060719081008504</v>
      </c>
      <c r="AU38" s="87">
        <f t="shared" si="117"/>
        <v>31.387942527033029</v>
      </c>
      <c r="AV38" s="87">
        <f t="shared" si="117"/>
        <v>30.728775356874532</v>
      </c>
      <c r="AW38" s="88">
        <f t="shared" ref="AW38:AY38" si="118">(AW37/AW$3)*100</f>
        <v>29.77305850510098</v>
      </c>
      <c r="AX38" s="87">
        <f t="shared" si="118"/>
        <v>29.819444444444443</v>
      </c>
      <c r="AY38" s="87">
        <f t="shared" si="118"/>
        <v>29.726730475794145</v>
      </c>
      <c r="AZ38" s="88">
        <f t="shared" ref="AZ38:BB38" si="119">(AZ37/AZ$3)*100</f>
        <v>28.239733913265958</v>
      </c>
      <c r="BA38" s="87">
        <f t="shared" si="119"/>
        <v>28.551689486245447</v>
      </c>
      <c r="BB38" s="119">
        <f t="shared" si="119"/>
        <v>27.916069334028411</v>
      </c>
      <c r="BC38" s="87">
        <f t="shared" ref="BC38:BE38" si="120">(BC37/BC$3)*100</f>
        <v>26.863197774226009</v>
      </c>
      <c r="BD38" s="87">
        <f t="shared" si="120"/>
        <v>26.828988170437579</v>
      </c>
      <c r="BE38" s="87">
        <f t="shared" si="120"/>
        <v>26.899584656731001</v>
      </c>
      <c r="BF38" s="88">
        <f t="shared" ref="BF38" si="121">(BF37/BF$3)*100</f>
        <v>26.037590255194843</v>
      </c>
      <c r="BG38" s="87">
        <f t="shared" ref="BG38" si="122">(BG37/BG$3)*100</f>
        <v>26.345161629988418</v>
      </c>
      <c r="BH38" s="87">
        <f t="shared" ref="BH38" si="123">(BH37/BH$3)*100</f>
        <v>25.699745547073793</v>
      </c>
      <c r="BI38" s="88">
        <f t="shared" ref="BI38" si="124">(BI37/BI$3)*100</f>
        <v>24.934369691666237</v>
      </c>
      <c r="BJ38" s="87">
        <f t="shared" ref="BJ38" si="125">(BJ37/BJ$3)*100</f>
        <v>24.934204113461352</v>
      </c>
      <c r="BK38" s="87">
        <f t="shared" ref="BK38:BM38" si="126">(BK37/BK$3)*100</f>
        <v>24.934554973821989</v>
      </c>
      <c r="BL38" s="88">
        <f t="shared" si="126"/>
        <v>24.134927164496929</v>
      </c>
      <c r="BM38" s="87">
        <f t="shared" si="126"/>
        <v>24.278132589727445</v>
      </c>
      <c r="BN38" s="119">
        <f t="shared" ref="BN38:BQ38" si="127">(BN37/BN$3)*100</f>
        <v>23.968154200712341</v>
      </c>
      <c r="BO38" s="87">
        <f t="shared" si="127"/>
        <v>24.330611469806303</v>
      </c>
      <c r="BP38" s="87">
        <f t="shared" si="127"/>
        <v>23.895752242342187</v>
      </c>
      <c r="BQ38" s="119">
        <f t="shared" si="127"/>
        <v>23.188551849239143</v>
      </c>
      <c r="BR38" s="87">
        <f t="shared" ref="BR38:BT38" si="128">(BR37/BR$3)*100</f>
        <v>23.015907416236832</v>
      </c>
      <c r="BS38" s="87">
        <f t="shared" si="128"/>
        <v>23.456985003946329</v>
      </c>
      <c r="BT38" s="119">
        <f t="shared" si="128"/>
        <v>22.47860782617056</v>
      </c>
      <c r="BU38" s="119">
        <f t="shared" ref="BU38:BW38" si="129">(BU37/BU$3)*100</f>
        <v>22.659176029962545</v>
      </c>
      <c r="BV38" s="119">
        <f t="shared" si="129"/>
        <v>23.072981480125907</v>
      </c>
      <c r="BW38" s="119">
        <f t="shared" si="129"/>
        <v>22.140695221498671</v>
      </c>
      <c r="BX38" s="87" t="e">
        <f t="shared" ref="BX38:CA38" si="130">(BX37/BX$3)*100</f>
        <v>#DIV/0!</v>
      </c>
      <c r="BY38" s="146">
        <f t="shared" si="130"/>
        <v>22.63487401453084</v>
      </c>
      <c r="BZ38" s="119">
        <f t="shared" si="130"/>
        <v>23.275203223789344</v>
      </c>
      <c r="CA38" s="119">
        <f t="shared" si="130"/>
        <v>21.832273796046326</v>
      </c>
      <c r="CB38" s="119">
        <f t="shared" ref="CB38:CD38" si="131">(CB37/CB$3)*100</f>
        <v>22.568673822084772</v>
      </c>
      <c r="CC38" s="119">
        <f t="shared" si="131"/>
        <v>23.477574641588848</v>
      </c>
      <c r="CD38" s="119">
        <f t="shared" si="131"/>
        <v>21.443114260118904</v>
      </c>
      <c r="CE38" s="119">
        <f t="shared" ref="CE38:CG38" si="132">(CE37/CE$3)*100</f>
        <v>22.042027535281736</v>
      </c>
      <c r="CF38" s="119">
        <f t="shared" si="132"/>
        <v>22.8164775221017</v>
      </c>
      <c r="CG38" s="119">
        <f t="shared" si="132"/>
        <v>21.09668996236848</v>
      </c>
      <c r="CH38" s="119">
        <f t="shared" ref="CH38:CJ38" si="133">(CH37/CH$3)*100</f>
        <v>21.885599499456649</v>
      </c>
      <c r="CI38" s="119">
        <f t="shared" si="133"/>
        <v>23.136374968835703</v>
      </c>
      <c r="CJ38" s="119">
        <f t="shared" si="133"/>
        <v>21.144135045447989</v>
      </c>
      <c r="CK38" s="119">
        <f t="shared" ref="CK38:CM38" si="134">(CK37/CK$3)*100</f>
        <v>21.45722136247355</v>
      </c>
      <c r="CL38" s="119">
        <f t="shared" si="134"/>
        <v>22.261804129935996</v>
      </c>
      <c r="CM38" s="119">
        <f t="shared" si="134"/>
        <v>20.566012725344645</v>
      </c>
    </row>
    <row r="39" spans="1:91">
      <c r="A39" s="8" t="s">
        <v>315</v>
      </c>
      <c r="B39" s="21"/>
      <c r="C39" s="21"/>
      <c r="D39" s="21"/>
      <c r="E39" s="8"/>
      <c r="F39" s="8"/>
      <c r="G39" s="8"/>
      <c r="H39" s="8"/>
      <c r="I39" s="8"/>
      <c r="J39" s="8"/>
      <c r="K39" s="8"/>
      <c r="L39" s="15"/>
      <c r="M39" s="17"/>
      <c r="N39" s="17"/>
      <c r="O39" s="17"/>
      <c r="P39" s="15"/>
      <c r="Q39" s="17"/>
      <c r="R39" s="17"/>
      <c r="S39" s="15"/>
      <c r="T39" s="17"/>
      <c r="U39" s="17"/>
      <c r="V39" s="15"/>
      <c r="W39" s="17"/>
      <c r="X39" s="17"/>
      <c r="Y39" s="15"/>
      <c r="Z39" s="17"/>
      <c r="AA39" s="17"/>
      <c r="AB39" s="15"/>
      <c r="AC39" s="17"/>
      <c r="AD39" s="17"/>
      <c r="AE39" s="15">
        <v>640</v>
      </c>
      <c r="AF39" s="17">
        <v>358</v>
      </c>
      <c r="AG39" s="17">
        <v>282</v>
      </c>
      <c r="AH39" s="15">
        <v>646</v>
      </c>
      <c r="AI39" s="17">
        <v>335</v>
      </c>
      <c r="AJ39" s="17">
        <v>311</v>
      </c>
      <c r="AK39" s="15">
        <v>643</v>
      </c>
      <c r="AL39" s="17">
        <v>323</v>
      </c>
      <c r="AM39" s="17">
        <v>320</v>
      </c>
      <c r="AN39" s="15">
        <v>664</v>
      </c>
      <c r="AO39" s="17">
        <v>328</v>
      </c>
      <c r="AP39" s="17">
        <v>336</v>
      </c>
      <c r="AQ39" s="15">
        <v>676</v>
      </c>
      <c r="AR39" s="17">
        <f>326</f>
        <v>326</v>
      </c>
      <c r="AS39" s="17">
        <f>350</f>
        <v>350</v>
      </c>
      <c r="AT39" s="15">
        <v>690</v>
      </c>
      <c r="AU39" s="17">
        <f>322</f>
        <v>322</v>
      </c>
      <c r="AV39" s="17">
        <f>368</f>
        <v>368</v>
      </c>
      <c r="AW39" s="15">
        <v>690</v>
      </c>
      <c r="AX39" s="17">
        <v>321</v>
      </c>
      <c r="AY39" s="17">
        <v>369</v>
      </c>
      <c r="AZ39" s="15">
        <v>675</v>
      </c>
      <c r="BA39" s="17">
        <v>347</v>
      </c>
      <c r="BB39" s="130">
        <v>328</v>
      </c>
      <c r="BC39" s="17">
        <v>676</v>
      </c>
      <c r="BD39" s="17">
        <v>326</v>
      </c>
      <c r="BE39" s="17">
        <v>350</v>
      </c>
      <c r="BF39" s="15">
        <v>722</v>
      </c>
      <c r="BG39" s="17">
        <v>372</v>
      </c>
      <c r="BH39" s="17">
        <v>350</v>
      </c>
      <c r="BI39" s="15">
        <v>754</v>
      </c>
      <c r="BJ39" s="17">
        <v>399</v>
      </c>
      <c r="BK39" s="17">
        <v>355</v>
      </c>
      <c r="BL39" s="15">
        <v>770</v>
      </c>
      <c r="BM39" s="17">
        <v>407</v>
      </c>
      <c r="BN39" s="17">
        <v>363</v>
      </c>
      <c r="BO39" s="108">
        <v>797</v>
      </c>
      <c r="BP39" s="12">
        <v>431</v>
      </c>
      <c r="BQ39" s="107">
        <v>366</v>
      </c>
      <c r="BR39" s="12">
        <v>803</v>
      </c>
      <c r="BS39" s="12">
        <v>462</v>
      </c>
      <c r="BT39" s="107">
        <v>341</v>
      </c>
      <c r="BU39" s="12">
        <v>811</v>
      </c>
      <c r="BV39" s="12">
        <v>467</v>
      </c>
      <c r="BW39" s="12">
        <v>344</v>
      </c>
      <c r="BY39" s="108">
        <v>807</v>
      </c>
      <c r="BZ39" s="12">
        <v>466</v>
      </c>
      <c r="CA39" s="12">
        <v>341</v>
      </c>
      <c r="CB39" s="12">
        <v>807</v>
      </c>
      <c r="CC39" s="108">
        <v>483</v>
      </c>
      <c r="CD39" s="12">
        <v>324</v>
      </c>
      <c r="CE39" s="108">
        <v>811</v>
      </c>
      <c r="CF39" s="12">
        <v>460</v>
      </c>
      <c r="CG39" s="107">
        <v>351</v>
      </c>
      <c r="CH39" s="12">
        <v>813</v>
      </c>
      <c r="CI39" s="12">
        <v>453</v>
      </c>
      <c r="CJ39" s="107">
        <v>360</v>
      </c>
      <c r="CK39" s="12">
        <v>809</v>
      </c>
      <c r="CL39" s="12">
        <v>438</v>
      </c>
      <c r="CM39" s="12">
        <v>371</v>
      </c>
    </row>
    <row r="40" spans="1:91">
      <c r="A40" s="8" t="s">
        <v>47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15"/>
      <c r="M40" s="17"/>
      <c r="N40" s="17"/>
      <c r="O40" s="17"/>
      <c r="P40" s="15"/>
      <c r="Q40" s="17"/>
      <c r="R40" s="17"/>
      <c r="S40" s="15"/>
      <c r="T40" s="17"/>
      <c r="U40" s="17"/>
      <c r="V40" s="15"/>
      <c r="W40" s="17"/>
      <c r="X40" s="17"/>
      <c r="Y40" s="15"/>
      <c r="Z40" s="17"/>
      <c r="AA40" s="17"/>
      <c r="AB40" s="15"/>
      <c r="AC40" s="17"/>
      <c r="AD40" s="17"/>
      <c r="AE40" s="15"/>
      <c r="AF40" s="17"/>
      <c r="AG40" s="17"/>
      <c r="AH40" s="15"/>
      <c r="AI40" s="17"/>
      <c r="AJ40" s="17"/>
      <c r="AK40" s="15"/>
      <c r="AL40" s="17"/>
      <c r="AM40" s="17"/>
      <c r="AN40" s="15"/>
      <c r="AO40" s="17"/>
      <c r="AP40" s="17"/>
      <c r="AQ40" s="15"/>
      <c r="AR40" s="17"/>
      <c r="AS40" s="17"/>
      <c r="AT40" s="15"/>
      <c r="AU40" s="17"/>
      <c r="AV40" s="17"/>
      <c r="AW40" s="15"/>
      <c r="AX40" s="17"/>
      <c r="AY40" s="17"/>
      <c r="AZ40" s="15"/>
      <c r="BA40" s="17"/>
      <c r="BB40" s="130"/>
      <c r="BC40" s="17"/>
      <c r="BD40" s="17"/>
      <c r="BE40" s="17"/>
      <c r="BF40" s="15"/>
      <c r="BG40" s="17"/>
      <c r="BH40" s="17"/>
      <c r="BI40" s="15"/>
      <c r="BJ40" s="17"/>
      <c r="BK40" s="17"/>
      <c r="BL40" s="15"/>
      <c r="BM40" s="17"/>
      <c r="BN40" s="17"/>
      <c r="BO40" s="108"/>
      <c r="BQ40" s="107"/>
      <c r="BR40" s="12">
        <v>162</v>
      </c>
      <c r="BS40" s="12">
        <v>83</v>
      </c>
      <c r="BT40" s="107">
        <v>79</v>
      </c>
      <c r="BU40" s="12">
        <v>320</v>
      </c>
      <c r="BV40" s="12">
        <v>164</v>
      </c>
      <c r="BW40" s="12">
        <v>156</v>
      </c>
      <c r="BY40" s="108">
        <v>473</v>
      </c>
      <c r="BZ40" s="12">
        <v>254</v>
      </c>
      <c r="CA40" s="12">
        <v>219</v>
      </c>
      <c r="CB40" s="12">
        <v>621</v>
      </c>
      <c r="CC40" s="108">
        <v>328</v>
      </c>
      <c r="CD40" s="12">
        <v>293</v>
      </c>
      <c r="CE40" s="108">
        <v>648</v>
      </c>
      <c r="CF40" s="12">
        <v>348</v>
      </c>
      <c r="CG40" s="107">
        <v>300</v>
      </c>
      <c r="CH40" s="12">
        <v>650</v>
      </c>
      <c r="CI40" s="12">
        <v>345</v>
      </c>
      <c r="CJ40" s="107">
        <v>305</v>
      </c>
      <c r="CK40" s="12">
        <v>636</v>
      </c>
      <c r="CL40" s="12">
        <v>323</v>
      </c>
      <c r="CM40" s="12">
        <v>313</v>
      </c>
    </row>
    <row r="41" spans="1:91">
      <c r="A41" s="8" t="s">
        <v>316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15"/>
      <c r="M41" s="17"/>
      <c r="N41" s="17"/>
      <c r="O41" s="17"/>
      <c r="P41" s="15"/>
      <c r="Q41" s="17"/>
      <c r="R41" s="17"/>
      <c r="S41" s="15"/>
      <c r="T41" s="17"/>
      <c r="U41" s="17"/>
      <c r="V41" s="15"/>
      <c r="W41" s="17"/>
      <c r="X41" s="17"/>
      <c r="Y41" s="15"/>
      <c r="Z41" s="17"/>
      <c r="AA41" s="17"/>
      <c r="AB41" s="15"/>
      <c r="AC41" s="17"/>
      <c r="AD41" s="17"/>
      <c r="AE41" s="15">
        <v>805</v>
      </c>
      <c r="AF41" s="17">
        <v>442</v>
      </c>
      <c r="AG41" s="17">
        <v>363</v>
      </c>
      <c r="AH41" s="15">
        <v>785</v>
      </c>
      <c r="AI41" s="17">
        <v>412</v>
      </c>
      <c r="AJ41" s="17">
        <v>373</v>
      </c>
      <c r="AK41" s="15">
        <v>802</v>
      </c>
      <c r="AL41" s="17">
        <v>425</v>
      </c>
      <c r="AM41" s="17">
        <v>377</v>
      </c>
      <c r="AN41" s="15">
        <v>795</v>
      </c>
      <c r="AO41" s="17">
        <v>408</v>
      </c>
      <c r="AP41" s="17">
        <v>387</v>
      </c>
      <c r="AQ41" s="15">
        <v>808</v>
      </c>
      <c r="AR41" s="17">
        <f>424</f>
        <v>424</v>
      </c>
      <c r="AS41" s="17">
        <f>384</f>
        <v>384</v>
      </c>
      <c r="AT41" s="15">
        <v>817</v>
      </c>
      <c r="AU41" s="17">
        <v>428</v>
      </c>
      <c r="AV41" s="17">
        <v>389</v>
      </c>
      <c r="AW41" s="15">
        <v>814</v>
      </c>
      <c r="AX41" s="17">
        <v>409</v>
      </c>
      <c r="AY41" s="17">
        <v>405</v>
      </c>
      <c r="AZ41" s="15">
        <v>840</v>
      </c>
      <c r="BA41" s="17">
        <v>452</v>
      </c>
      <c r="BB41" s="130">
        <v>388</v>
      </c>
      <c r="BC41" s="17">
        <v>850</v>
      </c>
      <c r="BD41" s="17">
        <v>438</v>
      </c>
      <c r="BE41" s="17">
        <v>412</v>
      </c>
      <c r="BF41" s="15">
        <v>869</v>
      </c>
      <c r="BG41" s="17">
        <v>456</v>
      </c>
      <c r="BH41" s="17">
        <v>413</v>
      </c>
      <c r="BI41" s="15">
        <v>871</v>
      </c>
      <c r="BJ41" s="17">
        <v>442</v>
      </c>
      <c r="BK41" s="17">
        <v>429</v>
      </c>
      <c r="BL41" s="15">
        <v>886</v>
      </c>
      <c r="BM41" s="17">
        <v>451</v>
      </c>
      <c r="BN41" s="17">
        <v>435</v>
      </c>
      <c r="BO41" s="108">
        <v>892</v>
      </c>
      <c r="BP41" s="12">
        <v>482</v>
      </c>
      <c r="BQ41" s="107">
        <v>410</v>
      </c>
      <c r="BR41" s="12">
        <v>883</v>
      </c>
      <c r="BS41" s="12">
        <v>505</v>
      </c>
      <c r="BT41" s="107">
        <v>378</v>
      </c>
      <c r="BU41" s="12">
        <v>875</v>
      </c>
      <c r="BV41" s="12">
        <v>516</v>
      </c>
      <c r="BW41" s="12">
        <v>359</v>
      </c>
      <c r="BY41" s="108">
        <v>877</v>
      </c>
      <c r="BZ41" s="12">
        <v>528</v>
      </c>
      <c r="CA41" s="12">
        <v>349</v>
      </c>
      <c r="CB41" s="12">
        <v>886</v>
      </c>
      <c r="CC41" s="108">
        <v>534</v>
      </c>
      <c r="CD41" s="12">
        <v>352</v>
      </c>
      <c r="CE41" s="108">
        <v>884</v>
      </c>
      <c r="CF41" s="12">
        <v>528</v>
      </c>
      <c r="CG41" s="107">
        <v>356</v>
      </c>
      <c r="CH41" s="12">
        <v>888</v>
      </c>
      <c r="CI41" s="12">
        <v>514</v>
      </c>
      <c r="CJ41" s="107">
        <v>374</v>
      </c>
      <c r="CK41" s="12">
        <v>879</v>
      </c>
      <c r="CL41" s="12">
        <v>509</v>
      </c>
      <c r="CM41" s="12">
        <v>370</v>
      </c>
    </row>
    <row r="42" spans="1:91">
      <c r="A42" s="8" t="s">
        <v>49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15"/>
      <c r="M42" s="17"/>
      <c r="N42" s="17"/>
      <c r="O42" s="17"/>
      <c r="P42" s="15"/>
      <c r="Q42" s="17"/>
      <c r="R42" s="17"/>
      <c r="S42" s="15"/>
      <c r="T42" s="17"/>
      <c r="U42" s="17"/>
      <c r="V42" s="15"/>
      <c r="W42" s="17"/>
      <c r="X42" s="17"/>
      <c r="Y42" s="15"/>
      <c r="Z42" s="17"/>
      <c r="AA42" s="17"/>
      <c r="AB42" s="15"/>
      <c r="AC42" s="17"/>
      <c r="AD42" s="17"/>
      <c r="AE42" s="15"/>
      <c r="AF42" s="17"/>
      <c r="AG42" s="17"/>
      <c r="AH42" s="15"/>
      <c r="AI42" s="17"/>
      <c r="AJ42" s="17"/>
      <c r="AK42" s="15"/>
      <c r="AL42" s="17"/>
      <c r="AM42" s="17"/>
      <c r="AN42" s="15"/>
      <c r="AO42" s="17"/>
      <c r="AP42" s="17"/>
      <c r="AQ42" s="15"/>
      <c r="AR42" s="17"/>
      <c r="AS42" s="17"/>
      <c r="AT42" s="15"/>
      <c r="AU42" s="17"/>
      <c r="AV42" s="17"/>
      <c r="AW42" s="15"/>
      <c r="AX42" s="17"/>
      <c r="AY42" s="17"/>
      <c r="AZ42" s="15"/>
      <c r="BA42" s="17"/>
      <c r="BB42" s="130"/>
      <c r="BC42" s="17"/>
      <c r="BD42" s="17"/>
      <c r="BE42" s="17"/>
      <c r="BF42" s="15"/>
      <c r="BG42" s="17"/>
      <c r="BH42" s="17"/>
      <c r="BI42" s="15"/>
      <c r="BJ42" s="17"/>
      <c r="BK42" s="17"/>
      <c r="BL42" s="15"/>
      <c r="BM42" s="17"/>
      <c r="BN42" s="17"/>
      <c r="BO42" s="108"/>
      <c r="BQ42" s="107"/>
      <c r="BT42" s="107"/>
      <c r="BY42" s="108"/>
      <c r="CC42" s="108"/>
      <c r="CE42" s="108"/>
    </row>
    <row r="43" spans="1:91">
      <c r="A43" s="8" t="s">
        <v>317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15"/>
      <c r="M43" s="17"/>
      <c r="N43" s="17"/>
      <c r="O43" s="17"/>
      <c r="P43" s="15"/>
      <c r="Q43" s="17"/>
      <c r="R43" s="17"/>
      <c r="S43" s="15"/>
      <c r="T43" s="17"/>
      <c r="U43" s="17"/>
      <c r="V43" s="15"/>
      <c r="W43" s="17"/>
      <c r="X43" s="17"/>
      <c r="Y43" s="15"/>
      <c r="Z43" s="17"/>
      <c r="AA43" s="17"/>
      <c r="AB43" s="15"/>
      <c r="AC43" s="17"/>
      <c r="AD43" s="17"/>
      <c r="AE43" s="15">
        <v>523</v>
      </c>
      <c r="AF43" s="17">
        <v>261</v>
      </c>
      <c r="AG43" s="17">
        <v>262</v>
      </c>
      <c r="AH43" s="15">
        <v>527</v>
      </c>
      <c r="AI43" s="17">
        <v>276</v>
      </c>
      <c r="AJ43" s="17">
        <v>251</v>
      </c>
      <c r="AK43" s="15">
        <v>527</v>
      </c>
      <c r="AL43" s="17">
        <v>267</v>
      </c>
      <c r="AM43" s="17">
        <v>260</v>
      </c>
      <c r="AN43" s="15">
        <v>533</v>
      </c>
      <c r="AO43" s="17">
        <v>261</v>
      </c>
      <c r="AP43" s="17">
        <v>272</v>
      </c>
      <c r="AQ43" s="15">
        <f>538</f>
        <v>538</v>
      </c>
      <c r="AR43" s="17">
        <f>263</f>
        <v>263</v>
      </c>
      <c r="AS43" s="17">
        <f>275</f>
        <v>275</v>
      </c>
      <c r="AT43" s="15">
        <f>616</f>
        <v>616</v>
      </c>
      <c r="AU43" s="17">
        <v>293</v>
      </c>
      <c r="AV43" s="17">
        <v>323</v>
      </c>
      <c r="AW43" s="15">
        <v>708</v>
      </c>
      <c r="AX43" s="17">
        <v>343</v>
      </c>
      <c r="AY43" s="17">
        <v>365</v>
      </c>
      <c r="AZ43" s="15">
        <v>787</v>
      </c>
      <c r="BA43" s="17">
        <v>387</v>
      </c>
      <c r="BB43" s="130">
        <v>400</v>
      </c>
      <c r="BC43" s="17">
        <v>845</v>
      </c>
      <c r="BD43" s="17">
        <v>428</v>
      </c>
      <c r="BE43" s="17">
        <v>417</v>
      </c>
      <c r="BF43" s="15">
        <v>959</v>
      </c>
      <c r="BG43" s="17">
        <v>514</v>
      </c>
      <c r="BH43" s="17">
        <v>445</v>
      </c>
      <c r="BI43" s="15">
        <v>1068</v>
      </c>
      <c r="BJ43" s="17">
        <v>568</v>
      </c>
      <c r="BK43" s="17">
        <v>500</v>
      </c>
      <c r="BL43" s="15">
        <v>1161</v>
      </c>
      <c r="BM43" s="17">
        <v>634</v>
      </c>
      <c r="BN43" s="17">
        <v>527</v>
      </c>
      <c r="BO43" s="108">
        <v>1256</v>
      </c>
      <c r="BP43" s="12">
        <v>685</v>
      </c>
      <c r="BQ43" s="107">
        <v>571</v>
      </c>
      <c r="BR43" s="12">
        <v>1268</v>
      </c>
      <c r="BS43" s="12">
        <v>695</v>
      </c>
      <c r="BT43" s="107">
        <v>573</v>
      </c>
      <c r="BU43" s="12">
        <v>1235</v>
      </c>
      <c r="BV43" s="12">
        <v>701</v>
      </c>
      <c r="BW43" s="12">
        <v>534</v>
      </c>
      <c r="BY43" s="108">
        <v>1245</v>
      </c>
      <c r="BZ43" s="12">
        <v>707</v>
      </c>
      <c r="CA43" s="12">
        <v>538</v>
      </c>
      <c r="CB43" s="12">
        <v>1313</v>
      </c>
      <c r="CC43" s="108">
        <v>769</v>
      </c>
      <c r="CD43" s="12">
        <v>544</v>
      </c>
      <c r="CE43" s="108">
        <v>1195</v>
      </c>
      <c r="CF43" s="12">
        <v>663</v>
      </c>
      <c r="CG43" s="107">
        <v>532</v>
      </c>
      <c r="CH43" s="12">
        <v>1232</v>
      </c>
      <c r="CI43" s="12">
        <v>650</v>
      </c>
      <c r="CJ43" s="107">
        <v>582</v>
      </c>
      <c r="CK43" s="12">
        <v>1251</v>
      </c>
      <c r="CL43" s="12">
        <v>641</v>
      </c>
      <c r="CM43" s="12">
        <v>610</v>
      </c>
    </row>
    <row r="44" spans="1:91">
      <c r="A44" s="8" t="s">
        <v>51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15"/>
      <c r="M44" s="17"/>
      <c r="N44" s="17"/>
      <c r="O44" s="17"/>
      <c r="P44" s="15"/>
      <c r="Q44" s="17"/>
      <c r="R44" s="17"/>
      <c r="S44" s="15"/>
      <c r="T44" s="17"/>
      <c r="U44" s="17"/>
      <c r="V44" s="15"/>
      <c r="W44" s="17"/>
      <c r="X44" s="17"/>
      <c r="Y44" s="15"/>
      <c r="Z44" s="17"/>
      <c r="AA44" s="17"/>
      <c r="AB44" s="15"/>
      <c r="AC44" s="17"/>
      <c r="AD44" s="17"/>
      <c r="AE44" s="15"/>
      <c r="AF44" s="17"/>
      <c r="AG44" s="17"/>
      <c r="AH44" s="15"/>
      <c r="AI44" s="17"/>
      <c r="AJ44" s="17"/>
      <c r="AK44" s="15"/>
      <c r="AL44" s="17"/>
      <c r="AM44" s="17"/>
      <c r="AN44" s="15"/>
      <c r="AO44" s="17"/>
      <c r="AP44" s="17"/>
      <c r="AQ44" s="15"/>
      <c r="AR44" s="17"/>
      <c r="AS44" s="17"/>
      <c r="AT44" s="15"/>
      <c r="AU44" s="17"/>
      <c r="AV44" s="17"/>
      <c r="AW44" s="15"/>
      <c r="AX44" s="17"/>
      <c r="AY44" s="17"/>
      <c r="AZ44" s="15"/>
      <c r="BA44" s="17"/>
      <c r="BB44" s="130"/>
      <c r="BC44" s="17"/>
      <c r="BD44" s="17"/>
      <c r="BE44" s="17"/>
      <c r="BF44" s="15"/>
      <c r="BG44" s="17"/>
      <c r="BH44" s="17"/>
      <c r="BI44" s="15"/>
      <c r="BJ44" s="17"/>
      <c r="BK44" s="17"/>
      <c r="BL44" s="15"/>
      <c r="BM44" s="17"/>
      <c r="BN44" s="17"/>
      <c r="BO44" s="108"/>
      <c r="BQ44" s="107"/>
      <c r="BT44" s="107"/>
      <c r="BY44" s="108"/>
      <c r="CC44" s="108"/>
      <c r="CE44" s="108"/>
    </row>
    <row r="45" spans="1:91">
      <c r="A45" s="8" t="s">
        <v>318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15"/>
      <c r="M45" s="17"/>
      <c r="N45" s="17"/>
      <c r="O45" s="17"/>
      <c r="P45" s="15"/>
      <c r="Q45" s="17"/>
      <c r="R45" s="17"/>
      <c r="S45" s="15"/>
      <c r="T45" s="17"/>
      <c r="U45" s="17"/>
      <c r="V45" s="15"/>
      <c r="W45" s="17"/>
      <c r="X45" s="17"/>
      <c r="Y45" s="15"/>
      <c r="Z45" s="17"/>
      <c r="AA45" s="17"/>
      <c r="AB45" s="15"/>
      <c r="AC45" s="17"/>
      <c r="AD45" s="17"/>
      <c r="AE45" s="15">
        <v>1487</v>
      </c>
      <c r="AF45" s="17">
        <v>841</v>
      </c>
      <c r="AG45" s="17">
        <v>646</v>
      </c>
      <c r="AH45" s="15">
        <v>1509</v>
      </c>
      <c r="AI45" s="17">
        <v>860</v>
      </c>
      <c r="AJ45" s="17">
        <v>649</v>
      </c>
      <c r="AK45" s="15">
        <v>1518</v>
      </c>
      <c r="AL45" s="17">
        <v>816</v>
      </c>
      <c r="AM45" s="17">
        <v>702</v>
      </c>
      <c r="AN45" s="15">
        <v>1527</v>
      </c>
      <c r="AO45" s="17">
        <v>786</v>
      </c>
      <c r="AP45" s="17">
        <v>741</v>
      </c>
      <c r="AQ45" s="15">
        <f>649+926</f>
        <v>1575</v>
      </c>
      <c r="AR45" s="17">
        <f>394+491</f>
        <v>885</v>
      </c>
      <c r="AS45" s="17">
        <f>255+435</f>
        <v>690</v>
      </c>
      <c r="AT45" s="15">
        <f>670+940</f>
        <v>1610</v>
      </c>
      <c r="AU45" s="17">
        <f>405+475</f>
        <v>880</v>
      </c>
      <c r="AV45" s="17">
        <f>265+465</f>
        <v>730</v>
      </c>
      <c r="AW45" s="15">
        <v>1650</v>
      </c>
      <c r="AX45" s="104">
        <v>863</v>
      </c>
      <c r="AY45" s="104">
        <v>787</v>
      </c>
      <c r="AZ45" s="15">
        <v>1674</v>
      </c>
      <c r="BA45" s="17">
        <v>886</v>
      </c>
      <c r="BB45" s="130">
        <v>788</v>
      </c>
      <c r="BC45" s="17">
        <v>1720</v>
      </c>
      <c r="BD45" s="17">
        <v>942</v>
      </c>
      <c r="BE45" s="17">
        <v>778</v>
      </c>
      <c r="BF45" s="15">
        <f>698+1013</f>
        <v>1711</v>
      </c>
      <c r="BG45" s="17">
        <f>428+516</f>
        <v>944</v>
      </c>
      <c r="BH45" s="17">
        <f>270+497</f>
        <v>767</v>
      </c>
      <c r="BI45" s="15">
        <f>701+985</f>
        <v>1686</v>
      </c>
      <c r="BJ45" s="17">
        <f>420+527</f>
        <v>947</v>
      </c>
      <c r="BK45" s="17">
        <f>281+458</f>
        <v>739</v>
      </c>
      <c r="BL45" s="15">
        <v>1678</v>
      </c>
      <c r="BM45" s="17">
        <v>977</v>
      </c>
      <c r="BN45" s="17">
        <v>701</v>
      </c>
      <c r="BO45" s="108">
        <v>1667</v>
      </c>
      <c r="BP45" s="12">
        <v>974</v>
      </c>
      <c r="BQ45" s="107">
        <v>693</v>
      </c>
      <c r="BR45" s="12">
        <v>1683</v>
      </c>
      <c r="BS45" s="12">
        <v>977</v>
      </c>
      <c r="BT45" s="107">
        <v>706</v>
      </c>
      <c r="BU45" s="12">
        <v>1715</v>
      </c>
      <c r="BV45" s="12">
        <v>977</v>
      </c>
      <c r="BW45" s="12">
        <v>738</v>
      </c>
      <c r="BY45" s="108">
        <v>1739</v>
      </c>
      <c r="BZ45" s="12">
        <v>1012</v>
      </c>
      <c r="CA45" s="12">
        <v>727</v>
      </c>
      <c r="CB45" s="12">
        <v>1761</v>
      </c>
      <c r="CC45" s="108">
        <v>1025</v>
      </c>
      <c r="CD45" s="12">
        <v>736</v>
      </c>
      <c r="CE45" s="108">
        <v>1928</v>
      </c>
      <c r="CF45" s="12">
        <v>1142</v>
      </c>
      <c r="CG45" s="107">
        <v>785</v>
      </c>
      <c r="CH45" s="12">
        <v>2080</v>
      </c>
      <c r="CI45" s="12">
        <v>1241</v>
      </c>
      <c r="CJ45" s="107">
        <v>837</v>
      </c>
      <c r="CK45" s="12">
        <v>2258</v>
      </c>
      <c r="CL45" s="12">
        <v>1289</v>
      </c>
      <c r="CM45" s="12">
        <v>967</v>
      </c>
    </row>
    <row r="46" spans="1:91">
      <c r="A46" s="8" t="s">
        <v>53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15"/>
      <c r="M46" s="17"/>
      <c r="N46" s="17"/>
      <c r="O46" s="17"/>
      <c r="P46" s="15"/>
      <c r="Q46" s="17"/>
      <c r="R46" s="17"/>
      <c r="S46" s="15"/>
      <c r="T46" s="17"/>
      <c r="U46" s="17"/>
      <c r="V46" s="15"/>
      <c r="W46" s="17"/>
      <c r="X46" s="17"/>
      <c r="Y46" s="15"/>
      <c r="Z46" s="17"/>
      <c r="AA46" s="17"/>
      <c r="AB46" s="15"/>
      <c r="AC46" s="17"/>
      <c r="AD46" s="17"/>
      <c r="AE46" s="15"/>
      <c r="AF46" s="17"/>
      <c r="AG46" s="17"/>
      <c r="AH46" s="15"/>
      <c r="AI46" s="17"/>
      <c r="AJ46" s="17"/>
      <c r="AK46" s="15"/>
      <c r="AL46" s="17"/>
      <c r="AM46" s="17"/>
      <c r="AN46" s="15"/>
      <c r="AO46" s="17"/>
      <c r="AP46" s="17"/>
      <c r="AQ46" s="15"/>
      <c r="AR46" s="17"/>
      <c r="AS46" s="17"/>
      <c r="AT46" s="15"/>
      <c r="AU46" s="17"/>
      <c r="AV46" s="17"/>
      <c r="AW46" s="15"/>
      <c r="AX46" s="17"/>
      <c r="AY46" s="17"/>
      <c r="AZ46" s="15"/>
      <c r="BA46" s="17"/>
      <c r="BB46" s="130"/>
      <c r="BC46" s="17"/>
      <c r="BD46" s="17"/>
      <c r="BE46" s="17"/>
      <c r="BF46" s="15"/>
      <c r="BG46" s="17"/>
      <c r="BH46" s="17"/>
      <c r="BI46" s="15"/>
      <c r="BJ46" s="17"/>
      <c r="BK46" s="17"/>
      <c r="BL46" s="15"/>
      <c r="BM46" s="17"/>
      <c r="BN46" s="17"/>
      <c r="BO46" s="108"/>
      <c r="BQ46" s="107"/>
      <c r="BT46" s="107"/>
      <c r="BY46" s="108"/>
      <c r="CC46" s="108"/>
      <c r="CE46" s="108"/>
    </row>
    <row r="47" spans="1:91">
      <c r="A47" s="8" t="s">
        <v>54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15"/>
      <c r="M47" s="17"/>
      <c r="N47" s="17"/>
      <c r="O47" s="17"/>
      <c r="P47" s="15"/>
      <c r="Q47" s="17"/>
      <c r="R47" s="17"/>
      <c r="S47" s="15"/>
      <c r="T47" s="17"/>
      <c r="U47" s="17"/>
      <c r="V47" s="15"/>
      <c r="W47" s="17"/>
      <c r="X47" s="17"/>
      <c r="Y47" s="15"/>
      <c r="Z47" s="17"/>
      <c r="AA47" s="17"/>
      <c r="AB47" s="15"/>
      <c r="AC47" s="17"/>
      <c r="AD47" s="17"/>
      <c r="AE47" s="15"/>
      <c r="AF47" s="17"/>
      <c r="AG47" s="17"/>
      <c r="AH47" s="15"/>
      <c r="AI47" s="17"/>
      <c r="AJ47" s="17"/>
      <c r="AK47" s="15"/>
      <c r="AL47" s="17"/>
      <c r="AM47" s="17"/>
      <c r="AN47" s="15"/>
      <c r="AO47" s="17"/>
      <c r="AP47" s="17"/>
      <c r="AQ47" s="15"/>
      <c r="AR47" s="17"/>
      <c r="AS47" s="17"/>
      <c r="AT47" s="15"/>
      <c r="AU47" s="17"/>
      <c r="AV47" s="17"/>
      <c r="AW47" s="15"/>
      <c r="AX47" s="17"/>
      <c r="AY47" s="17"/>
      <c r="AZ47" s="15"/>
      <c r="BA47" s="17"/>
      <c r="BB47" s="130"/>
      <c r="BC47" s="17"/>
      <c r="BD47" s="17"/>
      <c r="BE47" s="17"/>
      <c r="BF47" s="15"/>
      <c r="BG47" s="17"/>
      <c r="BH47" s="17"/>
      <c r="BI47" s="15"/>
      <c r="BJ47" s="17"/>
      <c r="BK47" s="17"/>
      <c r="BL47" s="15"/>
      <c r="BM47" s="17"/>
      <c r="BN47" s="17"/>
      <c r="BO47" s="108"/>
      <c r="BQ47" s="107"/>
      <c r="BT47" s="107"/>
      <c r="BY47" s="108"/>
      <c r="CC47" s="108"/>
      <c r="CE47" s="108"/>
    </row>
    <row r="48" spans="1:91">
      <c r="A48" s="8" t="s">
        <v>319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15"/>
      <c r="M48" s="17"/>
      <c r="N48" s="17"/>
      <c r="O48" s="17"/>
      <c r="P48" s="15"/>
      <c r="Q48" s="17"/>
      <c r="R48" s="17"/>
      <c r="S48" s="15"/>
      <c r="T48" s="17"/>
      <c r="U48" s="17"/>
      <c r="V48" s="15"/>
      <c r="W48" s="17"/>
      <c r="X48" s="17"/>
      <c r="Y48" s="15"/>
      <c r="Z48" s="17"/>
      <c r="AA48" s="17"/>
      <c r="AB48" s="15"/>
      <c r="AC48" s="17"/>
      <c r="AD48" s="17"/>
      <c r="AE48" s="15">
        <v>416</v>
      </c>
      <c r="AF48" s="17">
        <v>231</v>
      </c>
      <c r="AG48" s="17">
        <v>185</v>
      </c>
      <c r="AH48" s="15">
        <v>423</v>
      </c>
      <c r="AI48" s="17">
        <v>243</v>
      </c>
      <c r="AJ48" s="17">
        <v>180</v>
      </c>
      <c r="AK48" s="15">
        <v>432</v>
      </c>
      <c r="AL48" s="17">
        <v>220</v>
      </c>
      <c r="AM48" s="17">
        <v>212</v>
      </c>
      <c r="AN48" s="15">
        <v>428</v>
      </c>
      <c r="AO48" s="17">
        <v>189</v>
      </c>
      <c r="AP48" s="17">
        <v>239</v>
      </c>
      <c r="AQ48" s="15">
        <f>427</f>
        <v>427</v>
      </c>
      <c r="AR48" s="17">
        <f>211</f>
        <v>211</v>
      </c>
      <c r="AS48" s="17">
        <f>216</f>
        <v>216</v>
      </c>
      <c r="AT48" s="15">
        <f>431</f>
        <v>431</v>
      </c>
      <c r="AU48" s="17">
        <v>196</v>
      </c>
      <c r="AV48" s="17">
        <v>235</v>
      </c>
      <c r="AW48" s="15">
        <v>428</v>
      </c>
      <c r="AX48" s="104">
        <v>211</v>
      </c>
      <c r="AY48" s="104">
        <v>217</v>
      </c>
      <c r="AZ48" s="15">
        <v>439</v>
      </c>
      <c r="BA48" s="17">
        <v>201</v>
      </c>
      <c r="BB48" s="130">
        <v>238</v>
      </c>
      <c r="BC48" s="17">
        <v>447</v>
      </c>
      <c r="BD48" s="17">
        <v>202</v>
      </c>
      <c r="BE48" s="17">
        <v>245</v>
      </c>
      <c r="BF48" s="15">
        <v>463</v>
      </c>
      <c r="BG48" s="17">
        <v>216</v>
      </c>
      <c r="BH48" s="17">
        <v>247</v>
      </c>
      <c r="BI48" s="15">
        <v>465</v>
      </c>
      <c r="BJ48" s="17">
        <v>202</v>
      </c>
      <c r="BK48" s="17">
        <v>263</v>
      </c>
      <c r="BL48" s="15">
        <v>492</v>
      </c>
      <c r="BM48" s="17">
        <v>230</v>
      </c>
      <c r="BN48" s="17">
        <v>262</v>
      </c>
      <c r="BO48" s="108">
        <v>513</v>
      </c>
      <c r="BP48" s="12">
        <v>252</v>
      </c>
      <c r="BQ48" s="107">
        <v>261</v>
      </c>
      <c r="BR48" s="12">
        <v>511</v>
      </c>
      <c r="BS48" s="12">
        <v>250</v>
      </c>
      <c r="BT48" s="107">
        <v>261</v>
      </c>
      <c r="BU48" s="12">
        <v>610</v>
      </c>
      <c r="BV48" s="12">
        <v>327</v>
      </c>
      <c r="BW48" s="12">
        <v>283</v>
      </c>
      <c r="BY48" s="108">
        <v>716</v>
      </c>
      <c r="BZ48" s="12">
        <v>383</v>
      </c>
      <c r="CA48" s="12">
        <v>333</v>
      </c>
      <c r="CB48" s="12">
        <v>815</v>
      </c>
      <c r="CC48" s="108">
        <v>431</v>
      </c>
      <c r="CD48" s="12">
        <v>384</v>
      </c>
      <c r="CE48" s="108">
        <v>922</v>
      </c>
      <c r="CF48" s="12">
        <v>498</v>
      </c>
      <c r="CG48" s="107">
        <v>423</v>
      </c>
      <c r="CH48" s="12">
        <v>983</v>
      </c>
      <c r="CI48" s="12">
        <v>509</v>
      </c>
      <c r="CJ48" s="107">
        <v>473</v>
      </c>
      <c r="CK48" s="12">
        <v>961</v>
      </c>
      <c r="CL48" s="12">
        <v>487</v>
      </c>
      <c r="CM48" s="12">
        <v>472</v>
      </c>
    </row>
    <row r="49" spans="1:91">
      <c r="A49" s="8" t="s">
        <v>56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15"/>
      <c r="M49" s="17"/>
      <c r="N49" s="17"/>
      <c r="O49" s="17"/>
      <c r="P49" s="15"/>
      <c r="Q49" s="17"/>
      <c r="R49" s="17"/>
      <c r="S49" s="15"/>
      <c r="T49" s="17"/>
      <c r="U49" s="17"/>
      <c r="V49" s="15"/>
      <c r="W49" s="17"/>
      <c r="X49" s="17"/>
      <c r="Y49" s="15"/>
      <c r="Z49" s="17"/>
      <c r="AA49" s="17"/>
      <c r="AB49" s="15"/>
      <c r="AC49" s="17"/>
      <c r="AD49" s="17"/>
      <c r="AE49" s="15"/>
      <c r="AF49" s="17"/>
      <c r="AG49" s="17"/>
      <c r="AH49" s="15"/>
      <c r="AI49" s="17"/>
      <c r="AJ49" s="17"/>
      <c r="AK49" s="15"/>
      <c r="AL49" s="17"/>
      <c r="AM49" s="17"/>
      <c r="AN49" s="15"/>
      <c r="AO49" s="17"/>
      <c r="AP49" s="17"/>
      <c r="AQ49" s="15"/>
      <c r="AR49" s="17"/>
      <c r="AS49" s="17"/>
      <c r="AT49" s="15"/>
      <c r="AU49" s="17"/>
      <c r="AV49" s="17"/>
      <c r="AW49" s="15"/>
      <c r="AX49" s="17"/>
      <c r="AY49" s="17"/>
      <c r="AZ49" s="15"/>
      <c r="BA49" s="17"/>
      <c r="BB49" s="130"/>
      <c r="BC49" s="17"/>
      <c r="BD49" s="17"/>
      <c r="BE49" s="17"/>
      <c r="BF49" s="15"/>
      <c r="BG49" s="17"/>
      <c r="BH49" s="17"/>
      <c r="BI49" s="15"/>
      <c r="BJ49" s="17"/>
      <c r="BK49" s="17"/>
      <c r="BL49" s="15"/>
      <c r="BM49" s="17"/>
      <c r="BN49" s="17"/>
      <c r="BO49" s="108"/>
      <c r="BQ49" s="107"/>
      <c r="BT49" s="107"/>
      <c r="BY49" s="108"/>
      <c r="CC49" s="108"/>
      <c r="CE49" s="108"/>
    </row>
    <row r="50" spans="1:91">
      <c r="A50" s="17" t="s">
        <v>57</v>
      </c>
      <c r="B50" s="6"/>
      <c r="C50" s="6"/>
      <c r="D50" s="6"/>
      <c r="E50" s="17"/>
      <c r="F50" s="17"/>
      <c r="G50" s="17"/>
      <c r="H50" s="17"/>
      <c r="I50" s="17"/>
      <c r="J50" s="17"/>
      <c r="K50" s="17"/>
      <c r="L50" s="15"/>
      <c r="M50" s="17"/>
      <c r="N50" s="17"/>
      <c r="O50" s="17"/>
      <c r="P50" s="15"/>
      <c r="Q50" s="17"/>
      <c r="R50" s="17"/>
      <c r="S50" s="15"/>
      <c r="T50" s="17"/>
      <c r="U50" s="17"/>
      <c r="V50" s="15"/>
      <c r="W50" s="17"/>
      <c r="X50" s="17"/>
      <c r="Y50" s="15"/>
      <c r="Z50" s="17"/>
      <c r="AA50" s="17"/>
      <c r="AB50" s="15"/>
      <c r="AC50" s="17"/>
      <c r="AD50" s="17"/>
      <c r="AE50" s="15"/>
      <c r="AF50" s="17"/>
      <c r="AG50" s="17"/>
      <c r="AH50" s="15"/>
      <c r="AI50" s="17"/>
      <c r="AJ50" s="17"/>
      <c r="AK50" s="15"/>
      <c r="AL50" s="17"/>
      <c r="AM50" s="17"/>
      <c r="AN50" s="15"/>
      <c r="AO50" s="17"/>
      <c r="AP50" s="17"/>
      <c r="AQ50" s="15"/>
      <c r="AR50" s="17"/>
      <c r="AS50" s="17"/>
      <c r="AT50" s="15"/>
      <c r="AU50" s="17"/>
      <c r="AV50" s="17"/>
      <c r="AW50" s="15"/>
      <c r="AX50" s="17"/>
      <c r="AY50" s="17"/>
      <c r="AZ50" s="15"/>
      <c r="BA50" s="17"/>
      <c r="BB50" s="130"/>
      <c r="BC50" s="17"/>
      <c r="BD50" s="17"/>
      <c r="BE50" s="17"/>
      <c r="BF50" s="15"/>
      <c r="BG50" s="17"/>
      <c r="BH50" s="17"/>
      <c r="BI50" s="15"/>
      <c r="BJ50" s="17"/>
      <c r="BK50" s="17"/>
      <c r="BL50" s="15"/>
      <c r="BM50" s="17"/>
      <c r="BN50" s="17"/>
      <c r="BO50" s="108"/>
      <c r="BQ50" s="107"/>
      <c r="BR50" s="108"/>
      <c r="BT50" s="107"/>
      <c r="BU50" s="108"/>
      <c r="BY50" s="108"/>
      <c r="CC50" s="108"/>
      <c r="CE50" s="108"/>
    </row>
    <row r="51" spans="1:91" s="176" customFormat="1">
      <c r="A51" s="136" t="s">
        <v>58</v>
      </c>
      <c r="B51" s="193"/>
      <c r="C51" s="193"/>
      <c r="D51" s="193"/>
      <c r="E51" s="136"/>
      <c r="F51" s="136"/>
      <c r="G51" s="136"/>
      <c r="H51" s="136"/>
      <c r="I51" s="136"/>
      <c r="J51" s="136"/>
      <c r="K51" s="136"/>
      <c r="L51" s="194"/>
      <c r="M51" s="136"/>
      <c r="N51" s="136"/>
      <c r="O51" s="136"/>
      <c r="P51" s="194"/>
      <c r="Q51" s="136"/>
      <c r="R51" s="136"/>
      <c r="S51" s="194"/>
      <c r="T51" s="136"/>
      <c r="U51" s="136"/>
      <c r="V51" s="194"/>
      <c r="W51" s="136"/>
      <c r="X51" s="136"/>
      <c r="Y51" s="194"/>
      <c r="Z51" s="136"/>
      <c r="AA51" s="136"/>
      <c r="AB51" s="194"/>
      <c r="AC51" s="136"/>
      <c r="AD51" s="136"/>
      <c r="AE51" s="194">
        <f>SUM(AE53:AE61)</f>
        <v>3415</v>
      </c>
      <c r="AF51" s="136">
        <f t="shared" ref="AF51:AG51" si="135">SUM(AF53:AF61)</f>
        <v>1762</v>
      </c>
      <c r="AG51" s="136">
        <f t="shared" si="135"/>
        <v>1653</v>
      </c>
      <c r="AH51" s="194">
        <f>SUM(AH53:AH61)</f>
        <v>3521</v>
      </c>
      <c r="AI51" s="136">
        <f t="shared" ref="AI51:AJ51" si="136">SUM(AI53:AI61)</f>
        <v>1762</v>
      </c>
      <c r="AJ51" s="136">
        <f t="shared" si="136"/>
        <v>1759</v>
      </c>
      <c r="AK51" s="194">
        <f>SUM(AK53:AK61)</f>
        <v>3676</v>
      </c>
      <c r="AL51" s="136">
        <f t="shared" ref="AL51:AM51" si="137">SUM(AL53:AL61)</f>
        <v>1802</v>
      </c>
      <c r="AM51" s="136">
        <f t="shared" si="137"/>
        <v>1874</v>
      </c>
      <c r="AN51" s="194">
        <f>SUM(AN53:AN61)</f>
        <v>3818</v>
      </c>
      <c r="AO51" s="136">
        <f t="shared" ref="AO51:AP51" si="138">SUM(AO53:AO61)</f>
        <v>1854</v>
      </c>
      <c r="AP51" s="136">
        <f t="shared" si="138"/>
        <v>1964</v>
      </c>
      <c r="AQ51" s="194">
        <f>SUM(AQ53:AQ61)</f>
        <v>3895</v>
      </c>
      <c r="AR51" s="136">
        <f t="shared" ref="AR51:AS51" si="139">SUM(AR53:AR61)</f>
        <v>1872</v>
      </c>
      <c r="AS51" s="136">
        <f t="shared" si="139"/>
        <v>2023</v>
      </c>
      <c r="AT51" s="194">
        <f>SUM(AT53:AT61)</f>
        <v>3985</v>
      </c>
      <c r="AU51" s="136">
        <f t="shared" ref="AU51:AV51" si="140">SUM(AU53:AU61)</f>
        <v>1914</v>
      </c>
      <c r="AV51" s="136">
        <f t="shared" si="140"/>
        <v>2071</v>
      </c>
      <c r="AW51" s="194">
        <f>SUM(AW53:AW61)</f>
        <v>4060</v>
      </c>
      <c r="AX51" s="136">
        <f t="shared" ref="AX51:AY51" si="141">SUM(AX53:AX61)</f>
        <v>1968</v>
      </c>
      <c r="AY51" s="136">
        <f t="shared" si="141"/>
        <v>2092</v>
      </c>
      <c r="AZ51" s="194">
        <f>SUM(AZ53:AZ61)</f>
        <v>4277</v>
      </c>
      <c r="BA51" s="136">
        <f t="shared" ref="BA51:BB51" si="142">SUM(BA53:BA61)</f>
        <v>2149</v>
      </c>
      <c r="BB51" s="118">
        <f t="shared" si="142"/>
        <v>2128</v>
      </c>
      <c r="BC51" s="136">
        <f t="shared" ref="BC51:BE51" si="143">SUM(BC53:BC61)</f>
        <v>4187</v>
      </c>
      <c r="BD51" s="136">
        <f t="shared" si="143"/>
        <v>2211</v>
      </c>
      <c r="BE51" s="136">
        <f t="shared" si="143"/>
        <v>2226</v>
      </c>
      <c r="BF51" s="194">
        <f>SUM(BF53:BF61)</f>
        <v>4702</v>
      </c>
      <c r="BG51" s="136">
        <f t="shared" ref="BG51:BH51" si="144">SUM(BG53:BG61)</f>
        <v>2307</v>
      </c>
      <c r="BH51" s="136">
        <f t="shared" si="144"/>
        <v>2395</v>
      </c>
      <c r="BI51" s="194">
        <f>SUM(BI53:BI61)</f>
        <v>5042</v>
      </c>
      <c r="BJ51" s="136">
        <f t="shared" ref="BJ51:BK51" si="145">SUM(BJ53:BJ61)</f>
        <v>2504</v>
      </c>
      <c r="BK51" s="136">
        <f t="shared" si="145"/>
        <v>2538</v>
      </c>
      <c r="BL51" s="194">
        <f>SUM(BL53:BL61)</f>
        <v>5203</v>
      </c>
      <c r="BM51" s="136">
        <f t="shared" ref="BM51:BN51" si="146">SUM(BM53:BM61)</f>
        <v>2639</v>
      </c>
      <c r="BN51" s="118">
        <f t="shared" si="146"/>
        <v>2564</v>
      </c>
      <c r="BO51" s="136">
        <f t="shared" ref="BO51:BQ51" si="147">SUM(BO53:BO61)</f>
        <v>4695</v>
      </c>
      <c r="BP51" s="136">
        <f t="shared" si="147"/>
        <v>2734</v>
      </c>
      <c r="BQ51" s="118">
        <f t="shared" si="147"/>
        <v>2638</v>
      </c>
      <c r="BR51" s="136">
        <f t="shared" ref="BR51:BT51" si="148">SUM(BR53:BR61)</f>
        <v>5493</v>
      </c>
      <c r="BS51" s="136">
        <f t="shared" si="148"/>
        <v>2885</v>
      </c>
      <c r="BT51" s="118">
        <f t="shared" si="148"/>
        <v>2608</v>
      </c>
      <c r="BU51" s="118">
        <f t="shared" ref="BU51:BV51" si="149">SUM(BU53:BU61)</f>
        <v>5681</v>
      </c>
      <c r="BV51" s="118">
        <f t="shared" si="149"/>
        <v>3056</v>
      </c>
      <c r="BW51" s="118">
        <f t="shared" ref="BW51:CA51" si="150">SUM(BW53:BW61)</f>
        <v>2625</v>
      </c>
      <c r="BX51" s="136">
        <f t="shared" si="150"/>
        <v>0</v>
      </c>
      <c r="BY51" s="174">
        <f t="shared" si="150"/>
        <v>5889</v>
      </c>
      <c r="BZ51" s="118">
        <f t="shared" si="150"/>
        <v>3183</v>
      </c>
      <c r="CA51" s="118">
        <f t="shared" si="150"/>
        <v>2706</v>
      </c>
      <c r="CB51" s="118">
        <f t="shared" ref="CB51:CD51" si="151">SUM(CB53:CB61)</f>
        <v>6263</v>
      </c>
      <c r="CC51" s="118">
        <f t="shared" si="151"/>
        <v>3373</v>
      </c>
      <c r="CD51" s="118">
        <f t="shared" si="151"/>
        <v>2890</v>
      </c>
      <c r="CE51" s="118">
        <f t="shared" ref="CE51:CG51" si="152">SUM(CE53:CE61)</f>
        <v>6533</v>
      </c>
      <c r="CF51" s="118">
        <f t="shared" si="152"/>
        <v>3518</v>
      </c>
      <c r="CG51" s="118">
        <f t="shared" si="152"/>
        <v>3015</v>
      </c>
      <c r="CH51" s="118">
        <f t="shared" ref="CH51:CJ51" si="153">SUM(CH53:CH61)</f>
        <v>6712</v>
      </c>
      <c r="CI51" s="118">
        <f t="shared" si="153"/>
        <v>3482</v>
      </c>
      <c r="CJ51" s="118">
        <f t="shared" si="153"/>
        <v>3226</v>
      </c>
      <c r="CK51" s="118">
        <f t="shared" ref="CK51:CM51" si="154">SUM(CK53:CK61)</f>
        <v>6859</v>
      </c>
      <c r="CL51" s="118">
        <f t="shared" si="154"/>
        <v>3485</v>
      </c>
      <c r="CM51" s="118">
        <f t="shared" si="154"/>
        <v>3369</v>
      </c>
    </row>
    <row r="52" spans="1:91">
      <c r="A52" s="50" t="s">
        <v>14</v>
      </c>
      <c r="B52" s="45"/>
      <c r="C52" s="45"/>
      <c r="D52" s="45"/>
      <c r="E52" s="54"/>
      <c r="F52" s="54"/>
      <c r="G52" s="54"/>
      <c r="H52" s="54"/>
      <c r="I52" s="54"/>
      <c r="J52" s="54"/>
      <c r="K52" s="54"/>
      <c r="L52" s="57"/>
      <c r="M52" s="54"/>
      <c r="N52" s="54"/>
      <c r="O52" s="54"/>
      <c r="P52" s="57"/>
      <c r="Q52" s="54"/>
      <c r="R52" s="54"/>
      <c r="S52" s="57"/>
      <c r="T52" s="54"/>
      <c r="U52" s="54"/>
      <c r="V52" s="57"/>
      <c r="W52" s="54"/>
      <c r="X52" s="54"/>
      <c r="Y52" s="57"/>
      <c r="Z52" s="54"/>
      <c r="AA52" s="54"/>
      <c r="AB52" s="57"/>
      <c r="AC52" s="54"/>
      <c r="AD52" s="54"/>
      <c r="AE52" s="88">
        <f t="shared" ref="AE52:AG52" si="155">(AE51/AE$3)*100</f>
        <v>31.570675788111309</v>
      </c>
      <c r="AF52" s="87">
        <f t="shared" si="155"/>
        <v>30.285321416294259</v>
      </c>
      <c r="AG52" s="87">
        <f t="shared" si="155"/>
        <v>33.066613322664537</v>
      </c>
      <c r="AH52" s="88">
        <f t="shared" ref="AH52:AJ52" si="156">(AH51/AH$3)*100</f>
        <v>31.717863255562563</v>
      </c>
      <c r="AI52" s="87">
        <f t="shared" si="156"/>
        <v>30.047748976807643</v>
      </c>
      <c r="AJ52" s="87">
        <f t="shared" si="156"/>
        <v>33.587932022150085</v>
      </c>
      <c r="AK52" s="88">
        <f t="shared" ref="AK52:AM52" si="157">(AK51/AK$3)*100</f>
        <v>32.155353393981805</v>
      </c>
      <c r="AL52" s="87">
        <f t="shared" si="157"/>
        <v>30.724637681159422</v>
      </c>
      <c r="AM52" s="87">
        <f t="shared" si="157"/>
        <v>33.662654930842464</v>
      </c>
      <c r="AN52" s="88">
        <f t="shared" ref="AN52:AP52" si="158">(AN51/AN$3)*100</f>
        <v>32.2003879564814</v>
      </c>
      <c r="AO52" s="87">
        <f t="shared" si="158"/>
        <v>31.557446808510637</v>
      </c>
      <c r="AP52" s="87">
        <f t="shared" si="158"/>
        <v>32.831828819792712</v>
      </c>
      <c r="AQ52" s="88">
        <f t="shared" ref="AQ52:AS52" si="159">(AQ51/AQ$3)*100</f>
        <v>31.097804391217565</v>
      </c>
      <c r="AR52" s="87">
        <f t="shared" si="159"/>
        <v>29.204368174726991</v>
      </c>
      <c r="AS52" s="87">
        <f t="shared" si="159"/>
        <v>33.082583810302538</v>
      </c>
      <c r="AT52" s="88">
        <f t="shared" ref="AT52:AV52" si="160">(AT51/AT$3)*100</f>
        <v>29.725496046546322</v>
      </c>
      <c r="AU52" s="87">
        <f t="shared" si="160"/>
        <v>28.351355354762259</v>
      </c>
      <c r="AV52" s="87">
        <f t="shared" si="160"/>
        <v>31.119459053343352</v>
      </c>
      <c r="AW52" s="88">
        <f t="shared" ref="AW52:AY52" si="161">(AW51/AW$3)*100</f>
        <v>28.176833923242416</v>
      </c>
      <c r="AX52" s="87">
        <f t="shared" si="161"/>
        <v>27.333333333333332</v>
      </c>
      <c r="AY52" s="87">
        <f t="shared" si="161"/>
        <v>29.019281453738383</v>
      </c>
      <c r="AZ52" s="88">
        <f t="shared" ref="AZ52:BB52" si="162">(AZ51/AZ$3)*100</f>
        <v>27.357042343610082</v>
      </c>
      <c r="BA52" s="87">
        <f t="shared" si="162"/>
        <v>26.994096219067959</v>
      </c>
      <c r="BB52" s="119">
        <f t="shared" si="162"/>
        <v>27.733611364524958</v>
      </c>
      <c r="BC52" s="87">
        <f t="shared" ref="BC52:BE52" si="163">(BC51/BC$3)*100</f>
        <v>24.78541407683656</v>
      </c>
      <c r="BD52" s="87">
        <f t="shared" si="163"/>
        <v>25.393361663029744</v>
      </c>
      <c r="BE52" s="87">
        <f t="shared" si="163"/>
        <v>27.192768140728074</v>
      </c>
      <c r="BF52" s="88">
        <f t="shared" ref="BF52" si="164">(BF51/BF$3)*100</f>
        <v>25.916331367469546</v>
      </c>
      <c r="BG52" s="87">
        <f t="shared" ref="BG52" si="165">(BG51/BG$3)*100</f>
        <v>24.29188164683584</v>
      </c>
      <c r="BH52" s="87">
        <f t="shared" ref="BH52" si="166">(BH51/BH$3)*100</f>
        <v>27.700670830441819</v>
      </c>
      <c r="BI52" s="88">
        <f t="shared" ref="BI52" si="167">(BI51/BI$3)*100</f>
        <v>25.953569774025841</v>
      </c>
      <c r="BJ52" s="87">
        <f t="shared" ref="BJ52" si="168">(BJ51/BJ$3)*100</f>
        <v>24.407837021152158</v>
      </c>
      <c r="BK52" s="87">
        <f t="shared" ref="BK52:BM52" si="169">(BK51/BK$3)*100</f>
        <v>27.683246073298427</v>
      </c>
      <c r="BL52" s="88">
        <f t="shared" si="169"/>
        <v>25.180273919566375</v>
      </c>
      <c r="BM52" s="87">
        <f t="shared" si="169"/>
        <v>23.738418638121793</v>
      </c>
      <c r="BN52" s="119">
        <f t="shared" ref="BN52:BQ52" si="170">(BN51/BN$3)*100</f>
        <v>26.859417557091973</v>
      </c>
      <c r="BO52" s="87">
        <f t="shared" si="170"/>
        <v>22.289213824534752</v>
      </c>
      <c r="BP52" s="87">
        <f t="shared" si="170"/>
        <v>23.134202064647148</v>
      </c>
      <c r="BQ52" s="119">
        <f t="shared" si="170"/>
        <v>26.584702206993853</v>
      </c>
      <c r="BR52" s="87">
        <f t="shared" ref="BR52:BT52" si="171">(BR51/BR$3)*100</f>
        <v>23.809111005157991</v>
      </c>
      <c r="BS52" s="87">
        <f t="shared" si="171"/>
        <v>22.77032359905288</v>
      </c>
      <c r="BT52" s="119">
        <f t="shared" si="171"/>
        <v>25.074512066147488</v>
      </c>
      <c r="BU52" s="119">
        <f t="shared" ref="BU52:BV52" si="172">(BU51/BU$3)*100</f>
        <v>23.127340823970037</v>
      </c>
      <c r="BV52" s="119">
        <f t="shared" si="172"/>
        <v>22.370251079715981</v>
      </c>
      <c r="BW52" s="119">
        <f t="shared" ref="BW52:CA52" si="173">(BW51/BW$3)*100</f>
        <v>24.07594240117399</v>
      </c>
      <c r="BX52" s="87" t="e">
        <f t="shared" si="173"/>
        <v>#DIV/0!</v>
      </c>
      <c r="BY52" s="146">
        <f t="shared" si="173"/>
        <v>22.758540732725304</v>
      </c>
      <c r="BZ52" s="119">
        <f t="shared" si="173"/>
        <v>22.114916973528796</v>
      </c>
      <c r="CA52" s="119">
        <f t="shared" si="173"/>
        <v>23.565270399721328</v>
      </c>
      <c r="CB52" s="119">
        <f t="shared" ref="CB52:CD52" si="174">(CB51/CB$3)*100</f>
        <v>22.786974713480078</v>
      </c>
      <c r="CC52" s="119">
        <f t="shared" si="174"/>
        <v>22.182033407865319</v>
      </c>
      <c r="CD52" s="119">
        <f t="shared" si="174"/>
        <v>23.536118576431306</v>
      </c>
      <c r="CE52" s="119">
        <f t="shared" ref="CE52:CG52" si="175">(CE51/CE$3)*100</f>
        <v>22.542355336254786</v>
      </c>
      <c r="CF52" s="119">
        <f t="shared" si="175"/>
        <v>22.057809267038685</v>
      </c>
      <c r="CG52" s="119">
        <f t="shared" si="175"/>
        <v>23.1549036172337</v>
      </c>
      <c r="CH52" s="119">
        <f t="shared" ref="CH52:CJ52" si="176">(CH51/CH$3)*100</f>
        <v>22.102940692198768</v>
      </c>
      <c r="CI52" s="119">
        <f t="shared" si="176"/>
        <v>21.702817252555473</v>
      </c>
      <c r="CJ52" s="119">
        <f t="shared" si="176"/>
        <v>23.272255085846201</v>
      </c>
      <c r="CK52" s="119">
        <f t="shared" ref="CK52:CM52" si="177">(CK51/CK$3)*100</f>
        <v>21.662508290433628</v>
      </c>
      <c r="CL52" s="119">
        <f t="shared" si="177"/>
        <v>21.042144668518294</v>
      </c>
      <c r="CM52" s="119">
        <f t="shared" si="177"/>
        <v>22.329003181336159</v>
      </c>
    </row>
    <row r="53" spans="1:91">
      <c r="A53" s="8" t="s">
        <v>59</v>
      </c>
      <c r="B53" s="21"/>
      <c r="C53" s="21"/>
      <c r="D53" s="21"/>
      <c r="E53" s="8"/>
      <c r="F53" s="8"/>
      <c r="G53" s="8"/>
      <c r="H53" s="8"/>
      <c r="I53" s="8"/>
      <c r="J53" s="8"/>
      <c r="K53" s="8"/>
      <c r="L53" s="15"/>
      <c r="M53" s="17"/>
      <c r="N53" s="17"/>
      <c r="O53" s="17"/>
      <c r="P53" s="15"/>
      <c r="Q53" s="17"/>
      <c r="R53" s="17"/>
      <c r="S53" s="15"/>
      <c r="T53" s="17"/>
      <c r="U53" s="17"/>
      <c r="V53" s="15"/>
      <c r="W53" s="17"/>
      <c r="X53" s="17"/>
      <c r="Y53" s="15"/>
      <c r="Z53" s="17"/>
      <c r="AA53" s="17"/>
      <c r="AB53" s="15"/>
      <c r="AC53" s="17"/>
      <c r="AD53" s="17"/>
      <c r="AE53" s="15"/>
      <c r="AF53" s="17"/>
      <c r="AG53" s="17"/>
      <c r="AH53" s="15"/>
      <c r="AI53" s="17"/>
      <c r="AJ53" s="17"/>
      <c r="AK53" s="15"/>
      <c r="AL53" s="17"/>
      <c r="AM53" s="17"/>
      <c r="AN53" s="15"/>
      <c r="AO53" s="17"/>
      <c r="AP53" s="17"/>
      <c r="AQ53" s="15"/>
      <c r="AR53" s="17"/>
      <c r="AS53" s="17"/>
      <c r="AT53" s="15"/>
      <c r="AU53" s="17"/>
      <c r="AV53" s="17"/>
      <c r="AW53" s="15"/>
      <c r="AX53" s="17"/>
      <c r="AY53" s="17"/>
      <c r="AZ53" s="15"/>
      <c r="BA53" s="17"/>
      <c r="BB53" s="130"/>
      <c r="BC53" s="17"/>
      <c r="BD53" s="17"/>
      <c r="BE53" s="17"/>
      <c r="BF53" s="15"/>
      <c r="BG53" s="17"/>
      <c r="BH53" s="17"/>
      <c r="BI53" s="15"/>
      <c r="BJ53" s="17"/>
      <c r="BK53" s="17"/>
      <c r="BL53" s="15"/>
      <c r="BM53" s="17"/>
      <c r="BN53" s="17"/>
      <c r="BO53" s="108"/>
      <c r="BQ53" s="107"/>
      <c r="BT53" s="107"/>
      <c r="BY53" s="108"/>
      <c r="CC53" s="108"/>
      <c r="CE53" s="108"/>
    </row>
    <row r="54" spans="1:91">
      <c r="A54" s="8" t="s">
        <v>320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15"/>
      <c r="M54" s="17"/>
      <c r="N54" s="17"/>
      <c r="O54" s="17"/>
      <c r="P54" s="15"/>
      <c r="Q54" s="17"/>
      <c r="R54" s="17"/>
      <c r="S54" s="15"/>
      <c r="T54" s="17"/>
      <c r="U54" s="17"/>
      <c r="V54" s="15"/>
      <c r="W54" s="17"/>
      <c r="X54" s="17"/>
      <c r="Y54" s="15"/>
      <c r="Z54" s="17"/>
      <c r="AA54" s="17"/>
      <c r="AB54" s="15"/>
      <c r="AC54" s="17"/>
      <c r="AD54" s="17"/>
      <c r="AE54" s="15">
        <v>463</v>
      </c>
      <c r="AF54" s="17">
        <v>236</v>
      </c>
      <c r="AG54" s="17">
        <v>227</v>
      </c>
      <c r="AH54" s="15">
        <v>460</v>
      </c>
      <c r="AI54" s="17">
        <v>215</v>
      </c>
      <c r="AJ54" s="17">
        <v>245</v>
      </c>
      <c r="AK54" s="15">
        <v>468</v>
      </c>
      <c r="AL54" s="17">
        <v>216</v>
      </c>
      <c r="AM54" s="17">
        <v>252</v>
      </c>
      <c r="AN54" s="15">
        <v>488</v>
      </c>
      <c r="AO54" s="17">
        <v>252</v>
      </c>
      <c r="AP54" s="17">
        <v>236</v>
      </c>
      <c r="AQ54" s="15">
        <f>491</f>
        <v>491</v>
      </c>
      <c r="AR54" s="17">
        <v>236</v>
      </c>
      <c r="AS54" s="17">
        <v>255</v>
      </c>
      <c r="AT54" s="15">
        <f>499</f>
        <v>499</v>
      </c>
      <c r="AU54" s="17">
        <v>241</v>
      </c>
      <c r="AV54" s="17">
        <v>258</v>
      </c>
      <c r="AW54" s="15">
        <v>496</v>
      </c>
      <c r="AX54" s="17">
        <v>231</v>
      </c>
      <c r="AY54" s="17">
        <v>265</v>
      </c>
      <c r="AZ54" s="15">
        <v>501</v>
      </c>
      <c r="BA54" s="17">
        <v>253</v>
      </c>
      <c r="BB54" s="130">
        <v>248</v>
      </c>
      <c r="BC54" s="17">
        <v>505</v>
      </c>
      <c r="BD54" s="17">
        <v>245</v>
      </c>
      <c r="BE54" s="17">
        <v>260</v>
      </c>
      <c r="BF54" s="15">
        <v>495</v>
      </c>
      <c r="BG54" s="17">
        <v>233</v>
      </c>
      <c r="BH54" s="17">
        <v>262</v>
      </c>
      <c r="BI54" s="15">
        <v>508</v>
      </c>
      <c r="BJ54" s="17">
        <v>227</v>
      </c>
      <c r="BK54" s="17">
        <v>281</v>
      </c>
      <c r="BL54" s="15">
        <v>508</v>
      </c>
      <c r="BM54" s="17">
        <v>230</v>
      </c>
      <c r="BN54" s="17">
        <v>278</v>
      </c>
      <c r="BO54" s="108">
        <v>500</v>
      </c>
      <c r="BP54" s="12">
        <v>223</v>
      </c>
      <c r="BQ54" s="107">
        <v>277</v>
      </c>
      <c r="BR54" s="12">
        <v>547</v>
      </c>
      <c r="BS54" s="12">
        <v>255</v>
      </c>
      <c r="BT54" s="107">
        <v>292</v>
      </c>
      <c r="BU54" s="12">
        <v>592</v>
      </c>
      <c r="BV54" s="12">
        <v>296</v>
      </c>
      <c r="BW54" s="12">
        <v>296</v>
      </c>
      <c r="BY54" s="108">
        <v>649</v>
      </c>
      <c r="BZ54" s="12">
        <v>328</v>
      </c>
      <c r="CA54" s="12">
        <v>321</v>
      </c>
      <c r="CB54" s="12">
        <v>690</v>
      </c>
      <c r="CC54" s="108">
        <v>363</v>
      </c>
      <c r="CD54" s="12">
        <v>327</v>
      </c>
      <c r="CE54" s="108">
        <v>718</v>
      </c>
      <c r="CF54" s="12">
        <v>373</v>
      </c>
      <c r="CG54" s="107">
        <v>345</v>
      </c>
      <c r="CH54" s="12">
        <v>710</v>
      </c>
      <c r="CI54" s="12">
        <v>338</v>
      </c>
      <c r="CJ54" s="107">
        <v>370</v>
      </c>
      <c r="CK54" s="12">
        <v>699</v>
      </c>
      <c r="CL54" s="12">
        <v>323</v>
      </c>
      <c r="CM54" s="12">
        <v>373</v>
      </c>
    </row>
    <row r="55" spans="1:91">
      <c r="A55" s="8" t="s">
        <v>61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15"/>
      <c r="M55" s="17"/>
      <c r="N55" s="17"/>
      <c r="O55" s="17"/>
      <c r="P55" s="15"/>
      <c r="Q55" s="17"/>
      <c r="R55" s="17"/>
      <c r="S55" s="15"/>
      <c r="T55" s="17"/>
      <c r="U55" s="17"/>
      <c r="V55" s="15"/>
      <c r="W55" s="17"/>
      <c r="X55" s="17"/>
      <c r="Y55" s="15"/>
      <c r="Z55" s="17"/>
      <c r="AA55" s="17"/>
      <c r="AB55" s="15"/>
      <c r="AC55" s="17"/>
      <c r="AD55" s="17"/>
      <c r="AE55" s="15"/>
      <c r="AF55" s="17"/>
      <c r="AG55" s="17"/>
      <c r="AH55" s="15"/>
      <c r="AI55" s="17"/>
      <c r="AJ55" s="17"/>
      <c r="AK55" s="15"/>
      <c r="AL55" s="17"/>
      <c r="AM55" s="17"/>
      <c r="AN55" s="15"/>
      <c r="AO55" s="17"/>
      <c r="AP55" s="17"/>
      <c r="AQ55" s="15"/>
      <c r="AR55" s="17"/>
      <c r="AS55" s="17"/>
      <c r="AT55" s="15"/>
      <c r="AU55" s="17"/>
      <c r="AV55" s="17"/>
      <c r="AW55" s="15"/>
      <c r="AX55" s="17"/>
      <c r="AY55" s="17"/>
      <c r="AZ55" s="15"/>
      <c r="BA55" s="17"/>
      <c r="BB55" s="130"/>
      <c r="BC55" s="17"/>
      <c r="BD55" s="17"/>
      <c r="BE55" s="17"/>
      <c r="BF55" s="15"/>
      <c r="BG55" s="17"/>
      <c r="BH55" s="17"/>
      <c r="BI55" s="15"/>
      <c r="BJ55" s="17"/>
      <c r="BK55" s="17"/>
      <c r="BL55" s="15"/>
      <c r="BM55" s="17"/>
      <c r="BN55" s="17"/>
      <c r="BO55" s="108"/>
      <c r="BQ55" s="107"/>
      <c r="BT55" s="107"/>
      <c r="BY55" s="108"/>
      <c r="CC55" s="108"/>
      <c r="CE55" s="108"/>
    </row>
    <row r="56" spans="1:91">
      <c r="A56" s="8" t="s">
        <v>62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15"/>
      <c r="M56" s="17"/>
      <c r="N56" s="17"/>
      <c r="O56" s="17"/>
      <c r="P56" s="15"/>
      <c r="Q56" s="17"/>
      <c r="R56" s="17"/>
      <c r="S56" s="15"/>
      <c r="T56" s="17"/>
      <c r="U56" s="17"/>
      <c r="V56" s="15"/>
      <c r="W56" s="17"/>
      <c r="X56" s="17"/>
      <c r="Y56" s="15"/>
      <c r="Z56" s="17"/>
      <c r="AA56" s="17"/>
      <c r="AB56" s="15"/>
      <c r="AC56" s="17"/>
      <c r="AD56" s="17"/>
      <c r="AE56" s="15"/>
      <c r="AF56" s="17"/>
      <c r="AG56" s="17"/>
      <c r="AH56" s="15"/>
      <c r="AI56" s="17"/>
      <c r="AJ56" s="17"/>
      <c r="AK56" s="15"/>
      <c r="AL56" s="17"/>
      <c r="AM56" s="17"/>
      <c r="AN56" s="15"/>
      <c r="AO56" s="17"/>
      <c r="AP56" s="17"/>
      <c r="AQ56" s="15"/>
      <c r="AR56" s="17"/>
      <c r="AS56" s="17"/>
      <c r="AT56" s="15"/>
      <c r="AU56" s="17"/>
      <c r="AV56" s="17"/>
      <c r="AW56" s="15"/>
      <c r="AX56" s="17"/>
      <c r="AY56" s="17"/>
      <c r="AZ56" s="15"/>
      <c r="BA56" s="17"/>
      <c r="BB56" s="130"/>
      <c r="BC56" s="17"/>
      <c r="BD56" s="17"/>
      <c r="BE56" s="17"/>
      <c r="BF56" s="15"/>
      <c r="BG56" s="17"/>
      <c r="BH56" s="17"/>
      <c r="BI56" s="15"/>
      <c r="BJ56" s="17"/>
      <c r="BK56" s="17"/>
      <c r="BL56" s="15"/>
      <c r="BM56" s="17"/>
      <c r="BN56" s="17"/>
      <c r="BO56" s="108"/>
      <c r="BQ56" s="107"/>
      <c r="BT56" s="107"/>
      <c r="BY56" s="108"/>
      <c r="CC56" s="108"/>
      <c r="CE56" s="108"/>
    </row>
    <row r="57" spans="1:91">
      <c r="A57" s="8" t="s">
        <v>321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15"/>
      <c r="M57" s="17"/>
      <c r="N57" s="17"/>
      <c r="O57" s="17"/>
      <c r="P57" s="15"/>
      <c r="Q57" s="17"/>
      <c r="R57" s="17"/>
      <c r="S57" s="15"/>
      <c r="T57" s="17"/>
      <c r="U57" s="17"/>
      <c r="V57" s="15"/>
      <c r="W57" s="17"/>
      <c r="X57" s="17"/>
      <c r="Y57" s="15"/>
      <c r="Z57" s="17"/>
      <c r="AA57" s="17"/>
      <c r="AB57" s="15"/>
      <c r="AC57" s="17"/>
      <c r="AD57" s="17"/>
      <c r="AE57" s="15">
        <v>309</v>
      </c>
      <c r="AF57" s="17">
        <v>154</v>
      </c>
      <c r="AG57" s="17">
        <v>155</v>
      </c>
      <c r="AH57" s="15">
        <v>322</v>
      </c>
      <c r="AI57" s="17">
        <v>154</v>
      </c>
      <c r="AJ57" s="17">
        <v>168</v>
      </c>
      <c r="AK57" s="15">
        <v>327</v>
      </c>
      <c r="AL57" s="17">
        <v>152</v>
      </c>
      <c r="AM57" s="17">
        <v>175</v>
      </c>
      <c r="AN57" s="15">
        <v>352</v>
      </c>
      <c r="AO57" s="17">
        <v>166</v>
      </c>
      <c r="AP57" s="17">
        <v>186</v>
      </c>
      <c r="AQ57" s="15">
        <f>365</f>
        <v>365</v>
      </c>
      <c r="AR57" s="17">
        <f>159</f>
        <v>159</v>
      </c>
      <c r="AS57" s="17">
        <v>206</v>
      </c>
      <c r="AT57" s="15">
        <f>384</f>
        <v>384</v>
      </c>
      <c r="AU57" s="17">
        <v>165</v>
      </c>
      <c r="AV57" s="17">
        <v>219</v>
      </c>
      <c r="AW57" s="15">
        <v>398</v>
      </c>
      <c r="AX57" s="17">
        <v>165</v>
      </c>
      <c r="AY57" s="17">
        <v>233</v>
      </c>
      <c r="AZ57" s="15">
        <v>413</v>
      </c>
      <c r="BA57" s="17">
        <v>187</v>
      </c>
      <c r="BB57" s="130">
        <v>226</v>
      </c>
      <c r="BC57" s="17">
        <v>428</v>
      </c>
      <c r="BD57" s="17">
        <v>207</v>
      </c>
      <c r="BE57" s="17">
        <v>221</v>
      </c>
      <c r="BF57" s="15">
        <v>463</v>
      </c>
      <c r="BG57" s="17">
        <v>206</v>
      </c>
      <c r="BH57" s="17">
        <v>257</v>
      </c>
      <c r="BI57" s="15">
        <v>510</v>
      </c>
      <c r="BJ57" s="17">
        <v>240</v>
      </c>
      <c r="BK57" s="17">
        <v>270</v>
      </c>
      <c r="BL57" s="15">
        <v>549</v>
      </c>
      <c r="BM57" s="17">
        <v>274</v>
      </c>
      <c r="BN57" s="17">
        <v>275</v>
      </c>
      <c r="BO57" s="108">
        <v>597</v>
      </c>
      <c r="BP57" s="12">
        <v>299</v>
      </c>
      <c r="BQ57" s="107">
        <v>298</v>
      </c>
      <c r="BR57" s="12">
        <v>634</v>
      </c>
      <c r="BS57" s="12">
        <v>325</v>
      </c>
      <c r="BT57" s="107">
        <v>309</v>
      </c>
      <c r="BU57" s="12">
        <v>643</v>
      </c>
      <c r="BV57" s="12">
        <v>341</v>
      </c>
      <c r="BW57" s="12">
        <v>302</v>
      </c>
      <c r="BY57" s="108">
        <v>647</v>
      </c>
      <c r="BZ57" s="12">
        <v>346</v>
      </c>
      <c r="CA57" s="12">
        <v>301</v>
      </c>
      <c r="CB57" s="12">
        <v>676</v>
      </c>
      <c r="CC57" s="108">
        <v>369</v>
      </c>
      <c r="CD57" s="12">
        <v>307</v>
      </c>
      <c r="CE57" s="108">
        <v>695</v>
      </c>
      <c r="CF57" s="12">
        <v>381</v>
      </c>
      <c r="CG57" s="107">
        <v>314</v>
      </c>
      <c r="CH57" s="12">
        <v>744</v>
      </c>
      <c r="CI57" s="12">
        <v>397</v>
      </c>
      <c r="CJ57" s="107">
        <v>347</v>
      </c>
      <c r="CK57" s="12">
        <v>781</v>
      </c>
      <c r="CL57" s="12">
        <v>408</v>
      </c>
      <c r="CM57" s="12">
        <v>373</v>
      </c>
    </row>
    <row r="58" spans="1:91">
      <c r="A58" s="8" t="s">
        <v>322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15"/>
      <c r="M58" s="17"/>
      <c r="N58" s="17"/>
      <c r="O58" s="17"/>
      <c r="P58" s="15"/>
      <c r="Q58" s="17"/>
      <c r="R58" s="17"/>
      <c r="S58" s="15"/>
      <c r="T58" s="17"/>
      <c r="U58" s="17"/>
      <c r="V58" s="15"/>
      <c r="W58" s="17"/>
      <c r="X58" s="17"/>
      <c r="Y58" s="15"/>
      <c r="Z58" s="17"/>
      <c r="AA58" s="17"/>
      <c r="AB58" s="15"/>
      <c r="AC58" s="17"/>
      <c r="AD58" s="17"/>
      <c r="AE58" s="15">
        <v>1065</v>
      </c>
      <c r="AF58" s="17">
        <v>544</v>
      </c>
      <c r="AG58" s="17">
        <v>521</v>
      </c>
      <c r="AH58" s="15">
        <v>1088</v>
      </c>
      <c r="AI58" s="17">
        <v>540</v>
      </c>
      <c r="AJ58" s="17">
        <v>548</v>
      </c>
      <c r="AK58" s="15">
        <v>1147</v>
      </c>
      <c r="AL58" s="17">
        <v>535</v>
      </c>
      <c r="AM58" s="17">
        <v>612</v>
      </c>
      <c r="AN58" s="15">
        <v>1161</v>
      </c>
      <c r="AO58" s="17">
        <v>544</v>
      </c>
      <c r="AP58" s="17">
        <v>617</v>
      </c>
      <c r="AQ58" s="15">
        <f>1151</f>
        <v>1151</v>
      </c>
      <c r="AR58" s="17">
        <f>521</f>
        <v>521</v>
      </c>
      <c r="AS58" s="17">
        <f>630</f>
        <v>630</v>
      </c>
      <c r="AT58" s="15">
        <f>1176</f>
        <v>1176</v>
      </c>
      <c r="AU58" s="17">
        <v>544</v>
      </c>
      <c r="AV58" s="17">
        <v>632</v>
      </c>
      <c r="AW58" s="15">
        <v>1220</v>
      </c>
      <c r="AX58" s="17">
        <v>600</v>
      </c>
      <c r="AY58" s="17">
        <v>620</v>
      </c>
      <c r="AZ58" s="15">
        <v>1337</v>
      </c>
      <c r="BA58" s="17">
        <v>692</v>
      </c>
      <c r="BB58" s="130">
        <v>645</v>
      </c>
      <c r="BC58" s="17">
        <v>1193</v>
      </c>
      <c r="BD58" s="17">
        <v>719</v>
      </c>
      <c r="BE58" s="17">
        <v>724</v>
      </c>
      <c r="BF58" s="15">
        <f>1182+388</f>
        <v>1570</v>
      </c>
      <c r="BG58" s="17">
        <f>560+203</f>
        <v>763</v>
      </c>
      <c r="BH58" s="17">
        <f>622+185</f>
        <v>807</v>
      </c>
      <c r="BI58" s="15">
        <f>1178+510</f>
        <v>1688</v>
      </c>
      <c r="BJ58" s="17">
        <f>556+256</f>
        <v>812</v>
      </c>
      <c r="BK58" s="17">
        <f>622+254</f>
        <v>876</v>
      </c>
      <c r="BL58" s="15">
        <v>1714</v>
      </c>
      <c r="BM58" s="17">
        <v>818</v>
      </c>
      <c r="BN58" s="17">
        <v>896</v>
      </c>
      <c r="BO58" s="108">
        <v>1050</v>
      </c>
      <c r="BP58" s="12">
        <v>818</v>
      </c>
      <c r="BQ58" s="107">
        <v>909</v>
      </c>
      <c r="BR58" s="12">
        <v>1743</v>
      </c>
      <c r="BS58" s="12">
        <v>884</v>
      </c>
      <c r="BT58" s="107">
        <v>859</v>
      </c>
      <c r="BU58" s="12">
        <v>1897</v>
      </c>
      <c r="BV58" s="12">
        <v>988</v>
      </c>
      <c r="BW58" s="12">
        <v>909</v>
      </c>
      <c r="BY58" s="108">
        <v>2036</v>
      </c>
      <c r="BZ58" s="12">
        <v>1064</v>
      </c>
      <c r="CA58" s="12">
        <v>972</v>
      </c>
      <c r="CB58" s="12">
        <v>2316</v>
      </c>
      <c r="CC58" s="108">
        <v>1210</v>
      </c>
      <c r="CD58" s="12">
        <v>1106</v>
      </c>
      <c r="CE58" s="108">
        <v>2540</v>
      </c>
      <c r="CF58" s="12">
        <v>1342</v>
      </c>
      <c r="CG58" s="107">
        <v>1198</v>
      </c>
      <c r="CH58" s="12">
        <v>2683</v>
      </c>
      <c r="CI58" s="12">
        <v>1390</v>
      </c>
      <c r="CJ58" s="107">
        <v>1291</v>
      </c>
      <c r="CK58" s="12">
        <v>2807</v>
      </c>
      <c r="CL58" s="12">
        <v>1409</v>
      </c>
      <c r="CM58" s="12">
        <v>1397</v>
      </c>
    </row>
    <row r="59" spans="1:91">
      <c r="A59" s="8" t="s">
        <v>323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15"/>
      <c r="M59" s="17"/>
      <c r="N59" s="17"/>
      <c r="O59" s="17"/>
      <c r="P59" s="15"/>
      <c r="Q59" s="17"/>
      <c r="R59" s="17"/>
      <c r="S59" s="15"/>
      <c r="T59" s="17"/>
      <c r="U59" s="17"/>
      <c r="V59" s="15"/>
      <c r="W59" s="17"/>
      <c r="X59" s="17"/>
      <c r="Y59" s="15"/>
      <c r="Z59" s="17"/>
      <c r="AA59" s="17"/>
      <c r="AB59" s="15"/>
      <c r="AC59" s="17"/>
      <c r="AD59" s="17"/>
      <c r="AE59" s="15">
        <v>1578</v>
      </c>
      <c r="AF59" s="17">
        <v>828</v>
      </c>
      <c r="AG59" s="17">
        <v>750</v>
      </c>
      <c r="AH59" s="15">
        <v>1651</v>
      </c>
      <c r="AI59" s="17">
        <v>853</v>
      </c>
      <c r="AJ59" s="17">
        <v>798</v>
      </c>
      <c r="AK59" s="15">
        <v>1734</v>
      </c>
      <c r="AL59" s="17">
        <v>899</v>
      </c>
      <c r="AM59" s="17">
        <v>835</v>
      </c>
      <c r="AN59" s="15">
        <v>1817</v>
      </c>
      <c r="AO59" s="17">
        <v>892</v>
      </c>
      <c r="AP59" s="17">
        <v>925</v>
      </c>
      <c r="AQ59" s="15">
        <f>863+1025</f>
        <v>1888</v>
      </c>
      <c r="AR59" s="17">
        <f>463+493</f>
        <v>956</v>
      </c>
      <c r="AS59" s="17">
        <f>400+532</f>
        <v>932</v>
      </c>
      <c r="AT59" s="15">
        <f>885+1041</f>
        <v>1926</v>
      </c>
      <c r="AU59" s="17">
        <f>477+487</f>
        <v>964</v>
      </c>
      <c r="AV59" s="17">
        <f>408+554</f>
        <v>962</v>
      </c>
      <c r="AW59" s="15">
        <v>1946</v>
      </c>
      <c r="AX59" s="17">
        <v>972</v>
      </c>
      <c r="AY59" s="17">
        <v>974</v>
      </c>
      <c r="AZ59" s="15">
        <v>2026</v>
      </c>
      <c r="BA59" s="17">
        <v>1017</v>
      </c>
      <c r="BB59" s="130">
        <v>1009</v>
      </c>
      <c r="BC59" s="17">
        <v>2061</v>
      </c>
      <c r="BD59" s="17">
        <v>1040</v>
      </c>
      <c r="BE59" s="17">
        <v>1021</v>
      </c>
      <c r="BF59" s="15">
        <f>1091+1083</f>
        <v>2174</v>
      </c>
      <c r="BG59" s="17">
        <f>591+514</f>
        <v>1105</v>
      </c>
      <c r="BH59" s="17">
        <f>500+569</f>
        <v>1069</v>
      </c>
      <c r="BI59" s="15">
        <f>1236+1100</f>
        <v>2336</v>
      </c>
      <c r="BJ59" s="17">
        <f>681+544</f>
        <v>1225</v>
      </c>
      <c r="BK59" s="17">
        <f>555+556</f>
        <v>1111</v>
      </c>
      <c r="BL59" s="15">
        <v>2432</v>
      </c>
      <c r="BM59" s="17">
        <v>1317</v>
      </c>
      <c r="BN59" s="17">
        <v>1115</v>
      </c>
      <c r="BO59" s="108">
        <v>2548</v>
      </c>
      <c r="BP59" s="12">
        <v>1394</v>
      </c>
      <c r="BQ59" s="107">
        <v>1154</v>
      </c>
      <c r="BR59" s="12">
        <v>2569</v>
      </c>
      <c r="BS59" s="12">
        <v>1421</v>
      </c>
      <c r="BT59" s="107">
        <v>1148</v>
      </c>
      <c r="BU59" s="12">
        <v>2549</v>
      </c>
      <c r="BV59" s="12">
        <v>1431</v>
      </c>
      <c r="BW59" s="12">
        <v>1118</v>
      </c>
      <c r="BY59" s="108">
        <v>2557</v>
      </c>
      <c r="BZ59" s="12">
        <v>1445</v>
      </c>
      <c r="CA59" s="12">
        <v>1112</v>
      </c>
      <c r="CB59" s="12">
        <v>2581</v>
      </c>
      <c r="CC59" s="108">
        <v>1431</v>
      </c>
      <c r="CD59" s="12">
        <v>1150</v>
      </c>
      <c r="CE59" s="108">
        <v>2580</v>
      </c>
      <c r="CF59" s="12">
        <v>1422</v>
      </c>
      <c r="CG59" s="107">
        <v>1158</v>
      </c>
      <c r="CH59" s="12">
        <v>2575</v>
      </c>
      <c r="CI59" s="12">
        <v>1357</v>
      </c>
      <c r="CJ59" s="107">
        <v>1218</v>
      </c>
      <c r="CK59" s="12">
        <v>2572</v>
      </c>
      <c r="CL59" s="12">
        <v>1345</v>
      </c>
      <c r="CM59" s="12">
        <v>1226</v>
      </c>
    </row>
    <row r="60" spans="1:91">
      <c r="A60" s="8" t="s">
        <v>66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15"/>
      <c r="M60" s="17"/>
      <c r="N60" s="17"/>
      <c r="O60" s="17"/>
      <c r="P60" s="15"/>
      <c r="Q60" s="17"/>
      <c r="R60" s="17"/>
      <c r="S60" s="15"/>
      <c r="T60" s="17"/>
      <c r="U60" s="17"/>
      <c r="V60" s="15"/>
      <c r="W60" s="17"/>
      <c r="X60" s="17"/>
      <c r="Y60" s="15"/>
      <c r="Z60" s="17"/>
      <c r="AA60" s="17"/>
      <c r="AB60" s="15"/>
      <c r="AC60" s="17"/>
      <c r="AD60" s="17"/>
      <c r="AE60" s="15"/>
      <c r="AF60" s="17"/>
      <c r="AG60" s="17"/>
      <c r="AH60" s="15"/>
      <c r="AI60" s="17"/>
      <c r="AJ60" s="17"/>
      <c r="AK60" s="15"/>
      <c r="AL60" s="17"/>
      <c r="AM60" s="17"/>
      <c r="AN60" s="15"/>
      <c r="AO60" s="17"/>
      <c r="AP60" s="17"/>
      <c r="AQ60" s="15"/>
      <c r="AR60" s="17"/>
      <c r="AS60" s="17"/>
      <c r="AT60" s="15"/>
      <c r="AU60" s="17"/>
      <c r="AV60" s="17"/>
      <c r="AW60" s="15"/>
      <c r="AX60" s="17"/>
      <c r="AY60" s="17"/>
      <c r="AZ60" s="15"/>
      <c r="BA60" s="17"/>
      <c r="BB60" s="130"/>
      <c r="BC60" s="17"/>
      <c r="BD60" s="17"/>
      <c r="BE60" s="17"/>
      <c r="BF60" s="15"/>
      <c r="BG60" s="17"/>
      <c r="BH60" s="17"/>
      <c r="BI60" s="15"/>
      <c r="BJ60" s="17"/>
      <c r="BK60" s="17"/>
      <c r="BL60" s="15"/>
      <c r="BM60" s="17"/>
      <c r="BN60" s="17"/>
      <c r="BO60" s="108"/>
      <c r="BQ60" s="107"/>
      <c r="BT60" s="107"/>
      <c r="BY60" s="108"/>
      <c r="CC60" s="108"/>
      <c r="CE60" s="108"/>
    </row>
    <row r="61" spans="1:91">
      <c r="A61" s="9" t="s">
        <v>67</v>
      </c>
      <c r="B61" s="7"/>
      <c r="C61" s="7"/>
      <c r="D61" s="7"/>
      <c r="E61" s="9"/>
      <c r="F61" s="9"/>
      <c r="G61" s="9"/>
      <c r="H61" s="9"/>
      <c r="I61" s="9"/>
      <c r="J61" s="9"/>
      <c r="K61" s="9"/>
      <c r="L61" s="16"/>
      <c r="M61" s="9"/>
      <c r="N61" s="9"/>
      <c r="O61" s="9"/>
      <c r="P61" s="16"/>
      <c r="Q61" s="9"/>
      <c r="R61" s="9"/>
      <c r="S61" s="16"/>
      <c r="T61" s="9"/>
      <c r="U61" s="9"/>
      <c r="V61" s="16"/>
      <c r="W61" s="9"/>
      <c r="X61" s="9"/>
      <c r="Y61" s="16"/>
      <c r="Z61" s="9"/>
      <c r="AA61" s="9"/>
      <c r="AB61" s="16"/>
      <c r="AC61" s="9"/>
      <c r="AD61" s="9"/>
      <c r="AE61" s="16"/>
      <c r="AF61" s="9"/>
      <c r="AG61" s="9"/>
      <c r="AH61" s="16"/>
      <c r="AI61" s="9"/>
      <c r="AJ61" s="9"/>
      <c r="AK61" s="16"/>
      <c r="AL61" s="9"/>
      <c r="AM61" s="9"/>
      <c r="AN61" s="16"/>
      <c r="AO61" s="9"/>
      <c r="AP61" s="9"/>
      <c r="AQ61" s="16"/>
      <c r="AR61" s="9"/>
      <c r="AS61" s="9"/>
      <c r="AT61" s="16"/>
      <c r="AU61" s="9"/>
      <c r="AV61" s="9"/>
      <c r="AW61" s="16"/>
      <c r="AX61" s="9"/>
      <c r="AY61" s="9"/>
      <c r="AZ61" s="16"/>
      <c r="BA61" s="9"/>
      <c r="BB61" s="131"/>
      <c r="BC61" s="9"/>
      <c r="BD61" s="9"/>
      <c r="BE61" s="9"/>
      <c r="BF61" s="16"/>
      <c r="BG61" s="9"/>
      <c r="BH61" s="9"/>
      <c r="BI61" s="16"/>
      <c r="BJ61" s="9"/>
      <c r="BK61" s="9"/>
      <c r="BL61" s="16"/>
      <c r="BM61" s="9"/>
      <c r="BN61" s="9"/>
      <c r="BO61" s="109"/>
      <c r="BP61" s="110"/>
      <c r="BQ61" s="111"/>
      <c r="BR61" s="109"/>
      <c r="BS61" s="110"/>
      <c r="BT61" s="111"/>
      <c r="BU61" s="109"/>
      <c r="BV61" s="110"/>
      <c r="BW61" s="110"/>
      <c r="BY61" s="109"/>
      <c r="BZ61" s="110"/>
      <c r="CA61" s="110"/>
      <c r="CC61" s="109"/>
      <c r="CD61" s="110"/>
      <c r="CE61" s="109"/>
      <c r="CF61" s="110"/>
      <c r="CG61" s="111"/>
    </row>
    <row r="62" spans="1:91">
      <c r="A62" s="51" t="s">
        <v>68</v>
      </c>
      <c r="B62" s="7"/>
      <c r="C62" s="7"/>
      <c r="D62" s="7"/>
      <c r="E62" s="9"/>
      <c r="F62" s="51"/>
      <c r="G62" s="51"/>
      <c r="H62" s="51"/>
      <c r="I62" s="51"/>
      <c r="J62" s="51"/>
      <c r="K62" s="51"/>
      <c r="L62" s="58"/>
      <c r="M62" s="51"/>
      <c r="N62" s="51"/>
      <c r="O62" s="51"/>
      <c r="P62" s="58"/>
      <c r="Q62" s="51"/>
      <c r="R62" s="51"/>
      <c r="S62" s="58"/>
      <c r="T62" s="51"/>
      <c r="U62" s="51"/>
      <c r="V62" s="58"/>
      <c r="W62" s="51"/>
      <c r="X62" s="51"/>
      <c r="Y62" s="58"/>
      <c r="Z62" s="51"/>
      <c r="AA62" s="51"/>
      <c r="AB62" s="58"/>
      <c r="AC62" s="51"/>
      <c r="AD62" s="51"/>
      <c r="AE62" s="58"/>
      <c r="AF62" s="51"/>
      <c r="AG62" s="51"/>
      <c r="AH62" s="58"/>
      <c r="AI62" s="51"/>
      <c r="AJ62" s="51"/>
      <c r="AK62" s="58"/>
      <c r="AL62" s="51"/>
      <c r="AM62" s="51"/>
      <c r="AN62" s="58"/>
      <c r="AO62" s="51"/>
      <c r="AP62" s="51"/>
      <c r="AQ62" s="58"/>
      <c r="AR62" s="51"/>
      <c r="AS62" s="51"/>
      <c r="AT62" s="58"/>
      <c r="AU62" s="51"/>
      <c r="AV62" s="51"/>
      <c r="AW62" s="58"/>
      <c r="AX62" s="51"/>
      <c r="AY62" s="51"/>
      <c r="AZ62" s="58"/>
      <c r="BA62" s="51"/>
      <c r="BB62" s="132"/>
      <c r="BC62" s="51"/>
      <c r="BD62" s="51"/>
      <c r="BE62" s="51"/>
      <c r="BF62" s="58"/>
      <c r="BG62" s="51"/>
      <c r="BH62" s="51"/>
      <c r="BI62" s="58"/>
      <c r="BJ62" s="51"/>
      <c r="BK62" s="51"/>
      <c r="BL62" s="58"/>
      <c r="BM62" s="51"/>
      <c r="BN62" s="51"/>
      <c r="BO62" s="109"/>
      <c r="BP62" s="110"/>
      <c r="BQ62" s="111"/>
      <c r="BR62" s="116"/>
      <c r="BS62" s="117"/>
      <c r="BT62" s="122"/>
      <c r="BU62" s="109"/>
      <c r="BV62" s="110"/>
      <c r="BW62" s="110"/>
      <c r="BY62" s="109"/>
      <c r="BZ62" s="110"/>
      <c r="CA62" s="110"/>
      <c r="CB62" s="116"/>
      <c r="CC62" s="110"/>
      <c r="CD62" s="110"/>
      <c r="CE62" s="109"/>
      <c r="CF62" s="110"/>
      <c r="CG62" s="111"/>
    </row>
    <row r="63" spans="1:91" ht="9" customHeight="1"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91" ht="287.5">
      <c r="A64" s="59" t="s">
        <v>324</v>
      </c>
      <c r="B64" s="59" t="s">
        <v>325</v>
      </c>
      <c r="C64" s="59"/>
      <c r="D64" s="59" t="s">
        <v>326</v>
      </c>
      <c r="E64" s="59"/>
      <c r="F64" s="59" t="s">
        <v>327</v>
      </c>
      <c r="G64" s="59"/>
      <c r="H64" s="59" t="s">
        <v>328</v>
      </c>
      <c r="I64" s="59" t="s">
        <v>329</v>
      </c>
      <c r="J64" s="59" t="s">
        <v>330</v>
      </c>
      <c r="K64" s="59"/>
      <c r="L64" s="59"/>
      <c r="M64" s="59"/>
      <c r="N64" s="59"/>
      <c r="O64" s="90" t="s">
        <v>331</v>
      </c>
      <c r="P64" s="90" t="s">
        <v>332</v>
      </c>
      <c r="Q64" s="90"/>
      <c r="R64" s="90"/>
      <c r="S64" s="90" t="s">
        <v>333</v>
      </c>
      <c r="T64" s="90"/>
      <c r="U64" s="90"/>
      <c r="V64" s="90" t="s">
        <v>334</v>
      </c>
      <c r="W64" s="90"/>
      <c r="X64" s="90"/>
      <c r="Y64" s="90" t="s">
        <v>335</v>
      </c>
      <c r="Z64" s="90"/>
      <c r="AA64" s="33"/>
      <c r="AB64" s="33" t="s">
        <v>336</v>
      </c>
      <c r="AC64" s="33"/>
      <c r="AD64" s="33"/>
      <c r="AE64" s="33" t="s">
        <v>337</v>
      </c>
      <c r="AF64" s="33"/>
      <c r="AG64" s="33"/>
      <c r="AH64" s="33" t="s">
        <v>337</v>
      </c>
      <c r="AI64" s="33"/>
      <c r="AJ64" s="33"/>
      <c r="AK64" s="33" t="s">
        <v>337</v>
      </c>
      <c r="AL64" s="33"/>
      <c r="AM64" s="33"/>
      <c r="AN64" s="33" t="s">
        <v>337</v>
      </c>
      <c r="AO64" s="33"/>
      <c r="AP64" s="33"/>
      <c r="AQ64" s="33" t="s">
        <v>337</v>
      </c>
      <c r="AR64" s="33"/>
      <c r="AS64" s="33"/>
      <c r="AT64" s="33" t="s">
        <v>337</v>
      </c>
      <c r="AU64" s="33"/>
      <c r="AV64" s="33"/>
      <c r="AW64" s="33" t="s">
        <v>337</v>
      </c>
      <c r="AX64" s="33"/>
      <c r="AY64" s="33"/>
      <c r="AZ64" s="33" t="s">
        <v>337</v>
      </c>
      <c r="BA64" s="33"/>
      <c r="BB64" s="33"/>
      <c r="BC64" s="33"/>
      <c r="BD64" s="33"/>
      <c r="BE64" s="33"/>
      <c r="BF64" s="33" t="s">
        <v>338</v>
      </c>
      <c r="BG64" s="33"/>
      <c r="BH64" s="33"/>
      <c r="BI64" s="33" t="s">
        <v>339</v>
      </c>
      <c r="BJ64" s="33"/>
      <c r="BK64" s="33"/>
      <c r="BL64" s="33" t="s">
        <v>337</v>
      </c>
      <c r="BM64" s="33"/>
      <c r="BN64" s="33"/>
      <c r="BO64" s="33"/>
      <c r="BP64" s="33"/>
      <c r="BQ64" s="33"/>
      <c r="BR64" s="33"/>
      <c r="BS64" s="33"/>
      <c r="BT64" s="33"/>
      <c r="BU64" s="33" t="s">
        <v>340</v>
      </c>
      <c r="BV64" s="33"/>
      <c r="BW64" s="33"/>
      <c r="BX64" s="33"/>
      <c r="BY64" s="33" t="s">
        <v>341</v>
      </c>
      <c r="BZ64" s="33"/>
      <c r="CA64" s="33"/>
      <c r="CB64" s="33"/>
      <c r="CC64" s="33"/>
      <c r="CD64" s="33"/>
      <c r="CE64" s="33"/>
      <c r="CF64" s="33"/>
      <c r="CG64" s="209"/>
      <c r="CH64" s="33" t="s">
        <v>342</v>
      </c>
      <c r="CK64" s="33" t="s">
        <v>343</v>
      </c>
    </row>
    <row r="65" spans="1:26">
      <c r="A65" s="47"/>
      <c r="B65" s="47"/>
      <c r="C65" s="47"/>
      <c r="D65" s="6"/>
      <c r="E65" s="47"/>
      <c r="F65" s="6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>
      <c r="A66" s="47"/>
      <c r="B66" s="47"/>
      <c r="C66" s="47"/>
      <c r="D66" s="6"/>
      <c r="E66" s="47"/>
      <c r="F66" s="6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>
      <c r="A67" s="47"/>
      <c r="B67" s="47"/>
      <c r="C67" s="47"/>
      <c r="D67" s="6"/>
      <c r="E67" s="47"/>
      <c r="F67" s="6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>
      <c r="A68" s="47"/>
      <c r="B68" s="47"/>
      <c r="C68" s="47"/>
      <c r="D68" s="6"/>
      <c r="E68" s="47"/>
      <c r="F68" s="6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>
      <c r="A69" s="47"/>
      <c r="B69" s="47"/>
      <c r="C69" s="47"/>
      <c r="D69" s="6"/>
      <c r="E69" s="47"/>
      <c r="F69" s="6"/>
      <c r="G69" s="38"/>
      <c r="H69" s="38"/>
      <c r="I69" s="38"/>
      <c r="J69" s="38"/>
      <c r="K69" s="38"/>
      <c r="L69" s="38"/>
      <c r="M69" s="38"/>
      <c r="N69" s="38"/>
      <c r="O69" s="38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>
      <c r="A70" s="47"/>
      <c r="B70" s="47"/>
      <c r="C70" s="47"/>
      <c r="D70" s="6"/>
      <c r="E70" s="47"/>
      <c r="F70" s="6"/>
      <c r="G70" s="6"/>
      <c r="H70" s="6"/>
      <c r="I70" s="6"/>
      <c r="J70" s="6"/>
      <c r="K70" s="6"/>
      <c r="L70" s="6"/>
      <c r="M70" s="6"/>
      <c r="N70" s="6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>
      <c r="A71" s="47"/>
      <c r="B71" s="47"/>
      <c r="C71" s="47"/>
      <c r="D71" s="6"/>
      <c r="E71" s="47"/>
      <c r="F71" s="6"/>
      <c r="G71" s="6"/>
      <c r="H71" s="6"/>
      <c r="I71" s="6"/>
      <c r="J71" s="6"/>
      <c r="K71" s="6"/>
      <c r="L71" s="6"/>
      <c r="M71" s="6"/>
      <c r="N71" s="6"/>
      <c r="O71" s="47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>
      <c r="A72" s="47"/>
      <c r="B72" s="47"/>
      <c r="C72" s="47"/>
      <c r="D72" s="6"/>
      <c r="E72" s="47"/>
      <c r="F72" s="6"/>
      <c r="G72" s="6"/>
      <c r="H72" s="6"/>
      <c r="I72" s="6"/>
      <c r="J72" s="6"/>
      <c r="K72" s="6"/>
      <c r="L72" s="6"/>
      <c r="M72" s="6"/>
      <c r="N72" s="6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>
      <c r="A73" s="47"/>
      <c r="B73" s="38"/>
      <c r="C73" s="47"/>
      <c r="D73" s="6"/>
      <c r="E73" s="47"/>
      <c r="F73" s="6"/>
      <c r="G73" s="6"/>
      <c r="H73" s="6"/>
      <c r="I73" s="6"/>
      <c r="J73" s="6"/>
      <c r="K73" s="6"/>
      <c r="L73" s="6"/>
      <c r="M73" s="6"/>
      <c r="N73" s="6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>
      <c r="A74" s="47"/>
      <c r="B74" s="47"/>
      <c r="C74" s="47"/>
      <c r="D74" s="25"/>
      <c r="E74" s="47"/>
      <c r="F74" s="47"/>
      <c r="G74" s="6"/>
      <c r="H74" s="6"/>
      <c r="I74" s="6"/>
      <c r="J74" s="6"/>
      <c r="K74" s="6"/>
      <c r="L74" s="6"/>
      <c r="M74" s="6"/>
      <c r="N74" s="6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>
      <c r="A75" s="47"/>
      <c r="B75" s="47"/>
      <c r="C75" s="47"/>
      <c r="D75" s="25"/>
      <c r="E75" s="38"/>
      <c r="F75" s="47"/>
      <c r="G75" s="6"/>
      <c r="H75" s="6"/>
      <c r="I75" s="6"/>
      <c r="J75" s="6"/>
      <c r="K75" s="6"/>
      <c r="L75" s="6"/>
      <c r="M75" s="6"/>
      <c r="N75" s="6"/>
      <c r="O75" s="47"/>
      <c r="P75" s="47"/>
      <c r="Q75" s="47"/>
      <c r="R75" s="47"/>
      <c r="S75" s="47"/>
      <c r="T75" s="48"/>
      <c r="U75" s="48"/>
      <c r="V75" s="48"/>
      <c r="W75" s="48"/>
      <c r="X75" s="48"/>
      <c r="Y75" s="48"/>
      <c r="Z75" s="48"/>
    </row>
    <row r="76" spans="1:26">
      <c r="A76" s="47"/>
      <c r="B76" s="47"/>
      <c r="C76" s="47"/>
      <c r="D76" s="25"/>
      <c r="E76" s="47"/>
      <c r="F76" s="47"/>
      <c r="G76" s="6"/>
      <c r="H76" s="6"/>
      <c r="I76" s="6"/>
      <c r="J76" s="6"/>
      <c r="K76" s="6"/>
      <c r="L76" s="6"/>
      <c r="M76" s="6"/>
      <c r="N76" s="6"/>
      <c r="O76" s="6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>
      <c r="A77" s="47"/>
      <c r="B77" s="47"/>
      <c r="C77" s="47"/>
      <c r="D77" s="25"/>
      <c r="E77" s="47"/>
      <c r="F77" s="47"/>
      <c r="G77" s="6"/>
      <c r="H77" s="6"/>
      <c r="I77" s="6"/>
      <c r="J77" s="6"/>
      <c r="K77" s="6"/>
      <c r="L77" s="6"/>
      <c r="M77" s="6"/>
      <c r="N77" s="6"/>
      <c r="O77" s="6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>
      <c r="A78" s="38"/>
      <c r="B78" s="47"/>
      <c r="C78" s="38"/>
      <c r="D78" s="61"/>
      <c r="E78" s="47"/>
      <c r="F78" s="38"/>
      <c r="G78" s="6"/>
      <c r="H78" s="6"/>
      <c r="I78" s="6"/>
      <c r="J78" s="6"/>
      <c r="K78" s="6"/>
      <c r="L78" s="6"/>
      <c r="M78" s="6"/>
      <c r="N78" s="6"/>
      <c r="O78" s="6"/>
      <c r="P78" s="6"/>
      <c r="R78" s="47"/>
      <c r="S78" s="62"/>
    </row>
    <row r="79" spans="1:26">
      <c r="A79" s="47"/>
      <c r="B79" s="47"/>
      <c r="C79" s="47"/>
      <c r="D79" s="6"/>
      <c r="E79" s="4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R79" s="47"/>
      <c r="S79" s="62"/>
    </row>
    <row r="80" spans="1:26">
      <c r="A80" s="47"/>
      <c r="B80" s="47"/>
      <c r="C80" s="47"/>
      <c r="D80" s="6"/>
      <c r="E80" s="4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R80" s="47"/>
      <c r="S80" s="62"/>
    </row>
    <row r="81" spans="1:19">
      <c r="A81" s="47"/>
      <c r="B81" s="47"/>
      <c r="C81" s="47"/>
      <c r="D81" s="6"/>
      <c r="E81" s="4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7"/>
      <c r="S81" s="62"/>
    </row>
    <row r="82" spans="1:19">
      <c r="A82" s="47"/>
      <c r="B82" s="47"/>
      <c r="C82" s="47"/>
      <c r="D82" s="6"/>
      <c r="E82" s="4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7"/>
      <c r="S82" s="62"/>
    </row>
    <row r="83" spans="1:19">
      <c r="A83" s="2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62"/>
      <c r="S83" s="62"/>
    </row>
    <row r="84" spans="1:19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9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</sheetData>
  <phoneticPr fontId="17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993366"/>
  </sheetPr>
  <dimension ref="A1:CF143"/>
  <sheetViews>
    <sheetView zoomScale="80" zoomScaleNormal="80" workbookViewId="0">
      <pane xSplit="1" ySplit="2" topLeftCell="BM3" activePane="bottomRight" state="frozen"/>
      <selection pane="topRight" activeCell="B1" sqref="B1"/>
      <selection pane="bottomLeft" activeCell="A5" sqref="A5"/>
      <selection pane="bottomRight" activeCell="BW78" sqref="BW78"/>
    </sheetView>
  </sheetViews>
  <sheetFormatPr defaultColWidth="9.1796875" defaultRowHeight="12.5"/>
  <cols>
    <col min="1" max="1" width="37.26953125" style="12" customWidth="1"/>
    <col min="2" max="16" width="8.7265625" style="12" customWidth="1"/>
    <col min="17" max="75" width="9.1796875" style="12"/>
    <col min="76" max="77" width="9.1796875" style="183"/>
    <col min="78" max="78" width="9.1796875" style="200"/>
    <col min="79" max="80" width="9.1796875" style="12"/>
    <col min="81" max="81" width="9.1796875" style="107"/>
    <col min="82" max="16384" width="9.1796875" style="12"/>
  </cols>
  <sheetData>
    <row r="1" spans="1:84" ht="13">
      <c r="B1" s="39" t="s">
        <v>344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89"/>
      <c r="O1" s="6"/>
      <c r="P1" s="6"/>
      <c r="Q1" s="6"/>
      <c r="R1" s="6"/>
    </row>
    <row r="2" spans="1:84" s="113" customFormat="1">
      <c r="A2" s="42"/>
      <c r="B2" s="37" t="s">
        <v>77</v>
      </c>
      <c r="C2" s="37" t="s">
        <v>78</v>
      </c>
      <c r="D2" s="37" t="s">
        <v>79</v>
      </c>
      <c r="E2" s="37" t="s">
        <v>81</v>
      </c>
      <c r="F2" s="37" t="s">
        <v>82</v>
      </c>
      <c r="G2" s="37" t="s">
        <v>83</v>
      </c>
      <c r="H2" s="37" t="s">
        <v>84</v>
      </c>
      <c r="I2" s="37" t="s">
        <v>85</v>
      </c>
      <c r="J2" s="37" t="s">
        <v>86</v>
      </c>
      <c r="K2" s="37" t="s">
        <v>87</v>
      </c>
      <c r="L2" s="43" t="s">
        <v>88</v>
      </c>
      <c r="M2" s="37" t="s">
        <v>89</v>
      </c>
      <c r="N2" s="37" t="s">
        <v>295</v>
      </c>
      <c r="O2" s="37" t="s">
        <v>296</v>
      </c>
      <c r="P2" s="43" t="s">
        <v>90</v>
      </c>
      <c r="Q2" s="37" t="s">
        <v>295</v>
      </c>
      <c r="R2" s="37" t="s">
        <v>296</v>
      </c>
      <c r="S2" s="43" t="s">
        <v>91</v>
      </c>
      <c r="T2" s="37" t="s">
        <v>295</v>
      </c>
      <c r="U2" s="37" t="s">
        <v>296</v>
      </c>
      <c r="V2" s="43" t="s">
        <v>92</v>
      </c>
      <c r="W2" s="37" t="s">
        <v>295</v>
      </c>
      <c r="X2" s="37" t="s">
        <v>296</v>
      </c>
      <c r="Y2" s="43" t="s">
        <v>93</v>
      </c>
      <c r="Z2" s="37" t="s">
        <v>295</v>
      </c>
      <c r="AA2" s="37" t="s">
        <v>296</v>
      </c>
      <c r="AB2" s="43" t="s">
        <v>94</v>
      </c>
      <c r="AC2" s="37" t="s">
        <v>295</v>
      </c>
      <c r="AD2" s="37" t="s">
        <v>296</v>
      </c>
      <c r="AE2" s="43" t="s">
        <v>95</v>
      </c>
      <c r="AF2" s="37" t="s">
        <v>295</v>
      </c>
      <c r="AG2" s="37" t="s">
        <v>296</v>
      </c>
      <c r="AH2" s="43" t="s">
        <v>96</v>
      </c>
      <c r="AI2" s="37" t="s">
        <v>295</v>
      </c>
      <c r="AJ2" s="37" t="s">
        <v>296</v>
      </c>
      <c r="AK2" s="43" t="s">
        <v>97</v>
      </c>
      <c r="AL2" s="37" t="s">
        <v>295</v>
      </c>
      <c r="AM2" s="37" t="s">
        <v>296</v>
      </c>
      <c r="AN2" s="43" t="s">
        <v>98</v>
      </c>
      <c r="AO2" s="37" t="s">
        <v>295</v>
      </c>
      <c r="AP2" s="37" t="s">
        <v>296</v>
      </c>
      <c r="AQ2" s="43" t="s">
        <v>99</v>
      </c>
      <c r="AR2" s="37" t="s">
        <v>295</v>
      </c>
      <c r="AS2" s="37" t="s">
        <v>296</v>
      </c>
      <c r="AT2" s="43" t="s">
        <v>100</v>
      </c>
      <c r="AU2" s="37" t="s">
        <v>295</v>
      </c>
      <c r="AV2" s="37" t="s">
        <v>296</v>
      </c>
      <c r="AW2" s="43" t="s">
        <v>101</v>
      </c>
      <c r="AX2" s="37" t="s">
        <v>295</v>
      </c>
      <c r="AY2" s="37" t="s">
        <v>296</v>
      </c>
      <c r="AZ2" s="43" t="s">
        <v>103</v>
      </c>
      <c r="BA2" s="37" t="s">
        <v>295</v>
      </c>
      <c r="BB2" s="37" t="s">
        <v>296</v>
      </c>
      <c r="BC2" s="43" t="s">
        <v>104</v>
      </c>
      <c r="BD2" s="37" t="s">
        <v>295</v>
      </c>
      <c r="BE2" s="37" t="s">
        <v>296</v>
      </c>
      <c r="BF2" s="43" t="s">
        <v>105</v>
      </c>
      <c r="BG2" s="37" t="s">
        <v>295</v>
      </c>
      <c r="BH2" s="129" t="s">
        <v>296</v>
      </c>
      <c r="BI2" s="37" t="s">
        <v>106</v>
      </c>
      <c r="BJ2" s="37" t="s">
        <v>295</v>
      </c>
      <c r="BK2" s="129" t="s">
        <v>297</v>
      </c>
      <c r="BL2" s="37" t="s">
        <v>107</v>
      </c>
      <c r="BM2" s="37" t="s">
        <v>295</v>
      </c>
      <c r="BN2" s="114" t="s">
        <v>297</v>
      </c>
      <c r="BO2" s="113" t="s">
        <v>11</v>
      </c>
      <c r="BP2" s="113" t="s">
        <v>295</v>
      </c>
      <c r="BQ2" s="113" t="s">
        <v>297</v>
      </c>
      <c r="BR2" s="112" t="s">
        <v>108</v>
      </c>
      <c r="BS2" s="113" t="s">
        <v>295</v>
      </c>
      <c r="BT2" s="113" t="s">
        <v>297</v>
      </c>
      <c r="BU2" s="112" t="s">
        <v>109</v>
      </c>
      <c r="BV2" s="113" t="s">
        <v>295</v>
      </c>
      <c r="BW2" s="113" t="s">
        <v>297</v>
      </c>
      <c r="BX2" s="182" t="s">
        <v>110</v>
      </c>
      <c r="BY2" s="199" t="s">
        <v>295</v>
      </c>
      <c r="BZ2" s="201" t="s">
        <v>297</v>
      </c>
      <c r="CA2" s="113" t="s">
        <v>111</v>
      </c>
      <c r="CB2" s="113" t="s">
        <v>295</v>
      </c>
      <c r="CC2" s="114" t="s">
        <v>297</v>
      </c>
      <c r="CD2" s="113" t="s">
        <v>10</v>
      </c>
      <c r="CE2" s="113" t="s">
        <v>295</v>
      </c>
      <c r="CF2" s="113" t="s">
        <v>297</v>
      </c>
    </row>
    <row r="3" spans="1:84">
      <c r="A3" s="52" t="s">
        <v>112</v>
      </c>
      <c r="B3" s="7">
        <f>102+84+140+73+57+121+103+98+214+61+104+165+180+55</f>
        <v>1557</v>
      </c>
      <c r="C3" s="7">
        <v>1618</v>
      </c>
      <c r="D3" s="7">
        <f>((E3-C3)/2)+C3</f>
        <v>1655</v>
      </c>
      <c r="E3" s="52">
        <v>1692</v>
      </c>
      <c r="F3" s="52">
        <v>1780</v>
      </c>
      <c r="G3" s="52">
        <v>1844</v>
      </c>
      <c r="H3" s="52">
        <v>1950</v>
      </c>
      <c r="I3" s="52">
        <v>1974</v>
      </c>
      <c r="J3" s="52">
        <v>2035</v>
      </c>
      <c r="K3" s="52">
        <v>2162</v>
      </c>
      <c r="L3" s="55">
        <v>2217</v>
      </c>
      <c r="M3" s="52">
        <v>2274</v>
      </c>
      <c r="N3" s="52">
        <v>1424</v>
      </c>
      <c r="O3" s="52">
        <v>850</v>
      </c>
      <c r="P3" s="55">
        <v>2535</v>
      </c>
      <c r="Q3" s="52">
        <v>1578</v>
      </c>
      <c r="R3" s="52">
        <v>957</v>
      </c>
      <c r="S3" s="55">
        <v>2692</v>
      </c>
      <c r="T3" s="52">
        <v>1621</v>
      </c>
      <c r="U3" s="52">
        <v>1071</v>
      </c>
      <c r="V3" s="55">
        <v>2745</v>
      </c>
      <c r="W3" s="52">
        <v>1610</v>
      </c>
      <c r="X3" s="52">
        <v>1135</v>
      </c>
      <c r="Y3" s="55">
        <v>2848</v>
      </c>
      <c r="Z3" s="52">
        <v>1646</v>
      </c>
      <c r="AA3" s="52">
        <v>1202</v>
      </c>
      <c r="AB3" s="55">
        <v>2927</v>
      </c>
      <c r="AC3" s="52">
        <v>1687</v>
      </c>
      <c r="AD3" s="52">
        <v>1240</v>
      </c>
      <c r="AE3" s="55">
        <v>3043</v>
      </c>
      <c r="AF3" s="52">
        <v>1628</v>
      </c>
      <c r="AG3" s="52">
        <v>1415</v>
      </c>
      <c r="AH3" s="55">
        <v>3079</v>
      </c>
      <c r="AI3" s="52">
        <v>1616</v>
      </c>
      <c r="AJ3" s="52">
        <v>1463</v>
      </c>
      <c r="AK3" s="55">
        <v>3308</v>
      </c>
      <c r="AL3" s="52">
        <v>1646</v>
      </c>
      <c r="AM3" s="52">
        <v>1662</v>
      </c>
      <c r="AN3" s="55">
        <v>3646</v>
      </c>
      <c r="AO3" s="52">
        <v>1818</v>
      </c>
      <c r="AP3" s="52">
        <v>1828</v>
      </c>
      <c r="AQ3" s="55">
        <v>3908</v>
      </c>
      <c r="AR3" s="52">
        <v>1961</v>
      </c>
      <c r="AS3" s="52">
        <v>1947</v>
      </c>
      <c r="AT3" s="55">
        <v>4055</v>
      </c>
      <c r="AU3" s="52">
        <v>2032</v>
      </c>
      <c r="AV3" s="52">
        <v>2023</v>
      </c>
      <c r="AW3" s="55">
        <v>4528</v>
      </c>
      <c r="AX3" s="52">
        <v>2376</v>
      </c>
      <c r="AY3" s="52">
        <v>2152</v>
      </c>
      <c r="AZ3" s="91">
        <f>+AZ4+AZ22+AZ37+AZ51+AZ62</f>
        <v>5227</v>
      </c>
      <c r="BA3" s="49">
        <f t="shared" ref="BA3:BE3" si="0">+BA4+BA22+BA37+BA51+BA62</f>
        <v>2781</v>
      </c>
      <c r="BB3" s="49">
        <f t="shared" si="0"/>
        <v>2446</v>
      </c>
      <c r="BC3" s="91">
        <f t="shared" si="0"/>
        <v>5597</v>
      </c>
      <c r="BD3" s="49">
        <f t="shared" si="0"/>
        <v>3009</v>
      </c>
      <c r="BE3" s="49">
        <f t="shared" si="0"/>
        <v>2588</v>
      </c>
      <c r="BF3" s="91">
        <f t="shared" ref="BF3:BH3" si="1">+BF4+BF22+BF37+BF51+BF62</f>
        <v>5788</v>
      </c>
      <c r="BG3" s="49">
        <f t="shared" si="1"/>
        <v>3192</v>
      </c>
      <c r="BH3" s="121">
        <f t="shared" si="1"/>
        <v>2596</v>
      </c>
      <c r="BI3" s="49">
        <f t="shared" ref="BI3:BQ3" si="2">+BI4+BI22+BI37+BI51+BI62</f>
        <v>0</v>
      </c>
      <c r="BJ3" s="49">
        <f t="shared" si="2"/>
        <v>0</v>
      </c>
      <c r="BK3" s="121">
        <f t="shared" si="2"/>
        <v>0</v>
      </c>
      <c r="BL3" s="49">
        <f t="shared" si="2"/>
        <v>0</v>
      </c>
      <c r="BM3" s="49">
        <f t="shared" si="2"/>
        <v>0</v>
      </c>
      <c r="BN3" s="121">
        <f t="shared" si="2"/>
        <v>0</v>
      </c>
      <c r="BO3" s="49">
        <f t="shared" si="2"/>
        <v>7012</v>
      </c>
      <c r="BP3" s="49">
        <f t="shared" si="2"/>
        <v>3995</v>
      </c>
      <c r="BQ3" s="49">
        <f t="shared" si="2"/>
        <v>3017</v>
      </c>
      <c r="BR3" s="91">
        <f t="shared" ref="BR3:BT3" si="3">+BR4+BR22+BR37+BR51+BR62</f>
        <v>7219</v>
      </c>
      <c r="BS3" s="49">
        <f t="shared" si="3"/>
        <v>4023</v>
      </c>
      <c r="BT3" s="49">
        <f t="shared" si="3"/>
        <v>3196</v>
      </c>
      <c r="BU3" s="91">
        <f t="shared" ref="BU3:BW3" si="4">+BU4+BU22+BU37+BU51+BU62</f>
        <v>7575</v>
      </c>
      <c r="BV3" s="49">
        <f t="shared" si="4"/>
        <v>4104</v>
      </c>
      <c r="BW3" s="49">
        <f t="shared" si="4"/>
        <v>3471</v>
      </c>
      <c r="BX3" s="184">
        <f t="shared" ref="BX3:BZ3" si="5">+BX4+BX22+BX37+BX51+BX62</f>
        <v>8085</v>
      </c>
      <c r="BY3" s="185">
        <f t="shared" si="5"/>
        <v>4372</v>
      </c>
      <c r="BZ3" s="202">
        <f t="shared" si="5"/>
        <v>3713</v>
      </c>
      <c r="CA3" s="49">
        <f t="shared" ref="CA3:CF3" si="6">+CA4+CA22+CA37+CA51+CA62</f>
        <v>8442</v>
      </c>
      <c r="CB3" s="49">
        <f t="shared" si="6"/>
        <v>4317</v>
      </c>
      <c r="CC3" s="121">
        <f t="shared" si="6"/>
        <v>4118</v>
      </c>
      <c r="CD3" s="49">
        <f t="shared" si="6"/>
        <v>8805</v>
      </c>
      <c r="CE3" s="49">
        <f t="shared" si="6"/>
        <v>4374</v>
      </c>
      <c r="CF3" s="49">
        <f t="shared" si="6"/>
        <v>4426</v>
      </c>
    </row>
    <row r="4" spans="1:84">
      <c r="A4" s="53" t="s">
        <v>113</v>
      </c>
      <c r="B4" s="44">
        <f>SUM(B6:B21)</f>
        <v>318</v>
      </c>
      <c r="C4" s="44">
        <f t="shared" ref="C4:BE4" si="7">SUM(C6:C21)</f>
        <v>349</v>
      </c>
      <c r="D4" s="44">
        <f t="shared" si="7"/>
        <v>341.5</v>
      </c>
      <c r="E4" s="53">
        <f t="shared" si="7"/>
        <v>334</v>
      </c>
      <c r="F4" s="53">
        <f t="shared" si="7"/>
        <v>342</v>
      </c>
      <c r="G4" s="53">
        <f t="shared" si="7"/>
        <v>373</v>
      </c>
      <c r="H4" s="53">
        <f t="shared" si="7"/>
        <v>387</v>
      </c>
      <c r="I4" s="53">
        <f t="shared" si="7"/>
        <v>390</v>
      </c>
      <c r="J4" s="53">
        <f t="shared" si="7"/>
        <v>418</v>
      </c>
      <c r="K4" s="53">
        <f t="shared" si="7"/>
        <v>411</v>
      </c>
      <c r="L4" s="56">
        <f t="shared" si="7"/>
        <v>426</v>
      </c>
      <c r="M4" s="64">
        <f t="shared" si="7"/>
        <v>424</v>
      </c>
      <c r="N4" s="64">
        <f t="shared" si="7"/>
        <v>268</v>
      </c>
      <c r="O4" s="64">
        <f t="shared" si="7"/>
        <v>156</v>
      </c>
      <c r="P4" s="56">
        <f t="shared" si="7"/>
        <v>426</v>
      </c>
      <c r="Q4" s="64">
        <f t="shared" si="7"/>
        <v>268</v>
      </c>
      <c r="R4" s="64">
        <f t="shared" si="7"/>
        <v>158</v>
      </c>
      <c r="S4" s="56">
        <f t="shared" si="7"/>
        <v>491</v>
      </c>
      <c r="T4" s="64">
        <f t="shared" si="7"/>
        <v>304</v>
      </c>
      <c r="U4" s="64">
        <f t="shared" si="7"/>
        <v>187</v>
      </c>
      <c r="V4" s="56">
        <f t="shared" si="7"/>
        <v>495</v>
      </c>
      <c r="W4" s="64">
        <f t="shared" si="7"/>
        <v>306</v>
      </c>
      <c r="X4" s="64">
        <f t="shared" si="7"/>
        <v>189</v>
      </c>
      <c r="Y4" s="56">
        <f t="shared" si="7"/>
        <v>536</v>
      </c>
      <c r="Z4" s="64">
        <f t="shared" si="7"/>
        <v>324</v>
      </c>
      <c r="AA4" s="64">
        <f t="shared" si="7"/>
        <v>212</v>
      </c>
      <c r="AB4" s="56">
        <f t="shared" si="7"/>
        <v>534</v>
      </c>
      <c r="AC4" s="64">
        <f t="shared" si="7"/>
        <v>318</v>
      </c>
      <c r="AD4" s="64">
        <f t="shared" si="7"/>
        <v>216</v>
      </c>
      <c r="AE4" s="56">
        <f t="shared" si="7"/>
        <v>583</v>
      </c>
      <c r="AF4" s="64">
        <f t="shared" si="7"/>
        <v>304</v>
      </c>
      <c r="AG4" s="64">
        <f t="shared" si="7"/>
        <v>279</v>
      </c>
      <c r="AH4" s="56">
        <f t="shared" si="7"/>
        <v>551</v>
      </c>
      <c r="AI4" s="64">
        <f t="shared" si="7"/>
        <v>313</v>
      </c>
      <c r="AJ4" s="64">
        <f t="shared" si="7"/>
        <v>238</v>
      </c>
      <c r="AK4" s="56">
        <f t="shared" si="7"/>
        <v>765</v>
      </c>
      <c r="AL4" s="64">
        <f t="shared" si="7"/>
        <v>379</v>
      </c>
      <c r="AM4" s="64">
        <f t="shared" si="7"/>
        <v>386</v>
      </c>
      <c r="AN4" s="56">
        <f t="shared" si="7"/>
        <v>952</v>
      </c>
      <c r="AO4" s="64">
        <f t="shared" si="7"/>
        <v>490</v>
      </c>
      <c r="AP4" s="64">
        <f t="shared" si="7"/>
        <v>462</v>
      </c>
      <c r="AQ4" s="56">
        <f t="shared" si="7"/>
        <v>1079</v>
      </c>
      <c r="AR4" s="64">
        <f t="shared" si="7"/>
        <v>552</v>
      </c>
      <c r="AS4" s="64">
        <f t="shared" si="7"/>
        <v>527</v>
      </c>
      <c r="AT4" s="56">
        <f t="shared" si="7"/>
        <v>1189</v>
      </c>
      <c r="AU4" s="64">
        <f t="shared" si="7"/>
        <v>577</v>
      </c>
      <c r="AV4" s="64">
        <f t="shared" si="7"/>
        <v>612</v>
      </c>
      <c r="AW4" s="56">
        <f t="shared" si="7"/>
        <v>1378</v>
      </c>
      <c r="AX4" s="64">
        <f t="shared" si="7"/>
        <v>712</v>
      </c>
      <c r="AY4" s="64">
        <f t="shared" si="7"/>
        <v>666</v>
      </c>
      <c r="AZ4" s="56">
        <f t="shared" si="7"/>
        <v>1445</v>
      </c>
      <c r="BA4" s="64">
        <f t="shared" si="7"/>
        <v>821</v>
      </c>
      <c r="BB4" s="64">
        <f t="shared" si="7"/>
        <v>624</v>
      </c>
      <c r="BC4" s="56">
        <f t="shared" si="7"/>
        <v>1596</v>
      </c>
      <c r="BD4" s="64">
        <f t="shared" si="7"/>
        <v>879</v>
      </c>
      <c r="BE4" s="64">
        <f t="shared" si="7"/>
        <v>717</v>
      </c>
      <c r="BF4" s="56">
        <f t="shared" ref="BF4:BH4" si="8">SUM(BF6:BF21)</f>
        <v>1875</v>
      </c>
      <c r="BG4" s="64">
        <f t="shared" si="8"/>
        <v>1026</v>
      </c>
      <c r="BH4" s="120">
        <f t="shared" si="8"/>
        <v>849</v>
      </c>
      <c r="BI4" s="64">
        <f t="shared" ref="BI4:BQ4" si="9">SUM(BI6:BI21)</f>
        <v>0</v>
      </c>
      <c r="BJ4" s="64">
        <f t="shared" si="9"/>
        <v>0</v>
      </c>
      <c r="BK4" s="120">
        <f t="shared" si="9"/>
        <v>0</v>
      </c>
      <c r="BL4" s="64">
        <f t="shared" si="9"/>
        <v>0</v>
      </c>
      <c r="BM4" s="64">
        <f t="shared" si="9"/>
        <v>0</v>
      </c>
      <c r="BN4" s="120">
        <f t="shared" si="9"/>
        <v>0</v>
      </c>
      <c r="BO4" s="64">
        <f t="shared" si="9"/>
        <v>2516</v>
      </c>
      <c r="BP4" s="64">
        <f t="shared" si="9"/>
        <v>1438</v>
      </c>
      <c r="BQ4" s="64">
        <f t="shared" si="9"/>
        <v>1078</v>
      </c>
      <c r="BR4" s="56">
        <f t="shared" ref="BR4:BT4" si="10">SUM(BR6:BR21)</f>
        <v>2696</v>
      </c>
      <c r="BS4" s="64">
        <f t="shared" si="10"/>
        <v>1473</v>
      </c>
      <c r="BT4" s="64">
        <f t="shared" si="10"/>
        <v>1223</v>
      </c>
      <c r="BU4" s="56">
        <f t="shared" ref="BU4:BW4" si="11">SUM(BU6:BU21)</f>
        <v>2691</v>
      </c>
      <c r="BV4" s="64">
        <f t="shared" si="11"/>
        <v>1477</v>
      </c>
      <c r="BW4" s="64">
        <f t="shared" si="11"/>
        <v>1214</v>
      </c>
      <c r="BX4" s="186">
        <f t="shared" ref="BX4:BZ4" si="12">SUM(BX6:BX21)</f>
        <v>2992</v>
      </c>
      <c r="BY4" s="187">
        <f t="shared" si="12"/>
        <v>1541</v>
      </c>
      <c r="BZ4" s="203">
        <f t="shared" si="12"/>
        <v>1451</v>
      </c>
      <c r="CA4" s="64">
        <f t="shared" ref="CA4:CF4" si="13">SUM(CA6:CA21)</f>
        <v>3040</v>
      </c>
      <c r="CB4" s="64">
        <f t="shared" si="13"/>
        <v>1512</v>
      </c>
      <c r="CC4" s="120">
        <f t="shared" si="13"/>
        <v>1527</v>
      </c>
      <c r="CD4" s="64">
        <f t="shared" si="13"/>
        <v>3364</v>
      </c>
      <c r="CE4" s="64">
        <f t="shared" si="13"/>
        <v>1652</v>
      </c>
      <c r="CF4" s="64">
        <f t="shared" si="13"/>
        <v>1712</v>
      </c>
    </row>
    <row r="5" spans="1:84">
      <c r="A5" s="50" t="s">
        <v>14</v>
      </c>
      <c r="B5" s="45">
        <f>(B4/B$3)*100</f>
        <v>20.423892100192678</v>
      </c>
      <c r="C5" s="45">
        <f t="shared" ref="C5:BE5" si="14">(C4/C$3)*100</f>
        <v>21.56983930778739</v>
      </c>
      <c r="D5" s="45">
        <f t="shared" si="14"/>
        <v>20.634441087613293</v>
      </c>
      <c r="E5" s="87">
        <f t="shared" si="14"/>
        <v>19.739952718676122</v>
      </c>
      <c r="F5" s="87">
        <f t="shared" si="14"/>
        <v>19.213483146067414</v>
      </c>
      <c r="G5" s="87">
        <f t="shared" si="14"/>
        <v>20.227765726681127</v>
      </c>
      <c r="H5" s="87">
        <f t="shared" si="14"/>
        <v>19.846153846153847</v>
      </c>
      <c r="I5" s="87">
        <f t="shared" si="14"/>
        <v>19.756838905775076</v>
      </c>
      <c r="J5" s="87">
        <f t="shared" si="14"/>
        <v>20.54054054054054</v>
      </c>
      <c r="K5" s="87">
        <f t="shared" si="14"/>
        <v>19.010175763182239</v>
      </c>
      <c r="L5" s="88">
        <f t="shared" si="14"/>
        <v>19.215155615696887</v>
      </c>
      <c r="M5" s="87">
        <f t="shared" si="14"/>
        <v>18.64555848724714</v>
      </c>
      <c r="N5" s="87">
        <f t="shared" si="14"/>
        <v>18.820224719101123</v>
      </c>
      <c r="O5" s="87">
        <f t="shared" si="14"/>
        <v>18.352941176470587</v>
      </c>
      <c r="P5" s="88">
        <f t="shared" si="14"/>
        <v>16.80473372781065</v>
      </c>
      <c r="Q5" s="87">
        <f t="shared" si="14"/>
        <v>16.983523447401776</v>
      </c>
      <c r="R5" s="87">
        <f t="shared" si="14"/>
        <v>16.509926854754443</v>
      </c>
      <c r="S5" s="88">
        <f t="shared" si="14"/>
        <v>18.239227340267458</v>
      </c>
      <c r="T5" s="87">
        <f t="shared" si="14"/>
        <v>18.753855644663791</v>
      </c>
      <c r="U5" s="87">
        <f t="shared" si="14"/>
        <v>17.460317460317459</v>
      </c>
      <c r="V5" s="88">
        <f t="shared" si="14"/>
        <v>18.032786885245901</v>
      </c>
      <c r="W5" s="87">
        <f t="shared" si="14"/>
        <v>19.006211180124225</v>
      </c>
      <c r="X5" s="87">
        <f t="shared" si="14"/>
        <v>16.651982378854626</v>
      </c>
      <c r="Y5" s="88">
        <f t="shared" si="14"/>
        <v>18.820224719101123</v>
      </c>
      <c r="Z5" s="87">
        <f t="shared" si="14"/>
        <v>19.684082624544349</v>
      </c>
      <c r="AA5" s="87">
        <f t="shared" si="14"/>
        <v>17.637271214642265</v>
      </c>
      <c r="AB5" s="88">
        <f t="shared" si="14"/>
        <v>18.24393577041339</v>
      </c>
      <c r="AC5" s="87">
        <f t="shared" si="14"/>
        <v>18.850029638411382</v>
      </c>
      <c r="AD5" s="87">
        <f t="shared" si="14"/>
        <v>17.419354838709676</v>
      </c>
      <c r="AE5" s="88">
        <f t="shared" si="14"/>
        <v>19.158724942490963</v>
      </c>
      <c r="AF5" s="87">
        <f t="shared" si="14"/>
        <v>18.67321867321867</v>
      </c>
      <c r="AG5" s="87">
        <f t="shared" si="14"/>
        <v>19.71731448763251</v>
      </c>
      <c r="AH5" s="88">
        <f t="shared" si="14"/>
        <v>17.895420591101008</v>
      </c>
      <c r="AI5" s="87">
        <f t="shared" si="14"/>
        <v>19.368811881188119</v>
      </c>
      <c r="AJ5" s="87">
        <f t="shared" si="14"/>
        <v>16.267942583732058</v>
      </c>
      <c r="AK5" s="88">
        <f t="shared" si="14"/>
        <v>23.125755743651755</v>
      </c>
      <c r="AL5" s="87">
        <f t="shared" si="14"/>
        <v>23.02551640340219</v>
      </c>
      <c r="AM5" s="87">
        <f t="shared" si="14"/>
        <v>23.225030084235858</v>
      </c>
      <c r="AN5" s="88">
        <f t="shared" si="14"/>
        <v>26.110806363137684</v>
      </c>
      <c r="AO5" s="87">
        <f t="shared" si="14"/>
        <v>26.952695269526956</v>
      </c>
      <c r="AP5" s="87">
        <f t="shared" si="14"/>
        <v>25.273522975929978</v>
      </c>
      <c r="AQ5" s="88">
        <f t="shared" si="14"/>
        <v>27.610030706243606</v>
      </c>
      <c r="AR5" s="87">
        <f t="shared" si="14"/>
        <v>28.148903620601732</v>
      </c>
      <c r="AS5" s="87">
        <f t="shared" si="14"/>
        <v>27.067282999486391</v>
      </c>
      <c r="AT5" s="88">
        <f t="shared" si="14"/>
        <v>29.321824907521577</v>
      </c>
      <c r="AU5" s="87">
        <f t="shared" si="14"/>
        <v>28.395669291338582</v>
      </c>
      <c r="AV5" s="87">
        <f t="shared" si="14"/>
        <v>30.252100840336134</v>
      </c>
      <c r="AW5" s="88">
        <f t="shared" si="14"/>
        <v>30.43286219081272</v>
      </c>
      <c r="AX5" s="87">
        <f t="shared" si="14"/>
        <v>29.966329966329969</v>
      </c>
      <c r="AY5" s="87">
        <f t="shared" si="14"/>
        <v>30.947955390334574</v>
      </c>
      <c r="AZ5" s="88">
        <f t="shared" si="14"/>
        <v>27.644920604553281</v>
      </c>
      <c r="BA5" s="87">
        <f t="shared" si="14"/>
        <v>29.521754764473211</v>
      </c>
      <c r="BB5" s="87">
        <f t="shared" si="14"/>
        <v>25.511038430089943</v>
      </c>
      <c r="BC5" s="88">
        <f t="shared" si="14"/>
        <v>28.515276040736108</v>
      </c>
      <c r="BD5" s="87">
        <f t="shared" si="14"/>
        <v>29.212362911266197</v>
      </c>
      <c r="BE5" s="87">
        <f t="shared" si="14"/>
        <v>27.704791344667694</v>
      </c>
      <c r="BF5" s="88">
        <f t="shared" ref="BF5:BH5" si="15">(BF4/BF$3)*100</f>
        <v>32.394609536973043</v>
      </c>
      <c r="BG5" s="87">
        <f t="shared" si="15"/>
        <v>32.142857142857146</v>
      </c>
      <c r="BH5" s="119">
        <f t="shared" si="15"/>
        <v>32.704160246533128</v>
      </c>
      <c r="BI5" s="87" t="e">
        <f t="shared" ref="BI5:BQ5" si="16">(BI4/BI$3)*100</f>
        <v>#DIV/0!</v>
      </c>
      <c r="BJ5" s="87" t="e">
        <f t="shared" si="16"/>
        <v>#DIV/0!</v>
      </c>
      <c r="BK5" s="119" t="e">
        <f t="shared" si="16"/>
        <v>#DIV/0!</v>
      </c>
      <c r="BL5" s="87" t="e">
        <f t="shared" si="16"/>
        <v>#DIV/0!</v>
      </c>
      <c r="BM5" s="87" t="e">
        <f t="shared" si="16"/>
        <v>#DIV/0!</v>
      </c>
      <c r="BN5" s="119" t="e">
        <f t="shared" si="16"/>
        <v>#DIV/0!</v>
      </c>
      <c r="BO5" s="87">
        <f t="shared" si="16"/>
        <v>35.881346263548203</v>
      </c>
      <c r="BP5" s="87">
        <f t="shared" si="16"/>
        <v>35.994993742177719</v>
      </c>
      <c r="BQ5" s="87">
        <f t="shared" si="16"/>
        <v>35.730858468677496</v>
      </c>
      <c r="BR5" s="88">
        <f t="shared" ref="BR5:BT5" si="17">(BR4/BR$3)*100</f>
        <v>37.345892782933923</v>
      </c>
      <c r="BS5" s="87">
        <f t="shared" si="17"/>
        <v>36.614466815809102</v>
      </c>
      <c r="BT5" s="87">
        <f t="shared" si="17"/>
        <v>38.266583229036293</v>
      </c>
      <c r="BU5" s="88">
        <f t="shared" ref="BU5:BW5" si="18">(BU4/BU$3)*100</f>
        <v>35.524752475247524</v>
      </c>
      <c r="BV5" s="87">
        <f t="shared" si="18"/>
        <v>35.989278752436647</v>
      </c>
      <c r="BW5" s="87">
        <f t="shared" si="18"/>
        <v>34.975511380005763</v>
      </c>
      <c r="BX5" s="188">
        <f t="shared" ref="BX5:BZ5" si="19">(BX4/BX$3)*100</f>
        <v>37.006802721088434</v>
      </c>
      <c r="BY5" s="189">
        <f t="shared" si="19"/>
        <v>35.247026532479417</v>
      </c>
      <c r="BZ5" s="204">
        <f t="shared" si="19"/>
        <v>39.078911931053057</v>
      </c>
      <c r="CA5" s="87">
        <f t="shared" ref="CA5:CF5" si="20">(CA4/CA$3)*100</f>
        <v>36.010424070125566</v>
      </c>
      <c r="CB5" s="87">
        <f t="shared" si="20"/>
        <v>35.024322446143152</v>
      </c>
      <c r="CC5" s="119">
        <f t="shared" si="20"/>
        <v>37.081107333657116</v>
      </c>
      <c r="CD5" s="87">
        <f t="shared" si="20"/>
        <v>38.205565019875074</v>
      </c>
      <c r="CE5" s="87">
        <f t="shared" si="20"/>
        <v>37.768632830361227</v>
      </c>
      <c r="CF5" s="87">
        <f t="shared" si="20"/>
        <v>38.680524175327605</v>
      </c>
    </row>
    <row r="6" spans="1:84">
      <c r="A6" s="8" t="s">
        <v>15</v>
      </c>
      <c r="B6" s="21"/>
      <c r="C6" s="21"/>
      <c r="D6" s="21"/>
      <c r="E6" s="8"/>
      <c r="F6" s="8"/>
      <c r="G6" s="8"/>
      <c r="H6" s="8"/>
      <c r="I6" s="8"/>
      <c r="J6" s="8"/>
      <c r="K6" s="8"/>
      <c r="L6" s="15"/>
      <c r="M6" s="17"/>
      <c r="N6" s="17"/>
      <c r="O6" s="17"/>
      <c r="P6" s="15"/>
      <c r="Q6" s="17"/>
      <c r="R6" s="17"/>
      <c r="S6" s="15"/>
      <c r="T6" s="17"/>
      <c r="U6" s="17"/>
      <c r="V6" s="15"/>
      <c r="W6" s="17"/>
      <c r="X6" s="17"/>
      <c r="Y6" s="15"/>
      <c r="Z6" s="17"/>
      <c r="AA6" s="17"/>
      <c r="AB6" s="15"/>
      <c r="AC6" s="17"/>
      <c r="AD6" s="17"/>
      <c r="AE6" s="15"/>
      <c r="AF6" s="17"/>
      <c r="AG6" s="17"/>
      <c r="AH6" s="15"/>
      <c r="AI6" s="17"/>
      <c r="AJ6" s="17"/>
      <c r="AK6" s="15"/>
      <c r="AL6" s="17"/>
      <c r="AM6" s="17"/>
      <c r="AN6" s="15"/>
      <c r="AO6" s="17"/>
      <c r="AP6" s="17"/>
      <c r="AQ6" s="15"/>
      <c r="AR6" s="17"/>
      <c r="AS6" s="17"/>
      <c r="AT6" s="15"/>
      <c r="AU6" s="17"/>
      <c r="AV6" s="17"/>
      <c r="AW6" s="15"/>
      <c r="AX6" s="17"/>
      <c r="AY6" s="17"/>
      <c r="AZ6" s="15"/>
      <c r="BA6" s="17"/>
      <c r="BB6" s="17"/>
      <c r="BC6" s="15"/>
      <c r="BD6" s="17"/>
      <c r="BE6" s="17"/>
      <c r="BF6" s="15"/>
      <c r="BG6" s="17"/>
      <c r="BH6" s="130"/>
      <c r="BI6" s="17"/>
      <c r="BJ6" s="17"/>
      <c r="BK6" s="130"/>
      <c r="BL6" s="17"/>
      <c r="BM6" s="17"/>
      <c r="BN6" s="107"/>
      <c r="BO6" s="12">
        <v>163</v>
      </c>
      <c r="BP6" s="128">
        <v>96</v>
      </c>
      <c r="BQ6" s="128">
        <v>67</v>
      </c>
      <c r="BR6" s="108">
        <v>337</v>
      </c>
      <c r="BS6" s="128">
        <v>196</v>
      </c>
      <c r="BT6" s="128">
        <v>141</v>
      </c>
      <c r="BU6" s="108">
        <v>330</v>
      </c>
      <c r="BV6" s="128">
        <v>193</v>
      </c>
      <c r="BW6" s="128">
        <v>137</v>
      </c>
      <c r="BX6" s="190">
        <v>334</v>
      </c>
      <c r="BY6" s="191">
        <v>176</v>
      </c>
      <c r="BZ6" s="205">
        <v>158</v>
      </c>
      <c r="CA6" s="12">
        <v>337</v>
      </c>
      <c r="CB6" s="12">
        <v>165</v>
      </c>
      <c r="CC6" s="107">
        <v>172</v>
      </c>
      <c r="CD6" s="12">
        <v>351</v>
      </c>
      <c r="CE6" s="12">
        <v>180</v>
      </c>
      <c r="CF6" s="12">
        <v>171</v>
      </c>
    </row>
    <row r="7" spans="1:84">
      <c r="A7" s="8" t="s">
        <v>16</v>
      </c>
      <c r="B7" s="21"/>
      <c r="C7" s="21"/>
      <c r="D7" s="21"/>
      <c r="E7" s="8"/>
      <c r="F7" s="8"/>
      <c r="G7" s="8"/>
      <c r="H7" s="8"/>
      <c r="I7" s="8"/>
      <c r="J7" s="8"/>
      <c r="K7" s="8"/>
      <c r="L7" s="15"/>
      <c r="M7" s="17"/>
      <c r="N7" s="17"/>
      <c r="O7" s="17"/>
      <c r="P7" s="15"/>
      <c r="Q7" s="17"/>
      <c r="R7" s="17"/>
      <c r="S7" s="15"/>
      <c r="T7" s="17"/>
      <c r="U7" s="17"/>
      <c r="V7" s="15"/>
      <c r="W7" s="17"/>
      <c r="X7" s="17"/>
      <c r="Y7" s="15"/>
      <c r="Z7" s="17"/>
      <c r="AA7" s="17"/>
      <c r="AB7" s="15"/>
      <c r="AC7" s="17"/>
      <c r="AD7" s="17"/>
      <c r="AE7" s="15"/>
      <c r="AF7" s="17"/>
      <c r="AG7" s="17"/>
      <c r="AH7" s="15"/>
      <c r="AI7" s="17"/>
      <c r="AJ7" s="17"/>
      <c r="AK7" s="15"/>
      <c r="AL7" s="17"/>
      <c r="AM7" s="17"/>
      <c r="AN7" s="15"/>
      <c r="AO7" s="17"/>
      <c r="AP7" s="17"/>
      <c r="AQ7" s="15"/>
      <c r="AR7" s="17"/>
      <c r="AS7" s="17"/>
      <c r="AT7" s="15"/>
      <c r="AU7" s="17"/>
      <c r="AV7" s="17"/>
      <c r="AW7" s="15"/>
      <c r="AX7" s="17"/>
      <c r="AY7" s="17"/>
      <c r="AZ7" s="15"/>
      <c r="BA7" s="17"/>
      <c r="BB7" s="17"/>
      <c r="BC7" s="15"/>
      <c r="BD7" s="17"/>
      <c r="BE7" s="17"/>
      <c r="BF7" s="15"/>
      <c r="BG7" s="17"/>
      <c r="BH7" s="130"/>
      <c r="BI7" s="17"/>
      <c r="BJ7" s="17"/>
      <c r="BK7" s="130"/>
      <c r="BL7" s="17"/>
      <c r="BM7" s="17"/>
      <c r="BN7" s="107"/>
      <c r="BQ7" s="127"/>
      <c r="BR7" s="108"/>
      <c r="BT7" s="127"/>
      <c r="BU7" s="108"/>
      <c r="BW7" s="127"/>
      <c r="BX7" s="190">
        <v>162</v>
      </c>
      <c r="BY7" s="183">
        <v>89</v>
      </c>
      <c r="BZ7" s="206">
        <v>73</v>
      </c>
      <c r="CA7" s="12">
        <v>165</v>
      </c>
      <c r="CB7" s="12">
        <v>75</v>
      </c>
      <c r="CC7" s="107">
        <v>90</v>
      </c>
      <c r="CD7" s="12">
        <v>173</v>
      </c>
      <c r="CE7" s="12">
        <v>89</v>
      </c>
      <c r="CF7" s="12">
        <v>84</v>
      </c>
    </row>
    <row r="8" spans="1:84">
      <c r="A8" s="8" t="s">
        <v>17</v>
      </c>
      <c r="B8" s="21"/>
      <c r="C8" s="21"/>
      <c r="D8" s="21"/>
      <c r="E8" s="8"/>
      <c r="F8" s="8"/>
      <c r="G8" s="8"/>
      <c r="H8" s="8"/>
      <c r="I8" s="8"/>
      <c r="J8" s="8"/>
      <c r="K8" s="8"/>
      <c r="L8" s="15"/>
      <c r="M8" s="17"/>
      <c r="N8" s="17"/>
      <c r="O8" s="17"/>
      <c r="P8" s="15"/>
      <c r="Q8" s="17"/>
      <c r="R8" s="17"/>
      <c r="S8" s="15"/>
      <c r="T8" s="17"/>
      <c r="U8" s="17"/>
      <c r="V8" s="15"/>
      <c r="W8" s="17"/>
      <c r="X8" s="17"/>
      <c r="Y8" s="15"/>
      <c r="Z8" s="17"/>
      <c r="AA8" s="17"/>
      <c r="AB8" s="15"/>
      <c r="AC8" s="17"/>
      <c r="AD8" s="17"/>
      <c r="AE8" s="15"/>
      <c r="AF8" s="17"/>
      <c r="AG8" s="17"/>
      <c r="AH8" s="15"/>
      <c r="AI8" s="17"/>
      <c r="AJ8" s="17"/>
      <c r="AK8" s="15"/>
      <c r="AL8" s="17"/>
      <c r="AM8" s="17"/>
      <c r="AN8" s="15"/>
      <c r="AO8" s="17"/>
      <c r="AP8" s="17"/>
      <c r="AQ8" s="15"/>
      <c r="AR8" s="17"/>
      <c r="AS8" s="17"/>
      <c r="AT8" s="15"/>
      <c r="AU8" s="17"/>
      <c r="AV8" s="17"/>
      <c r="AW8" s="15"/>
      <c r="AX8" s="17"/>
      <c r="AY8" s="17"/>
      <c r="AZ8" s="15"/>
      <c r="BA8" s="17"/>
      <c r="BB8" s="17"/>
      <c r="BC8" s="15"/>
      <c r="BD8" s="17"/>
      <c r="BE8" s="17"/>
      <c r="BF8" s="15"/>
      <c r="BG8" s="17"/>
      <c r="BH8" s="130"/>
      <c r="BI8" s="17"/>
      <c r="BJ8" s="17"/>
      <c r="BK8" s="130"/>
      <c r="BL8" s="17"/>
      <c r="BM8" s="17"/>
      <c r="BN8" s="107"/>
      <c r="BQ8" s="127"/>
      <c r="BR8" s="108"/>
      <c r="BT8" s="127"/>
      <c r="BU8" s="108"/>
      <c r="BW8" s="127"/>
      <c r="BX8" s="190"/>
      <c r="BZ8" s="206"/>
    </row>
    <row r="9" spans="1:84">
      <c r="A9" s="8" t="s">
        <v>345</v>
      </c>
      <c r="B9" s="21">
        <v>61</v>
      </c>
      <c r="C9" s="21">
        <v>83</v>
      </c>
      <c r="D9" s="21">
        <f>((E9-C9)/2)+C9</f>
        <v>93</v>
      </c>
      <c r="E9" s="8">
        <v>103</v>
      </c>
      <c r="F9" s="8">
        <v>111</v>
      </c>
      <c r="G9" s="8">
        <v>114</v>
      </c>
      <c r="H9" s="8">
        <v>122</v>
      </c>
      <c r="I9" s="8">
        <v>143</v>
      </c>
      <c r="J9" s="8">
        <v>140</v>
      </c>
      <c r="K9" s="8">
        <v>145</v>
      </c>
      <c r="L9" s="15">
        <v>152</v>
      </c>
      <c r="M9" s="17">
        <v>152</v>
      </c>
      <c r="N9" s="17">
        <v>104</v>
      </c>
      <c r="O9" s="17">
        <v>48</v>
      </c>
      <c r="P9" s="15">
        <v>152</v>
      </c>
      <c r="Q9" s="17">
        <v>99</v>
      </c>
      <c r="R9" s="17">
        <v>53</v>
      </c>
      <c r="S9" s="15">
        <v>150</v>
      </c>
      <c r="T9" s="17">
        <v>86</v>
      </c>
      <c r="U9" s="17">
        <v>64</v>
      </c>
      <c r="V9" s="15">
        <v>161</v>
      </c>
      <c r="W9" s="17">
        <v>111</v>
      </c>
      <c r="X9" s="17">
        <v>50</v>
      </c>
      <c r="Y9" s="15">
        <v>191</v>
      </c>
      <c r="Z9" s="17">
        <v>120</v>
      </c>
      <c r="AA9" s="17">
        <v>71</v>
      </c>
      <c r="AB9" s="15">
        <v>180</v>
      </c>
      <c r="AC9" s="17">
        <v>114</v>
      </c>
      <c r="AD9" s="17">
        <v>66</v>
      </c>
      <c r="AE9" s="15">
        <v>226</v>
      </c>
      <c r="AF9" s="17">
        <v>127</v>
      </c>
      <c r="AG9" s="17">
        <v>99</v>
      </c>
      <c r="AH9" s="15">
        <v>188</v>
      </c>
      <c r="AI9" s="17">
        <v>115</v>
      </c>
      <c r="AJ9" s="17">
        <v>73</v>
      </c>
      <c r="AK9" s="15">
        <v>214</v>
      </c>
      <c r="AL9" s="17">
        <v>102</v>
      </c>
      <c r="AM9" s="17">
        <v>112</v>
      </c>
      <c r="AN9" s="15">
        <v>385</v>
      </c>
      <c r="AO9" s="17">
        <v>195</v>
      </c>
      <c r="AP9" s="17">
        <v>190</v>
      </c>
      <c r="AQ9" s="15">
        <v>412</v>
      </c>
      <c r="AR9" s="17">
        <v>207</v>
      </c>
      <c r="AS9" s="17">
        <v>205</v>
      </c>
      <c r="AT9" s="15">
        <v>407</v>
      </c>
      <c r="AU9" s="17">
        <f>80+122</f>
        <v>202</v>
      </c>
      <c r="AV9" s="17">
        <f>83+122</f>
        <v>205</v>
      </c>
      <c r="AW9" s="15">
        <v>414</v>
      </c>
      <c r="AX9" s="17">
        <f>132+85</f>
        <v>217</v>
      </c>
      <c r="AY9" s="17">
        <f>117+80</f>
        <v>197</v>
      </c>
      <c r="AZ9" s="15">
        <f>169+241</f>
        <v>410</v>
      </c>
      <c r="BA9" s="17">
        <f>96+145</f>
        <v>241</v>
      </c>
      <c r="BB9" s="17">
        <f>73+96</f>
        <v>169</v>
      </c>
      <c r="BC9" s="15">
        <f>169+254</f>
        <v>423</v>
      </c>
      <c r="BD9" s="17">
        <f>91+162</f>
        <v>253</v>
      </c>
      <c r="BE9" s="17">
        <f>78+92</f>
        <v>170</v>
      </c>
      <c r="BF9" s="15">
        <v>456</v>
      </c>
      <c r="BG9" s="17">
        <v>280</v>
      </c>
      <c r="BH9" s="130">
        <v>176</v>
      </c>
      <c r="BI9" s="17"/>
      <c r="BJ9" s="17"/>
      <c r="BK9" s="130"/>
      <c r="BL9" s="17"/>
      <c r="BM9" s="17"/>
      <c r="BN9" s="107"/>
      <c r="BO9" s="12">
        <v>456</v>
      </c>
      <c r="BP9" s="128">
        <v>268</v>
      </c>
      <c r="BQ9" s="128">
        <v>188</v>
      </c>
      <c r="BR9" s="108">
        <v>453</v>
      </c>
      <c r="BS9" s="128">
        <v>251</v>
      </c>
      <c r="BT9" s="128">
        <v>202</v>
      </c>
      <c r="BU9" s="108">
        <v>459</v>
      </c>
      <c r="BV9" s="128">
        <v>272</v>
      </c>
      <c r="BW9" s="128">
        <v>187</v>
      </c>
      <c r="BX9" s="190">
        <v>460</v>
      </c>
      <c r="BY9" s="191">
        <v>242</v>
      </c>
      <c r="BZ9" s="205">
        <v>218</v>
      </c>
      <c r="CA9" s="12">
        <v>456</v>
      </c>
      <c r="CB9" s="12">
        <v>239</v>
      </c>
      <c r="CC9" s="107">
        <v>217</v>
      </c>
      <c r="CD9" s="12">
        <v>616</v>
      </c>
      <c r="CE9" s="12">
        <v>284</v>
      </c>
      <c r="CF9" s="12">
        <v>332</v>
      </c>
    </row>
    <row r="10" spans="1:84">
      <c r="A10" s="8" t="s">
        <v>346</v>
      </c>
      <c r="B10" s="21"/>
      <c r="C10" s="21"/>
      <c r="D10" s="21"/>
      <c r="E10" s="8"/>
      <c r="F10" s="8"/>
      <c r="G10" s="8"/>
      <c r="H10" s="8"/>
      <c r="I10" s="8"/>
      <c r="J10" s="8"/>
      <c r="K10" s="8"/>
      <c r="L10" s="15"/>
      <c r="M10" s="17"/>
      <c r="N10" s="17"/>
      <c r="O10" s="17"/>
      <c r="P10" s="15"/>
      <c r="Q10" s="17"/>
      <c r="R10" s="17"/>
      <c r="S10" s="15"/>
      <c r="T10" s="17"/>
      <c r="U10" s="17"/>
      <c r="V10" s="15"/>
      <c r="W10" s="17"/>
      <c r="X10" s="17"/>
      <c r="Y10" s="15"/>
      <c r="Z10" s="17"/>
      <c r="AA10" s="17"/>
      <c r="AB10" s="15"/>
      <c r="AC10" s="17"/>
      <c r="AD10" s="17"/>
      <c r="AE10" s="15"/>
      <c r="AF10" s="17"/>
      <c r="AG10" s="17"/>
      <c r="AH10" s="15"/>
      <c r="AI10" s="17"/>
      <c r="AJ10" s="17"/>
      <c r="AK10" s="15"/>
      <c r="AL10" s="17"/>
      <c r="AM10" s="17"/>
      <c r="AN10" s="15"/>
      <c r="AO10" s="17"/>
      <c r="AP10" s="17"/>
      <c r="AQ10" s="15">
        <v>83</v>
      </c>
      <c r="AR10" s="17">
        <v>38</v>
      </c>
      <c r="AS10" s="17">
        <v>45</v>
      </c>
      <c r="AT10" s="15">
        <v>88</v>
      </c>
      <c r="AU10" s="17">
        <v>35</v>
      </c>
      <c r="AV10" s="17">
        <v>53</v>
      </c>
      <c r="AW10" s="15">
        <v>87</v>
      </c>
      <c r="AX10" s="17">
        <v>32</v>
      </c>
      <c r="AY10" s="17">
        <v>55</v>
      </c>
      <c r="AZ10" s="15">
        <v>88</v>
      </c>
      <c r="BA10" s="17">
        <v>43</v>
      </c>
      <c r="BB10" s="17">
        <v>45</v>
      </c>
      <c r="BC10" s="15">
        <v>89</v>
      </c>
      <c r="BD10" s="17">
        <v>48</v>
      </c>
      <c r="BE10" s="17">
        <v>41</v>
      </c>
      <c r="BF10" s="15">
        <v>144</v>
      </c>
      <c r="BG10" s="17">
        <v>87</v>
      </c>
      <c r="BH10" s="130">
        <v>57</v>
      </c>
      <c r="BI10" s="17"/>
      <c r="BJ10" s="17"/>
      <c r="BK10" s="130"/>
      <c r="BL10" s="17"/>
      <c r="BM10" s="17"/>
      <c r="BN10" s="107"/>
      <c r="BO10" s="12">
        <v>145</v>
      </c>
      <c r="BP10" s="128">
        <v>70</v>
      </c>
      <c r="BQ10" s="128">
        <v>75</v>
      </c>
      <c r="BR10" s="108">
        <v>142</v>
      </c>
      <c r="BS10" s="128">
        <v>64</v>
      </c>
      <c r="BT10" s="128">
        <v>78</v>
      </c>
      <c r="BU10" s="108">
        <v>140</v>
      </c>
      <c r="BV10" s="128">
        <v>69</v>
      </c>
      <c r="BW10" s="128">
        <v>71</v>
      </c>
      <c r="BX10" s="190">
        <v>143</v>
      </c>
      <c r="BY10" s="191">
        <v>72</v>
      </c>
      <c r="BZ10" s="205">
        <v>71</v>
      </c>
      <c r="CA10" s="12">
        <v>141</v>
      </c>
      <c r="CB10" s="12">
        <v>65</v>
      </c>
      <c r="CC10" s="107">
        <v>75</v>
      </c>
      <c r="CD10" s="12">
        <v>195</v>
      </c>
      <c r="CE10" s="12">
        <v>97</v>
      </c>
      <c r="CF10" s="12">
        <v>98</v>
      </c>
    </row>
    <row r="11" spans="1:84">
      <c r="A11" s="8" t="s">
        <v>347</v>
      </c>
      <c r="B11" s="21"/>
      <c r="C11" s="21"/>
      <c r="D11" s="21"/>
      <c r="E11" s="8"/>
      <c r="F11" s="8"/>
      <c r="G11" s="8"/>
      <c r="H11" s="8"/>
      <c r="I11" s="8"/>
      <c r="J11" s="8"/>
      <c r="K11" s="8"/>
      <c r="L11" s="15"/>
      <c r="M11" s="17"/>
      <c r="N11" s="17"/>
      <c r="O11" s="17"/>
      <c r="P11" s="15"/>
      <c r="Q11" s="17"/>
      <c r="R11" s="17"/>
      <c r="S11" s="15">
        <v>60</v>
      </c>
      <c r="T11" s="17">
        <v>46</v>
      </c>
      <c r="U11" s="17">
        <v>14</v>
      </c>
      <c r="V11" s="15">
        <v>66</v>
      </c>
      <c r="W11" s="17">
        <v>45</v>
      </c>
      <c r="X11" s="17">
        <v>21</v>
      </c>
      <c r="Y11" s="15">
        <v>61</v>
      </c>
      <c r="Z11" s="17">
        <v>45</v>
      </c>
      <c r="AA11" s="17">
        <v>16</v>
      </c>
      <c r="AB11" s="15">
        <v>65</v>
      </c>
      <c r="AC11" s="17">
        <v>44</v>
      </c>
      <c r="AD11" s="17">
        <v>21</v>
      </c>
      <c r="AE11" s="15">
        <v>64</v>
      </c>
      <c r="AF11" s="17">
        <v>36</v>
      </c>
      <c r="AG11" s="17">
        <v>28</v>
      </c>
      <c r="AH11" s="15">
        <v>65</v>
      </c>
      <c r="AI11" s="17">
        <v>40</v>
      </c>
      <c r="AJ11" s="17">
        <v>25</v>
      </c>
      <c r="AK11" s="15">
        <v>75</v>
      </c>
      <c r="AL11" s="17">
        <v>41</v>
      </c>
      <c r="AM11" s="17">
        <v>34</v>
      </c>
      <c r="AN11" s="15">
        <v>79</v>
      </c>
      <c r="AO11" s="17">
        <v>45</v>
      </c>
      <c r="AP11" s="17">
        <v>34</v>
      </c>
      <c r="AQ11" s="15">
        <v>80</v>
      </c>
      <c r="AR11" s="17">
        <v>42</v>
      </c>
      <c r="AS11" s="17">
        <v>38</v>
      </c>
      <c r="AT11" s="15">
        <v>80</v>
      </c>
      <c r="AU11" s="17">
        <v>42</v>
      </c>
      <c r="AV11" s="17">
        <v>38</v>
      </c>
      <c r="AW11" s="15">
        <v>80</v>
      </c>
      <c r="AX11" s="17">
        <v>44</v>
      </c>
      <c r="AY11" s="17">
        <v>36</v>
      </c>
      <c r="AZ11" s="15">
        <v>83</v>
      </c>
      <c r="BA11" s="17">
        <v>48</v>
      </c>
      <c r="BB11" s="17">
        <v>35</v>
      </c>
      <c r="BC11" s="15">
        <v>83</v>
      </c>
      <c r="BD11" s="17">
        <v>39</v>
      </c>
      <c r="BE11" s="17">
        <v>44</v>
      </c>
      <c r="BF11" s="15">
        <v>83</v>
      </c>
      <c r="BG11" s="17">
        <v>49</v>
      </c>
      <c r="BH11" s="130">
        <v>34</v>
      </c>
      <c r="BI11" s="17"/>
      <c r="BJ11" s="17"/>
      <c r="BK11" s="130"/>
      <c r="BL11" s="17"/>
      <c r="BM11" s="17"/>
      <c r="BN11" s="107"/>
      <c r="BO11" s="12">
        <v>140</v>
      </c>
      <c r="BP11" s="128">
        <v>97</v>
      </c>
      <c r="BQ11" s="128">
        <v>43</v>
      </c>
      <c r="BR11" s="108">
        <v>142</v>
      </c>
      <c r="BS11" s="128">
        <v>84</v>
      </c>
      <c r="BT11" s="128">
        <v>58</v>
      </c>
      <c r="BU11" s="108">
        <v>141</v>
      </c>
      <c r="BV11" s="128">
        <v>75</v>
      </c>
      <c r="BW11" s="128">
        <v>66</v>
      </c>
      <c r="BX11" s="190">
        <v>142</v>
      </c>
      <c r="BY11" s="191">
        <v>75</v>
      </c>
      <c r="BZ11" s="205">
        <v>67</v>
      </c>
      <c r="CA11" s="12">
        <v>141</v>
      </c>
      <c r="CB11" s="12">
        <v>72</v>
      </c>
      <c r="CC11" s="107">
        <v>69</v>
      </c>
      <c r="CD11" s="12">
        <v>142</v>
      </c>
      <c r="CE11" s="12">
        <v>69</v>
      </c>
      <c r="CF11" s="12">
        <v>73</v>
      </c>
    </row>
    <row r="12" spans="1:84">
      <c r="A12" s="8" t="s">
        <v>21</v>
      </c>
      <c r="B12" s="21"/>
      <c r="C12" s="21"/>
      <c r="D12" s="21"/>
      <c r="E12" s="8"/>
      <c r="F12" s="8"/>
      <c r="G12" s="8"/>
      <c r="H12" s="8"/>
      <c r="I12" s="8"/>
      <c r="J12" s="8"/>
      <c r="K12" s="8"/>
      <c r="L12" s="15"/>
      <c r="M12" s="17"/>
      <c r="N12" s="17"/>
      <c r="O12" s="17"/>
      <c r="P12" s="15"/>
      <c r="Q12" s="17"/>
      <c r="R12" s="17"/>
      <c r="S12" s="15"/>
      <c r="T12" s="17"/>
      <c r="U12" s="17"/>
      <c r="V12" s="15"/>
      <c r="W12" s="17"/>
      <c r="X12" s="17"/>
      <c r="Y12" s="15"/>
      <c r="Z12" s="17"/>
      <c r="AA12" s="17"/>
      <c r="AB12" s="15"/>
      <c r="AC12" s="17"/>
      <c r="AD12" s="17"/>
      <c r="AE12" s="15"/>
      <c r="AF12" s="17"/>
      <c r="AG12" s="17"/>
      <c r="AH12" s="15"/>
      <c r="AI12" s="17"/>
      <c r="AJ12" s="17"/>
      <c r="AK12" s="15"/>
      <c r="AL12" s="17"/>
      <c r="AM12" s="17"/>
      <c r="AN12" s="15"/>
      <c r="AO12" s="17"/>
      <c r="AP12" s="17"/>
      <c r="AQ12" s="15"/>
      <c r="AR12" s="17"/>
      <c r="AS12" s="17"/>
      <c r="AT12" s="15"/>
      <c r="AU12" s="17"/>
      <c r="AV12" s="17"/>
      <c r="AW12" s="15"/>
      <c r="AX12" s="17"/>
      <c r="AY12" s="17"/>
      <c r="AZ12" s="15"/>
      <c r="BA12" s="17"/>
      <c r="BB12" s="17"/>
      <c r="BC12" s="15"/>
      <c r="BD12" s="17"/>
      <c r="BE12" s="17"/>
      <c r="BF12" s="15"/>
      <c r="BG12" s="17"/>
      <c r="BH12" s="130"/>
      <c r="BI12" s="17"/>
      <c r="BJ12" s="17"/>
      <c r="BK12" s="130"/>
      <c r="BL12" s="17"/>
      <c r="BM12" s="17"/>
      <c r="BN12" s="107"/>
      <c r="BQ12" s="127"/>
      <c r="BR12" s="108"/>
      <c r="BT12" s="127"/>
      <c r="BU12" s="108"/>
      <c r="BW12" s="127"/>
      <c r="BX12" s="190"/>
      <c r="BZ12" s="206"/>
    </row>
    <row r="13" spans="1:84">
      <c r="A13" s="8" t="s">
        <v>22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15"/>
      <c r="M13" s="17"/>
      <c r="N13" s="17"/>
      <c r="O13" s="17"/>
      <c r="P13" s="15"/>
      <c r="Q13" s="17"/>
      <c r="R13" s="17"/>
      <c r="S13" s="15"/>
      <c r="T13" s="17"/>
      <c r="U13" s="17"/>
      <c r="V13" s="15"/>
      <c r="W13" s="17"/>
      <c r="X13" s="17"/>
      <c r="Y13" s="15"/>
      <c r="Z13" s="17"/>
      <c r="AA13" s="17"/>
      <c r="AB13" s="15"/>
      <c r="AC13" s="17"/>
      <c r="AD13" s="17"/>
      <c r="AE13" s="15"/>
      <c r="AF13" s="17"/>
      <c r="AG13" s="17"/>
      <c r="AH13" s="15"/>
      <c r="AI13" s="17"/>
      <c r="AJ13" s="17"/>
      <c r="AK13" s="15"/>
      <c r="AL13" s="17"/>
      <c r="AM13" s="17"/>
      <c r="AN13" s="15"/>
      <c r="AO13" s="17"/>
      <c r="AP13" s="17"/>
      <c r="AQ13" s="15"/>
      <c r="AR13" s="17"/>
      <c r="AS13" s="17"/>
      <c r="AT13" s="15"/>
      <c r="AU13" s="17"/>
      <c r="AV13" s="17"/>
      <c r="AW13" s="15"/>
      <c r="AX13" s="17"/>
      <c r="AY13" s="17"/>
      <c r="AZ13" s="15"/>
      <c r="BA13" s="17"/>
      <c r="BB13" s="17"/>
      <c r="BC13" s="15"/>
      <c r="BD13" s="17"/>
      <c r="BE13" s="17"/>
      <c r="BF13" s="15"/>
      <c r="BG13" s="17"/>
      <c r="BH13" s="130"/>
      <c r="BI13" s="17"/>
      <c r="BJ13" s="17"/>
      <c r="BK13" s="130"/>
      <c r="BL13" s="17"/>
      <c r="BM13" s="17"/>
      <c r="BN13" s="107"/>
      <c r="BQ13" s="127"/>
      <c r="BR13" s="108"/>
      <c r="BT13" s="127"/>
      <c r="BU13" s="108"/>
      <c r="BW13" s="127"/>
      <c r="BX13" s="190"/>
      <c r="BZ13" s="206"/>
    </row>
    <row r="14" spans="1:84">
      <c r="A14" s="12" t="s">
        <v>348</v>
      </c>
      <c r="B14" s="21"/>
      <c r="C14" s="21"/>
      <c r="D14" s="21"/>
      <c r="E14" s="8"/>
      <c r="F14" s="8"/>
      <c r="G14" s="8"/>
      <c r="H14" s="8"/>
      <c r="I14" s="8"/>
      <c r="J14" s="8"/>
      <c r="K14" s="8"/>
      <c r="L14" s="15"/>
      <c r="M14" s="17"/>
      <c r="N14" s="17"/>
      <c r="O14" s="17"/>
      <c r="P14" s="15"/>
      <c r="Q14" s="17"/>
      <c r="R14" s="17"/>
      <c r="S14" s="15"/>
      <c r="T14" s="17"/>
      <c r="U14" s="17"/>
      <c r="V14" s="15"/>
      <c r="W14" s="17"/>
      <c r="X14" s="17"/>
      <c r="Y14" s="15"/>
      <c r="Z14" s="17"/>
      <c r="AA14" s="17"/>
      <c r="AB14" s="15"/>
      <c r="AC14" s="17"/>
      <c r="AD14" s="17"/>
      <c r="AE14" s="15"/>
      <c r="AF14" s="17"/>
      <c r="AG14" s="17"/>
      <c r="AH14" s="15"/>
      <c r="AI14" s="17"/>
      <c r="AJ14" s="17"/>
      <c r="AK14" s="15"/>
      <c r="AL14" s="17"/>
      <c r="AM14" s="17"/>
      <c r="AN14" s="15"/>
      <c r="AO14" s="17"/>
      <c r="AP14" s="17"/>
      <c r="AQ14" s="15"/>
      <c r="AR14" s="17"/>
      <c r="AS14" s="17"/>
      <c r="AT14" s="15"/>
      <c r="AU14" s="17"/>
      <c r="AV14" s="17"/>
      <c r="AW14" s="15"/>
      <c r="AX14" s="17"/>
      <c r="AY14" s="17"/>
      <c r="AZ14" s="15"/>
      <c r="BA14" s="17"/>
      <c r="BB14" s="17"/>
      <c r="BC14" s="15">
        <v>110</v>
      </c>
      <c r="BD14" s="17">
        <v>64</v>
      </c>
      <c r="BE14" s="17">
        <v>46</v>
      </c>
      <c r="BF14" s="15">
        <v>109</v>
      </c>
      <c r="BG14" s="17">
        <v>71</v>
      </c>
      <c r="BH14" s="130">
        <v>38</v>
      </c>
      <c r="BI14" s="17"/>
      <c r="BJ14" s="17"/>
      <c r="BK14" s="130"/>
      <c r="BL14" s="17"/>
      <c r="BM14" s="17"/>
      <c r="BN14" s="107"/>
      <c r="BO14" s="12">
        <v>114</v>
      </c>
      <c r="BP14" s="128">
        <v>71</v>
      </c>
      <c r="BQ14" s="128">
        <v>43</v>
      </c>
      <c r="BR14" s="108">
        <v>112</v>
      </c>
      <c r="BS14" s="128">
        <v>60</v>
      </c>
      <c r="BT14" s="128">
        <v>52</v>
      </c>
      <c r="BU14" s="108">
        <v>112</v>
      </c>
      <c r="BV14" s="128">
        <v>63</v>
      </c>
      <c r="BW14" s="128">
        <v>49</v>
      </c>
      <c r="BX14" s="190">
        <v>109</v>
      </c>
      <c r="BY14" s="191">
        <v>79</v>
      </c>
      <c r="BZ14" s="205">
        <v>30</v>
      </c>
      <c r="CA14" s="12">
        <v>109</v>
      </c>
      <c r="CB14" s="12">
        <v>66</v>
      </c>
      <c r="CC14" s="107">
        <v>43</v>
      </c>
      <c r="CD14" s="12">
        <v>109</v>
      </c>
      <c r="CE14" s="12">
        <v>68</v>
      </c>
      <c r="CF14" s="12">
        <v>41</v>
      </c>
    </row>
    <row r="15" spans="1:84">
      <c r="A15" s="8" t="s">
        <v>24</v>
      </c>
      <c r="B15" s="21"/>
      <c r="C15" s="21"/>
      <c r="D15" s="21"/>
      <c r="E15" s="8"/>
      <c r="F15" s="8"/>
      <c r="G15" s="8"/>
      <c r="H15" s="8"/>
      <c r="I15" s="8"/>
      <c r="J15" s="8"/>
      <c r="K15" s="8"/>
      <c r="L15" s="15"/>
      <c r="M15" s="17"/>
      <c r="N15" s="17"/>
      <c r="O15" s="17"/>
      <c r="P15" s="15"/>
      <c r="Q15" s="17"/>
      <c r="R15" s="17"/>
      <c r="S15" s="15"/>
      <c r="T15" s="17"/>
      <c r="U15" s="17"/>
      <c r="V15" s="15"/>
      <c r="W15" s="17"/>
      <c r="X15" s="17"/>
      <c r="Y15" s="15"/>
      <c r="Z15" s="17"/>
      <c r="AA15" s="17"/>
      <c r="AB15" s="15"/>
      <c r="AC15" s="17"/>
      <c r="AD15" s="17"/>
      <c r="AE15" s="15"/>
      <c r="AF15" s="17"/>
      <c r="AG15" s="17"/>
      <c r="AH15" s="15"/>
      <c r="AI15" s="17"/>
      <c r="AJ15" s="17"/>
      <c r="AK15" s="15"/>
      <c r="AL15" s="17"/>
      <c r="AM15" s="17"/>
      <c r="AN15" s="15"/>
      <c r="AO15" s="17"/>
      <c r="AP15" s="17"/>
      <c r="AQ15" s="15"/>
      <c r="AR15" s="17"/>
      <c r="AS15" s="17"/>
      <c r="AT15" s="15"/>
      <c r="AU15" s="17"/>
      <c r="AV15" s="17"/>
      <c r="AW15" s="15"/>
      <c r="AX15" s="17"/>
      <c r="AY15" s="17"/>
      <c r="AZ15" s="15"/>
      <c r="BA15" s="17"/>
      <c r="BB15" s="17"/>
      <c r="BC15" s="15"/>
      <c r="BD15" s="17"/>
      <c r="BE15" s="17"/>
      <c r="BF15" s="15"/>
      <c r="BG15" s="17"/>
      <c r="BH15" s="130"/>
      <c r="BI15" s="17"/>
      <c r="BJ15" s="17"/>
      <c r="BK15" s="130"/>
      <c r="BL15" s="17"/>
      <c r="BM15" s="17"/>
      <c r="BN15" s="107"/>
      <c r="BO15" s="12">
        <v>164</v>
      </c>
      <c r="BP15" s="128">
        <v>88</v>
      </c>
      <c r="BQ15" s="128">
        <v>76</v>
      </c>
      <c r="BR15" s="108">
        <v>164</v>
      </c>
      <c r="BS15" s="128">
        <v>85</v>
      </c>
      <c r="BT15" s="128">
        <v>79</v>
      </c>
      <c r="BU15" s="108">
        <v>168</v>
      </c>
      <c r="BV15" s="128">
        <v>106</v>
      </c>
      <c r="BW15" s="128">
        <v>62</v>
      </c>
      <c r="BX15" s="190">
        <v>150</v>
      </c>
      <c r="BY15" s="191">
        <v>76</v>
      </c>
      <c r="BZ15" s="205">
        <v>74</v>
      </c>
      <c r="CA15" s="12">
        <v>164</v>
      </c>
      <c r="CB15" s="12">
        <v>76</v>
      </c>
      <c r="CC15" s="107">
        <v>88</v>
      </c>
      <c r="CD15" s="12">
        <v>161</v>
      </c>
      <c r="CE15" s="12">
        <v>77</v>
      </c>
      <c r="CF15" s="12">
        <v>84</v>
      </c>
    </row>
    <row r="16" spans="1:84">
      <c r="A16" s="8" t="s">
        <v>349</v>
      </c>
      <c r="B16" s="21">
        <v>98</v>
      </c>
      <c r="C16" s="21">
        <v>91</v>
      </c>
      <c r="D16" s="21">
        <f>((E16-C16)/2)+C16</f>
        <v>78</v>
      </c>
      <c r="E16" s="8">
        <v>65</v>
      </c>
      <c r="F16" s="8">
        <v>73</v>
      </c>
      <c r="G16" s="8">
        <v>79</v>
      </c>
      <c r="H16" s="8">
        <v>91</v>
      </c>
      <c r="I16" s="8">
        <v>63</v>
      </c>
      <c r="J16" s="8">
        <v>94</v>
      </c>
      <c r="K16" s="8">
        <v>89</v>
      </c>
      <c r="L16" s="15">
        <v>88</v>
      </c>
      <c r="M16" s="17">
        <v>88</v>
      </c>
      <c r="N16" s="17">
        <v>58</v>
      </c>
      <c r="O16" s="17">
        <v>30</v>
      </c>
      <c r="P16" s="15">
        <v>91</v>
      </c>
      <c r="Q16" s="17">
        <v>60</v>
      </c>
      <c r="R16" s="17">
        <v>31</v>
      </c>
      <c r="S16" s="15">
        <v>90</v>
      </c>
      <c r="T16" s="17">
        <v>60</v>
      </c>
      <c r="U16" s="17">
        <v>30</v>
      </c>
      <c r="V16" s="15">
        <v>88</v>
      </c>
      <c r="W16" s="17">
        <v>57</v>
      </c>
      <c r="X16" s="17">
        <v>31</v>
      </c>
      <c r="Y16" s="15">
        <v>92</v>
      </c>
      <c r="Z16" s="17">
        <v>57</v>
      </c>
      <c r="AA16" s="17">
        <v>35</v>
      </c>
      <c r="AB16" s="15">
        <v>91</v>
      </c>
      <c r="AC16" s="17">
        <v>53</v>
      </c>
      <c r="AD16" s="17">
        <v>38</v>
      </c>
      <c r="AE16" s="15">
        <v>91</v>
      </c>
      <c r="AF16" s="17">
        <v>49</v>
      </c>
      <c r="AG16" s="17">
        <v>42</v>
      </c>
      <c r="AH16" s="15">
        <v>90</v>
      </c>
      <c r="AI16" s="17">
        <v>52</v>
      </c>
      <c r="AJ16" s="17">
        <v>38</v>
      </c>
      <c r="AK16" s="15">
        <v>90</v>
      </c>
      <c r="AL16" s="17">
        <v>48</v>
      </c>
      <c r="AM16" s="17">
        <v>42</v>
      </c>
      <c r="AN16" s="15">
        <v>89</v>
      </c>
      <c r="AO16" s="17">
        <v>49</v>
      </c>
      <c r="AP16" s="17">
        <v>40</v>
      </c>
      <c r="AQ16" s="15">
        <v>93</v>
      </c>
      <c r="AR16" s="17">
        <v>48</v>
      </c>
      <c r="AS16" s="17">
        <v>45</v>
      </c>
      <c r="AT16" s="15">
        <v>93</v>
      </c>
      <c r="AU16" s="17">
        <v>48</v>
      </c>
      <c r="AV16" s="17">
        <v>45</v>
      </c>
      <c r="AW16" s="15">
        <v>92</v>
      </c>
      <c r="AX16" s="17">
        <v>48</v>
      </c>
      <c r="AY16" s="17">
        <v>44</v>
      </c>
      <c r="AZ16" s="15">
        <v>98</v>
      </c>
      <c r="BA16" s="17">
        <v>50</v>
      </c>
      <c r="BB16" s="17">
        <v>48</v>
      </c>
      <c r="BC16" s="15">
        <v>95</v>
      </c>
      <c r="BD16" s="17">
        <v>54</v>
      </c>
      <c r="BE16" s="17">
        <v>41</v>
      </c>
      <c r="BF16" s="15">
        <v>105</v>
      </c>
      <c r="BG16" s="17">
        <v>59</v>
      </c>
      <c r="BH16" s="130">
        <v>46</v>
      </c>
      <c r="BI16" s="17"/>
      <c r="BJ16" s="17"/>
      <c r="BK16" s="130"/>
      <c r="BL16" s="17"/>
      <c r="BM16" s="17"/>
      <c r="BN16" s="107"/>
      <c r="BO16" s="12">
        <v>115</v>
      </c>
      <c r="BP16" s="128">
        <v>72</v>
      </c>
      <c r="BQ16" s="128">
        <v>43</v>
      </c>
      <c r="BR16" s="108">
        <v>113</v>
      </c>
      <c r="BS16" s="128">
        <v>64</v>
      </c>
      <c r="BT16" s="128">
        <v>49</v>
      </c>
      <c r="BU16" s="108">
        <v>120</v>
      </c>
      <c r="BV16" s="128">
        <v>71</v>
      </c>
      <c r="BW16" s="128">
        <v>49</v>
      </c>
      <c r="BX16" s="190">
        <v>123</v>
      </c>
      <c r="BY16" s="191">
        <v>68</v>
      </c>
      <c r="BZ16" s="205">
        <v>55</v>
      </c>
      <c r="CA16" s="12">
        <v>126</v>
      </c>
      <c r="CB16" s="12">
        <v>71</v>
      </c>
      <c r="CC16" s="107">
        <v>55</v>
      </c>
      <c r="CD16" s="12">
        <v>116</v>
      </c>
      <c r="CE16" s="12">
        <v>61</v>
      </c>
      <c r="CF16" s="12">
        <v>55</v>
      </c>
    </row>
    <row r="17" spans="1:84">
      <c r="A17" s="8" t="s">
        <v>26</v>
      </c>
      <c r="B17" s="21"/>
      <c r="C17" s="21"/>
      <c r="D17" s="21"/>
      <c r="E17" s="8"/>
      <c r="F17" s="8"/>
      <c r="G17" s="8"/>
      <c r="H17" s="8"/>
      <c r="I17" s="8"/>
      <c r="J17" s="8"/>
      <c r="K17" s="8"/>
      <c r="L17" s="15"/>
      <c r="M17" s="17"/>
      <c r="N17" s="17"/>
      <c r="O17" s="17"/>
      <c r="P17" s="15"/>
      <c r="Q17" s="17"/>
      <c r="R17" s="17"/>
      <c r="S17" s="15"/>
      <c r="T17" s="17"/>
      <c r="U17" s="17"/>
      <c r="V17" s="15"/>
      <c r="W17" s="17"/>
      <c r="X17" s="17"/>
      <c r="Y17" s="15"/>
      <c r="Z17" s="17"/>
      <c r="AA17" s="17"/>
      <c r="AB17" s="15"/>
      <c r="AC17" s="17"/>
      <c r="AD17" s="17"/>
      <c r="AE17" s="15"/>
      <c r="AF17" s="17"/>
      <c r="AG17" s="17"/>
      <c r="AH17" s="15"/>
      <c r="AI17" s="17"/>
      <c r="AJ17" s="17"/>
      <c r="AK17" s="15"/>
      <c r="AL17" s="17"/>
      <c r="AM17" s="17"/>
      <c r="AN17" s="15"/>
      <c r="AO17" s="17"/>
      <c r="AP17" s="17"/>
      <c r="AQ17" s="15"/>
      <c r="AR17" s="17"/>
      <c r="AS17" s="17"/>
      <c r="AT17" s="15"/>
      <c r="AU17" s="17"/>
      <c r="AV17" s="17"/>
      <c r="AW17" s="15"/>
      <c r="AX17" s="17"/>
      <c r="AY17" s="17"/>
      <c r="AZ17" s="15"/>
      <c r="BA17" s="17"/>
      <c r="BB17" s="17"/>
      <c r="BC17" s="15"/>
      <c r="BD17" s="17"/>
      <c r="BE17" s="17"/>
      <c r="BF17" s="15">
        <v>162</v>
      </c>
      <c r="BG17" s="17">
        <v>80</v>
      </c>
      <c r="BH17" s="130">
        <v>82</v>
      </c>
      <c r="BI17" s="17"/>
      <c r="BJ17" s="17"/>
      <c r="BK17" s="130"/>
      <c r="BL17" s="17"/>
      <c r="BM17" s="17"/>
      <c r="BN17" s="107"/>
      <c r="BO17" s="12">
        <v>163</v>
      </c>
      <c r="BP17" s="128">
        <v>88</v>
      </c>
      <c r="BQ17" s="128">
        <v>75</v>
      </c>
      <c r="BR17" s="108">
        <v>163</v>
      </c>
      <c r="BS17" s="128">
        <v>85</v>
      </c>
      <c r="BT17" s="128">
        <v>78</v>
      </c>
      <c r="BU17" s="108">
        <v>163</v>
      </c>
      <c r="BV17" s="128">
        <v>72</v>
      </c>
      <c r="BW17" s="128">
        <v>91</v>
      </c>
      <c r="BX17" s="190">
        <v>162</v>
      </c>
      <c r="BY17" s="191">
        <v>85</v>
      </c>
      <c r="BZ17" s="205">
        <v>77</v>
      </c>
      <c r="CA17" s="12">
        <v>165</v>
      </c>
      <c r="CB17" s="12">
        <v>72</v>
      </c>
      <c r="CC17" s="107">
        <v>93</v>
      </c>
      <c r="CD17" s="12">
        <v>162</v>
      </c>
      <c r="CE17" s="12">
        <v>76</v>
      </c>
      <c r="CF17" s="12">
        <v>86</v>
      </c>
    </row>
    <row r="18" spans="1:84">
      <c r="A18" s="8" t="s">
        <v>306</v>
      </c>
      <c r="B18" s="21"/>
      <c r="C18" s="21"/>
      <c r="D18" s="21"/>
      <c r="E18" s="8"/>
      <c r="F18" s="8"/>
      <c r="G18" s="8"/>
      <c r="H18" s="8"/>
      <c r="I18" s="8"/>
      <c r="J18" s="8"/>
      <c r="K18" s="8"/>
      <c r="L18" s="15"/>
      <c r="M18" s="17"/>
      <c r="N18" s="17"/>
      <c r="O18" s="17"/>
      <c r="P18" s="15"/>
      <c r="Q18" s="17"/>
      <c r="R18" s="17"/>
      <c r="S18" s="15"/>
      <c r="T18" s="17"/>
      <c r="U18" s="17"/>
      <c r="V18" s="15"/>
      <c r="W18" s="17"/>
      <c r="X18" s="17"/>
      <c r="Y18" s="15"/>
      <c r="Z18" s="17"/>
      <c r="AA18" s="17"/>
      <c r="AB18" s="15"/>
      <c r="AC18" s="17"/>
      <c r="AD18" s="17"/>
      <c r="AE18" s="15"/>
      <c r="AF18" s="17"/>
      <c r="AG18" s="17"/>
      <c r="AH18" s="15"/>
      <c r="AI18" s="17"/>
      <c r="AJ18" s="17"/>
      <c r="AK18" s="15"/>
      <c r="AL18" s="17"/>
      <c r="AM18" s="17"/>
      <c r="AN18" s="15"/>
      <c r="AO18" s="17"/>
      <c r="AP18" s="17"/>
      <c r="AQ18" s="15"/>
      <c r="AR18" s="17"/>
      <c r="AS18" s="17"/>
      <c r="AT18" s="15"/>
      <c r="AU18" s="17"/>
      <c r="AV18" s="17"/>
      <c r="AW18" s="15">
        <v>160</v>
      </c>
      <c r="AX18" s="17">
        <v>101</v>
      </c>
      <c r="AY18" s="17">
        <v>59</v>
      </c>
      <c r="AZ18" s="15">
        <v>167</v>
      </c>
      <c r="BA18" s="17">
        <v>99</v>
      </c>
      <c r="BB18" s="17">
        <v>68</v>
      </c>
      <c r="BC18" s="15">
        <v>168</v>
      </c>
      <c r="BD18" s="17">
        <v>108</v>
      </c>
      <c r="BE18" s="17">
        <v>60</v>
      </c>
      <c r="BF18" s="15">
        <v>166</v>
      </c>
      <c r="BG18" s="17">
        <v>79</v>
      </c>
      <c r="BH18" s="130">
        <v>87</v>
      </c>
      <c r="BI18" s="17"/>
      <c r="BJ18" s="17"/>
      <c r="BK18" s="130"/>
      <c r="BL18" s="17"/>
      <c r="BM18" s="17"/>
      <c r="BN18" s="107"/>
      <c r="BO18" s="12">
        <v>257</v>
      </c>
      <c r="BP18" s="128">
        <v>168</v>
      </c>
      <c r="BQ18" s="128">
        <v>89</v>
      </c>
      <c r="BR18" s="108">
        <v>253</v>
      </c>
      <c r="BS18" s="128">
        <v>156</v>
      </c>
      <c r="BT18" s="128">
        <v>97</v>
      </c>
      <c r="BU18" s="108">
        <v>247</v>
      </c>
      <c r="BV18" s="128">
        <v>154</v>
      </c>
      <c r="BW18" s="128">
        <v>93</v>
      </c>
      <c r="BX18" s="190">
        <v>247</v>
      </c>
      <c r="BY18" s="191">
        <v>134</v>
      </c>
      <c r="BZ18" s="205">
        <v>113</v>
      </c>
      <c r="CA18" s="12">
        <v>251</v>
      </c>
      <c r="CB18" s="12">
        <v>133</v>
      </c>
      <c r="CC18" s="107">
        <v>118</v>
      </c>
      <c r="CD18" s="12">
        <v>380</v>
      </c>
      <c r="CE18" s="12">
        <v>184</v>
      </c>
      <c r="CF18" s="12">
        <v>196</v>
      </c>
    </row>
    <row r="19" spans="1:84">
      <c r="A19" s="8" t="s">
        <v>307</v>
      </c>
      <c r="B19" s="21">
        <v>104</v>
      </c>
      <c r="C19" s="21">
        <v>107</v>
      </c>
      <c r="D19" s="21">
        <f>((E19-C19)/2)+C19</f>
        <v>105</v>
      </c>
      <c r="E19" s="8">
        <v>103</v>
      </c>
      <c r="F19" s="8">
        <v>94</v>
      </c>
      <c r="G19" s="8">
        <v>111</v>
      </c>
      <c r="H19" s="8">
        <v>107</v>
      </c>
      <c r="I19" s="8">
        <v>114</v>
      </c>
      <c r="J19" s="8">
        <v>115</v>
      </c>
      <c r="K19" s="8">
        <v>107</v>
      </c>
      <c r="L19" s="15">
        <v>119</v>
      </c>
      <c r="M19" s="17">
        <v>117</v>
      </c>
      <c r="N19" s="17">
        <v>66</v>
      </c>
      <c r="O19" s="17">
        <v>51</v>
      </c>
      <c r="P19" s="15">
        <v>118</v>
      </c>
      <c r="Q19" s="17">
        <v>71</v>
      </c>
      <c r="R19" s="17">
        <v>47</v>
      </c>
      <c r="S19" s="15">
        <v>122</v>
      </c>
      <c r="T19" s="17">
        <v>65</v>
      </c>
      <c r="U19" s="17">
        <v>57</v>
      </c>
      <c r="V19" s="15">
        <v>115</v>
      </c>
      <c r="W19" s="17">
        <v>62</v>
      </c>
      <c r="X19" s="17">
        <v>53</v>
      </c>
      <c r="Y19" s="15">
        <v>115</v>
      </c>
      <c r="Z19" s="17">
        <v>58</v>
      </c>
      <c r="AA19" s="17">
        <v>57</v>
      </c>
      <c r="AB19" s="15">
        <v>121</v>
      </c>
      <c r="AC19" s="17">
        <v>62</v>
      </c>
      <c r="AD19" s="17">
        <v>59</v>
      </c>
      <c r="AE19" s="15">
        <v>122</v>
      </c>
      <c r="AF19" s="17">
        <v>57</v>
      </c>
      <c r="AG19" s="17">
        <v>65</v>
      </c>
      <c r="AH19" s="15">
        <v>127</v>
      </c>
      <c r="AI19" s="17">
        <v>67</v>
      </c>
      <c r="AJ19" s="17">
        <v>60</v>
      </c>
      <c r="AK19" s="15">
        <v>129</v>
      </c>
      <c r="AL19" s="17">
        <v>54</v>
      </c>
      <c r="AM19" s="17">
        <v>75</v>
      </c>
      <c r="AN19" s="15">
        <v>135</v>
      </c>
      <c r="AO19" s="17">
        <v>70</v>
      </c>
      <c r="AP19" s="17">
        <v>65</v>
      </c>
      <c r="AQ19" s="15">
        <v>140</v>
      </c>
      <c r="AR19" s="17">
        <v>70</v>
      </c>
      <c r="AS19" s="17">
        <v>70</v>
      </c>
      <c r="AT19" s="15">
        <v>162</v>
      </c>
      <c r="AU19" s="17">
        <v>84</v>
      </c>
      <c r="AV19" s="17">
        <v>78</v>
      </c>
      <c r="AW19" s="15">
        <v>173</v>
      </c>
      <c r="AX19" s="17">
        <v>88</v>
      </c>
      <c r="AY19" s="17">
        <v>85</v>
      </c>
      <c r="AZ19" s="15">
        <v>190</v>
      </c>
      <c r="BA19" s="17">
        <v>103</v>
      </c>
      <c r="BB19" s="17">
        <v>87</v>
      </c>
      <c r="BC19" s="15">
        <v>219</v>
      </c>
      <c r="BD19" s="17">
        <v>107</v>
      </c>
      <c r="BE19" s="17">
        <v>112</v>
      </c>
      <c r="BF19" s="15">
        <v>239</v>
      </c>
      <c r="BG19" s="17">
        <v>103</v>
      </c>
      <c r="BH19" s="130">
        <v>136</v>
      </c>
      <c r="BI19" s="17"/>
      <c r="BJ19" s="17"/>
      <c r="BK19" s="130"/>
      <c r="BL19" s="17"/>
      <c r="BM19" s="17"/>
      <c r="BN19" s="107"/>
      <c r="BO19" s="12">
        <v>237</v>
      </c>
      <c r="BP19" s="128">
        <v>150</v>
      </c>
      <c r="BQ19" s="128">
        <v>87</v>
      </c>
      <c r="BR19" s="108">
        <v>237</v>
      </c>
      <c r="BS19" s="128">
        <v>132</v>
      </c>
      <c r="BT19" s="128">
        <v>105</v>
      </c>
      <c r="BU19" s="108">
        <v>239</v>
      </c>
      <c r="BV19" s="128">
        <v>121</v>
      </c>
      <c r="BW19" s="128">
        <v>118</v>
      </c>
      <c r="BX19" s="190">
        <v>404</v>
      </c>
      <c r="BY19" s="191">
        <v>181</v>
      </c>
      <c r="BZ19" s="205">
        <v>223</v>
      </c>
      <c r="CA19" s="12">
        <v>415</v>
      </c>
      <c r="CB19" s="12">
        <v>184</v>
      </c>
      <c r="CC19" s="107">
        <v>231</v>
      </c>
      <c r="CD19" s="12">
        <v>402</v>
      </c>
      <c r="CE19" s="12">
        <v>179</v>
      </c>
      <c r="CF19" s="12">
        <v>223</v>
      </c>
    </row>
    <row r="20" spans="1:84">
      <c r="A20" s="8" t="s">
        <v>350</v>
      </c>
      <c r="B20" s="21"/>
      <c r="C20" s="21"/>
      <c r="D20" s="21"/>
      <c r="E20" s="8"/>
      <c r="F20" s="8"/>
      <c r="G20" s="8"/>
      <c r="H20" s="8"/>
      <c r="I20" s="8"/>
      <c r="J20" s="8"/>
      <c r="K20" s="8"/>
      <c r="L20" s="15"/>
      <c r="M20" s="17"/>
      <c r="N20" s="17"/>
      <c r="O20" s="17"/>
      <c r="P20" s="15"/>
      <c r="Q20" s="17"/>
      <c r="R20" s="17"/>
      <c r="S20" s="15"/>
      <c r="T20" s="17"/>
      <c r="U20" s="17"/>
      <c r="V20" s="15"/>
      <c r="W20" s="17"/>
      <c r="X20" s="17"/>
      <c r="Y20" s="15"/>
      <c r="Z20" s="17"/>
      <c r="AA20" s="17"/>
      <c r="AB20" s="15"/>
      <c r="AC20" s="17"/>
      <c r="AD20" s="17"/>
      <c r="AE20" s="15"/>
      <c r="AF20" s="17"/>
      <c r="AG20" s="17"/>
      <c r="AH20" s="15"/>
      <c r="AI20" s="17"/>
      <c r="AJ20" s="17"/>
      <c r="AK20" s="15">
        <v>154</v>
      </c>
      <c r="AL20" s="17">
        <v>80</v>
      </c>
      <c r="AM20" s="17">
        <v>74</v>
      </c>
      <c r="AN20" s="15">
        <v>156</v>
      </c>
      <c r="AO20" s="17">
        <v>76</v>
      </c>
      <c r="AP20" s="17">
        <v>80</v>
      </c>
      <c r="AQ20" s="15">
        <v>160</v>
      </c>
      <c r="AR20" s="17">
        <v>84</v>
      </c>
      <c r="AS20" s="17">
        <v>76</v>
      </c>
      <c r="AT20" s="15">
        <v>163</v>
      </c>
      <c r="AU20" s="17">
        <v>70</v>
      </c>
      <c r="AV20" s="17">
        <v>93</v>
      </c>
      <c r="AW20" s="15">
        <v>164</v>
      </c>
      <c r="AX20" s="17">
        <v>74</v>
      </c>
      <c r="AY20" s="17">
        <v>90</v>
      </c>
      <c r="AZ20" s="15">
        <v>194</v>
      </c>
      <c r="BA20" s="17">
        <v>113</v>
      </c>
      <c r="BB20" s="17">
        <v>81</v>
      </c>
      <c r="BC20" s="15">
        <v>190</v>
      </c>
      <c r="BD20" s="17">
        <v>88</v>
      </c>
      <c r="BE20" s="17">
        <v>102</v>
      </c>
      <c r="BF20" s="15">
        <v>189</v>
      </c>
      <c r="BG20" s="17">
        <v>103</v>
      </c>
      <c r="BH20" s="130">
        <v>86</v>
      </c>
      <c r="BI20" s="17"/>
      <c r="BJ20" s="17"/>
      <c r="BK20" s="130"/>
      <c r="BL20" s="17"/>
      <c r="BM20" s="17"/>
      <c r="BN20" s="107"/>
      <c r="BO20" s="12">
        <v>349</v>
      </c>
      <c r="BP20" s="128">
        <v>169</v>
      </c>
      <c r="BQ20" s="128">
        <v>180</v>
      </c>
      <c r="BR20" s="108">
        <v>364</v>
      </c>
      <c r="BS20" s="128">
        <v>186</v>
      </c>
      <c r="BT20" s="128">
        <v>178</v>
      </c>
      <c r="BU20" s="108">
        <v>358</v>
      </c>
      <c r="BV20" s="128">
        <v>177</v>
      </c>
      <c r="BW20" s="128">
        <v>181</v>
      </c>
      <c r="BX20" s="190">
        <v>342</v>
      </c>
      <c r="BY20" s="191">
        <v>166</v>
      </c>
      <c r="BZ20" s="205">
        <v>176</v>
      </c>
      <c r="CA20" s="12">
        <v>355</v>
      </c>
      <c r="CB20" s="12">
        <v>170</v>
      </c>
      <c r="CC20" s="107">
        <v>185</v>
      </c>
      <c r="CD20" s="12">
        <v>352</v>
      </c>
      <c r="CE20" s="12">
        <v>174</v>
      </c>
      <c r="CF20" s="12">
        <v>178</v>
      </c>
    </row>
    <row r="21" spans="1:84">
      <c r="A21" s="17" t="s">
        <v>309</v>
      </c>
      <c r="B21" s="6">
        <v>55</v>
      </c>
      <c r="C21" s="6">
        <v>68</v>
      </c>
      <c r="D21" s="6">
        <f>((E21-C21)/2)+C21</f>
        <v>65.5</v>
      </c>
      <c r="E21" s="17">
        <v>63</v>
      </c>
      <c r="F21" s="17">
        <v>64</v>
      </c>
      <c r="G21" s="17">
        <v>69</v>
      </c>
      <c r="H21" s="17">
        <v>67</v>
      </c>
      <c r="I21" s="17">
        <v>70</v>
      </c>
      <c r="J21" s="17">
        <v>69</v>
      </c>
      <c r="K21" s="17">
        <v>70</v>
      </c>
      <c r="L21" s="15">
        <v>67</v>
      </c>
      <c r="M21" s="17">
        <v>67</v>
      </c>
      <c r="N21" s="17">
        <v>40</v>
      </c>
      <c r="O21" s="17">
        <v>27</v>
      </c>
      <c r="P21" s="15">
        <v>65</v>
      </c>
      <c r="Q21" s="17">
        <v>38</v>
      </c>
      <c r="R21" s="17">
        <v>27</v>
      </c>
      <c r="S21" s="15">
        <v>69</v>
      </c>
      <c r="T21" s="17">
        <v>47</v>
      </c>
      <c r="U21" s="17">
        <v>22</v>
      </c>
      <c r="V21" s="15">
        <v>65</v>
      </c>
      <c r="W21" s="17">
        <v>31</v>
      </c>
      <c r="X21" s="17">
        <v>34</v>
      </c>
      <c r="Y21" s="15">
        <v>77</v>
      </c>
      <c r="Z21" s="17">
        <v>44</v>
      </c>
      <c r="AA21" s="17">
        <v>33</v>
      </c>
      <c r="AB21" s="15">
        <v>77</v>
      </c>
      <c r="AC21" s="17">
        <v>45</v>
      </c>
      <c r="AD21" s="17">
        <v>32</v>
      </c>
      <c r="AE21" s="15">
        <v>80</v>
      </c>
      <c r="AF21" s="17">
        <v>35</v>
      </c>
      <c r="AG21" s="17">
        <v>45</v>
      </c>
      <c r="AH21" s="15">
        <v>81</v>
      </c>
      <c r="AI21" s="17">
        <v>39</v>
      </c>
      <c r="AJ21" s="17">
        <v>42</v>
      </c>
      <c r="AK21" s="15">
        <v>103</v>
      </c>
      <c r="AL21" s="17">
        <v>54</v>
      </c>
      <c r="AM21" s="17">
        <v>49</v>
      </c>
      <c r="AN21" s="15">
        <v>108</v>
      </c>
      <c r="AO21" s="17">
        <v>55</v>
      </c>
      <c r="AP21" s="17">
        <v>53</v>
      </c>
      <c r="AQ21" s="15">
        <v>111</v>
      </c>
      <c r="AR21" s="17">
        <v>63</v>
      </c>
      <c r="AS21" s="17">
        <v>48</v>
      </c>
      <c r="AT21" s="15">
        <v>196</v>
      </c>
      <c r="AU21" s="17">
        <v>96</v>
      </c>
      <c r="AV21" s="17">
        <v>100</v>
      </c>
      <c r="AW21" s="15">
        <v>208</v>
      </c>
      <c r="AX21" s="17">
        <v>108</v>
      </c>
      <c r="AY21" s="17">
        <v>100</v>
      </c>
      <c r="AZ21" s="15">
        <v>215</v>
      </c>
      <c r="BA21" s="17">
        <v>124</v>
      </c>
      <c r="BB21" s="17">
        <v>91</v>
      </c>
      <c r="BC21" s="15">
        <v>219</v>
      </c>
      <c r="BD21" s="17">
        <v>118</v>
      </c>
      <c r="BE21" s="17">
        <v>101</v>
      </c>
      <c r="BF21" s="15">
        <v>222</v>
      </c>
      <c r="BG21" s="17">
        <v>115</v>
      </c>
      <c r="BH21" s="130">
        <v>107</v>
      </c>
      <c r="BI21" s="17"/>
      <c r="BJ21" s="17"/>
      <c r="BK21" s="130"/>
      <c r="BL21" s="17"/>
      <c r="BM21" s="17"/>
      <c r="BN21" s="107"/>
      <c r="BO21" s="12">
        <v>213</v>
      </c>
      <c r="BP21" s="197">
        <v>101</v>
      </c>
      <c r="BQ21" s="197">
        <v>112</v>
      </c>
      <c r="BR21" s="108">
        <v>216</v>
      </c>
      <c r="BS21" s="197">
        <v>110</v>
      </c>
      <c r="BT21" s="197">
        <v>106</v>
      </c>
      <c r="BU21" s="108">
        <v>214</v>
      </c>
      <c r="BV21" s="197">
        <v>104</v>
      </c>
      <c r="BW21" s="197">
        <v>110</v>
      </c>
      <c r="BX21" s="190">
        <v>214</v>
      </c>
      <c r="BY21" s="198">
        <v>98</v>
      </c>
      <c r="BZ21" s="205">
        <v>116</v>
      </c>
      <c r="CA21" s="12">
        <v>215</v>
      </c>
      <c r="CB21" s="12">
        <v>124</v>
      </c>
      <c r="CC21" s="107">
        <v>91</v>
      </c>
      <c r="CD21" s="12">
        <v>205</v>
      </c>
      <c r="CE21" s="12">
        <v>114</v>
      </c>
      <c r="CF21" s="12">
        <v>91</v>
      </c>
    </row>
    <row r="22" spans="1:84" s="176" customFormat="1">
      <c r="A22" s="136" t="s">
        <v>31</v>
      </c>
      <c r="B22" s="193"/>
      <c r="C22" s="193"/>
      <c r="D22" s="193"/>
      <c r="E22" s="136"/>
      <c r="F22" s="136"/>
      <c r="G22" s="136"/>
      <c r="H22" s="136"/>
      <c r="I22" s="136"/>
      <c r="J22" s="136"/>
      <c r="K22" s="136"/>
      <c r="L22" s="194"/>
      <c r="M22" s="136"/>
      <c r="N22" s="136"/>
      <c r="O22" s="136"/>
      <c r="P22" s="194"/>
      <c r="Q22" s="136"/>
      <c r="R22" s="136"/>
      <c r="S22" s="194"/>
      <c r="T22" s="136"/>
      <c r="U22" s="136"/>
      <c r="V22" s="194"/>
      <c r="W22" s="136"/>
      <c r="X22" s="136"/>
      <c r="Y22" s="194"/>
      <c r="Z22" s="136"/>
      <c r="AA22" s="136"/>
      <c r="AB22" s="194"/>
      <c r="AC22" s="136"/>
      <c r="AD22" s="136"/>
      <c r="AE22" s="194"/>
      <c r="AF22" s="136"/>
      <c r="AG22" s="136"/>
      <c r="AH22" s="194"/>
      <c r="AI22" s="136"/>
      <c r="AJ22" s="136"/>
      <c r="AK22" s="194"/>
      <c r="AL22" s="136"/>
      <c r="AM22" s="136"/>
      <c r="AN22" s="194"/>
      <c r="AO22" s="136"/>
      <c r="AP22" s="136"/>
      <c r="AQ22" s="194"/>
      <c r="AR22" s="136"/>
      <c r="AS22" s="136"/>
      <c r="AT22" s="194"/>
      <c r="AU22" s="136"/>
      <c r="AV22" s="136"/>
      <c r="AW22" s="194"/>
      <c r="AX22" s="136"/>
      <c r="AY22" s="136"/>
      <c r="AZ22" s="194">
        <f>SUM(AZ24:AZ36)</f>
        <v>1122</v>
      </c>
      <c r="BA22" s="136">
        <f t="shared" ref="BA22:BE22" si="21">SUM(BA24:BA36)</f>
        <v>618</v>
      </c>
      <c r="BB22" s="136">
        <f t="shared" si="21"/>
        <v>504</v>
      </c>
      <c r="BC22" s="194">
        <f t="shared" si="21"/>
        <v>1124</v>
      </c>
      <c r="BD22" s="136">
        <f t="shared" si="21"/>
        <v>645</v>
      </c>
      <c r="BE22" s="136">
        <f t="shared" si="21"/>
        <v>479</v>
      </c>
      <c r="BF22" s="194">
        <f t="shared" ref="BF22:BH22" si="22">SUM(BF24:BF36)</f>
        <v>1232</v>
      </c>
      <c r="BG22" s="136">
        <f t="shared" si="22"/>
        <v>696</v>
      </c>
      <c r="BH22" s="118">
        <f t="shared" si="22"/>
        <v>536</v>
      </c>
      <c r="BI22" s="136">
        <f t="shared" ref="BI22:BQ22" si="23">SUM(BI24:BI36)</f>
        <v>0</v>
      </c>
      <c r="BJ22" s="136">
        <f t="shared" si="23"/>
        <v>0</v>
      </c>
      <c r="BK22" s="118">
        <f t="shared" si="23"/>
        <v>0</v>
      </c>
      <c r="BL22" s="136">
        <f t="shared" si="23"/>
        <v>0</v>
      </c>
      <c r="BM22" s="136">
        <f t="shared" si="23"/>
        <v>0</v>
      </c>
      <c r="BN22" s="118">
        <f t="shared" si="23"/>
        <v>0</v>
      </c>
      <c r="BO22" s="136">
        <f t="shared" si="23"/>
        <v>1310</v>
      </c>
      <c r="BP22" s="136">
        <f t="shared" si="23"/>
        <v>778</v>
      </c>
      <c r="BQ22" s="136">
        <f t="shared" si="23"/>
        <v>532</v>
      </c>
      <c r="BR22" s="194">
        <f t="shared" ref="BR22:BT22" si="24">SUM(BR24:BR36)</f>
        <v>1290</v>
      </c>
      <c r="BS22" s="136">
        <f t="shared" si="24"/>
        <v>742</v>
      </c>
      <c r="BT22" s="136">
        <f t="shared" si="24"/>
        <v>548</v>
      </c>
      <c r="BU22" s="194">
        <f t="shared" ref="BU22:BW22" si="25">SUM(BU24:BU36)</f>
        <v>1463</v>
      </c>
      <c r="BV22" s="136">
        <f t="shared" si="25"/>
        <v>754</v>
      </c>
      <c r="BW22" s="136">
        <f t="shared" si="25"/>
        <v>709</v>
      </c>
      <c r="BX22" s="195">
        <f t="shared" ref="BX22:BZ22" si="26">SUM(BX24:BX36)</f>
        <v>1575</v>
      </c>
      <c r="BY22" s="196">
        <f t="shared" si="26"/>
        <v>897</v>
      </c>
      <c r="BZ22" s="207">
        <f t="shared" si="26"/>
        <v>678</v>
      </c>
      <c r="CA22" s="196">
        <f t="shared" ref="CA22:CC22" si="27">SUM(CA24:CA36)</f>
        <v>1813</v>
      </c>
      <c r="CB22" s="196">
        <f t="shared" si="27"/>
        <v>1001</v>
      </c>
      <c r="CC22" s="207">
        <f t="shared" si="27"/>
        <v>811</v>
      </c>
      <c r="CD22" s="196">
        <f t="shared" ref="CD22:CF22" si="28">SUM(CD24:CD36)</f>
        <v>1857</v>
      </c>
      <c r="CE22" s="196">
        <f t="shared" si="28"/>
        <v>970</v>
      </c>
      <c r="CF22" s="196">
        <f t="shared" si="28"/>
        <v>884</v>
      </c>
    </row>
    <row r="23" spans="1:84">
      <c r="A23" s="50" t="s">
        <v>14</v>
      </c>
      <c r="B23" s="45"/>
      <c r="C23" s="45"/>
      <c r="D23" s="45"/>
      <c r="E23" s="54"/>
      <c r="F23" s="54"/>
      <c r="G23" s="54"/>
      <c r="H23" s="54"/>
      <c r="I23" s="54"/>
      <c r="J23" s="54"/>
      <c r="K23" s="54"/>
      <c r="L23" s="57"/>
      <c r="M23" s="54"/>
      <c r="N23" s="54"/>
      <c r="O23" s="54"/>
      <c r="P23" s="57"/>
      <c r="Q23" s="54"/>
      <c r="R23" s="54"/>
      <c r="S23" s="57"/>
      <c r="T23" s="54"/>
      <c r="U23" s="54"/>
      <c r="V23" s="57"/>
      <c r="W23" s="54"/>
      <c r="X23" s="54"/>
      <c r="Y23" s="57"/>
      <c r="Z23" s="54"/>
      <c r="AA23" s="54"/>
      <c r="AB23" s="57"/>
      <c r="AC23" s="54"/>
      <c r="AD23" s="54"/>
      <c r="AE23" s="57"/>
      <c r="AF23" s="54"/>
      <c r="AG23" s="54"/>
      <c r="AH23" s="57"/>
      <c r="AI23" s="54"/>
      <c r="AJ23" s="54"/>
      <c r="AK23" s="57"/>
      <c r="AL23" s="54"/>
      <c r="AM23" s="54"/>
      <c r="AN23" s="57"/>
      <c r="AO23" s="54"/>
      <c r="AP23" s="54"/>
      <c r="AQ23" s="57"/>
      <c r="AR23" s="54"/>
      <c r="AS23" s="54"/>
      <c r="AT23" s="57"/>
      <c r="AU23" s="54"/>
      <c r="AV23" s="54"/>
      <c r="AW23" s="57"/>
      <c r="AX23" s="54"/>
      <c r="AY23" s="54"/>
      <c r="AZ23" s="88">
        <f t="shared" ref="AZ23" si="29">(AZ22/AZ$3)*100</f>
        <v>21.465467763535489</v>
      </c>
      <c r="BA23" s="87">
        <f t="shared" ref="BA23" si="30">(BA22/BA$3)*100</f>
        <v>22.222222222222221</v>
      </c>
      <c r="BB23" s="87">
        <f t="shared" ref="BB23" si="31">(BB22/BB$3)*100</f>
        <v>20.605069501226492</v>
      </c>
      <c r="BC23" s="88">
        <f t="shared" ref="BC23" si="32">(BC22/BC$3)*100</f>
        <v>20.082186885831696</v>
      </c>
      <c r="BD23" s="87">
        <f t="shared" ref="BD23" si="33">(BD22/BD$3)*100</f>
        <v>21.435692921236292</v>
      </c>
      <c r="BE23" s="87">
        <f t="shared" ref="BE23:BG23" si="34">(BE22/BE$3)*100</f>
        <v>18.508500772797525</v>
      </c>
      <c r="BF23" s="88">
        <f t="shared" si="34"/>
        <v>21.285418106427091</v>
      </c>
      <c r="BG23" s="87">
        <f t="shared" si="34"/>
        <v>21.804511278195488</v>
      </c>
      <c r="BH23" s="119">
        <f t="shared" ref="BH23:BI23" si="35">(BH22/BH$3)*100</f>
        <v>20.647149460708782</v>
      </c>
      <c r="BI23" s="87" t="e">
        <f t="shared" si="35"/>
        <v>#DIV/0!</v>
      </c>
      <c r="BJ23" s="87" t="e">
        <f t="shared" ref="BJ23:BQ23" si="36">(BJ22/BJ$3)*100</f>
        <v>#DIV/0!</v>
      </c>
      <c r="BK23" s="119" t="e">
        <f t="shared" si="36"/>
        <v>#DIV/0!</v>
      </c>
      <c r="BL23" s="87" t="e">
        <f t="shared" si="36"/>
        <v>#DIV/0!</v>
      </c>
      <c r="BM23" s="87" t="e">
        <f t="shared" si="36"/>
        <v>#DIV/0!</v>
      </c>
      <c r="BN23" s="119" t="e">
        <f t="shared" si="36"/>
        <v>#DIV/0!</v>
      </c>
      <c r="BO23" s="87">
        <f t="shared" si="36"/>
        <v>18.682258984597834</v>
      </c>
      <c r="BP23" s="87">
        <f t="shared" si="36"/>
        <v>19.474342928660825</v>
      </c>
      <c r="BQ23" s="87">
        <f t="shared" si="36"/>
        <v>17.633410672853827</v>
      </c>
      <c r="BR23" s="88">
        <f t="shared" ref="BR23:BT23" si="37">(BR22/BR$3)*100</f>
        <v>17.869511012605624</v>
      </c>
      <c r="BS23" s="87">
        <f t="shared" si="37"/>
        <v>18.443947303007704</v>
      </c>
      <c r="BT23" s="87">
        <f t="shared" si="37"/>
        <v>17.146433041301627</v>
      </c>
      <c r="BU23" s="88">
        <f t="shared" ref="BU23:BW23" si="38">(BU22/BU$3)*100</f>
        <v>19.313531353135314</v>
      </c>
      <c r="BV23" s="87">
        <f t="shared" si="38"/>
        <v>18.372319688109162</v>
      </c>
      <c r="BW23" s="87">
        <f t="shared" si="38"/>
        <v>20.42639008931144</v>
      </c>
      <c r="BX23" s="188">
        <f t="shared" ref="BX23:BZ23" si="39">(BX22/BX$3)*100</f>
        <v>19.480519480519483</v>
      </c>
      <c r="BY23" s="189">
        <f t="shared" si="39"/>
        <v>20.516925892040256</v>
      </c>
      <c r="BZ23" s="204">
        <f t="shared" si="39"/>
        <v>18.260166980877994</v>
      </c>
      <c r="CA23" s="189">
        <f t="shared" ref="CA23:CC23" si="40">(CA22/CA$3)*100</f>
        <v>21.475953565505804</v>
      </c>
      <c r="CB23" s="189">
        <f t="shared" si="40"/>
        <v>23.187398656474404</v>
      </c>
      <c r="CC23" s="204">
        <f t="shared" si="40"/>
        <v>19.694026226323459</v>
      </c>
      <c r="CD23" s="189">
        <f t="shared" ref="CD23:CF23" si="41">(CD22/CD$3)*100</f>
        <v>21.090289608177169</v>
      </c>
      <c r="CE23" s="189">
        <f t="shared" si="41"/>
        <v>22.176497485139461</v>
      </c>
      <c r="CF23" s="189">
        <f t="shared" si="41"/>
        <v>19.972887483054677</v>
      </c>
    </row>
    <row r="24" spans="1:84">
      <c r="A24" s="8" t="s">
        <v>32</v>
      </c>
      <c r="B24" s="21"/>
      <c r="C24" s="21"/>
      <c r="D24" s="21"/>
      <c r="E24" s="8"/>
      <c r="F24" s="8"/>
      <c r="G24" s="8"/>
      <c r="H24" s="8"/>
      <c r="I24" s="8"/>
      <c r="J24" s="8"/>
      <c r="K24" s="8"/>
      <c r="L24" s="15"/>
      <c r="M24" s="17"/>
      <c r="N24" s="17"/>
      <c r="O24" s="17"/>
      <c r="P24" s="15"/>
      <c r="Q24" s="17"/>
      <c r="R24" s="17"/>
      <c r="S24" s="15"/>
      <c r="T24" s="17"/>
      <c r="U24" s="17"/>
      <c r="V24" s="15"/>
      <c r="W24" s="17"/>
      <c r="X24" s="17"/>
      <c r="Y24" s="15"/>
      <c r="Z24" s="17"/>
      <c r="AA24" s="17"/>
      <c r="AB24" s="15"/>
      <c r="AC24" s="17"/>
      <c r="AD24" s="17"/>
      <c r="AE24" s="15"/>
      <c r="AF24" s="17"/>
      <c r="AG24" s="17"/>
      <c r="AH24" s="15"/>
      <c r="AI24" s="17"/>
      <c r="AJ24" s="17"/>
      <c r="AK24" s="15"/>
      <c r="AL24" s="17"/>
      <c r="AM24" s="17"/>
      <c r="AN24" s="15"/>
      <c r="AO24" s="17"/>
      <c r="AP24" s="17"/>
      <c r="AQ24" s="15"/>
      <c r="AR24" s="17"/>
      <c r="AS24" s="17"/>
      <c r="AT24" s="15"/>
      <c r="AU24" s="17"/>
      <c r="AV24" s="17"/>
      <c r="AW24" s="15"/>
      <c r="AX24" s="17"/>
      <c r="AY24" s="17"/>
      <c r="AZ24" s="15"/>
      <c r="BA24" s="17"/>
      <c r="BB24" s="17"/>
      <c r="BC24" s="15"/>
      <c r="BD24" s="17"/>
      <c r="BE24" s="17"/>
      <c r="BF24" s="15"/>
      <c r="BG24" s="17"/>
      <c r="BH24" s="130"/>
      <c r="BI24" s="17"/>
      <c r="BJ24" s="17"/>
      <c r="BK24" s="130"/>
      <c r="BL24" s="17"/>
      <c r="BM24" s="17"/>
      <c r="BN24" s="107"/>
      <c r="BR24" s="108"/>
      <c r="BU24" s="108"/>
      <c r="BX24" s="190"/>
    </row>
    <row r="25" spans="1:84">
      <c r="A25" s="8" t="s">
        <v>351</v>
      </c>
      <c r="B25" s="21"/>
      <c r="C25" s="46"/>
      <c r="D25" s="46"/>
      <c r="E25" s="8"/>
      <c r="F25" s="8"/>
      <c r="G25" s="8"/>
      <c r="H25" s="8"/>
      <c r="I25" s="8"/>
      <c r="J25" s="8"/>
      <c r="K25" s="8"/>
      <c r="L25" s="15"/>
      <c r="M25" s="17"/>
      <c r="N25" s="17"/>
      <c r="O25" s="17"/>
      <c r="P25" s="15"/>
      <c r="Q25" s="17"/>
      <c r="R25" s="17"/>
      <c r="S25" s="15"/>
      <c r="T25" s="17"/>
      <c r="U25" s="17"/>
      <c r="V25" s="15"/>
      <c r="W25" s="17"/>
      <c r="X25" s="17"/>
      <c r="Y25" s="15"/>
      <c r="Z25" s="17"/>
      <c r="AA25" s="17"/>
      <c r="AB25" s="15"/>
      <c r="AC25" s="17"/>
      <c r="AD25" s="17"/>
      <c r="AE25" s="15"/>
      <c r="AF25" s="17"/>
      <c r="AG25" s="17"/>
      <c r="AH25" s="15"/>
      <c r="AI25" s="17"/>
      <c r="AJ25" s="17"/>
      <c r="AK25" s="15"/>
      <c r="AL25" s="17"/>
      <c r="AM25" s="17"/>
      <c r="AN25" s="15">
        <v>148</v>
      </c>
      <c r="AO25" s="17"/>
      <c r="AP25" s="17"/>
      <c r="AQ25" s="15">
        <v>166</v>
      </c>
      <c r="AR25" s="17"/>
      <c r="AS25" s="17"/>
      <c r="AT25" s="15"/>
      <c r="AU25" s="17"/>
      <c r="AV25" s="17"/>
      <c r="AW25" s="15"/>
      <c r="AX25" s="17"/>
      <c r="AY25" s="17"/>
      <c r="AZ25" s="15">
        <f>110+267</f>
        <v>377</v>
      </c>
      <c r="BA25" s="17">
        <f>55+163</f>
        <v>218</v>
      </c>
      <c r="BB25" s="17">
        <f>55+104</f>
        <v>159</v>
      </c>
      <c r="BC25" s="15">
        <f>113+261</f>
        <v>374</v>
      </c>
      <c r="BD25" s="17">
        <f>59+176</f>
        <v>235</v>
      </c>
      <c r="BE25" s="17">
        <f>54+85</f>
        <v>139</v>
      </c>
      <c r="BF25" s="15">
        <v>375</v>
      </c>
      <c r="BG25" s="17">
        <v>236</v>
      </c>
      <c r="BH25" s="130">
        <v>139</v>
      </c>
      <c r="BI25" s="17"/>
      <c r="BJ25" s="17"/>
      <c r="BK25" s="130"/>
      <c r="BL25" s="17"/>
      <c r="BM25" s="17"/>
      <c r="BN25" s="107"/>
      <c r="BO25" s="12">
        <v>374</v>
      </c>
      <c r="BP25" s="128">
        <v>238</v>
      </c>
      <c r="BQ25" s="128">
        <v>136</v>
      </c>
      <c r="BR25" s="108">
        <v>363</v>
      </c>
      <c r="BS25" s="128">
        <v>224</v>
      </c>
      <c r="BT25" s="128">
        <v>139</v>
      </c>
      <c r="BU25" s="108">
        <v>365</v>
      </c>
      <c r="BV25" s="128">
        <v>183</v>
      </c>
      <c r="BW25" s="128">
        <v>182</v>
      </c>
      <c r="BX25" s="190">
        <v>367</v>
      </c>
      <c r="BY25" s="191">
        <v>202</v>
      </c>
      <c r="BZ25" s="205">
        <v>165</v>
      </c>
      <c r="CA25" s="12">
        <v>365</v>
      </c>
      <c r="CB25" s="12">
        <v>219</v>
      </c>
      <c r="CC25" s="107">
        <v>145</v>
      </c>
      <c r="CD25" s="12">
        <v>419</v>
      </c>
      <c r="CE25" s="12">
        <v>216</v>
      </c>
      <c r="CF25" s="12">
        <v>203</v>
      </c>
    </row>
    <row r="26" spans="1:84">
      <c r="A26" s="8" t="s">
        <v>352</v>
      </c>
      <c r="B26" s="21"/>
      <c r="C26" s="21"/>
      <c r="D26" s="21"/>
      <c r="E26" s="8"/>
      <c r="F26" s="8"/>
      <c r="G26" s="8"/>
      <c r="H26" s="8"/>
      <c r="I26" s="8"/>
      <c r="J26" s="8"/>
      <c r="K26" s="8"/>
      <c r="L26" s="15"/>
      <c r="M26" s="17"/>
      <c r="N26" s="17"/>
      <c r="O26" s="17"/>
      <c r="P26" s="15"/>
      <c r="Q26" s="17"/>
      <c r="R26" s="17"/>
      <c r="S26" s="15"/>
      <c r="T26" s="17"/>
      <c r="U26" s="17"/>
      <c r="V26" s="15"/>
      <c r="W26" s="17"/>
      <c r="X26" s="17"/>
      <c r="Y26" s="15"/>
      <c r="Z26" s="17"/>
      <c r="AA26" s="17"/>
      <c r="AB26" s="15"/>
      <c r="AC26" s="17"/>
      <c r="AD26" s="17"/>
      <c r="AE26" s="15"/>
      <c r="AF26" s="17"/>
      <c r="AG26" s="17"/>
      <c r="AH26" s="15"/>
      <c r="AI26" s="17"/>
      <c r="AJ26" s="17"/>
      <c r="AK26" s="15"/>
      <c r="AL26" s="17"/>
      <c r="AM26" s="17"/>
      <c r="AN26" s="15">
        <f>136+207</f>
        <v>343</v>
      </c>
      <c r="AO26" s="17"/>
      <c r="AP26" s="17"/>
      <c r="AQ26" s="15">
        <f>135+219</f>
        <v>354</v>
      </c>
      <c r="AR26" s="17"/>
      <c r="AS26" s="17"/>
      <c r="AT26" s="15"/>
      <c r="AU26" s="17"/>
      <c r="AV26" s="17"/>
      <c r="AW26" s="15"/>
      <c r="AX26" s="17"/>
      <c r="AY26" s="17"/>
      <c r="AZ26" s="15">
        <f>135+226</f>
        <v>361</v>
      </c>
      <c r="BA26" s="17">
        <f>62+125</f>
        <v>187</v>
      </c>
      <c r="BB26" s="17">
        <f>73+101</f>
        <v>174</v>
      </c>
      <c r="BC26" s="15">
        <f>135+228</f>
        <v>363</v>
      </c>
      <c r="BD26" s="17">
        <f>75+122</f>
        <v>197</v>
      </c>
      <c r="BE26" s="17">
        <f>60+106</f>
        <v>166</v>
      </c>
      <c r="BF26" s="15">
        <v>474</v>
      </c>
      <c r="BG26" s="17">
        <v>243</v>
      </c>
      <c r="BH26" s="130">
        <v>231</v>
      </c>
      <c r="BI26" s="17"/>
      <c r="BJ26" s="17"/>
      <c r="BK26" s="130"/>
      <c r="BL26" s="17"/>
      <c r="BM26" s="17"/>
      <c r="BN26" s="107"/>
      <c r="BO26" s="12">
        <v>490</v>
      </c>
      <c r="BP26" s="128">
        <v>277</v>
      </c>
      <c r="BQ26" s="128">
        <v>213</v>
      </c>
      <c r="BR26" s="108">
        <v>482</v>
      </c>
      <c r="BS26" s="128">
        <v>259</v>
      </c>
      <c r="BT26" s="128">
        <v>223</v>
      </c>
      <c r="BU26" s="108">
        <v>483</v>
      </c>
      <c r="BV26" s="128">
        <v>249</v>
      </c>
      <c r="BW26" s="128">
        <v>234</v>
      </c>
      <c r="BX26" s="190">
        <v>479</v>
      </c>
      <c r="BY26" s="191">
        <v>255</v>
      </c>
      <c r="BZ26" s="205">
        <v>224</v>
      </c>
      <c r="CA26" s="12">
        <v>475</v>
      </c>
      <c r="CB26" s="12">
        <v>245</v>
      </c>
      <c r="CC26" s="107">
        <v>230</v>
      </c>
      <c r="CD26" s="12">
        <v>474</v>
      </c>
      <c r="CE26" s="12">
        <v>238</v>
      </c>
      <c r="CF26" s="12">
        <v>236</v>
      </c>
    </row>
    <row r="27" spans="1:84">
      <c r="A27" s="8" t="s">
        <v>312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15"/>
      <c r="M27" s="17"/>
      <c r="N27" s="17"/>
      <c r="O27" s="17"/>
      <c r="P27" s="15"/>
      <c r="Q27" s="17"/>
      <c r="R27" s="17"/>
      <c r="S27" s="15"/>
      <c r="T27" s="17"/>
      <c r="U27" s="17"/>
      <c r="V27" s="15"/>
      <c r="W27" s="17"/>
      <c r="X27" s="17"/>
      <c r="Y27" s="15"/>
      <c r="Z27" s="17"/>
      <c r="AA27" s="17"/>
      <c r="AB27" s="15"/>
      <c r="AC27" s="17"/>
      <c r="AD27" s="17"/>
      <c r="AE27" s="15"/>
      <c r="AF27" s="17"/>
      <c r="AG27" s="17"/>
      <c r="AH27" s="15"/>
      <c r="AI27" s="17"/>
      <c r="AJ27" s="17"/>
      <c r="AK27" s="15"/>
      <c r="AL27" s="17"/>
      <c r="AM27" s="17"/>
      <c r="AN27" s="15"/>
      <c r="AO27" s="17"/>
      <c r="AP27" s="17"/>
      <c r="AQ27" s="15"/>
      <c r="AR27" s="17"/>
      <c r="AS27" s="17"/>
      <c r="AT27" s="15"/>
      <c r="AU27" s="17"/>
      <c r="AV27" s="17"/>
      <c r="AW27" s="15"/>
      <c r="AX27" s="17"/>
      <c r="AY27" s="17"/>
      <c r="AZ27" s="15">
        <v>171</v>
      </c>
      <c r="BA27" s="17">
        <v>91</v>
      </c>
      <c r="BB27" s="17">
        <v>80</v>
      </c>
      <c r="BC27" s="15">
        <v>169</v>
      </c>
      <c r="BD27" s="17">
        <v>90</v>
      </c>
      <c r="BE27" s="17">
        <v>79</v>
      </c>
      <c r="BF27" s="15">
        <v>168</v>
      </c>
      <c r="BG27" s="17">
        <v>91</v>
      </c>
      <c r="BH27" s="130">
        <v>77</v>
      </c>
      <c r="BI27" s="17"/>
      <c r="BJ27" s="17"/>
      <c r="BK27" s="130"/>
      <c r="BL27" s="17"/>
      <c r="BM27" s="17"/>
      <c r="BN27" s="107"/>
      <c r="BO27" s="12">
        <v>166</v>
      </c>
      <c r="BP27" s="128">
        <v>95</v>
      </c>
      <c r="BQ27" s="128">
        <v>71</v>
      </c>
      <c r="BR27" s="108">
        <v>168</v>
      </c>
      <c r="BS27" s="128">
        <v>92</v>
      </c>
      <c r="BT27" s="128">
        <v>76</v>
      </c>
      <c r="BU27" s="108">
        <v>162</v>
      </c>
      <c r="BV27" s="128">
        <v>82</v>
      </c>
      <c r="BW27" s="128">
        <v>80</v>
      </c>
      <c r="BX27" s="190">
        <v>284</v>
      </c>
      <c r="BY27" s="191">
        <v>204</v>
      </c>
      <c r="BZ27" s="205">
        <v>80</v>
      </c>
      <c r="CA27" s="12">
        <v>311</v>
      </c>
      <c r="CB27" s="12">
        <v>176</v>
      </c>
      <c r="CC27" s="107">
        <v>135</v>
      </c>
      <c r="CD27" s="12">
        <v>301</v>
      </c>
      <c r="CE27" s="12">
        <v>172</v>
      </c>
      <c r="CF27" s="12">
        <v>128</v>
      </c>
    </row>
    <row r="28" spans="1:84">
      <c r="A28" s="8" t="s">
        <v>36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15"/>
      <c r="M28" s="17"/>
      <c r="N28" s="17"/>
      <c r="O28" s="17"/>
      <c r="P28" s="15"/>
      <c r="Q28" s="17"/>
      <c r="R28" s="17"/>
      <c r="S28" s="15"/>
      <c r="T28" s="17"/>
      <c r="U28" s="17"/>
      <c r="V28" s="15"/>
      <c r="W28" s="17"/>
      <c r="X28" s="17"/>
      <c r="Y28" s="15"/>
      <c r="Z28" s="17"/>
      <c r="AA28" s="17"/>
      <c r="AB28" s="15"/>
      <c r="AC28" s="17"/>
      <c r="AD28" s="17"/>
      <c r="AE28" s="15"/>
      <c r="AF28" s="17"/>
      <c r="AG28" s="17"/>
      <c r="AH28" s="15"/>
      <c r="AI28" s="17"/>
      <c r="AJ28" s="17"/>
      <c r="AK28" s="15"/>
      <c r="AL28" s="17"/>
      <c r="AM28" s="17"/>
      <c r="AN28" s="15"/>
      <c r="AO28" s="17"/>
      <c r="AP28" s="17"/>
      <c r="AQ28" s="15"/>
      <c r="AR28" s="17"/>
      <c r="AS28" s="17"/>
      <c r="AT28" s="15"/>
      <c r="AU28" s="17"/>
      <c r="AV28" s="17"/>
      <c r="AW28" s="15"/>
      <c r="AX28" s="17"/>
      <c r="AY28" s="17"/>
      <c r="AZ28" s="15"/>
      <c r="BA28" s="17"/>
      <c r="BB28" s="17"/>
      <c r="BC28" s="15"/>
      <c r="BD28" s="17"/>
      <c r="BE28" s="17"/>
      <c r="BF28" s="15"/>
      <c r="BG28" s="17"/>
      <c r="BH28" s="130"/>
      <c r="BI28" s="17"/>
      <c r="BJ28" s="17"/>
      <c r="BK28" s="130"/>
      <c r="BL28" s="17"/>
      <c r="BM28" s="17"/>
      <c r="BN28" s="107"/>
      <c r="BR28" s="108"/>
      <c r="BU28" s="108"/>
      <c r="BX28" s="190"/>
    </row>
    <row r="29" spans="1:84">
      <c r="A29" s="8" t="s">
        <v>37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15"/>
      <c r="M29" s="17"/>
      <c r="N29" s="17"/>
      <c r="O29" s="17"/>
      <c r="P29" s="15"/>
      <c r="Q29" s="17"/>
      <c r="R29" s="17"/>
      <c r="S29" s="15"/>
      <c r="T29" s="17"/>
      <c r="U29" s="17"/>
      <c r="V29" s="15"/>
      <c r="W29" s="17"/>
      <c r="X29" s="17"/>
      <c r="Y29" s="15"/>
      <c r="Z29" s="17"/>
      <c r="AA29" s="17"/>
      <c r="AB29" s="15"/>
      <c r="AC29" s="17"/>
      <c r="AD29" s="17"/>
      <c r="AE29" s="15"/>
      <c r="AF29" s="17"/>
      <c r="AG29" s="17"/>
      <c r="AH29" s="15"/>
      <c r="AI29" s="17"/>
      <c r="AJ29" s="17"/>
      <c r="AK29" s="15"/>
      <c r="AL29" s="17"/>
      <c r="AM29" s="17"/>
      <c r="AN29" s="15"/>
      <c r="AO29" s="17"/>
      <c r="AP29" s="17"/>
      <c r="AQ29" s="15"/>
      <c r="AR29" s="17"/>
      <c r="AS29" s="17"/>
      <c r="AT29" s="15"/>
      <c r="AU29" s="17"/>
      <c r="AV29" s="17"/>
      <c r="AW29" s="15"/>
      <c r="AX29" s="17"/>
      <c r="AY29" s="17"/>
      <c r="AZ29" s="15"/>
      <c r="BA29" s="17"/>
      <c r="BB29" s="17"/>
      <c r="BC29" s="15"/>
      <c r="BD29" s="17"/>
      <c r="BE29" s="17"/>
      <c r="BF29" s="15"/>
      <c r="BG29" s="17"/>
      <c r="BH29" s="130"/>
      <c r="BI29" s="17"/>
      <c r="BJ29" s="17"/>
      <c r="BK29" s="130"/>
      <c r="BL29" s="17"/>
      <c r="BM29" s="17"/>
      <c r="BN29" s="107"/>
      <c r="BR29" s="108"/>
      <c r="BU29" s="108"/>
      <c r="BX29" s="190"/>
      <c r="CA29" s="12">
        <v>162</v>
      </c>
      <c r="CB29" s="12">
        <v>105</v>
      </c>
      <c r="CC29" s="107">
        <v>57</v>
      </c>
      <c r="CD29" s="12">
        <v>168</v>
      </c>
      <c r="CE29" s="12">
        <v>105</v>
      </c>
      <c r="CF29" s="12">
        <v>63</v>
      </c>
    </row>
    <row r="30" spans="1:84">
      <c r="A30" s="8" t="s">
        <v>38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15"/>
      <c r="M30" s="17"/>
      <c r="N30" s="17"/>
      <c r="O30" s="17"/>
      <c r="P30" s="15"/>
      <c r="Q30" s="17"/>
      <c r="R30" s="17"/>
      <c r="S30" s="15"/>
      <c r="T30" s="17"/>
      <c r="U30" s="17"/>
      <c r="V30" s="15"/>
      <c r="W30" s="17"/>
      <c r="X30" s="17"/>
      <c r="Y30" s="15"/>
      <c r="Z30" s="17"/>
      <c r="AA30" s="17"/>
      <c r="AB30" s="15"/>
      <c r="AC30" s="17"/>
      <c r="AD30" s="17"/>
      <c r="AE30" s="15"/>
      <c r="AF30" s="17"/>
      <c r="AG30" s="17"/>
      <c r="AH30" s="15"/>
      <c r="AI30" s="17"/>
      <c r="AJ30" s="17"/>
      <c r="AK30" s="15"/>
      <c r="AL30" s="17"/>
      <c r="AM30" s="17"/>
      <c r="AN30" s="15"/>
      <c r="AO30" s="17"/>
      <c r="AP30" s="17"/>
      <c r="AQ30" s="15"/>
      <c r="AR30" s="17"/>
      <c r="AS30" s="17"/>
      <c r="AT30" s="15"/>
      <c r="AU30" s="17"/>
      <c r="AV30" s="17"/>
      <c r="AW30" s="15"/>
      <c r="AX30" s="17"/>
      <c r="AY30" s="17"/>
      <c r="AZ30" s="15"/>
      <c r="BA30" s="17"/>
      <c r="BB30" s="17"/>
      <c r="BC30" s="15"/>
      <c r="BD30" s="17"/>
      <c r="BE30" s="17"/>
      <c r="BF30" s="15"/>
      <c r="BG30" s="17"/>
      <c r="BH30" s="130"/>
      <c r="BI30" s="17"/>
      <c r="BJ30" s="17"/>
      <c r="BK30" s="130"/>
      <c r="BL30" s="17"/>
      <c r="BM30" s="17"/>
      <c r="BN30" s="107"/>
      <c r="BR30" s="108"/>
      <c r="BU30" s="108"/>
      <c r="BX30" s="190"/>
    </row>
    <row r="31" spans="1:84">
      <c r="A31" s="8" t="s">
        <v>313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15"/>
      <c r="M31" s="17"/>
      <c r="N31" s="17"/>
      <c r="O31" s="17"/>
      <c r="P31" s="15"/>
      <c r="Q31" s="17"/>
      <c r="R31" s="17"/>
      <c r="S31" s="15"/>
      <c r="T31" s="17"/>
      <c r="U31" s="17"/>
      <c r="V31" s="15"/>
      <c r="W31" s="17"/>
      <c r="X31" s="17"/>
      <c r="Y31" s="15"/>
      <c r="Z31" s="17"/>
      <c r="AA31" s="17"/>
      <c r="AB31" s="15"/>
      <c r="AC31" s="17"/>
      <c r="AD31" s="17"/>
      <c r="AE31" s="15"/>
      <c r="AF31" s="17"/>
      <c r="AG31" s="17"/>
      <c r="AH31" s="15"/>
      <c r="AI31" s="17"/>
      <c r="AJ31" s="17"/>
      <c r="AK31" s="15"/>
      <c r="AL31" s="17"/>
      <c r="AM31" s="17"/>
      <c r="AN31" s="15">
        <v>78</v>
      </c>
      <c r="AO31" s="17"/>
      <c r="AP31" s="17"/>
      <c r="AQ31" s="15">
        <v>108</v>
      </c>
      <c r="AR31" s="17"/>
      <c r="AS31" s="17"/>
      <c r="AT31" s="15"/>
      <c r="AU31" s="17"/>
      <c r="AV31" s="17"/>
      <c r="AW31" s="15"/>
      <c r="AX31" s="17"/>
      <c r="AY31" s="17"/>
      <c r="AZ31" s="15">
        <v>137</v>
      </c>
      <c r="BA31" s="17">
        <v>77</v>
      </c>
      <c r="BB31" s="17">
        <v>60</v>
      </c>
      <c r="BC31" s="15">
        <v>143</v>
      </c>
      <c r="BD31" s="17">
        <v>87</v>
      </c>
      <c r="BE31" s="17">
        <v>56</v>
      </c>
      <c r="BF31" s="15">
        <v>138</v>
      </c>
      <c r="BG31" s="17">
        <v>79</v>
      </c>
      <c r="BH31" s="130">
        <v>59</v>
      </c>
      <c r="BI31" s="17"/>
      <c r="BJ31" s="17"/>
      <c r="BK31" s="130"/>
      <c r="BL31" s="17"/>
      <c r="BM31" s="17"/>
      <c r="BN31" s="107"/>
      <c r="BO31" s="12">
        <v>135</v>
      </c>
      <c r="BP31" s="128">
        <v>81</v>
      </c>
      <c r="BQ31" s="128">
        <v>54</v>
      </c>
      <c r="BR31" s="108">
        <v>137</v>
      </c>
      <c r="BS31" s="128">
        <v>97</v>
      </c>
      <c r="BT31" s="128">
        <v>40</v>
      </c>
      <c r="BU31" s="108">
        <v>140</v>
      </c>
      <c r="BV31" s="128">
        <v>79</v>
      </c>
      <c r="BW31" s="128">
        <v>61</v>
      </c>
      <c r="BX31" s="190">
        <v>137</v>
      </c>
      <c r="BY31" s="191">
        <v>88</v>
      </c>
      <c r="BZ31" s="205">
        <v>49</v>
      </c>
      <c r="CA31" s="12">
        <v>187</v>
      </c>
      <c r="CB31" s="12">
        <v>105</v>
      </c>
      <c r="CC31" s="107">
        <v>82</v>
      </c>
      <c r="CD31" s="12">
        <v>182</v>
      </c>
      <c r="CE31" s="12">
        <v>96</v>
      </c>
      <c r="CF31" s="12">
        <v>86</v>
      </c>
    </row>
    <row r="32" spans="1:84">
      <c r="A32" s="8" t="s">
        <v>40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15"/>
      <c r="M32" s="17"/>
      <c r="N32" s="17"/>
      <c r="O32" s="17"/>
      <c r="P32" s="15"/>
      <c r="Q32" s="17"/>
      <c r="R32" s="17"/>
      <c r="S32" s="15"/>
      <c r="T32" s="17"/>
      <c r="U32" s="17"/>
      <c r="V32" s="15"/>
      <c r="W32" s="17"/>
      <c r="X32" s="17"/>
      <c r="Y32" s="15"/>
      <c r="Z32" s="17"/>
      <c r="AA32" s="17"/>
      <c r="AB32" s="15"/>
      <c r="AC32" s="17"/>
      <c r="AD32" s="17"/>
      <c r="AE32" s="15"/>
      <c r="AF32" s="17"/>
      <c r="AG32" s="17"/>
      <c r="AH32" s="15"/>
      <c r="AI32" s="17"/>
      <c r="AJ32" s="17"/>
      <c r="AK32" s="15"/>
      <c r="AL32" s="17"/>
      <c r="AM32" s="17"/>
      <c r="AN32" s="15"/>
      <c r="AO32" s="17"/>
      <c r="AP32" s="17"/>
      <c r="AQ32" s="15"/>
      <c r="AR32" s="17"/>
      <c r="AS32" s="17"/>
      <c r="AT32" s="15"/>
      <c r="AU32" s="17"/>
      <c r="AV32" s="17"/>
      <c r="AW32" s="15"/>
      <c r="AX32" s="17"/>
      <c r="AY32" s="17"/>
      <c r="AZ32" s="15"/>
      <c r="BA32" s="17"/>
      <c r="BB32" s="17"/>
      <c r="BC32" s="15"/>
      <c r="BD32" s="17"/>
      <c r="BE32" s="17"/>
      <c r="BF32" s="15"/>
      <c r="BG32" s="17"/>
      <c r="BH32" s="130"/>
      <c r="BI32" s="17"/>
      <c r="BJ32" s="17"/>
      <c r="BK32" s="130"/>
      <c r="BL32" s="17"/>
      <c r="BM32" s="17"/>
      <c r="BN32" s="107"/>
      <c r="BR32" s="108"/>
      <c r="BU32" s="108">
        <v>162</v>
      </c>
      <c r="BV32" s="12">
        <v>88</v>
      </c>
      <c r="BW32" s="12">
        <v>74</v>
      </c>
      <c r="BX32" s="190">
        <v>162</v>
      </c>
      <c r="BY32" s="183">
        <v>79</v>
      </c>
      <c r="BZ32" s="200">
        <v>83</v>
      </c>
      <c r="CA32" s="12">
        <v>168</v>
      </c>
      <c r="CB32" s="12">
        <v>86</v>
      </c>
      <c r="CC32" s="107">
        <v>82</v>
      </c>
      <c r="CD32" s="12">
        <v>166</v>
      </c>
      <c r="CE32" s="12">
        <v>82</v>
      </c>
      <c r="CF32" s="12">
        <v>84</v>
      </c>
    </row>
    <row r="33" spans="1:84">
      <c r="A33" s="8" t="s">
        <v>41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15"/>
      <c r="M33" s="17"/>
      <c r="N33" s="17"/>
      <c r="O33" s="17"/>
      <c r="P33" s="15"/>
      <c r="Q33" s="17"/>
      <c r="R33" s="17"/>
      <c r="S33" s="15"/>
      <c r="T33" s="17"/>
      <c r="U33" s="17"/>
      <c r="V33" s="15"/>
      <c r="W33" s="17"/>
      <c r="X33" s="17"/>
      <c r="Y33" s="15"/>
      <c r="Z33" s="17"/>
      <c r="AA33" s="17"/>
      <c r="AB33" s="15"/>
      <c r="AC33" s="17"/>
      <c r="AD33" s="17"/>
      <c r="AE33" s="15"/>
      <c r="AF33" s="17"/>
      <c r="AG33" s="17"/>
      <c r="AH33" s="15"/>
      <c r="AI33" s="17"/>
      <c r="AJ33" s="17"/>
      <c r="AK33" s="15"/>
      <c r="AL33" s="17"/>
      <c r="AM33" s="17"/>
      <c r="AN33" s="15"/>
      <c r="AO33" s="17"/>
      <c r="AP33" s="17"/>
      <c r="AQ33" s="15"/>
      <c r="AR33" s="17"/>
      <c r="AS33" s="17"/>
      <c r="AT33" s="15"/>
      <c r="AU33" s="17"/>
      <c r="AV33" s="17"/>
      <c r="AW33" s="15"/>
      <c r="AX33" s="17"/>
      <c r="AY33" s="17"/>
      <c r="AZ33" s="15"/>
      <c r="BA33" s="17"/>
      <c r="BB33" s="17"/>
      <c r="BC33" s="15"/>
      <c r="BD33" s="17"/>
      <c r="BE33" s="17"/>
      <c r="BF33" s="15"/>
      <c r="BG33" s="17"/>
      <c r="BH33" s="130"/>
      <c r="BI33" s="17"/>
      <c r="BJ33" s="17"/>
      <c r="BK33" s="130"/>
      <c r="BL33" s="17"/>
      <c r="BM33" s="17"/>
      <c r="BN33" s="107"/>
      <c r="BR33" s="108"/>
      <c r="BU33" s="108"/>
      <c r="BX33" s="190"/>
    </row>
    <row r="34" spans="1:84">
      <c r="A34" s="8" t="s">
        <v>42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15"/>
      <c r="M34" s="17"/>
      <c r="N34" s="17"/>
      <c r="O34" s="17"/>
      <c r="P34" s="15"/>
      <c r="Q34" s="17"/>
      <c r="R34" s="17"/>
      <c r="S34" s="15"/>
      <c r="T34" s="17"/>
      <c r="U34" s="17"/>
      <c r="V34" s="15"/>
      <c r="W34" s="17"/>
      <c r="X34" s="17"/>
      <c r="Y34" s="15"/>
      <c r="Z34" s="17"/>
      <c r="AA34" s="17"/>
      <c r="AB34" s="15"/>
      <c r="AC34" s="17"/>
      <c r="AD34" s="17"/>
      <c r="AE34" s="15"/>
      <c r="AF34" s="17"/>
      <c r="AG34" s="17"/>
      <c r="AH34" s="15"/>
      <c r="AI34" s="17"/>
      <c r="AJ34" s="17"/>
      <c r="AK34" s="15"/>
      <c r="AL34" s="17"/>
      <c r="AM34" s="17"/>
      <c r="AN34" s="15"/>
      <c r="AO34" s="17"/>
      <c r="AP34" s="17"/>
      <c r="AQ34" s="15"/>
      <c r="AR34" s="17"/>
      <c r="AS34" s="17"/>
      <c r="AT34" s="15"/>
      <c r="AU34" s="17"/>
      <c r="AV34" s="17"/>
      <c r="AW34" s="15"/>
      <c r="AX34" s="17"/>
      <c r="AY34" s="17"/>
      <c r="AZ34" s="15"/>
      <c r="BA34" s="17"/>
      <c r="BB34" s="17"/>
      <c r="BC34" s="15"/>
      <c r="BD34" s="17"/>
      <c r="BE34" s="17"/>
      <c r="BF34" s="15"/>
      <c r="BG34" s="17"/>
      <c r="BH34" s="130"/>
      <c r="BI34" s="17"/>
      <c r="BJ34" s="17"/>
      <c r="BK34" s="130"/>
      <c r="BL34" s="17"/>
      <c r="BM34" s="17"/>
      <c r="BN34" s="107"/>
      <c r="BR34" s="108"/>
      <c r="BU34" s="108"/>
      <c r="BX34" s="190"/>
    </row>
    <row r="35" spans="1:84">
      <c r="A35" s="8" t="s">
        <v>353</v>
      </c>
      <c r="B35" s="6"/>
      <c r="C35" s="6"/>
      <c r="D35" s="6"/>
      <c r="E35" s="17"/>
      <c r="F35" s="8"/>
      <c r="G35" s="8"/>
      <c r="H35" s="8"/>
      <c r="I35" s="8"/>
      <c r="J35" s="8"/>
      <c r="K35" s="8"/>
      <c r="L35" s="15"/>
      <c r="M35" s="17"/>
      <c r="N35" s="17"/>
      <c r="O35" s="17"/>
      <c r="P35" s="15"/>
      <c r="Q35" s="17"/>
      <c r="R35" s="17"/>
      <c r="S35" s="15"/>
      <c r="T35" s="17"/>
      <c r="U35" s="17"/>
      <c r="V35" s="15"/>
      <c r="W35" s="17"/>
      <c r="X35" s="17"/>
      <c r="Y35" s="15"/>
      <c r="Z35" s="17"/>
      <c r="AA35" s="17"/>
      <c r="AB35" s="15"/>
      <c r="AC35" s="17"/>
      <c r="AD35" s="17"/>
      <c r="AE35" s="15"/>
      <c r="AF35" s="17"/>
      <c r="AG35" s="17"/>
      <c r="AH35" s="15"/>
      <c r="AI35" s="17"/>
      <c r="AJ35" s="17"/>
      <c r="AK35" s="15"/>
      <c r="AL35" s="17"/>
      <c r="AM35" s="17"/>
      <c r="AN35" s="15"/>
      <c r="AO35" s="17"/>
      <c r="AP35" s="17"/>
      <c r="AQ35" s="15"/>
      <c r="AR35" s="17"/>
      <c r="AS35" s="17"/>
      <c r="AT35" s="15"/>
      <c r="AU35" s="17"/>
      <c r="AV35" s="17"/>
      <c r="AW35" s="15"/>
      <c r="AX35" s="17"/>
      <c r="AY35" s="17"/>
      <c r="AZ35" s="15">
        <v>76</v>
      </c>
      <c r="BA35" s="17">
        <v>45</v>
      </c>
      <c r="BB35" s="17">
        <v>31</v>
      </c>
      <c r="BC35" s="15">
        <v>75</v>
      </c>
      <c r="BD35" s="17">
        <v>36</v>
      </c>
      <c r="BE35" s="17">
        <v>39</v>
      </c>
      <c r="BF35" s="15">
        <v>77</v>
      </c>
      <c r="BG35" s="17">
        <v>47</v>
      </c>
      <c r="BH35" s="130">
        <v>30</v>
      </c>
      <c r="BI35" s="17"/>
      <c r="BJ35" s="17"/>
      <c r="BK35" s="130"/>
      <c r="BL35" s="17"/>
      <c r="BM35" s="17"/>
      <c r="BN35" s="107"/>
      <c r="BO35" s="12">
        <v>145</v>
      </c>
      <c r="BP35" s="128">
        <v>87</v>
      </c>
      <c r="BQ35" s="128">
        <v>58</v>
      </c>
      <c r="BR35" s="108">
        <v>140</v>
      </c>
      <c r="BS35" s="128">
        <v>70</v>
      </c>
      <c r="BT35" s="128">
        <v>70</v>
      </c>
      <c r="BU35" s="108">
        <v>151</v>
      </c>
      <c r="BV35" s="128">
        <v>73</v>
      </c>
      <c r="BW35" s="128">
        <v>78</v>
      </c>
      <c r="BX35" s="190">
        <v>146</v>
      </c>
      <c r="BY35" s="191">
        <v>69</v>
      </c>
      <c r="BZ35" s="205">
        <v>77</v>
      </c>
      <c r="CA35" s="12">
        <v>145</v>
      </c>
      <c r="CB35" s="12">
        <v>65</v>
      </c>
      <c r="CC35" s="107">
        <v>80</v>
      </c>
      <c r="CD35" s="12">
        <v>147</v>
      </c>
      <c r="CE35" s="12">
        <v>61</v>
      </c>
      <c r="CF35" s="12">
        <v>84</v>
      </c>
    </row>
    <row r="36" spans="1:84">
      <c r="A36" s="17" t="s">
        <v>44</v>
      </c>
      <c r="B36" s="6"/>
      <c r="C36" s="6"/>
      <c r="D36" s="6"/>
      <c r="E36" s="17"/>
      <c r="F36" s="17"/>
      <c r="G36" s="17"/>
      <c r="H36" s="17"/>
      <c r="I36" s="17"/>
      <c r="J36" s="17"/>
      <c r="K36" s="17"/>
      <c r="L36" s="15"/>
      <c r="M36" s="17"/>
      <c r="N36" s="17"/>
      <c r="O36" s="17"/>
      <c r="P36" s="15"/>
      <c r="Q36" s="17"/>
      <c r="R36" s="17"/>
      <c r="S36" s="15"/>
      <c r="T36" s="17"/>
      <c r="U36" s="17"/>
      <c r="V36" s="15"/>
      <c r="W36" s="17"/>
      <c r="X36" s="17"/>
      <c r="Y36" s="15"/>
      <c r="Z36" s="17"/>
      <c r="AA36" s="17"/>
      <c r="AB36" s="15"/>
      <c r="AC36" s="17"/>
      <c r="AD36" s="17"/>
      <c r="AE36" s="15"/>
      <c r="AF36" s="17"/>
      <c r="AG36" s="17"/>
      <c r="AH36" s="15"/>
      <c r="AI36" s="17"/>
      <c r="AJ36" s="17"/>
      <c r="AK36" s="15"/>
      <c r="AL36" s="17"/>
      <c r="AM36" s="17"/>
      <c r="AN36" s="15"/>
      <c r="AO36" s="17"/>
      <c r="AP36" s="17"/>
      <c r="AQ36" s="15"/>
      <c r="AR36" s="17"/>
      <c r="AS36" s="17"/>
      <c r="AT36" s="15"/>
      <c r="AU36" s="17"/>
      <c r="AV36" s="17"/>
      <c r="AW36" s="15"/>
      <c r="AX36" s="17"/>
      <c r="AY36" s="17"/>
      <c r="AZ36" s="15"/>
      <c r="BA36" s="17"/>
      <c r="BB36" s="17"/>
      <c r="BC36" s="15"/>
      <c r="BD36" s="17"/>
      <c r="BE36" s="17"/>
      <c r="BF36" s="15"/>
      <c r="BG36" s="17"/>
      <c r="BH36" s="130"/>
      <c r="BI36" s="17"/>
      <c r="BJ36" s="17"/>
      <c r="BK36" s="130"/>
      <c r="BL36" s="17"/>
      <c r="BM36" s="17"/>
      <c r="BN36" s="107"/>
      <c r="BR36" s="108"/>
      <c r="BU36" s="108"/>
      <c r="BX36" s="190"/>
    </row>
    <row r="37" spans="1:84" s="176" customFormat="1">
      <c r="A37" s="136" t="s">
        <v>45</v>
      </c>
      <c r="B37" s="193"/>
      <c r="C37" s="193"/>
      <c r="D37" s="193"/>
      <c r="E37" s="136"/>
      <c r="F37" s="136"/>
      <c r="G37" s="136"/>
      <c r="H37" s="136"/>
      <c r="I37" s="136"/>
      <c r="J37" s="136"/>
      <c r="K37" s="136"/>
      <c r="L37" s="194"/>
      <c r="M37" s="136"/>
      <c r="N37" s="136"/>
      <c r="O37" s="136"/>
      <c r="P37" s="194"/>
      <c r="Q37" s="136"/>
      <c r="R37" s="136"/>
      <c r="S37" s="194"/>
      <c r="T37" s="136"/>
      <c r="U37" s="136"/>
      <c r="V37" s="194"/>
      <c r="W37" s="136"/>
      <c r="X37" s="136"/>
      <c r="Y37" s="194"/>
      <c r="Z37" s="136"/>
      <c r="AA37" s="136"/>
      <c r="AB37" s="194"/>
      <c r="AC37" s="136"/>
      <c r="AD37" s="136"/>
      <c r="AE37" s="194"/>
      <c r="AF37" s="136"/>
      <c r="AG37" s="136"/>
      <c r="AH37" s="194"/>
      <c r="AI37" s="136"/>
      <c r="AJ37" s="136"/>
      <c r="AK37" s="194"/>
      <c r="AL37" s="136"/>
      <c r="AM37" s="136"/>
      <c r="AN37" s="194"/>
      <c r="AO37" s="136"/>
      <c r="AP37" s="136"/>
      <c r="AQ37" s="194"/>
      <c r="AR37" s="136"/>
      <c r="AS37" s="136"/>
      <c r="AT37" s="194"/>
      <c r="AU37" s="136"/>
      <c r="AV37" s="136"/>
      <c r="AW37" s="194"/>
      <c r="AX37" s="136"/>
      <c r="AY37" s="136"/>
      <c r="AZ37" s="194">
        <f>SUM(AZ39:AZ50)</f>
        <v>1299</v>
      </c>
      <c r="BA37" s="136">
        <f t="shared" ref="BA37:BE37" si="42">SUM(BA39:BA50)</f>
        <v>689</v>
      </c>
      <c r="BB37" s="136">
        <f t="shared" si="42"/>
        <v>610</v>
      </c>
      <c r="BC37" s="194">
        <f t="shared" si="42"/>
        <v>1319</v>
      </c>
      <c r="BD37" s="136">
        <f t="shared" si="42"/>
        <v>709</v>
      </c>
      <c r="BE37" s="136">
        <f t="shared" si="42"/>
        <v>610</v>
      </c>
      <c r="BF37" s="194">
        <f t="shared" ref="BF37:BH37" si="43">SUM(BF39:BF50)</f>
        <v>1321</v>
      </c>
      <c r="BG37" s="136">
        <f t="shared" si="43"/>
        <v>746</v>
      </c>
      <c r="BH37" s="118">
        <f t="shared" si="43"/>
        <v>575</v>
      </c>
      <c r="BI37" s="136">
        <f t="shared" ref="BI37:BQ37" si="44">SUM(BI39:BI50)</f>
        <v>0</v>
      </c>
      <c r="BJ37" s="136">
        <f t="shared" si="44"/>
        <v>0</v>
      </c>
      <c r="BK37" s="118">
        <f t="shared" si="44"/>
        <v>0</v>
      </c>
      <c r="BL37" s="136">
        <f t="shared" si="44"/>
        <v>0</v>
      </c>
      <c r="BM37" s="136">
        <f t="shared" si="44"/>
        <v>0</v>
      </c>
      <c r="BN37" s="118">
        <f t="shared" si="44"/>
        <v>0</v>
      </c>
      <c r="BO37" s="136">
        <f t="shared" si="44"/>
        <v>1567</v>
      </c>
      <c r="BP37" s="136">
        <f t="shared" si="44"/>
        <v>891</v>
      </c>
      <c r="BQ37" s="136">
        <f t="shared" si="44"/>
        <v>676</v>
      </c>
      <c r="BR37" s="194">
        <f t="shared" ref="BR37:BT37" si="45">SUM(BR39:BR50)</f>
        <v>1616</v>
      </c>
      <c r="BS37" s="136">
        <f t="shared" si="45"/>
        <v>939</v>
      </c>
      <c r="BT37" s="136">
        <f t="shared" si="45"/>
        <v>677</v>
      </c>
      <c r="BU37" s="194">
        <f t="shared" ref="BU37:BW37" si="46">SUM(BU39:BU50)</f>
        <v>1647</v>
      </c>
      <c r="BV37" s="136">
        <f t="shared" si="46"/>
        <v>936</v>
      </c>
      <c r="BW37" s="136">
        <f t="shared" si="46"/>
        <v>711</v>
      </c>
      <c r="BX37" s="195">
        <f t="shared" ref="BX37:BZ37" si="47">SUM(BX39:BX50)</f>
        <v>1790</v>
      </c>
      <c r="BY37" s="196">
        <f t="shared" si="47"/>
        <v>1004</v>
      </c>
      <c r="BZ37" s="207">
        <f t="shared" si="47"/>
        <v>786</v>
      </c>
      <c r="CA37" s="196">
        <f t="shared" ref="CA37:CC37" si="48">SUM(CA39:CA50)</f>
        <v>1828</v>
      </c>
      <c r="CB37" s="196">
        <f t="shared" si="48"/>
        <v>963</v>
      </c>
      <c r="CC37" s="207">
        <f t="shared" si="48"/>
        <v>863</v>
      </c>
      <c r="CD37" s="196">
        <f t="shared" ref="CD37:CF37" si="49">SUM(CD39:CD50)</f>
        <v>1784</v>
      </c>
      <c r="CE37" s="196">
        <f t="shared" si="49"/>
        <v>895</v>
      </c>
      <c r="CF37" s="196">
        <f t="shared" si="49"/>
        <v>888</v>
      </c>
    </row>
    <row r="38" spans="1:84">
      <c r="A38" s="50" t="s">
        <v>14</v>
      </c>
      <c r="B38" s="45"/>
      <c r="C38" s="45"/>
      <c r="D38" s="45"/>
      <c r="E38" s="54"/>
      <c r="F38" s="54"/>
      <c r="G38" s="54"/>
      <c r="H38" s="54"/>
      <c r="I38" s="54"/>
      <c r="J38" s="54"/>
      <c r="K38" s="54"/>
      <c r="L38" s="57"/>
      <c r="M38" s="54"/>
      <c r="N38" s="54"/>
      <c r="O38" s="54"/>
      <c r="P38" s="57"/>
      <c r="Q38" s="54"/>
      <c r="R38" s="54"/>
      <c r="S38" s="57"/>
      <c r="T38" s="54"/>
      <c r="U38" s="54"/>
      <c r="V38" s="57"/>
      <c r="W38" s="54"/>
      <c r="X38" s="54"/>
      <c r="Y38" s="57"/>
      <c r="Z38" s="54"/>
      <c r="AA38" s="54"/>
      <c r="AB38" s="57"/>
      <c r="AC38" s="54"/>
      <c r="AD38" s="54"/>
      <c r="AE38" s="57"/>
      <c r="AF38" s="54"/>
      <c r="AG38" s="54"/>
      <c r="AH38" s="57"/>
      <c r="AI38" s="54"/>
      <c r="AJ38" s="54"/>
      <c r="AK38" s="57"/>
      <c r="AL38" s="54"/>
      <c r="AM38" s="54"/>
      <c r="AN38" s="57"/>
      <c r="AO38" s="54"/>
      <c r="AP38" s="54"/>
      <c r="AQ38" s="57"/>
      <c r="AR38" s="54"/>
      <c r="AS38" s="54"/>
      <c r="AT38" s="57"/>
      <c r="AU38" s="54"/>
      <c r="AV38" s="54"/>
      <c r="AW38" s="57"/>
      <c r="AX38" s="54"/>
      <c r="AY38" s="54"/>
      <c r="AZ38" s="88">
        <f t="shared" ref="AZ38" si="50">(AZ37/AZ$3)*100</f>
        <v>24.851731394681462</v>
      </c>
      <c r="BA38" s="87">
        <f t="shared" ref="BA38" si="51">(BA37/BA$3)*100</f>
        <v>24.775260697590795</v>
      </c>
      <c r="BB38" s="87">
        <f t="shared" ref="BB38" si="52">(BB37/BB$3)*100</f>
        <v>24.938675388389207</v>
      </c>
      <c r="BC38" s="88">
        <f t="shared" ref="BC38" si="53">(BC37/BC$3)*100</f>
        <v>23.566196176523139</v>
      </c>
      <c r="BD38" s="87">
        <f t="shared" ref="BD38" si="54">(BD37/BD$3)*100</f>
        <v>23.562645397141907</v>
      </c>
      <c r="BE38" s="87">
        <f t="shared" ref="BE38:BG38" si="55">(BE37/BE$3)*100</f>
        <v>23.570324574961361</v>
      </c>
      <c r="BF38" s="88">
        <f t="shared" si="55"/>
        <v>22.823082239115411</v>
      </c>
      <c r="BG38" s="87">
        <f t="shared" si="55"/>
        <v>23.370927318295738</v>
      </c>
      <c r="BH38" s="119">
        <f t="shared" ref="BH38:BQ38" si="56">(BH37/BH$3)*100</f>
        <v>22.14946070878274</v>
      </c>
      <c r="BI38" s="87" t="e">
        <f t="shared" si="56"/>
        <v>#DIV/0!</v>
      </c>
      <c r="BJ38" s="87" t="e">
        <f t="shared" si="56"/>
        <v>#DIV/0!</v>
      </c>
      <c r="BK38" s="119" t="e">
        <f t="shared" si="56"/>
        <v>#DIV/0!</v>
      </c>
      <c r="BL38" s="87" t="e">
        <f t="shared" si="56"/>
        <v>#DIV/0!</v>
      </c>
      <c r="BM38" s="87" t="e">
        <f t="shared" si="56"/>
        <v>#DIV/0!</v>
      </c>
      <c r="BN38" s="119" t="e">
        <f t="shared" si="56"/>
        <v>#DIV/0!</v>
      </c>
      <c r="BO38" s="87">
        <f t="shared" si="56"/>
        <v>22.347404449515118</v>
      </c>
      <c r="BP38" s="87">
        <f t="shared" si="56"/>
        <v>22.302878598247812</v>
      </c>
      <c r="BQ38" s="87">
        <f t="shared" si="56"/>
        <v>22.406363937686443</v>
      </c>
      <c r="BR38" s="88">
        <f t="shared" ref="BR38:BT38" si="57">(BR37/BR$3)*100</f>
        <v>22.385371935171076</v>
      </c>
      <c r="BS38" s="87">
        <f t="shared" si="57"/>
        <v>23.340790454884413</v>
      </c>
      <c r="BT38" s="87">
        <f t="shared" si="57"/>
        <v>21.182728410513143</v>
      </c>
      <c r="BU38" s="88">
        <f t="shared" ref="BU38:BW38" si="58">(BU37/BU$3)*100</f>
        <v>21.742574257425744</v>
      </c>
      <c r="BV38" s="87">
        <f t="shared" si="58"/>
        <v>22.807017543859647</v>
      </c>
      <c r="BW38" s="87">
        <f t="shared" si="58"/>
        <v>20.484010371650822</v>
      </c>
      <c r="BX38" s="188">
        <f t="shared" ref="BX38:BZ38" si="59">(BX37/BX$3)*100</f>
        <v>22.139764996907854</v>
      </c>
      <c r="BY38" s="189">
        <f t="shared" si="59"/>
        <v>22.964318389752975</v>
      </c>
      <c r="BZ38" s="204">
        <f t="shared" si="59"/>
        <v>21.168866145973606</v>
      </c>
      <c r="CA38" s="189">
        <f t="shared" ref="CA38:CC38" si="60">(CA37/CA$3)*100</f>
        <v>21.653636579009714</v>
      </c>
      <c r="CB38" s="189">
        <f t="shared" si="60"/>
        <v>22.307157748436417</v>
      </c>
      <c r="CC38" s="204">
        <f t="shared" si="60"/>
        <v>20.956775133559979</v>
      </c>
      <c r="CD38" s="189">
        <f t="shared" ref="CD38:CF38" si="61">(CD37/CD$3)*100</f>
        <v>20.261215218625779</v>
      </c>
      <c r="CE38" s="189">
        <f t="shared" si="61"/>
        <v>20.461819844535896</v>
      </c>
      <c r="CF38" s="189">
        <f t="shared" si="61"/>
        <v>20.063262539539085</v>
      </c>
    </row>
    <row r="39" spans="1:84">
      <c r="A39" s="8" t="s">
        <v>354</v>
      </c>
      <c r="B39" s="21"/>
      <c r="C39" s="21"/>
      <c r="D39" s="21"/>
      <c r="E39" s="8"/>
      <c r="F39" s="8"/>
      <c r="G39" s="8"/>
      <c r="H39" s="8"/>
      <c r="I39" s="8"/>
      <c r="J39" s="8"/>
      <c r="K39" s="8"/>
      <c r="L39" s="15"/>
      <c r="M39" s="17"/>
      <c r="N39" s="17"/>
      <c r="O39" s="17"/>
      <c r="P39" s="15"/>
      <c r="Q39" s="17"/>
      <c r="R39" s="17"/>
      <c r="S39" s="15"/>
      <c r="T39" s="17"/>
      <c r="U39" s="17"/>
      <c r="V39" s="15"/>
      <c r="W39" s="17"/>
      <c r="X39" s="17"/>
      <c r="Y39" s="15"/>
      <c r="Z39" s="17"/>
      <c r="AA39" s="17"/>
      <c r="AB39" s="15"/>
      <c r="AC39" s="17"/>
      <c r="AD39" s="17"/>
      <c r="AE39" s="15"/>
      <c r="AF39" s="17"/>
      <c r="AG39" s="17"/>
      <c r="AH39" s="15"/>
      <c r="AI39" s="17"/>
      <c r="AJ39" s="17"/>
      <c r="AK39" s="15"/>
      <c r="AL39" s="17"/>
      <c r="AM39" s="17"/>
      <c r="AN39" s="15">
        <v>175</v>
      </c>
      <c r="AO39" s="17"/>
      <c r="AP39" s="17"/>
      <c r="AQ39" s="15">
        <v>182</v>
      </c>
      <c r="AR39" s="17"/>
      <c r="AS39" s="17"/>
      <c r="AT39" s="15"/>
      <c r="AU39" s="17"/>
      <c r="AV39" s="17"/>
      <c r="AW39" s="15"/>
      <c r="AX39" s="17"/>
      <c r="AY39" s="17"/>
      <c r="AZ39" s="15">
        <v>202</v>
      </c>
      <c r="BA39" s="17">
        <v>109</v>
      </c>
      <c r="BB39" s="17">
        <v>93</v>
      </c>
      <c r="BC39" s="15">
        <v>207</v>
      </c>
      <c r="BD39" s="17">
        <v>113</v>
      </c>
      <c r="BE39" s="17">
        <v>94</v>
      </c>
      <c r="BF39" s="15">
        <v>208</v>
      </c>
      <c r="BG39" s="17">
        <v>110</v>
      </c>
      <c r="BH39" s="130">
        <v>98</v>
      </c>
      <c r="BI39" s="17"/>
      <c r="BJ39" s="17"/>
      <c r="BK39" s="130"/>
      <c r="BL39" s="17"/>
      <c r="BM39" s="17"/>
      <c r="BN39" s="107"/>
      <c r="BO39" s="12">
        <v>207</v>
      </c>
      <c r="BP39" s="12">
        <v>116</v>
      </c>
      <c r="BQ39" s="128">
        <v>91</v>
      </c>
      <c r="BR39" s="108">
        <v>208</v>
      </c>
      <c r="BS39" s="12">
        <v>117</v>
      </c>
      <c r="BT39" s="128">
        <v>91</v>
      </c>
      <c r="BU39" s="108">
        <v>207</v>
      </c>
      <c r="BV39" s="12">
        <v>124</v>
      </c>
      <c r="BW39" s="128">
        <v>83</v>
      </c>
      <c r="BX39" s="190">
        <v>208</v>
      </c>
      <c r="BY39" s="183">
        <v>116</v>
      </c>
      <c r="BZ39" s="205">
        <v>92</v>
      </c>
      <c r="CA39" s="12">
        <v>204</v>
      </c>
      <c r="CB39" s="12">
        <v>105</v>
      </c>
      <c r="CC39" s="107">
        <v>99</v>
      </c>
      <c r="CD39" s="12">
        <v>205</v>
      </c>
      <c r="CE39" s="12">
        <v>96</v>
      </c>
      <c r="CF39" s="12">
        <v>109</v>
      </c>
    </row>
    <row r="40" spans="1:84">
      <c r="A40" s="8" t="s">
        <v>47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15"/>
      <c r="M40" s="17"/>
      <c r="N40" s="17"/>
      <c r="O40" s="17"/>
      <c r="P40" s="15"/>
      <c r="Q40" s="17"/>
      <c r="R40" s="17"/>
      <c r="S40" s="15"/>
      <c r="T40" s="17"/>
      <c r="U40" s="17"/>
      <c r="V40" s="15"/>
      <c r="W40" s="17"/>
      <c r="X40" s="17"/>
      <c r="Y40" s="15"/>
      <c r="Z40" s="17"/>
      <c r="AA40" s="17"/>
      <c r="AB40" s="15"/>
      <c r="AC40" s="17"/>
      <c r="AD40" s="17"/>
      <c r="AE40" s="15"/>
      <c r="AF40" s="17"/>
      <c r="AG40" s="17"/>
      <c r="AH40" s="15"/>
      <c r="AI40" s="17"/>
      <c r="AJ40" s="17"/>
      <c r="AK40" s="15"/>
      <c r="AL40" s="17"/>
      <c r="AM40" s="17"/>
      <c r="AN40" s="15"/>
      <c r="AO40" s="17"/>
      <c r="AP40" s="17"/>
      <c r="AQ40" s="15"/>
      <c r="AR40" s="17"/>
      <c r="AS40" s="17"/>
      <c r="AT40" s="15"/>
      <c r="AU40" s="17"/>
      <c r="AV40" s="17"/>
      <c r="AW40" s="15"/>
      <c r="AX40" s="17"/>
      <c r="AY40" s="17"/>
      <c r="AZ40" s="15"/>
      <c r="BA40" s="17"/>
      <c r="BB40" s="17"/>
      <c r="BC40" s="15"/>
      <c r="BD40" s="17"/>
      <c r="BE40" s="17"/>
      <c r="BF40" s="15"/>
      <c r="BG40" s="17"/>
      <c r="BH40" s="130"/>
      <c r="BI40" s="17"/>
      <c r="BJ40" s="17"/>
      <c r="BK40" s="130"/>
      <c r="BL40" s="17"/>
      <c r="BM40" s="17"/>
      <c r="BN40" s="107"/>
      <c r="BO40" s="12">
        <v>176</v>
      </c>
      <c r="BP40" s="12">
        <v>90</v>
      </c>
      <c r="BQ40" s="128">
        <v>86</v>
      </c>
      <c r="BR40" s="108">
        <v>172</v>
      </c>
      <c r="BS40" s="12">
        <v>94</v>
      </c>
      <c r="BT40" s="128">
        <v>78</v>
      </c>
      <c r="BU40" s="108">
        <v>170</v>
      </c>
      <c r="BV40" s="12">
        <v>84</v>
      </c>
      <c r="BW40" s="128">
        <v>86</v>
      </c>
      <c r="BX40" s="190">
        <v>172</v>
      </c>
      <c r="BY40" s="183">
        <v>91</v>
      </c>
      <c r="BZ40" s="205">
        <v>81</v>
      </c>
      <c r="CA40" s="12">
        <v>176</v>
      </c>
      <c r="CB40" s="12">
        <v>87</v>
      </c>
      <c r="CC40" s="107">
        <v>89</v>
      </c>
      <c r="CD40" s="12">
        <v>159</v>
      </c>
      <c r="CE40" s="12">
        <v>74</v>
      </c>
      <c r="CF40" s="12">
        <v>85</v>
      </c>
    </row>
    <row r="41" spans="1:84">
      <c r="A41" s="8" t="s">
        <v>355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15"/>
      <c r="M41" s="17"/>
      <c r="N41" s="17"/>
      <c r="O41" s="17"/>
      <c r="P41" s="15"/>
      <c r="Q41" s="17"/>
      <c r="R41" s="17"/>
      <c r="S41" s="15"/>
      <c r="T41" s="17"/>
      <c r="U41" s="17"/>
      <c r="V41" s="15"/>
      <c r="W41" s="17"/>
      <c r="X41" s="17"/>
      <c r="Y41" s="15"/>
      <c r="Z41" s="17"/>
      <c r="AA41" s="17"/>
      <c r="AB41" s="15"/>
      <c r="AC41" s="17"/>
      <c r="AD41" s="17"/>
      <c r="AE41" s="15"/>
      <c r="AF41" s="17"/>
      <c r="AG41" s="17"/>
      <c r="AH41" s="15"/>
      <c r="AI41" s="17"/>
      <c r="AJ41" s="17"/>
      <c r="AK41" s="15"/>
      <c r="AL41" s="17"/>
      <c r="AM41" s="17"/>
      <c r="AN41" s="15">
        <v>230</v>
      </c>
      <c r="AO41" s="17"/>
      <c r="AP41" s="17"/>
      <c r="AQ41" s="15">
        <v>219</v>
      </c>
      <c r="AR41" s="17"/>
      <c r="AS41" s="17"/>
      <c r="AT41" s="15"/>
      <c r="AU41" s="17"/>
      <c r="AV41" s="17"/>
      <c r="AW41" s="15"/>
      <c r="AX41" s="17"/>
      <c r="AY41" s="17"/>
      <c r="AZ41" s="15">
        <v>222</v>
      </c>
      <c r="BA41" s="17">
        <v>112</v>
      </c>
      <c r="BB41" s="17">
        <v>110</v>
      </c>
      <c r="BC41" s="15">
        <v>230</v>
      </c>
      <c r="BD41" s="17">
        <v>122</v>
      </c>
      <c r="BE41" s="17">
        <v>108</v>
      </c>
      <c r="BF41" s="15">
        <v>221</v>
      </c>
      <c r="BG41" s="17">
        <v>119</v>
      </c>
      <c r="BH41" s="130">
        <v>102</v>
      </c>
      <c r="BI41" s="17"/>
      <c r="BJ41" s="17"/>
      <c r="BK41" s="130"/>
      <c r="BL41" s="17"/>
      <c r="BM41" s="17"/>
      <c r="BN41" s="107"/>
      <c r="BO41" s="12">
        <v>223</v>
      </c>
      <c r="BP41" s="12">
        <v>138</v>
      </c>
      <c r="BQ41" s="128">
        <v>85</v>
      </c>
      <c r="BR41" s="108">
        <v>225</v>
      </c>
      <c r="BS41" s="12">
        <v>129</v>
      </c>
      <c r="BT41" s="128">
        <v>96</v>
      </c>
      <c r="BU41" s="108">
        <v>225</v>
      </c>
      <c r="BV41" s="12">
        <v>133</v>
      </c>
      <c r="BW41" s="128">
        <v>92</v>
      </c>
      <c r="BX41" s="190">
        <v>223</v>
      </c>
      <c r="BY41" s="183">
        <v>132</v>
      </c>
      <c r="BZ41" s="205">
        <v>91</v>
      </c>
      <c r="CA41" s="12">
        <v>224</v>
      </c>
      <c r="CB41" s="12">
        <v>126</v>
      </c>
      <c r="CC41" s="107">
        <v>98</v>
      </c>
      <c r="CD41" s="12">
        <v>219</v>
      </c>
      <c r="CE41" s="12">
        <v>127</v>
      </c>
      <c r="CF41" s="12">
        <v>92</v>
      </c>
    </row>
    <row r="42" spans="1:84">
      <c r="A42" s="8" t="s">
        <v>49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15"/>
      <c r="M42" s="17"/>
      <c r="N42" s="17"/>
      <c r="O42" s="17"/>
      <c r="P42" s="15"/>
      <c r="Q42" s="17"/>
      <c r="R42" s="17"/>
      <c r="S42" s="15"/>
      <c r="T42" s="17"/>
      <c r="U42" s="17"/>
      <c r="V42" s="15"/>
      <c r="W42" s="17"/>
      <c r="X42" s="17"/>
      <c r="Y42" s="15"/>
      <c r="Z42" s="17"/>
      <c r="AA42" s="17"/>
      <c r="AB42" s="15"/>
      <c r="AC42" s="17"/>
      <c r="AD42" s="17"/>
      <c r="AE42" s="15"/>
      <c r="AF42" s="17"/>
      <c r="AG42" s="17"/>
      <c r="AH42" s="15"/>
      <c r="AI42" s="17"/>
      <c r="AJ42" s="17"/>
      <c r="AK42" s="15"/>
      <c r="AL42" s="17"/>
      <c r="AM42" s="17"/>
      <c r="AN42" s="15"/>
      <c r="AO42" s="17"/>
      <c r="AP42" s="17"/>
      <c r="AQ42" s="15"/>
      <c r="AR42" s="17"/>
      <c r="AS42" s="17"/>
      <c r="AT42" s="15"/>
      <c r="AU42" s="17"/>
      <c r="AV42" s="17"/>
      <c r="AW42" s="15"/>
      <c r="AX42" s="17"/>
      <c r="AY42" s="17"/>
      <c r="AZ42" s="15"/>
      <c r="BA42" s="17"/>
      <c r="BB42" s="17"/>
      <c r="BC42" s="15"/>
      <c r="BD42" s="17"/>
      <c r="BE42" s="17"/>
      <c r="BF42" s="15"/>
      <c r="BG42" s="17"/>
      <c r="BH42" s="130"/>
      <c r="BI42" s="17"/>
      <c r="BJ42" s="17"/>
      <c r="BK42" s="130"/>
      <c r="BL42" s="17"/>
      <c r="BM42" s="17"/>
      <c r="BN42" s="107"/>
      <c r="BR42" s="108"/>
      <c r="BU42" s="108"/>
      <c r="BX42" s="190"/>
    </row>
    <row r="43" spans="1:84">
      <c r="A43" s="8" t="s">
        <v>317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15"/>
      <c r="M43" s="17"/>
      <c r="N43" s="17"/>
      <c r="O43" s="17"/>
      <c r="P43" s="15"/>
      <c r="Q43" s="17"/>
      <c r="R43" s="17"/>
      <c r="S43" s="15"/>
      <c r="T43" s="17"/>
      <c r="U43" s="17"/>
      <c r="V43" s="15"/>
      <c r="W43" s="17"/>
      <c r="X43" s="17"/>
      <c r="Y43" s="15"/>
      <c r="Z43" s="17"/>
      <c r="AA43" s="17"/>
      <c r="AB43" s="15"/>
      <c r="AC43" s="17"/>
      <c r="AD43" s="17"/>
      <c r="AE43" s="15"/>
      <c r="AF43" s="17"/>
      <c r="AG43" s="17"/>
      <c r="AH43" s="15"/>
      <c r="AI43" s="17"/>
      <c r="AJ43" s="17"/>
      <c r="AK43" s="15"/>
      <c r="AL43" s="17"/>
      <c r="AM43" s="17"/>
      <c r="AN43" s="15">
        <v>148</v>
      </c>
      <c r="AO43" s="17"/>
      <c r="AP43" s="17"/>
      <c r="AQ43" s="15">
        <v>205</v>
      </c>
      <c r="AR43" s="17"/>
      <c r="AS43" s="17"/>
      <c r="AT43" s="15"/>
      <c r="AU43" s="17"/>
      <c r="AV43" s="17"/>
      <c r="AW43" s="15"/>
      <c r="AX43" s="17"/>
      <c r="AY43" s="17"/>
      <c r="AZ43" s="15">
        <v>327</v>
      </c>
      <c r="BA43" s="17">
        <v>172</v>
      </c>
      <c r="BB43" s="17">
        <v>155</v>
      </c>
      <c r="BC43" s="15">
        <v>340</v>
      </c>
      <c r="BD43" s="17">
        <v>178</v>
      </c>
      <c r="BE43" s="17">
        <v>162</v>
      </c>
      <c r="BF43" s="15">
        <v>315</v>
      </c>
      <c r="BG43" s="17">
        <v>174</v>
      </c>
      <c r="BH43" s="130">
        <v>141</v>
      </c>
      <c r="BI43" s="17"/>
      <c r="BJ43" s="17"/>
      <c r="BK43" s="130"/>
      <c r="BL43" s="17"/>
      <c r="BM43" s="17"/>
      <c r="BN43" s="107"/>
      <c r="BO43" s="12">
        <v>319</v>
      </c>
      <c r="BP43" s="12">
        <v>189</v>
      </c>
      <c r="BQ43" s="128">
        <v>130</v>
      </c>
      <c r="BR43" s="108">
        <v>328</v>
      </c>
      <c r="BS43" s="12">
        <v>185</v>
      </c>
      <c r="BT43" s="128">
        <v>143</v>
      </c>
      <c r="BU43" s="108">
        <v>335</v>
      </c>
      <c r="BV43" s="12">
        <v>187</v>
      </c>
      <c r="BW43" s="128">
        <v>148</v>
      </c>
      <c r="BX43" s="190">
        <v>316</v>
      </c>
      <c r="BY43" s="183">
        <v>160</v>
      </c>
      <c r="BZ43" s="205">
        <v>156</v>
      </c>
      <c r="CA43" s="12">
        <v>321</v>
      </c>
      <c r="CB43" s="12">
        <v>154</v>
      </c>
      <c r="CC43" s="107">
        <v>167</v>
      </c>
      <c r="CD43" s="12">
        <v>318</v>
      </c>
      <c r="CE43" s="12">
        <v>154</v>
      </c>
      <c r="CF43" s="12">
        <v>164</v>
      </c>
    </row>
    <row r="44" spans="1:84">
      <c r="A44" s="8" t="s">
        <v>51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15"/>
      <c r="M44" s="17"/>
      <c r="N44" s="17"/>
      <c r="O44" s="17"/>
      <c r="P44" s="15"/>
      <c r="Q44" s="17"/>
      <c r="R44" s="17"/>
      <c r="S44" s="15"/>
      <c r="T44" s="17"/>
      <c r="U44" s="17"/>
      <c r="V44" s="15"/>
      <c r="W44" s="17"/>
      <c r="X44" s="17"/>
      <c r="Y44" s="15"/>
      <c r="Z44" s="17"/>
      <c r="AA44" s="17"/>
      <c r="AB44" s="15"/>
      <c r="AC44" s="17"/>
      <c r="AD44" s="17"/>
      <c r="AE44" s="15"/>
      <c r="AF44" s="17"/>
      <c r="AG44" s="17"/>
      <c r="AH44" s="15"/>
      <c r="AI44" s="17"/>
      <c r="AJ44" s="17"/>
      <c r="AK44" s="15"/>
      <c r="AL44" s="17"/>
      <c r="AM44" s="17"/>
      <c r="AN44" s="15"/>
      <c r="AO44" s="17"/>
      <c r="AP44" s="17"/>
      <c r="AQ44" s="15"/>
      <c r="AR44" s="17"/>
      <c r="AS44" s="17"/>
      <c r="AT44" s="15"/>
      <c r="AU44" s="17"/>
      <c r="AV44" s="17"/>
      <c r="AW44" s="15"/>
      <c r="AX44" s="17"/>
      <c r="AY44" s="17"/>
      <c r="AZ44" s="15"/>
      <c r="BA44" s="17"/>
      <c r="BB44" s="17"/>
      <c r="BC44" s="15"/>
      <c r="BD44" s="17"/>
      <c r="BE44" s="17"/>
      <c r="BF44" s="15"/>
      <c r="BG44" s="17"/>
      <c r="BH44" s="130"/>
      <c r="BI44" s="17"/>
      <c r="BJ44" s="17"/>
      <c r="BK44" s="130"/>
      <c r="BL44" s="17"/>
      <c r="BM44" s="17"/>
      <c r="BN44" s="107"/>
      <c r="BR44" s="108"/>
      <c r="BU44" s="108"/>
      <c r="BX44" s="190"/>
    </row>
    <row r="45" spans="1:84">
      <c r="A45" s="8" t="s">
        <v>356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15"/>
      <c r="M45" s="17"/>
      <c r="N45" s="17"/>
      <c r="O45" s="17"/>
      <c r="P45" s="15"/>
      <c r="Q45" s="17"/>
      <c r="R45" s="17"/>
      <c r="S45" s="15"/>
      <c r="T45" s="17"/>
      <c r="U45" s="17"/>
      <c r="V45" s="15"/>
      <c r="W45" s="17"/>
      <c r="X45" s="17"/>
      <c r="Y45" s="15"/>
      <c r="Z45" s="17"/>
      <c r="AA45" s="17"/>
      <c r="AB45" s="15"/>
      <c r="AC45" s="17"/>
      <c r="AD45" s="17"/>
      <c r="AE45" s="15"/>
      <c r="AF45" s="17"/>
      <c r="AG45" s="17"/>
      <c r="AH45" s="15"/>
      <c r="AI45" s="17"/>
      <c r="AJ45" s="17"/>
      <c r="AK45" s="15"/>
      <c r="AL45" s="17"/>
      <c r="AM45" s="17"/>
      <c r="AN45" s="15">
        <f>178+239</f>
        <v>417</v>
      </c>
      <c r="AO45" s="17"/>
      <c r="AP45" s="17"/>
      <c r="AQ45" s="15">
        <f>175+251</f>
        <v>426</v>
      </c>
      <c r="AR45" s="17"/>
      <c r="AS45" s="17"/>
      <c r="AT45" s="15"/>
      <c r="AU45" s="17"/>
      <c r="AV45" s="17"/>
      <c r="AW45" s="15"/>
      <c r="AX45" s="17"/>
      <c r="AY45" s="17"/>
      <c r="AZ45" s="15">
        <f>177+251</f>
        <v>428</v>
      </c>
      <c r="BA45" s="17">
        <f>113+128</f>
        <v>241</v>
      </c>
      <c r="BB45" s="17">
        <f>64+123</f>
        <v>187</v>
      </c>
      <c r="BC45" s="15">
        <f>177+244</f>
        <v>421</v>
      </c>
      <c r="BD45" s="17">
        <f>101+147</f>
        <v>248</v>
      </c>
      <c r="BE45" s="17">
        <f>76+97</f>
        <v>173</v>
      </c>
      <c r="BF45" s="15">
        <v>437</v>
      </c>
      <c r="BG45" s="17">
        <v>266</v>
      </c>
      <c r="BH45" s="130">
        <v>171</v>
      </c>
      <c r="BI45" s="17"/>
      <c r="BJ45" s="17"/>
      <c r="BK45" s="130"/>
      <c r="BL45" s="17"/>
      <c r="BM45" s="17"/>
      <c r="BN45" s="107"/>
      <c r="BO45" s="12">
        <v>449</v>
      </c>
      <c r="BP45" s="12">
        <v>252</v>
      </c>
      <c r="BQ45" s="128">
        <v>197</v>
      </c>
      <c r="BR45" s="108">
        <v>441</v>
      </c>
      <c r="BS45" s="12">
        <v>282</v>
      </c>
      <c r="BT45" s="128">
        <v>159</v>
      </c>
      <c r="BU45" s="108">
        <v>459</v>
      </c>
      <c r="BV45" s="12">
        <v>274</v>
      </c>
      <c r="BW45" s="128">
        <v>185</v>
      </c>
      <c r="BX45" s="190">
        <v>620</v>
      </c>
      <c r="BY45" s="183">
        <v>370</v>
      </c>
      <c r="BZ45" s="205">
        <v>250</v>
      </c>
      <c r="CA45" s="12">
        <v>637</v>
      </c>
      <c r="CB45" s="12">
        <v>368</v>
      </c>
      <c r="CC45" s="107">
        <v>267</v>
      </c>
      <c r="CD45" s="12">
        <v>631</v>
      </c>
      <c r="CE45" s="12">
        <v>329</v>
      </c>
      <c r="CF45" s="12">
        <v>302</v>
      </c>
    </row>
    <row r="46" spans="1:84">
      <c r="A46" s="8" t="s">
        <v>53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15"/>
      <c r="M46" s="17"/>
      <c r="N46" s="17"/>
      <c r="O46" s="17"/>
      <c r="P46" s="15"/>
      <c r="Q46" s="17"/>
      <c r="R46" s="17"/>
      <c r="S46" s="15"/>
      <c r="T46" s="17"/>
      <c r="U46" s="17"/>
      <c r="V46" s="15"/>
      <c r="W46" s="17"/>
      <c r="X46" s="17"/>
      <c r="Y46" s="15"/>
      <c r="Z46" s="17"/>
      <c r="AA46" s="17"/>
      <c r="AB46" s="15"/>
      <c r="AC46" s="17"/>
      <c r="AD46" s="17"/>
      <c r="AE46" s="15"/>
      <c r="AF46" s="17"/>
      <c r="AG46" s="17"/>
      <c r="AH46" s="15"/>
      <c r="AI46" s="17"/>
      <c r="AJ46" s="17"/>
      <c r="AK46" s="15"/>
      <c r="AL46" s="17"/>
      <c r="AM46" s="17"/>
      <c r="AN46" s="15"/>
      <c r="AO46" s="17"/>
      <c r="AP46" s="17"/>
      <c r="AQ46" s="15"/>
      <c r="AR46" s="17"/>
      <c r="AS46" s="17"/>
      <c r="AT46" s="15"/>
      <c r="AU46" s="17"/>
      <c r="AV46" s="17"/>
      <c r="AW46" s="15"/>
      <c r="AX46" s="17"/>
      <c r="AY46" s="17"/>
      <c r="AZ46" s="15"/>
      <c r="BA46" s="17"/>
      <c r="BB46" s="17"/>
      <c r="BC46" s="15"/>
      <c r="BD46" s="17"/>
      <c r="BE46" s="17"/>
      <c r="BF46" s="15"/>
      <c r="BG46" s="17"/>
      <c r="BH46" s="130"/>
      <c r="BI46" s="17"/>
      <c r="BJ46" s="17"/>
      <c r="BK46" s="130"/>
      <c r="BL46" s="17"/>
      <c r="BM46" s="17"/>
      <c r="BN46" s="107"/>
      <c r="BR46" s="108"/>
      <c r="BU46" s="108"/>
      <c r="BX46" s="190"/>
    </row>
    <row r="47" spans="1:84">
      <c r="A47" s="8" t="s">
        <v>54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15"/>
      <c r="M47" s="17"/>
      <c r="N47" s="17"/>
      <c r="O47" s="17"/>
      <c r="P47" s="15"/>
      <c r="Q47" s="17"/>
      <c r="R47" s="17"/>
      <c r="S47" s="15"/>
      <c r="T47" s="17"/>
      <c r="U47" s="17"/>
      <c r="V47" s="15"/>
      <c r="W47" s="17"/>
      <c r="X47" s="17"/>
      <c r="Y47" s="15"/>
      <c r="Z47" s="17"/>
      <c r="AA47" s="17"/>
      <c r="AB47" s="15"/>
      <c r="AC47" s="17"/>
      <c r="AD47" s="17"/>
      <c r="AE47" s="15"/>
      <c r="AF47" s="17"/>
      <c r="AG47" s="17"/>
      <c r="AH47" s="15"/>
      <c r="AI47" s="17"/>
      <c r="AJ47" s="17"/>
      <c r="AK47" s="15"/>
      <c r="AL47" s="17"/>
      <c r="AM47" s="17"/>
      <c r="AN47" s="15"/>
      <c r="AO47" s="17"/>
      <c r="AP47" s="17"/>
      <c r="AQ47" s="15"/>
      <c r="AR47" s="17"/>
      <c r="AS47" s="17"/>
      <c r="AT47" s="15"/>
      <c r="AU47" s="17"/>
      <c r="AV47" s="17"/>
      <c r="AW47" s="15"/>
      <c r="AX47" s="17"/>
      <c r="AY47" s="17"/>
      <c r="AZ47" s="15"/>
      <c r="BA47" s="17"/>
      <c r="BB47" s="17"/>
      <c r="BC47" s="15"/>
      <c r="BD47" s="17"/>
      <c r="BE47" s="17"/>
      <c r="BF47" s="15"/>
      <c r="BG47" s="17"/>
      <c r="BH47" s="130"/>
      <c r="BI47" s="17"/>
      <c r="BJ47" s="17"/>
      <c r="BK47" s="130"/>
      <c r="BL47" s="17"/>
      <c r="BM47" s="17"/>
      <c r="BN47" s="107"/>
      <c r="BR47" s="108"/>
      <c r="BU47" s="108"/>
      <c r="BX47" s="190"/>
    </row>
    <row r="48" spans="1:84">
      <c r="A48" s="8" t="s">
        <v>357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15"/>
      <c r="M48" s="17"/>
      <c r="N48" s="17"/>
      <c r="O48" s="17"/>
      <c r="P48" s="15"/>
      <c r="Q48" s="17"/>
      <c r="R48" s="17"/>
      <c r="S48" s="15"/>
      <c r="T48" s="17"/>
      <c r="U48" s="17"/>
      <c r="V48" s="15"/>
      <c r="W48" s="17"/>
      <c r="X48" s="17"/>
      <c r="Y48" s="15"/>
      <c r="Z48" s="17"/>
      <c r="AA48" s="17"/>
      <c r="AB48" s="15"/>
      <c r="AC48" s="17"/>
      <c r="AD48" s="17"/>
      <c r="AE48" s="15"/>
      <c r="AF48" s="17"/>
      <c r="AG48" s="17"/>
      <c r="AH48" s="15"/>
      <c r="AI48" s="17"/>
      <c r="AJ48" s="17"/>
      <c r="AK48" s="15"/>
      <c r="AL48" s="17"/>
      <c r="AM48" s="17"/>
      <c r="AN48" s="15">
        <v>116</v>
      </c>
      <c r="AO48" s="17"/>
      <c r="AP48" s="17"/>
      <c r="AQ48" s="15">
        <v>115</v>
      </c>
      <c r="AR48" s="17"/>
      <c r="AS48" s="17"/>
      <c r="AT48" s="15"/>
      <c r="AU48" s="17"/>
      <c r="AV48" s="17"/>
      <c r="AW48" s="15"/>
      <c r="AX48" s="17"/>
      <c r="AY48" s="17"/>
      <c r="AZ48" s="15">
        <v>120</v>
      </c>
      <c r="BA48" s="17">
        <v>55</v>
      </c>
      <c r="BB48" s="17">
        <v>65</v>
      </c>
      <c r="BC48" s="15">
        <v>121</v>
      </c>
      <c r="BD48" s="17">
        <v>48</v>
      </c>
      <c r="BE48" s="17">
        <v>73</v>
      </c>
      <c r="BF48" s="15">
        <v>140</v>
      </c>
      <c r="BG48" s="17">
        <v>77</v>
      </c>
      <c r="BH48" s="130">
        <v>63</v>
      </c>
      <c r="BI48" s="17"/>
      <c r="BJ48" s="17"/>
      <c r="BK48" s="130"/>
      <c r="BL48" s="17"/>
      <c r="BM48" s="17"/>
      <c r="BN48" s="107"/>
      <c r="BO48" s="12">
        <v>193</v>
      </c>
      <c r="BP48" s="12">
        <v>106</v>
      </c>
      <c r="BQ48" s="128">
        <v>87</v>
      </c>
      <c r="BR48" s="108">
        <v>242</v>
      </c>
      <c r="BS48" s="12">
        <v>132</v>
      </c>
      <c r="BT48" s="128">
        <v>110</v>
      </c>
      <c r="BU48" s="108">
        <v>251</v>
      </c>
      <c r="BV48" s="12">
        <v>134</v>
      </c>
      <c r="BW48" s="128">
        <v>117</v>
      </c>
      <c r="BX48" s="190">
        <v>251</v>
      </c>
      <c r="BY48" s="183">
        <v>135</v>
      </c>
      <c r="BZ48" s="205">
        <v>116</v>
      </c>
      <c r="CA48" s="12">
        <v>266</v>
      </c>
      <c r="CB48" s="12">
        <v>123</v>
      </c>
      <c r="CC48" s="107">
        <v>143</v>
      </c>
      <c r="CD48" s="12">
        <v>252</v>
      </c>
      <c r="CE48" s="12">
        <v>115</v>
      </c>
      <c r="CF48" s="12">
        <v>136</v>
      </c>
    </row>
    <row r="49" spans="1:84">
      <c r="A49" s="8" t="s">
        <v>56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15"/>
      <c r="M49" s="17"/>
      <c r="N49" s="17"/>
      <c r="O49" s="17"/>
      <c r="P49" s="15"/>
      <c r="Q49" s="17"/>
      <c r="R49" s="17"/>
      <c r="S49" s="15"/>
      <c r="T49" s="17"/>
      <c r="U49" s="17"/>
      <c r="V49" s="15"/>
      <c r="W49" s="17"/>
      <c r="X49" s="17"/>
      <c r="Y49" s="15"/>
      <c r="Z49" s="17"/>
      <c r="AA49" s="17"/>
      <c r="AB49" s="15"/>
      <c r="AC49" s="17"/>
      <c r="AD49" s="17"/>
      <c r="AE49" s="15"/>
      <c r="AF49" s="17"/>
      <c r="AG49" s="17"/>
      <c r="AH49" s="15"/>
      <c r="AI49" s="17"/>
      <c r="AJ49" s="17"/>
      <c r="AK49" s="15"/>
      <c r="AL49" s="17"/>
      <c r="AM49" s="17"/>
      <c r="AN49" s="15"/>
      <c r="AO49" s="17"/>
      <c r="AP49" s="17"/>
      <c r="AQ49" s="15"/>
      <c r="AR49" s="17"/>
      <c r="AS49" s="17"/>
      <c r="AT49" s="15"/>
      <c r="AU49" s="17"/>
      <c r="AV49" s="17"/>
      <c r="AW49" s="15"/>
      <c r="AX49" s="17"/>
      <c r="AY49" s="17"/>
      <c r="AZ49" s="15"/>
      <c r="BA49" s="17"/>
      <c r="BB49" s="17"/>
      <c r="BC49" s="15"/>
      <c r="BD49" s="17"/>
      <c r="BE49" s="17"/>
      <c r="BF49" s="15"/>
      <c r="BG49" s="17"/>
      <c r="BH49" s="130"/>
      <c r="BI49" s="17"/>
      <c r="BJ49" s="17"/>
      <c r="BK49" s="130"/>
      <c r="BL49" s="17"/>
      <c r="BM49" s="17"/>
      <c r="BN49" s="107"/>
      <c r="BR49" s="108"/>
      <c r="BU49" s="108"/>
      <c r="BX49" s="190"/>
    </row>
    <row r="50" spans="1:84">
      <c r="A50" s="17" t="s">
        <v>57</v>
      </c>
      <c r="B50" s="6"/>
      <c r="C50" s="6"/>
      <c r="D50" s="6"/>
      <c r="E50" s="17"/>
      <c r="F50" s="17"/>
      <c r="G50" s="17"/>
      <c r="H50" s="17"/>
      <c r="I50" s="17"/>
      <c r="J50" s="17"/>
      <c r="K50" s="17"/>
      <c r="L50" s="15"/>
      <c r="M50" s="17"/>
      <c r="N50" s="17"/>
      <c r="O50" s="17"/>
      <c r="P50" s="15"/>
      <c r="Q50" s="17"/>
      <c r="R50" s="17"/>
      <c r="S50" s="15"/>
      <c r="T50" s="17"/>
      <c r="U50" s="17"/>
      <c r="V50" s="15"/>
      <c r="W50" s="17"/>
      <c r="X50" s="17"/>
      <c r="Y50" s="15"/>
      <c r="Z50" s="17"/>
      <c r="AA50" s="17"/>
      <c r="AB50" s="15"/>
      <c r="AC50" s="17"/>
      <c r="AD50" s="17"/>
      <c r="AE50" s="15"/>
      <c r="AF50" s="17"/>
      <c r="AG50" s="17"/>
      <c r="AH50" s="15"/>
      <c r="AI50" s="17"/>
      <c r="AJ50" s="17"/>
      <c r="AK50" s="15"/>
      <c r="AL50" s="17"/>
      <c r="AM50" s="17"/>
      <c r="AN50" s="15"/>
      <c r="AO50" s="17"/>
      <c r="AP50" s="17"/>
      <c r="AQ50" s="15"/>
      <c r="AR50" s="17"/>
      <c r="AS50" s="17"/>
      <c r="AT50" s="15"/>
      <c r="AU50" s="17"/>
      <c r="AV50" s="17"/>
      <c r="AW50" s="15"/>
      <c r="AX50" s="17"/>
      <c r="AY50" s="17"/>
      <c r="AZ50" s="15"/>
      <c r="BA50" s="17"/>
      <c r="BB50" s="17"/>
      <c r="BC50" s="15"/>
      <c r="BD50" s="17"/>
      <c r="BE50" s="17"/>
      <c r="BF50" s="15"/>
      <c r="BG50" s="17"/>
      <c r="BH50" s="130"/>
      <c r="BI50" s="17"/>
      <c r="BJ50" s="17"/>
      <c r="BK50" s="130"/>
      <c r="BL50" s="17"/>
      <c r="BM50" s="17"/>
      <c r="BN50" s="107"/>
      <c r="BR50" s="108"/>
      <c r="BU50" s="108"/>
      <c r="BX50" s="190"/>
    </row>
    <row r="51" spans="1:84" s="176" customFormat="1">
      <c r="A51" s="136" t="s">
        <v>58</v>
      </c>
      <c r="B51" s="193"/>
      <c r="C51" s="193"/>
      <c r="D51" s="193"/>
      <c r="E51" s="136"/>
      <c r="F51" s="136"/>
      <c r="G51" s="136"/>
      <c r="H51" s="136"/>
      <c r="I51" s="136"/>
      <c r="J51" s="136"/>
      <c r="K51" s="136"/>
      <c r="L51" s="194"/>
      <c r="M51" s="136"/>
      <c r="N51" s="136"/>
      <c r="O51" s="136"/>
      <c r="P51" s="194"/>
      <c r="Q51" s="136"/>
      <c r="R51" s="136"/>
      <c r="S51" s="194"/>
      <c r="T51" s="136"/>
      <c r="U51" s="136"/>
      <c r="V51" s="194"/>
      <c r="W51" s="136"/>
      <c r="X51" s="136"/>
      <c r="Y51" s="194"/>
      <c r="Z51" s="136"/>
      <c r="AA51" s="136"/>
      <c r="AB51" s="194"/>
      <c r="AC51" s="136"/>
      <c r="AD51" s="136"/>
      <c r="AE51" s="194"/>
      <c r="AF51" s="136"/>
      <c r="AG51" s="136"/>
      <c r="AH51" s="194"/>
      <c r="AI51" s="136"/>
      <c r="AJ51" s="136"/>
      <c r="AK51" s="194"/>
      <c r="AL51" s="136"/>
      <c r="AM51" s="136"/>
      <c r="AN51" s="194"/>
      <c r="AO51" s="136"/>
      <c r="AP51" s="136"/>
      <c r="AQ51" s="194"/>
      <c r="AR51" s="136"/>
      <c r="AS51" s="136"/>
      <c r="AT51" s="194"/>
      <c r="AU51" s="136"/>
      <c r="AV51" s="136"/>
      <c r="AW51" s="194"/>
      <c r="AX51" s="136"/>
      <c r="AY51" s="136"/>
      <c r="AZ51" s="194">
        <f>SUM(AZ53:AZ61)</f>
        <v>1361</v>
      </c>
      <c r="BA51" s="136">
        <f t="shared" ref="BA51:BE51" si="62">SUM(BA53:BA61)</f>
        <v>653</v>
      </c>
      <c r="BB51" s="136">
        <f t="shared" si="62"/>
        <v>708</v>
      </c>
      <c r="BC51" s="194">
        <f t="shared" si="62"/>
        <v>1558</v>
      </c>
      <c r="BD51" s="136">
        <f t="shared" si="62"/>
        <v>776</v>
      </c>
      <c r="BE51" s="136">
        <f t="shared" si="62"/>
        <v>782</v>
      </c>
      <c r="BF51" s="194">
        <f t="shared" ref="BF51:BH51" si="63">SUM(BF53:BF61)</f>
        <v>1360</v>
      </c>
      <c r="BG51" s="136">
        <f t="shared" si="63"/>
        <v>724</v>
      </c>
      <c r="BH51" s="118">
        <f t="shared" si="63"/>
        <v>636</v>
      </c>
      <c r="BI51" s="136">
        <f t="shared" ref="BI51:BQ51" si="64">SUM(BI53:BI61)</f>
        <v>0</v>
      </c>
      <c r="BJ51" s="136">
        <f t="shared" si="64"/>
        <v>0</v>
      </c>
      <c r="BK51" s="118">
        <f t="shared" si="64"/>
        <v>0</v>
      </c>
      <c r="BL51" s="136">
        <f t="shared" si="64"/>
        <v>0</v>
      </c>
      <c r="BM51" s="136">
        <f t="shared" si="64"/>
        <v>0</v>
      </c>
      <c r="BN51" s="118">
        <f t="shared" si="64"/>
        <v>0</v>
      </c>
      <c r="BO51" s="136">
        <f t="shared" si="64"/>
        <v>1619</v>
      </c>
      <c r="BP51" s="136">
        <f t="shared" si="64"/>
        <v>888</v>
      </c>
      <c r="BQ51" s="136">
        <f t="shared" si="64"/>
        <v>731</v>
      </c>
      <c r="BR51" s="194">
        <f t="shared" ref="BR51:BT51" si="65">SUM(BR53:BR61)</f>
        <v>1617</v>
      </c>
      <c r="BS51" s="136">
        <f t="shared" si="65"/>
        <v>869</v>
      </c>
      <c r="BT51" s="136">
        <f t="shared" si="65"/>
        <v>748</v>
      </c>
      <c r="BU51" s="194">
        <f t="shared" ref="BU51:BW51" si="66">SUM(BU53:BU61)</f>
        <v>1774</v>
      </c>
      <c r="BV51" s="136">
        <f t="shared" si="66"/>
        <v>937</v>
      </c>
      <c r="BW51" s="136">
        <f t="shared" si="66"/>
        <v>837</v>
      </c>
      <c r="BX51" s="195">
        <f t="shared" ref="BX51:BZ51" si="67">SUM(BX53:BX61)</f>
        <v>1728</v>
      </c>
      <c r="BY51" s="196">
        <f t="shared" si="67"/>
        <v>930</v>
      </c>
      <c r="BZ51" s="207">
        <f t="shared" si="67"/>
        <v>798</v>
      </c>
      <c r="CA51" s="196">
        <f t="shared" ref="CA51:CC51" si="68">SUM(CA53:CA61)</f>
        <v>1761</v>
      </c>
      <c r="CB51" s="196">
        <f t="shared" si="68"/>
        <v>841</v>
      </c>
      <c r="CC51" s="207">
        <f t="shared" si="68"/>
        <v>917</v>
      </c>
      <c r="CD51" s="196">
        <f t="shared" ref="CD51:CF51" si="69">SUM(CD53:CD61)</f>
        <v>1800</v>
      </c>
      <c r="CE51" s="196">
        <f t="shared" si="69"/>
        <v>857</v>
      </c>
      <c r="CF51" s="196">
        <f t="shared" si="69"/>
        <v>942</v>
      </c>
    </row>
    <row r="52" spans="1:84">
      <c r="A52" s="50" t="s">
        <v>14</v>
      </c>
      <c r="B52" s="45"/>
      <c r="C52" s="45"/>
      <c r="D52" s="45"/>
      <c r="E52" s="54"/>
      <c r="F52" s="54"/>
      <c r="G52" s="54"/>
      <c r="H52" s="54"/>
      <c r="I52" s="54"/>
      <c r="J52" s="54"/>
      <c r="K52" s="54"/>
      <c r="L52" s="57"/>
      <c r="M52" s="54"/>
      <c r="N52" s="54"/>
      <c r="O52" s="54"/>
      <c r="P52" s="57"/>
      <c r="Q52" s="54"/>
      <c r="R52" s="54"/>
      <c r="S52" s="57"/>
      <c r="T52" s="54"/>
      <c r="U52" s="54"/>
      <c r="V52" s="57"/>
      <c r="W52" s="54"/>
      <c r="X52" s="54"/>
      <c r="Y52" s="57"/>
      <c r="Z52" s="54"/>
      <c r="AA52" s="54"/>
      <c r="AB52" s="57"/>
      <c r="AC52" s="54"/>
      <c r="AD52" s="54"/>
      <c r="AE52" s="57"/>
      <c r="AF52" s="54"/>
      <c r="AG52" s="54"/>
      <c r="AH52" s="57"/>
      <c r="AI52" s="54"/>
      <c r="AJ52" s="54"/>
      <c r="AK52" s="57"/>
      <c r="AL52" s="54"/>
      <c r="AM52" s="54"/>
      <c r="AN52" s="57"/>
      <c r="AO52" s="54"/>
      <c r="AP52" s="54"/>
      <c r="AQ52" s="57"/>
      <c r="AR52" s="54"/>
      <c r="AS52" s="54"/>
      <c r="AT52" s="57"/>
      <c r="AU52" s="54"/>
      <c r="AV52" s="54"/>
      <c r="AW52" s="57"/>
      <c r="AX52" s="54"/>
      <c r="AY52" s="54"/>
      <c r="AZ52" s="88">
        <f t="shared" ref="AZ52" si="70">(AZ51/AZ$3)*100</f>
        <v>26.037880237229764</v>
      </c>
      <c r="BA52" s="87">
        <f t="shared" ref="BA52" si="71">(BA51/BA$3)*100</f>
        <v>23.480762315713772</v>
      </c>
      <c r="BB52" s="87">
        <f t="shared" ref="BB52" si="72">(BB51/BB$3)*100</f>
        <v>28.945216680294354</v>
      </c>
      <c r="BC52" s="88">
        <f t="shared" ref="BC52" si="73">(BC51/BC$3)*100</f>
        <v>27.836340896909057</v>
      </c>
      <c r="BD52" s="87">
        <f t="shared" ref="BD52" si="74">(BD51/BD$3)*100</f>
        <v>25.7892987703556</v>
      </c>
      <c r="BE52" s="87">
        <f t="shared" ref="BE52:BG52" si="75">(BE51/BE$3)*100</f>
        <v>30.216383307573413</v>
      </c>
      <c r="BF52" s="88">
        <f t="shared" si="75"/>
        <v>23.496890117484451</v>
      </c>
      <c r="BG52" s="87">
        <f t="shared" si="75"/>
        <v>22.681704260651628</v>
      </c>
      <c r="BH52" s="119">
        <f t="shared" ref="BH52:BQ52" si="76">(BH51/BH$3)*100</f>
        <v>24.499229583975346</v>
      </c>
      <c r="BI52" s="87" t="e">
        <f t="shared" si="76"/>
        <v>#DIV/0!</v>
      </c>
      <c r="BJ52" s="87" t="e">
        <f t="shared" si="76"/>
        <v>#DIV/0!</v>
      </c>
      <c r="BK52" s="119" t="e">
        <f t="shared" si="76"/>
        <v>#DIV/0!</v>
      </c>
      <c r="BL52" s="87" t="e">
        <f t="shared" si="76"/>
        <v>#DIV/0!</v>
      </c>
      <c r="BM52" s="87" t="e">
        <f t="shared" si="76"/>
        <v>#DIV/0!</v>
      </c>
      <c r="BN52" s="119" t="e">
        <f t="shared" si="76"/>
        <v>#DIV/0!</v>
      </c>
      <c r="BO52" s="87">
        <f t="shared" si="76"/>
        <v>23.088990302338846</v>
      </c>
      <c r="BP52" s="87">
        <f t="shared" si="76"/>
        <v>22.22778473091364</v>
      </c>
      <c r="BQ52" s="87">
        <f t="shared" si="76"/>
        <v>24.229366920782233</v>
      </c>
      <c r="BR52" s="88">
        <f t="shared" ref="BR52:BT52" si="77">(BR51/BR$3)*100</f>
        <v>22.399224269289377</v>
      </c>
      <c r="BS52" s="87">
        <f t="shared" si="77"/>
        <v>21.600795426298784</v>
      </c>
      <c r="BT52" s="87">
        <f t="shared" si="77"/>
        <v>23.404255319148938</v>
      </c>
      <c r="BU52" s="88">
        <f t="shared" ref="BU52:BW52" si="78">(BU51/BU$3)*100</f>
        <v>23.419141914191417</v>
      </c>
      <c r="BV52" s="87">
        <f t="shared" si="78"/>
        <v>22.831384015594541</v>
      </c>
      <c r="BW52" s="87">
        <f t="shared" si="78"/>
        <v>24.114088159031979</v>
      </c>
      <c r="BX52" s="188">
        <f t="shared" ref="BX52:BZ52" si="79">(BX51/BX$3)*100</f>
        <v>21.37291280148423</v>
      </c>
      <c r="BY52" s="189">
        <f t="shared" si="79"/>
        <v>21.271729185727356</v>
      </c>
      <c r="BZ52" s="204">
        <f t="shared" si="79"/>
        <v>21.49205494209534</v>
      </c>
      <c r="CA52" s="189">
        <f t="shared" ref="CA52:CC52" si="80">(CA51/CA$3)*100</f>
        <v>20.859985785358919</v>
      </c>
      <c r="CB52" s="189">
        <f t="shared" si="80"/>
        <v>19.481121148946027</v>
      </c>
      <c r="CC52" s="204">
        <f t="shared" si="80"/>
        <v>22.268091306459446</v>
      </c>
      <c r="CD52" s="189">
        <f t="shared" ref="CD52:CF52" si="81">(CD51/CD$3)*100</f>
        <v>20.442930153321974</v>
      </c>
      <c r="CE52" s="189">
        <f t="shared" si="81"/>
        <v>19.59304983996342</v>
      </c>
      <c r="CF52" s="189">
        <f t="shared" si="81"/>
        <v>21.283325802078625</v>
      </c>
    </row>
    <row r="53" spans="1:84">
      <c r="A53" s="8" t="s">
        <v>59</v>
      </c>
      <c r="B53" s="21"/>
      <c r="C53" s="21"/>
      <c r="D53" s="21"/>
      <c r="E53" s="8"/>
      <c r="F53" s="8"/>
      <c r="G53" s="8"/>
      <c r="H53" s="8"/>
      <c r="I53" s="8"/>
      <c r="J53" s="8"/>
      <c r="K53" s="8"/>
      <c r="L53" s="15"/>
      <c r="M53" s="17"/>
      <c r="N53" s="17"/>
      <c r="O53" s="17"/>
      <c r="P53" s="15"/>
      <c r="Q53" s="17"/>
      <c r="R53" s="17"/>
      <c r="S53" s="15"/>
      <c r="T53" s="17"/>
      <c r="U53" s="17"/>
      <c r="V53" s="15"/>
      <c r="W53" s="17"/>
      <c r="X53" s="17"/>
      <c r="Y53" s="15"/>
      <c r="Z53" s="17"/>
      <c r="AA53" s="17"/>
      <c r="AB53" s="15"/>
      <c r="AC53" s="17"/>
      <c r="AD53" s="17"/>
      <c r="AE53" s="15"/>
      <c r="AF53" s="17"/>
      <c r="AG53" s="17"/>
      <c r="AH53" s="15"/>
      <c r="AI53" s="17"/>
      <c r="AJ53" s="17"/>
      <c r="AK53" s="15"/>
      <c r="AL53" s="17"/>
      <c r="AM53" s="17"/>
      <c r="AN53" s="15"/>
      <c r="AO53" s="17"/>
      <c r="AP53" s="17"/>
      <c r="AQ53" s="15"/>
      <c r="AR53" s="17"/>
      <c r="AS53" s="17"/>
      <c r="AT53" s="15"/>
      <c r="AU53" s="17"/>
      <c r="AV53" s="17"/>
      <c r="AW53" s="15"/>
      <c r="AX53" s="17"/>
      <c r="AY53" s="17"/>
      <c r="AZ53" s="15"/>
      <c r="BA53" s="17"/>
      <c r="BB53" s="17"/>
      <c r="BC53" s="15"/>
      <c r="BD53" s="17"/>
      <c r="BE53" s="17"/>
      <c r="BF53" s="15"/>
      <c r="BG53" s="17"/>
      <c r="BH53" s="130"/>
      <c r="BI53" s="17"/>
      <c r="BJ53" s="17"/>
      <c r="BK53" s="130"/>
      <c r="BL53" s="17"/>
      <c r="BM53" s="17"/>
      <c r="BN53" s="107"/>
      <c r="BR53" s="108"/>
      <c r="BU53" s="108"/>
      <c r="BX53" s="190"/>
    </row>
    <row r="54" spans="1:84">
      <c r="A54" s="8" t="s">
        <v>320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15"/>
      <c r="M54" s="17"/>
      <c r="N54" s="17"/>
      <c r="O54" s="17"/>
      <c r="P54" s="15"/>
      <c r="Q54" s="17"/>
      <c r="R54" s="17"/>
      <c r="S54" s="15"/>
      <c r="T54" s="17"/>
      <c r="U54" s="17"/>
      <c r="V54" s="15"/>
      <c r="W54" s="17"/>
      <c r="X54" s="17"/>
      <c r="Y54" s="15"/>
      <c r="Z54" s="17"/>
      <c r="AA54" s="17"/>
      <c r="AB54" s="15"/>
      <c r="AC54" s="17"/>
      <c r="AD54" s="17"/>
      <c r="AE54" s="15"/>
      <c r="AF54" s="17"/>
      <c r="AG54" s="17"/>
      <c r="AH54" s="15"/>
      <c r="AI54" s="17"/>
      <c r="AJ54" s="17"/>
      <c r="AK54" s="15"/>
      <c r="AL54" s="17"/>
      <c r="AM54" s="17"/>
      <c r="AN54" s="15">
        <v>124</v>
      </c>
      <c r="AO54" s="17"/>
      <c r="AP54" s="17"/>
      <c r="AQ54" s="15">
        <v>125</v>
      </c>
      <c r="AR54" s="17"/>
      <c r="AS54" s="17"/>
      <c r="AT54" s="15"/>
      <c r="AU54" s="17"/>
      <c r="AV54" s="17"/>
      <c r="AW54" s="15"/>
      <c r="AX54" s="17"/>
      <c r="AY54" s="17"/>
      <c r="AZ54" s="15">
        <v>128</v>
      </c>
      <c r="BA54" s="17">
        <v>61</v>
      </c>
      <c r="BB54" s="17">
        <v>67</v>
      </c>
      <c r="BC54" s="15">
        <v>129</v>
      </c>
      <c r="BD54" s="17">
        <v>50</v>
      </c>
      <c r="BE54" s="17">
        <v>79</v>
      </c>
      <c r="BF54" s="15">
        <v>127</v>
      </c>
      <c r="BG54" s="17">
        <v>56</v>
      </c>
      <c r="BH54" s="130">
        <v>71</v>
      </c>
      <c r="BI54" s="17"/>
      <c r="BJ54" s="17"/>
      <c r="BK54" s="130"/>
      <c r="BL54" s="17"/>
      <c r="BM54" s="17"/>
      <c r="BN54" s="107"/>
      <c r="BO54" s="12">
        <v>182</v>
      </c>
      <c r="BP54" s="128">
        <v>102</v>
      </c>
      <c r="BQ54" s="128">
        <v>80</v>
      </c>
      <c r="BR54" s="108">
        <v>177</v>
      </c>
      <c r="BS54" s="128">
        <v>83</v>
      </c>
      <c r="BT54" s="128">
        <v>94</v>
      </c>
      <c r="BU54" s="108">
        <v>181</v>
      </c>
      <c r="BV54" s="128">
        <v>88</v>
      </c>
      <c r="BW54" s="128">
        <v>93</v>
      </c>
      <c r="BX54" s="190">
        <v>180</v>
      </c>
      <c r="BY54" s="191">
        <v>92</v>
      </c>
      <c r="BZ54" s="205">
        <v>88</v>
      </c>
      <c r="CA54" s="12">
        <v>178</v>
      </c>
      <c r="CB54" s="12">
        <v>77</v>
      </c>
      <c r="CC54" s="107">
        <v>100</v>
      </c>
      <c r="CD54" s="12">
        <v>186</v>
      </c>
      <c r="CE54" s="12">
        <v>71</v>
      </c>
      <c r="CF54" s="12">
        <v>114</v>
      </c>
    </row>
    <row r="55" spans="1:84">
      <c r="A55" s="8" t="s">
        <v>61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15"/>
      <c r="M55" s="17"/>
      <c r="N55" s="17"/>
      <c r="O55" s="17"/>
      <c r="P55" s="15"/>
      <c r="Q55" s="17"/>
      <c r="R55" s="17"/>
      <c r="S55" s="15"/>
      <c r="T55" s="17"/>
      <c r="U55" s="17"/>
      <c r="V55" s="15"/>
      <c r="W55" s="17"/>
      <c r="X55" s="17"/>
      <c r="Y55" s="15"/>
      <c r="Z55" s="17"/>
      <c r="AA55" s="17"/>
      <c r="AB55" s="15"/>
      <c r="AC55" s="17"/>
      <c r="AD55" s="17"/>
      <c r="AE55" s="15"/>
      <c r="AF55" s="17"/>
      <c r="AG55" s="17"/>
      <c r="AH55" s="15"/>
      <c r="AI55" s="17"/>
      <c r="AJ55" s="17"/>
      <c r="AK55" s="15"/>
      <c r="AL55" s="17"/>
      <c r="AM55" s="17"/>
      <c r="AN55" s="15"/>
      <c r="AO55" s="17"/>
      <c r="AP55" s="17"/>
      <c r="AQ55" s="15"/>
      <c r="AR55" s="17"/>
      <c r="AS55" s="17"/>
      <c r="AT55" s="15"/>
      <c r="AU55" s="17"/>
      <c r="AV55" s="17"/>
      <c r="AW55" s="15"/>
      <c r="AX55" s="17"/>
      <c r="AY55" s="17"/>
      <c r="AZ55" s="15"/>
      <c r="BA55" s="17"/>
      <c r="BB55" s="17"/>
      <c r="BC55" s="15"/>
      <c r="BD55" s="17"/>
      <c r="BE55" s="17"/>
      <c r="BF55" s="15"/>
      <c r="BG55" s="17"/>
      <c r="BH55" s="130"/>
      <c r="BI55" s="17"/>
      <c r="BJ55" s="17"/>
      <c r="BK55" s="130"/>
      <c r="BL55" s="17"/>
      <c r="BM55" s="17"/>
      <c r="BN55" s="107"/>
      <c r="BR55" s="108"/>
      <c r="BU55" s="108"/>
      <c r="BX55" s="190"/>
    </row>
    <row r="56" spans="1:84">
      <c r="A56" s="8" t="s">
        <v>62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15"/>
      <c r="M56" s="17"/>
      <c r="N56" s="17"/>
      <c r="O56" s="17"/>
      <c r="P56" s="15"/>
      <c r="Q56" s="17"/>
      <c r="R56" s="17"/>
      <c r="S56" s="15"/>
      <c r="T56" s="17"/>
      <c r="U56" s="17"/>
      <c r="V56" s="15"/>
      <c r="W56" s="17"/>
      <c r="X56" s="17"/>
      <c r="Y56" s="15"/>
      <c r="Z56" s="17"/>
      <c r="AA56" s="17"/>
      <c r="AB56" s="15"/>
      <c r="AC56" s="17"/>
      <c r="AD56" s="17"/>
      <c r="AE56" s="15"/>
      <c r="AF56" s="17"/>
      <c r="AG56" s="17"/>
      <c r="AH56" s="15"/>
      <c r="AI56" s="17"/>
      <c r="AJ56" s="17"/>
      <c r="AK56" s="15"/>
      <c r="AL56" s="17"/>
      <c r="AM56" s="17"/>
      <c r="AN56" s="15"/>
      <c r="AO56" s="17"/>
      <c r="AP56" s="17"/>
      <c r="AQ56" s="15"/>
      <c r="AR56" s="17"/>
      <c r="AS56" s="17"/>
      <c r="AT56" s="15"/>
      <c r="AU56" s="17"/>
      <c r="AV56" s="17"/>
      <c r="AW56" s="15"/>
      <c r="AX56" s="17"/>
      <c r="AY56" s="17"/>
      <c r="AZ56" s="15"/>
      <c r="BA56" s="17"/>
      <c r="BB56" s="17"/>
      <c r="BC56" s="15"/>
      <c r="BD56" s="17"/>
      <c r="BE56" s="17"/>
      <c r="BF56" s="15"/>
      <c r="BG56" s="17"/>
      <c r="BH56" s="130"/>
      <c r="BI56" s="17"/>
      <c r="BJ56" s="17"/>
      <c r="BK56" s="130"/>
      <c r="BL56" s="17"/>
      <c r="BM56" s="17"/>
      <c r="BN56" s="107"/>
      <c r="BR56" s="108"/>
      <c r="BU56" s="108"/>
      <c r="BX56" s="190"/>
    </row>
    <row r="57" spans="1:84">
      <c r="A57" s="8" t="s">
        <v>358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15"/>
      <c r="M57" s="17"/>
      <c r="N57" s="17"/>
      <c r="O57" s="17"/>
      <c r="P57" s="15"/>
      <c r="Q57" s="17"/>
      <c r="R57" s="17"/>
      <c r="S57" s="15"/>
      <c r="T57" s="17"/>
      <c r="U57" s="17"/>
      <c r="V57" s="15"/>
      <c r="W57" s="17"/>
      <c r="X57" s="17"/>
      <c r="Y57" s="15"/>
      <c r="Z57" s="17"/>
      <c r="AA57" s="17"/>
      <c r="AB57" s="15"/>
      <c r="AC57" s="17"/>
      <c r="AD57" s="17"/>
      <c r="AE57" s="15"/>
      <c r="AF57" s="17"/>
      <c r="AG57" s="17"/>
      <c r="AH57" s="15"/>
      <c r="AI57" s="17"/>
      <c r="AJ57" s="17"/>
      <c r="AK57" s="15"/>
      <c r="AL57" s="17"/>
      <c r="AM57" s="17"/>
      <c r="AN57" s="15">
        <v>96</v>
      </c>
      <c r="AO57" s="17"/>
      <c r="AP57" s="17"/>
      <c r="AQ57" s="15">
        <v>102</v>
      </c>
      <c r="AR57" s="17"/>
      <c r="AS57" s="17"/>
      <c r="AT57" s="15"/>
      <c r="AU57" s="17"/>
      <c r="AV57" s="17"/>
      <c r="AW57" s="15"/>
      <c r="AX57" s="17"/>
      <c r="AY57" s="17"/>
      <c r="AZ57" s="15">
        <v>134</v>
      </c>
      <c r="BA57" s="17">
        <v>59</v>
      </c>
      <c r="BB57" s="17">
        <v>75</v>
      </c>
      <c r="BC57" s="15">
        <v>154</v>
      </c>
      <c r="BD57" s="17">
        <v>68</v>
      </c>
      <c r="BE57" s="17">
        <v>86</v>
      </c>
      <c r="BF57" s="15">
        <v>154</v>
      </c>
      <c r="BG57" s="17">
        <v>88</v>
      </c>
      <c r="BH57" s="130">
        <v>66</v>
      </c>
      <c r="BI57" s="17"/>
      <c r="BJ57" s="17"/>
      <c r="BK57" s="130"/>
      <c r="BL57" s="17"/>
      <c r="BM57" s="17"/>
      <c r="BN57" s="107"/>
      <c r="BO57" s="12">
        <v>168</v>
      </c>
      <c r="BP57" s="128">
        <v>86</v>
      </c>
      <c r="BQ57" s="128">
        <v>82</v>
      </c>
      <c r="BR57" s="108">
        <v>174</v>
      </c>
      <c r="BS57" s="128">
        <v>95</v>
      </c>
      <c r="BT57" s="128">
        <v>79</v>
      </c>
      <c r="BU57" s="108">
        <v>189</v>
      </c>
      <c r="BV57" s="128">
        <v>110</v>
      </c>
      <c r="BW57" s="128">
        <v>79</v>
      </c>
      <c r="BX57" s="190">
        <v>188</v>
      </c>
      <c r="BY57" s="191">
        <v>100</v>
      </c>
      <c r="BZ57" s="205">
        <v>88</v>
      </c>
      <c r="CA57" s="12">
        <v>211</v>
      </c>
      <c r="CB57" s="12">
        <v>101</v>
      </c>
      <c r="CC57" s="107">
        <v>110</v>
      </c>
      <c r="CD57" s="12">
        <v>211</v>
      </c>
      <c r="CE57" s="12">
        <v>107</v>
      </c>
      <c r="CF57" s="12">
        <v>104</v>
      </c>
    </row>
    <row r="58" spans="1:84">
      <c r="A58" s="8" t="s">
        <v>359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15"/>
      <c r="M58" s="17"/>
      <c r="N58" s="17"/>
      <c r="O58" s="17"/>
      <c r="P58" s="15"/>
      <c r="Q58" s="17"/>
      <c r="R58" s="17"/>
      <c r="S58" s="15"/>
      <c r="T58" s="17"/>
      <c r="U58" s="17"/>
      <c r="V58" s="15"/>
      <c r="W58" s="17"/>
      <c r="X58" s="17"/>
      <c r="Y58" s="15"/>
      <c r="Z58" s="17"/>
      <c r="AA58" s="17"/>
      <c r="AB58" s="15"/>
      <c r="AC58" s="17"/>
      <c r="AD58" s="17"/>
      <c r="AE58" s="15"/>
      <c r="AF58" s="17"/>
      <c r="AG58" s="17"/>
      <c r="AH58" s="15"/>
      <c r="AI58" s="17"/>
      <c r="AJ58" s="17"/>
      <c r="AK58" s="15"/>
      <c r="AL58" s="17"/>
      <c r="AM58" s="17"/>
      <c r="AN58" s="15">
        <v>315</v>
      </c>
      <c r="AO58" s="17"/>
      <c r="AP58" s="17"/>
      <c r="AQ58" s="15">
        <v>321</v>
      </c>
      <c r="AR58" s="17"/>
      <c r="AS58" s="17"/>
      <c r="AT58" s="15"/>
      <c r="AU58" s="17"/>
      <c r="AV58" s="17"/>
      <c r="AW58" s="15"/>
      <c r="AX58" s="17"/>
      <c r="AY58" s="17"/>
      <c r="AZ58" s="15">
        <f>315+138</f>
        <v>453</v>
      </c>
      <c r="BA58" s="17">
        <f>136+63</f>
        <v>199</v>
      </c>
      <c r="BB58" s="17">
        <f>179+75</f>
        <v>254</v>
      </c>
      <c r="BC58" s="15">
        <f>301+141</f>
        <v>442</v>
      </c>
      <c r="BD58" s="17">
        <f>134+66</f>
        <v>200</v>
      </c>
      <c r="BE58" s="17">
        <f>167+75</f>
        <v>242</v>
      </c>
      <c r="BF58" s="15">
        <v>433</v>
      </c>
      <c r="BG58" s="17">
        <v>218</v>
      </c>
      <c r="BH58" s="130">
        <v>215</v>
      </c>
      <c r="BI58" s="17"/>
      <c r="BJ58" s="17"/>
      <c r="BK58" s="130"/>
      <c r="BL58" s="17"/>
      <c r="BM58" s="17"/>
      <c r="BN58" s="107"/>
      <c r="BO58" s="12">
        <v>596</v>
      </c>
      <c r="BP58" s="128">
        <v>311</v>
      </c>
      <c r="BQ58" s="128">
        <v>285</v>
      </c>
      <c r="BR58" s="108">
        <v>594</v>
      </c>
      <c r="BS58" s="128">
        <v>311</v>
      </c>
      <c r="BT58" s="128">
        <v>283</v>
      </c>
      <c r="BU58" s="108">
        <v>733</v>
      </c>
      <c r="BV58" s="128">
        <v>387</v>
      </c>
      <c r="BW58" s="128">
        <v>346</v>
      </c>
      <c r="BX58" s="190">
        <v>694</v>
      </c>
      <c r="BY58" s="191">
        <v>379</v>
      </c>
      <c r="BZ58" s="205">
        <v>315</v>
      </c>
      <c r="CA58" s="12">
        <v>706</v>
      </c>
      <c r="CB58" s="12">
        <v>340</v>
      </c>
      <c r="CC58" s="107">
        <v>364</v>
      </c>
      <c r="CD58" s="12">
        <v>734</v>
      </c>
      <c r="CE58" s="12">
        <v>339</v>
      </c>
      <c r="CF58" s="12">
        <v>395</v>
      </c>
    </row>
    <row r="59" spans="1:84">
      <c r="A59" s="8" t="s">
        <v>65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15"/>
      <c r="M59" s="17"/>
      <c r="N59" s="17"/>
      <c r="O59" s="17"/>
      <c r="P59" s="15"/>
      <c r="Q59" s="17"/>
      <c r="R59" s="17"/>
      <c r="S59" s="15"/>
      <c r="T59" s="17"/>
      <c r="U59" s="17"/>
      <c r="V59" s="15"/>
      <c r="W59" s="17"/>
      <c r="X59" s="17"/>
      <c r="Y59" s="15"/>
      <c r="Z59" s="17"/>
      <c r="AA59" s="17"/>
      <c r="AB59" s="15"/>
      <c r="AC59" s="17"/>
      <c r="AD59" s="17"/>
      <c r="AE59" s="15"/>
      <c r="AF59" s="17"/>
      <c r="AG59" s="17"/>
      <c r="AH59" s="15"/>
      <c r="AI59" s="17"/>
      <c r="AJ59" s="17"/>
      <c r="AK59" s="15"/>
      <c r="AL59" s="17"/>
      <c r="AM59" s="17"/>
      <c r="AN59" s="15">
        <f>230+274</f>
        <v>504</v>
      </c>
      <c r="AO59" s="17"/>
      <c r="AP59" s="17"/>
      <c r="AQ59" s="15">
        <f>231+275</f>
        <v>506</v>
      </c>
      <c r="AR59" s="17"/>
      <c r="AS59" s="17"/>
      <c r="AT59" s="15"/>
      <c r="AU59" s="17"/>
      <c r="AV59" s="17"/>
      <c r="AW59" s="15"/>
      <c r="AX59" s="17"/>
      <c r="AY59" s="17"/>
      <c r="AZ59" s="15">
        <f>374+272</f>
        <v>646</v>
      </c>
      <c r="BA59" s="17">
        <f>202+132</f>
        <v>334</v>
      </c>
      <c r="BB59" s="17">
        <f>172+140</f>
        <v>312</v>
      </c>
      <c r="BC59" s="15">
        <f>390+169+274</f>
        <v>833</v>
      </c>
      <c r="BD59" s="17">
        <f>223+91+144</f>
        <v>458</v>
      </c>
      <c r="BE59" s="17">
        <f>167+78+130</f>
        <v>375</v>
      </c>
      <c r="BF59" s="15">
        <v>646</v>
      </c>
      <c r="BG59" s="17">
        <v>362</v>
      </c>
      <c r="BH59" s="130">
        <v>284</v>
      </c>
      <c r="BI59" s="17"/>
      <c r="BJ59" s="17"/>
      <c r="BK59" s="130"/>
      <c r="BL59" s="17"/>
      <c r="BM59" s="17"/>
      <c r="BN59" s="107"/>
      <c r="BO59" s="12">
        <v>673</v>
      </c>
      <c r="BP59" s="128">
        <v>389</v>
      </c>
      <c r="BQ59" s="128">
        <v>284</v>
      </c>
      <c r="BR59" s="108">
        <v>672</v>
      </c>
      <c r="BS59" s="128">
        <v>380</v>
      </c>
      <c r="BT59" s="128">
        <v>292</v>
      </c>
      <c r="BU59" s="108">
        <v>671</v>
      </c>
      <c r="BV59" s="128">
        <v>352</v>
      </c>
      <c r="BW59" s="128">
        <v>319</v>
      </c>
      <c r="BX59" s="190">
        <v>666</v>
      </c>
      <c r="BY59" s="191">
        <v>359</v>
      </c>
      <c r="BZ59" s="205">
        <v>307</v>
      </c>
      <c r="CA59" s="12">
        <v>666</v>
      </c>
      <c r="CB59" s="12">
        <v>323</v>
      </c>
      <c r="CC59" s="107">
        <v>343</v>
      </c>
      <c r="CD59" s="12">
        <v>669</v>
      </c>
      <c r="CE59" s="12">
        <v>340</v>
      </c>
      <c r="CF59" s="12">
        <v>329</v>
      </c>
    </row>
    <row r="60" spans="1:84">
      <c r="A60" s="8" t="s">
        <v>66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15"/>
      <c r="M60" s="17"/>
      <c r="N60" s="17"/>
      <c r="O60" s="17"/>
      <c r="P60" s="15"/>
      <c r="Q60" s="17"/>
      <c r="R60" s="17"/>
      <c r="S60" s="15"/>
      <c r="T60" s="17"/>
      <c r="U60" s="17"/>
      <c r="V60" s="15"/>
      <c r="W60" s="17"/>
      <c r="X60" s="17"/>
      <c r="Y60" s="15"/>
      <c r="Z60" s="17"/>
      <c r="AA60" s="17"/>
      <c r="AB60" s="15"/>
      <c r="AC60" s="17"/>
      <c r="AD60" s="17"/>
      <c r="AE60" s="15"/>
      <c r="AF60" s="17"/>
      <c r="AG60" s="17"/>
      <c r="AH60" s="15"/>
      <c r="AI60" s="17"/>
      <c r="AJ60" s="17"/>
      <c r="AK60" s="15"/>
      <c r="AL60" s="17"/>
      <c r="AM60" s="17"/>
      <c r="AN60" s="15"/>
      <c r="AO60" s="17"/>
      <c r="AP60" s="17"/>
      <c r="AQ60" s="15"/>
      <c r="AR60" s="17"/>
      <c r="AS60" s="17"/>
      <c r="AT60" s="15"/>
      <c r="AU60" s="17"/>
      <c r="AV60" s="17"/>
      <c r="AW60" s="15"/>
      <c r="AX60" s="17"/>
      <c r="AY60" s="17"/>
      <c r="AZ60" s="15"/>
      <c r="BA60" s="17"/>
      <c r="BB60" s="17"/>
      <c r="BC60" s="15"/>
      <c r="BD60" s="17"/>
      <c r="BE60" s="17"/>
      <c r="BF60" s="15"/>
      <c r="BG60" s="17"/>
      <c r="BH60" s="130"/>
      <c r="BI60" s="17"/>
      <c r="BJ60" s="17"/>
      <c r="BK60" s="130"/>
      <c r="BL60" s="17"/>
      <c r="BM60" s="17"/>
      <c r="BN60" s="107"/>
      <c r="BR60" s="108"/>
      <c r="BU60" s="108"/>
      <c r="BX60" s="190"/>
    </row>
    <row r="61" spans="1:84">
      <c r="A61" s="9" t="s">
        <v>67</v>
      </c>
      <c r="B61" s="7"/>
      <c r="C61" s="7"/>
      <c r="D61" s="7"/>
      <c r="E61" s="9"/>
      <c r="F61" s="9"/>
      <c r="G61" s="9"/>
      <c r="H61" s="9"/>
      <c r="I61" s="9"/>
      <c r="J61" s="9"/>
      <c r="K61" s="9"/>
      <c r="L61" s="16"/>
      <c r="M61" s="9"/>
      <c r="N61" s="9"/>
      <c r="O61" s="9"/>
      <c r="P61" s="16"/>
      <c r="Q61" s="9"/>
      <c r="R61" s="9"/>
      <c r="S61" s="16"/>
      <c r="T61" s="9"/>
      <c r="U61" s="9"/>
      <c r="V61" s="16"/>
      <c r="W61" s="9"/>
      <c r="X61" s="9"/>
      <c r="Y61" s="16"/>
      <c r="Z61" s="9"/>
      <c r="AA61" s="9"/>
      <c r="AB61" s="16"/>
      <c r="AC61" s="9"/>
      <c r="AD61" s="9"/>
      <c r="AE61" s="16"/>
      <c r="AF61" s="9"/>
      <c r="AG61" s="9"/>
      <c r="AH61" s="16"/>
      <c r="AI61" s="9"/>
      <c r="AJ61" s="9"/>
      <c r="AK61" s="16"/>
      <c r="AL61" s="9"/>
      <c r="AM61" s="9"/>
      <c r="AN61" s="16"/>
      <c r="AO61" s="9"/>
      <c r="AP61" s="9"/>
      <c r="AQ61" s="16"/>
      <c r="AR61" s="9"/>
      <c r="AS61" s="9"/>
      <c r="AT61" s="16"/>
      <c r="AU61" s="9"/>
      <c r="AV61" s="9"/>
      <c r="AW61" s="16"/>
      <c r="AX61" s="9"/>
      <c r="AY61" s="9"/>
      <c r="AZ61" s="16"/>
      <c r="BA61" s="9"/>
      <c r="BB61" s="9"/>
      <c r="BC61" s="16"/>
      <c r="BD61" s="9"/>
      <c r="BE61" s="9"/>
      <c r="BF61" s="16"/>
      <c r="BG61" s="9"/>
      <c r="BH61" s="131"/>
      <c r="BI61" s="9"/>
      <c r="BJ61" s="9"/>
      <c r="BK61" s="131"/>
      <c r="BL61" s="9"/>
      <c r="BM61" s="9"/>
      <c r="BN61" s="111"/>
      <c r="BO61" s="110"/>
      <c r="BP61" s="110"/>
      <c r="BQ61" s="110"/>
      <c r="BR61" s="109"/>
      <c r="BS61" s="110"/>
      <c r="BT61" s="110"/>
      <c r="BU61" s="109"/>
      <c r="BV61" s="110"/>
      <c r="BW61" s="110"/>
      <c r="BX61" s="192"/>
      <c r="BY61" s="181"/>
      <c r="BZ61" s="208"/>
    </row>
    <row r="62" spans="1:84">
      <c r="A62" s="51" t="s">
        <v>68</v>
      </c>
      <c r="B62" s="7"/>
      <c r="C62" s="7"/>
      <c r="D62" s="7"/>
      <c r="E62" s="9"/>
      <c r="F62" s="51"/>
      <c r="G62" s="51"/>
      <c r="H62" s="51"/>
      <c r="I62" s="51"/>
      <c r="J62" s="51"/>
      <c r="K62" s="51"/>
      <c r="L62" s="58"/>
      <c r="M62" s="51"/>
      <c r="N62" s="51"/>
      <c r="O62" s="51"/>
      <c r="P62" s="58"/>
      <c r="Q62" s="51"/>
      <c r="R62" s="51"/>
      <c r="S62" s="58"/>
      <c r="T62" s="51"/>
      <c r="U62" s="51"/>
      <c r="V62" s="58"/>
      <c r="W62" s="51"/>
      <c r="X62" s="51"/>
      <c r="Y62" s="58"/>
      <c r="Z62" s="51"/>
      <c r="AA62" s="51"/>
      <c r="AB62" s="58"/>
      <c r="AC62" s="51"/>
      <c r="AD62" s="51"/>
      <c r="AE62" s="58"/>
      <c r="AF62" s="51"/>
      <c r="AG62" s="51"/>
      <c r="AH62" s="58"/>
      <c r="AI62" s="51"/>
      <c r="AJ62" s="51"/>
      <c r="AK62" s="58"/>
      <c r="AL62" s="51"/>
      <c r="AM62" s="51"/>
      <c r="AN62" s="58"/>
      <c r="AO62" s="51"/>
      <c r="AP62" s="51"/>
      <c r="AQ62" s="58"/>
      <c r="AR62" s="51"/>
      <c r="AS62" s="51"/>
      <c r="AT62" s="58"/>
      <c r="AU62" s="51"/>
      <c r="AV62" s="51"/>
      <c r="AW62" s="58"/>
      <c r="AX62" s="51"/>
      <c r="AY62" s="51"/>
      <c r="AZ62" s="58"/>
      <c r="BA62" s="51"/>
      <c r="BB62" s="51"/>
      <c r="BC62" s="58"/>
      <c r="BD62" s="51"/>
      <c r="BE62" s="51"/>
      <c r="BF62" s="58"/>
      <c r="BG62" s="51"/>
      <c r="BH62" s="132"/>
      <c r="BI62" s="51"/>
      <c r="BJ62" s="51"/>
      <c r="BK62" s="132"/>
      <c r="BL62" s="51"/>
      <c r="BM62" s="51"/>
      <c r="BN62" s="111"/>
      <c r="BO62" s="110"/>
      <c r="BP62" s="110"/>
      <c r="BQ62" s="110"/>
      <c r="BR62" s="109"/>
      <c r="BS62" s="110"/>
      <c r="BT62" s="110"/>
      <c r="BU62" s="109"/>
      <c r="BV62" s="110"/>
      <c r="BW62" s="110"/>
      <c r="BX62" s="192"/>
      <c r="BY62" s="181"/>
      <c r="BZ62" s="208"/>
    </row>
    <row r="63" spans="1:84" ht="9" customHeight="1"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84">
      <c r="A64" s="59" t="s">
        <v>360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209"/>
      <c r="CA64" s="33"/>
    </row>
    <row r="65" spans="1:26">
      <c r="A65" s="47"/>
      <c r="B65" s="47"/>
      <c r="C65" s="47"/>
      <c r="D65" s="6"/>
      <c r="E65" s="47"/>
      <c r="F65" s="6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>
      <c r="A66" s="47"/>
      <c r="B66" s="47"/>
      <c r="C66" s="47"/>
      <c r="D66" s="6"/>
      <c r="E66" s="47"/>
      <c r="F66" s="6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>
      <c r="A67" s="47"/>
      <c r="B67" s="47"/>
      <c r="C67" s="47"/>
      <c r="D67" s="6"/>
      <c r="E67" s="47"/>
      <c r="F67" s="6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>
      <c r="A68" s="47"/>
      <c r="B68" s="47"/>
      <c r="C68" s="47"/>
      <c r="D68" s="6"/>
      <c r="E68" s="47"/>
      <c r="F68" s="6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>
      <c r="A69" s="47"/>
      <c r="B69" s="47"/>
      <c r="C69" s="47"/>
      <c r="D69" s="6"/>
      <c r="E69" s="47"/>
      <c r="F69" s="6"/>
      <c r="G69" s="38"/>
      <c r="H69" s="38"/>
      <c r="I69" s="38"/>
      <c r="J69" s="38"/>
      <c r="K69" s="38"/>
      <c r="L69" s="38"/>
      <c r="M69" s="38"/>
      <c r="N69" s="38"/>
      <c r="O69" s="38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>
      <c r="A70" s="47"/>
      <c r="B70" s="47"/>
      <c r="C70" s="47"/>
      <c r="D70" s="6"/>
      <c r="E70" s="47"/>
      <c r="F70" s="6"/>
      <c r="G70" s="6"/>
      <c r="H70" s="6"/>
      <c r="I70" s="6"/>
      <c r="J70" s="6"/>
      <c r="K70" s="6"/>
      <c r="L70" s="6"/>
      <c r="M70" s="6"/>
      <c r="N70" s="6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>
      <c r="A71" s="47"/>
      <c r="B71" s="47"/>
      <c r="C71" s="47"/>
      <c r="D71" s="6"/>
      <c r="E71" s="47"/>
      <c r="F71" s="6"/>
      <c r="G71" s="6"/>
      <c r="H71" s="6"/>
      <c r="I71" s="6"/>
      <c r="J71" s="6"/>
      <c r="K71" s="6"/>
      <c r="L71" s="6"/>
      <c r="M71" s="6"/>
      <c r="N71" s="6"/>
      <c r="O71" s="47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>
      <c r="A72" s="47"/>
      <c r="B72" s="47"/>
      <c r="C72" s="47"/>
      <c r="D72" s="6"/>
      <c r="E72" s="47"/>
      <c r="F72" s="6"/>
      <c r="G72" s="6"/>
      <c r="H72" s="6"/>
      <c r="I72" s="6"/>
      <c r="J72" s="6"/>
      <c r="K72" s="6"/>
      <c r="L72" s="6"/>
      <c r="M72" s="6"/>
      <c r="N72" s="6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>
      <c r="A73" s="47"/>
      <c r="B73" s="38"/>
      <c r="C73" s="47"/>
      <c r="D73" s="6"/>
      <c r="E73" s="47"/>
      <c r="F73" s="6"/>
      <c r="G73" s="6"/>
      <c r="H73" s="6"/>
      <c r="I73" s="6"/>
      <c r="J73" s="6"/>
      <c r="K73" s="6"/>
      <c r="L73" s="6"/>
      <c r="M73" s="6"/>
      <c r="N73" s="6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>
      <c r="A74" s="47"/>
      <c r="B74" s="47"/>
      <c r="C74" s="47"/>
      <c r="D74" s="25"/>
      <c r="E74" s="47"/>
      <c r="F74" s="47"/>
      <c r="G74" s="6"/>
      <c r="H74" s="6"/>
      <c r="I74" s="6"/>
      <c r="J74" s="6"/>
      <c r="K74" s="6"/>
      <c r="L74" s="6"/>
      <c r="M74" s="6"/>
      <c r="N74" s="6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>
      <c r="A75" s="47"/>
      <c r="B75" s="47"/>
      <c r="C75" s="47"/>
      <c r="D75" s="25"/>
      <c r="E75" s="38"/>
      <c r="F75" s="47"/>
      <c r="G75" s="6"/>
      <c r="H75" s="6"/>
      <c r="I75" s="6"/>
      <c r="J75" s="6"/>
      <c r="K75" s="6"/>
      <c r="L75" s="6"/>
      <c r="M75" s="6"/>
      <c r="N75" s="6"/>
      <c r="O75" s="47"/>
      <c r="P75" s="47"/>
      <c r="Q75" s="47"/>
      <c r="R75" s="47"/>
      <c r="S75" s="47"/>
      <c r="T75" s="48"/>
      <c r="U75" s="48"/>
      <c r="V75" s="48"/>
      <c r="W75" s="48"/>
      <c r="X75" s="48"/>
      <c r="Y75" s="48"/>
      <c r="Z75" s="48"/>
    </row>
    <row r="76" spans="1:26">
      <c r="A76" s="47"/>
      <c r="B76" s="47"/>
      <c r="C76" s="47"/>
      <c r="D76" s="25"/>
      <c r="E76" s="47"/>
      <c r="F76" s="47"/>
      <c r="G76" s="6"/>
      <c r="H76" s="6"/>
      <c r="I76" s="6"/>
      <c r="J76" s="6"/>
      <c r="K76" s="6"/>
      <c r="L76" s="6"/>
      <c r="M76" s="6"/>
      <c r="N76" s="6"/>
      <c r="O76" s="6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>
      <c r="A77" s="47"/>
      <c r="B77" s="47"/>
      <c r="C77" s="47"/>
      <c r="D77" s="25"/>
      <c r="E77" s="47"/>
      <c r="F77" s="47"/>
      <c r="G77" s="6"/>
      <c r="H77" s="6"/>
      <c r="I77" s="6"/>
      <c r="J77" s="6"/>
      <c r="K77" s="6"/>
      <c r="L77" s="6"/>
      <c r="M77" s="6"/>
      <c r="N77" s="6"/>
      <c r="O77" s="6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>
      <c r="A78" s="38"/>
      <c r="B78" s="47"/>
      <c r="C78" s="38"/>
      <c r="D78" s="61"/>
      <c r="E78" s="47"/>
      <c r="F78" s="38"/>
      <c r="G78" s="6"/>
      <c r="H78" s="6"/>
      <c r="I78" s="6"/>
      <c r="J78" s="6"/>
      <c r="K78" s="6"/>
      <c r="L78" s="6"/>
      <c r="M78" s="6"/>
      <c r="N78" s="6"/>
      <c r="O78" s="6"/>
      <c r="P78" s="6"/>
      <c r="R78" s="47"/>
      <c r="S78" s="62"/>
    </row>
    <row r="79" spans="1:26">
      <c r="A79" s="47"/>
      <c r="B79" s="47"/>
      <c r="C79" s="47"/>
      <c r="D79" s="6"/>
      <c r="E79" s="4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R79" s="47"/>
      <c r="S79" s="62"/>
    </row>
    <row r="80" spans="1:26">
      <c r="A80" s="47"/>
      <c r="B80" s="47"/>
      <c r="C80" s="47"/>
      <c r="D80" s="6"/>
      <c r="E80" s="4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R80" s="47"/>
      <c r="S80" s="62"/>
    </row>
    <row r="81" spans="1:19">
      <c r="A81" s="47"/>
      <c r="B81" s="47"/>
      <c r="C81" s="47"/>
      <c r="D81" s="6"/>
      <c r="E81" s="4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7"/>
      <c r="S81" s="62"/>
    </row>
    <row r="82" spans="1:19">
      <c r="A82" s="47"/>
      <c r="B82" s="47"/>
      <c r="C82" s="47"/>
      <c r="D82" s="6"/>
      <c r="E82" s="4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7"/>
      <c r="S82" s="62"/>
    </row>
    <row r="83" spans="1:19">
      <c r="A83" s="2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62"/>
      <c r="S83" s="62"/>
    </row>
    <row r="84" spans="1:19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9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</sheetData>
  <phoneticPr fontId="17" type="noConversion"/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E53F99-6CD8-4B7D-BC35-DC4D62B16C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70D08D-657C-4427-B3E2-9E934BB358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0D6940-A98D-4837-9FEE-05EBB2C66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Table 40</vt:lpstr>
      <vt:lpstr>All</vt:lpstr>
      <vt:lpstr>Men</vt:lpstr>
      <vt:lpstr>Women</vt:lpstr>
      <vt:lpstr>1st-Yr</vt:lpstr>
      <vt:lpstr>Res&amp;Fel</vt:lpstr>
      <vt:lpstr>StateRes</vt:lpstr>
      <vt:lpstr>Osteo All</vt:lpstr>
      <vt:lpstr>Osteo-Entering Classes</vt:lpstr>
      <vt:lpstr>Osteo abbreviations</vt:lpstr>
      <vt:lpstr>A</vt:lpstr>
      <vt:lpstr>'Table 40'!Print_Area</vt:lpstr>
      <vt:lpstr>'Table 40'!TABLE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Christiana Datubo-Brown</cp:lastModifiedBy>
  <cp:revision/>
  <dcterms:created xsi:type="dcterms:W3CDTF">1999-03-15T20:49:02Z</dcterms:created>
  <dcterms:modified xsi:type="dcterms:W3CDTF">2021-09-23T15:03:08Z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2018-11-01T16:56:59.0888173Z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